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0.xml" ContentType="application/vnd.openxmlformats-officedocument.drawingml.chartshapes+xml"/>
  <Override PartName="/xl/drawings/drawing31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6.xml" ContentType="application/vnd.openxmlformats-officedocument.drawingml.chartshapes+xml"/>
  <Override PartName="/xl/drawings/drawing37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40.xml" ContentType="application/vnd.openxmlformats-officedocument.drawingml.chartshapes+xml"/>
  <Override PartName="/xl/drawings/drawing4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42.xml" ContentType="application/vnd.openxmlformats-officedocument.drawingml.chartshapes+xml"/>
  <Override PartName="/xl/drawings/drawing43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44.xml" ContentType="application/vnd.openxmlformats-officedocument.drawingml.chartshapes+xml"/>
  <Override PartName="/xl/drawings/drawing45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46.xml" ContentType="application/vnd.openxmlformats-officedocument.drawingml.chartshapes+xml"/>
  <Override PartName="/xl/drawings/drawing47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8.xml" ContentType="application/vnd.openxmlformats-officedocument.drawingml.chartshapes+xml"/>
  <Override PartName="/xl/drawings/drawing49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50.xml" ContentType="application/vnd.openxmlformats-officedocument.drawingml.chartshapes+xml"/>
  <Override PartName="/xl/drawings/drawing51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52.xml" ContentType="application/vnd.openxmlformats-officedocument.drawingml.chartshapes+xml"/>
  <Override PartName="/xl/drawings/drawing53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54.xml" ContentType="application/vnd.openxmlformats-officedocument.drawingml.chartshapes+xml"/>
  <Override PartName="/xl/drawings/drawing55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56.xml" ContentType="application/vnd.openxmlformats-officedocument.drawingml.chartshapes+xml"/>
  <Override PartName="/xl/drawings/drawing57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58.xml" ContentType="application/vnd.openxmlformats-officedocument.drawingml.chartshapes+xml"/>
  <Override PartName="/xl/drawings/drawing59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60.xml" ContentType="application/vnd.openxmlformats-officedocument.drawingml.chartshapes+xml"/>
  <Override PartName="/xl/drawings/drawing6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6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DATA\0 Data_Collection 75\Daily_Log_Sheets\Log Sheet 2080\"/>
    </mc:Choice>
  </mc:AlternateContent>
  <xr:revisionPtr revIDLastSave="0" documentId="13_ncr:1_{A1CDD7AD-62CD-408E-89DB-1ED65E761C2D}" xr6:coauthVersionLast="47" xr6:coauthVersionMax="47" xr10:uidLastSave="{00000000-0000-0000-0000-000000000000}"/>
  <bookViews>
    <workbookView xWindow="28680" yWindow="-120" windowWidth="20730" windowHeight="11040" tabRatio="876" firstSheet="1" activeTab="1" xr2:uid="{00000000-000D-0000-FFFF-FFFF00000000}"/>
  </bookViews>
  <sheets>
    <sheet name="0" sheetId="4" r:id="rId1"/>
    <sheet name="1" sheetId="2" r:id="rId2"/>
    <sheet name="2" sheetId="5" r:id="rId3"/>
    <sheet name="3" sheetId="6" r:id="rId4"/>
    <sheet name="4" sheetId="7" r:id="rId5"/>
    <sheet name="5" sheetId="8" r:id="rId6"/>
    <sheet name="6" sheetId="9" r:id="rId7"/>
    <sheet name="7" sheetId="10" r:id="rId8"/>
    <sheet name="8" sheetId="11" r:id="rId9"/>
    <sheet name="9" sheetId="12" r:id="rId10"/>
    <sheet name="10" sheetId="13" r:id="rId11"/>
    <sheet name="11" sheetId="14" r:id="rId12"/>
    <sheet name="12" sheetId="16" r:id="rId13"/>
    <sheet name="13" sheetId="17" r:id="rId14"/>
    <sheet name="14" sheetId="18" r:id="rId15"/>
    <sheet name="15" sheetId="19" r:id="rId16"/>
    <sheet name="16" sheetId="20" r:id="rId17"/>
    <sheet name="17" sheetId="21" r:id="rId18"/>
    <sheet name="18" sheetId="23" r:id="rId19"/>
    <sheet name="19" sheetId="24" r:id="rId20"/>
    <sheet name="20" sheetId="25" r:id="rId21"/>
    <sheet name="21" sheetId="26" r:id="rId22"/>
    <sheet name="22" sheetId="27" r:id="rId23"/>
    <sheet name="23" sheetId="28" r:id="rId24"/>
    <sheet name="24" sheetId="29" r:id="rId25"/>
    <sheet name="25" sheetId="30" r:id="rId26"/>
    <sheet name="26" sheetId="31" r:id="rId27"/>
    <sheet name="27" sheetId="32" r:id="rId28"/>
    <sheet name="28" sheetId="33" r:id="rId29"/>
    <sheet name="29" sheetId="34" r:id="rId30"/>
    <sheet name="30" sheetId="35" r:id="rId31"/>
    <sheet name="Sheet22" sheetId="22" r:id="rId32"/>
  </sheets>
  <externalReferences>
    <externalReference r:id="rId33"/>
  </externalReferences>
  <definedNames>
    <definedName name="IPP" localSheetId="0">#REF!</definedName>
    <definedName name="IPP" localSheetId="1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9">#REF!</definedName>
    <definedName name="IPP" localSheetId="2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9">#REF!</definedName>
    <definedName name="IPP" localSheetId="3">#REF!</definedName>
    <definedName name="IPP" localSheetId="30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9">#REF!</definedName>
    <definedName name="IPP">#REF!</definedName>
    <definedName name="ippp" localSheetId="0">#REF!</definedName>
    <definedName name="ippp" localSheetId="1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9">#REF!</definedName>
    <definedName name="ippp" localSheetId="2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9">#REF!</definedName>
    <definedName name="ippp" localSheetId="3">#REF!</definedName>
    <definedName name="ippp" localSheetId="30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9">#REF!</definedName>
    <definedName name="ippp">#REF!</definedName>
    <definedName name="sdasdf" localSheetId="0">#REF!</definedName>
    <definedName name="sdasdf" localSheetId="1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9">#REF!</definedName>
    <definedName name="sdasdf" localSheetId="2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9">#REF!</definedName>
    <definedName name="sdasdf" localSheetId="3">#REF!</definedName>
    <definedName name="sdasdf" localSheetId="30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9">#REF!</definedName>
    <definedName name="sdasd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8" i="35" l="1"/>
  <c r="AA62" i="35"/>
  <c r="AA76" i="35"/>
  <c r="AA80" i="35"/>
  <c r="AA92" i="35"/>
  <c r="AA101" i="35"/>
  <c r="AA102" i="35"/>
  <c r="AA103" i="35"/>
  <c r="AA104" i="35"/>
  <c r="AA105" i="35"/>
  <c r="AA118" i="35"/>
  <c r="Z118" i="35"/>
  <c r="Z105" i="35"/>
  <c r="Z104" i="35"/>
  <c r="Z103" i="35"/>
  <c r="Z102" i="35"/>
  <c r="Z101" i="35"/>
  <c r="Z107" i="35" s="1"/>
  <c r="Z92" i="35"/>
  <c r="Z108" i="35" s="1"/>
  <c r="Z80" i="35"/>
  <c r="Z76" i="35"/>
  <c r="Z62" i="35"/>
  <c r="Z58" i="35"/>
  <c r="Z97" i="35" s="1"/>
  <c r="Z99" i="35" s="1"/>
  <c r="X58" i="35"/>
  <c r="Y58" i="35"/>
  <c r="Y62" i="35"/>
  <c r="Y76" i="35"/>
  <c r="Y80" i="35"/>
  <c r="Y92" i="35"/>
  <c r="Y101" i="35"/>
  <c r="Y102" i="35"/>
  <c r="Y103" i="35"/>
  <c r="Y104" i="35"/>
  <c r="Y105" i="35"/>
  <c r="Y118" i="35"/>
  <c r="X62" i="35"/>
  <c r="X76" i="35"/>
  <c r="X80" i="35"/>
  <c r="X92" i="35"/>
  <c r="X101" i="35"/>
  <c r="X102" i="35"/>
  <c r="X103" i="35"/>
  <c r="X104" i="35"/>
  <c r="X105" i="35"/>
  <c r="X118" i="35"/>
  <c r="W58" i="35"/>
  <c r="W62" i="35"/>
  <c r="W76" i="35"/>
  <c r="W80" i="35"/>
  <c r="W92" i="35"/>
  <c r="W101" i="35"/>
  <c r="W102" i="35"/>
  <c r="W103" i="35"/>
  <c r="W104" i="35"/>
  <c r="W105" i="35"/>
  <c r="W118" i="35"/>
  <c r="V57" i="35"/>
  <c r="V58" i="35"/>
  <c r="V62" i="35"/>
  <c r="V76" i="35"/>
  <c r="V80" i="35"/>
  <c r="V92" i="35"/>
  <c r="V101" i="35"/>
  <c r="V102" i="35"/>
  <c r="V103" i="35"/>
  <c r="V104" i="35"/>
  <c r="V105" i="35"/>
  <c r="V118" i="35"/>
  <c r="U57" i="35"/>
  <c r="T57" i="35"/>
  <c r="S57" i="35"/>
  <c r="R57" i="35"/>
  <c r="AA107" i="35" l="1"/>
  <c r="AA108" i="35" s="1"/>
  <c r="AA97" i="35"/>
  <c r="AA99" i="35" s="1"/>
  <c r="Z100" i="35"/>
  <c r="Y107" i="35"/>
  <c r="Y108" i="35" s="1"/>
  <c r="Y97" i="35"/>
  <c r="Y99" i="35" s="1"/>
  <c r="X107" i="35"/>
  <c r="X108" i="35" s="1"/>
  <c r="X97" i="35"/>
  <c r="X99" i="35" s="1"/>
  <c r="W107" i="35"/>
  <c r="W97" i="35"/>
  <c r="W99" i="35" s="1"/>
  <c r="W100" i="35" s="1"/>
  <c r="W108" i="35"/>
  <c r="V107" i="35"/>
  <c r="V97" i="35"/>
  <c r="V99" i="35" s="1"/>
  <c r="V100" i="35" s="1"/>
  <c r="V108" i="35"/>
  <c r="AA100" i="35" l="1"/>
  <c r="Y100" i="35"/>
  <c r="X100" i="35"/>
  <c r="Q57" i="35"/>
  <c r="P57" i="35"/>
  <c r="AH57" i="35" s="1"/>
  <c r="N57" i="35"/>
  <c r="M57" i="35"/>
  <c r="AH125" i="35"/>
  <c r="AI125" i="35"/>
  <c r="AH124" i="35"/>
  <c r="AI124" i="35"/>
  <c r="AG252" i="35"/>
  <c r="C252" i="35"/>
  <c r="D251" i="35"/>
  <c r="D250" i="35"/>
  <c r="E250" i="35" s="1"/>
  <c r="F250" i="35" s="1"/>
  <c r="G250" i="35" s="1"/>
  <c r="H250" i="35" s="1"/>
  <c r="I250" i="35" s="1"/>
  <c r="J250" i="35" s="1"/>
  <c r="K250" i="35" s="1"/>
  <c r="L250" i="35" s="1"/>
  <c r="M250" i="35" s="1"/>
  <c r="N250" i="35" s="1"/>
  <c r="O250" i="35" s="1"/>
  <c r="P250" i="35" s="1"/>
  <c r="Q250" i="35" s="1"/>
  <c r="R250" i="35" s="1"/>
  <c r="S250" i="35" s="1"/>
  <c r="T250" i="35" s="1"/>
  <c r="U250" i="35" s="1"/>
  <c r="V250" i="35" s="1"/>
  <c r="W250" i="35" s="1"/>
  <c r="X250" i="35" s="1"/>
  <c r="Y250" i="35" s="1"/>
  <c r="Z250" i="35" s="1"/>
  <c r="AA250" i="35" s="1"/>
  <c r="AB250" i="35" s="1"/>
  <c r="AC250" i="35" s="1"/>
  <c r="AD250" i="35" s="1"/>
  <c r="AE250" i="35" s="1"/>
  <c r="AF250" i="35" s="1"/>
  <c r="B250" i="35" s="1"/>
  <c r="D249" i="35"/>
  <c r="E249" i="35" s="1"/>
  <c r="F249" i="35" s="1"/>
  <c r="G249" i="35" s="1"/>
  <c r="H249" i="35" s="1"/>
  <c r="I249" i="35" s="1"/>
  <c r="J249" i="35" s="1"/>
  <c r="K249" i="35" s="1"/>
  <c r="L249" i="35" s="1"/>
  <c r="M249" i="35" s="1"/>
  <c r="N249" i="35" s="1"/>
  <c r="O249" i="35" s="1"/>
  <c r="P249" i="35" s="1"/>
  <c r="Q249" i="35" s="1"/>
  <c r="R249" i="35" s="1"/>
  <c r="S249" i="35" s="1"/>
  <c r="T249" i="35" s="1"/>
  <c r="U249" i="35" s="1"/>
  <c r="V249" i="35" s="1"/>
  <c r="W249" i="35" s="1"/>
  <c r="X249" i="35" s="1"/>
  <c r="Y249" i="35" s="1"/>
  <c r="Z249" i="35" s="1"/>
  <c r="AA249" i="35" s="1"/>
  <c r="AB249" i="35" s="1"/>
  <c r="AC249" i="35" s="1"/>
  <c r="AD249" i="35" s="1"/>
  <c r="AE249" i="35" s="1"/>
  <c r="AF249" i="35" s="1"/>
  <c r="B249" i="35" s="1"/>
  <c r="D248" i="35"/>
  <c r="E248" i="35" s="1"/>
  <c r="F248" i="35" s="1"/>
  <c r="G248" i="35" s="1"/>
  <c r="H248" i="35" s="1"/>
  <c r="I248" i="35" s="1"/>
  <c r="J248" i="35" s="1"/>
  <c r="K248" i="35" s="1"/>
  <c r="L248" i="35" s="1"/>
  <c r="M248" i="35" s="1"/>
  <c r="N248" i="35" s="1"/>
  <c r="O248" i="35" s="1"/>
  <c r="P248" i="35" s="1"/>
  <c r="Q248" i="35" s="1"/>
  <c r="R248" i="35" s="1"/>
  <c r="S248" i="35" s="1"/>
  <c r="T248" i="35" s="1"/>
  <c r="U248" i="35" s="1"/>
  <c r="V248" i="35" s="1"/>
  <c r="W248" i="35" s="1"/>
  <c r="X248" i="35" s="1"/>
  <c r="Y248" i="35" s="1"/>
  <c r="Z248" i="35" s="1"/>
  <c r="AA248" i="35" s="1"/>
  <c r="AB248" i="35" s="1"/>
  <c r="AC248" i="35" s="1"/>
  <c r="AD248" i="35" s="1"/>
  <c r="AE248" i="35" s="1"/>
  <c r="AF248" i="35" s="1"/>
  <c r="B248" i="35" s="1"/>
  <c r="D247" i="35"/>
  <c r="E247" i="35" s="1"/>
  <c r="F247" i="35" s="1"/>
  <c r="G247" i="35" s="1"/>
  <c r="H247" i="35" s="1"/>
  <c r="I247" i="35" s="1"/>
  <c r="J247" i="35" s="1"/>
  <c r="K247" i="35" s="1"/>
  <c r="L247" i="35" s="1"/>
  <c r="M247" i="35" s="1"/>
  <c r="N247" i="35" s="1"/>
  <c r="O247" i="35" s="1"/>
  <c r="P247" i="35" s="1"/>
  <c r="Q247" i="35" s="1"/>
  <c r="R247" i="35" s="1"/>
  <c r="S247" i="35" s="1"/>
  <c r="T247" i="35" s="1"/>
  <c r="U247" i="35" s="1"/>
  <c r="V247" i="35" s="1"/>
  <c r="W247" i="35" s="1"/>
  <c r="X247" i="35" s="1"/>
  <c r="Y247" i="35" s="1"/>
  <c r="Z247" i="35" s="1"/>
  <c r="AA247" i="35" s="1"/>
  <c r="AB247" i="35" s="1"/>
  <c r="AC247" i="35" s="1"/>
  <c r="AD247" i="35" s="1"/>
  <c r="AE247" i="35" s="1"/>
  <c r="AF247" i="35" s="1"/>
  <c r="B247" i="35" s="1"/>
  <c r="D246" i="35"/>
  <c r="AG244" i="35"/>
  <c r="AF244" i="35"/>
  <c r="AE244" i="35"/>
  <c r="AD244" i="35"/>
  <c r="AC244" i="35"/>
  <c r="AB244" i="35"/>
  <c r="AA244" i="35"/>
  <c r="Z244" i="35"/>
  <c r="Y244" i="35"/>
  <c r="X244" i="35"/>
  <c r="W244" i="35"/>
  <c r="V244" i="35"/>
  <c r="U244" i="35"/>
  <c r="T244" i="35"/>
  <c r="S244" i="35"/>
  <c r="R244" i="35"/>
  <c r="Q244" i="35"/>
  <c r="P244" i="35"/>
  <c r="O244" i="35"/>
  <c r="N244" i="35"/>
  <c r="M244" i="35"/>
  <c r="L244" i="35"/>
  <c r="K244" i="35"/>
  <c r="J244" i="35"/>
  <c r="I244" i="35"/>
  <c r="H244" i="35"/>
  <c r="G244" i="35"/>
  <c r="F244" i="35"/>
  <c r="E244" i="35"/>
  <c r="D244" i="35"/>
  <c r="C244" i="35"/>
  <c r="B244" i="35"/>
  <c r="AI130" i="35"/>
  <c r="AH130" i="35"/>
  <c r="AI129" i="35"/>
  <c r="AH129" i="35"/>
  <c r="AI128" i="35"/>
  <c r="AH128" i="35"/>
  <c r="AI127" i="35"/>
  <c r="AH127" i="35"/>
  <c r="AI126" i="35"/>
  <c r="AH126" i="35"/>
  <c r="AI123" i="35"/>
  <c r="AH123" i="35"/>
  <c r="AI122" i="35"/>
  <c r="AH122" i="35"/>
  <c r="AI121" i="35"/>
  <c r="AH121" i="35"/>
  <c r="AI120" i="35"/>
  <c r="AH120" i="35"/>
  <c r="AI119" i="35"/>
  <c r="AH119" i="35"/>
  <c r="C118" i="35"/>
  <c r="AI117" i="35"/>
  <c r="AH117" i="35"/>
  <c r="AI116" i="35"/>
  <c r="AH116" i="35"/>
  <c r="AI115" i="35"/>
  <c r="AH115" i="35"/>
  <c r="AI114" i="35"/>
  <c r="AH114" i="35"/>
  <c r="AI113" i="35"/>
  <c r="AH113" i="35"/>
  <c r="AI112" i="35"/>
  <c r="AH112" i="35"/>
  <c r="AI111" i="35"/>
  <c r="AH111" i="35"/>
  <c r="AI110" i="35"/>
  <c r="AH110" i="35"/>
  <c r="AI109" i="35"/>
  <c r="AH109" i="35"/>
  <c r="AI106" i="35"/>
  <c r="AH106" i="35"/>
  <c r="AF105" i="35"/>
  <c r="AE105" i="35"/>
  <c r="AD105" i="35"/>
  <c r="AC105" i="35"/>
  <c r="AB105" i="35"/>
  <c r="U105" i="35"/>
  <c r="T105" i="35"/>
  <c r="S105" i="35"/>
  <c r="R105" i="35"/>
  <c r="Q105" i="35"/>
  <c r="P105" i="35"/>
  <c r="O105" i="35"/>
  <c r="N105" i="35"/>
  <c r="M105" i="35"/>
  <c r="L105" i="35"/>
  <c r="K105" i="35"/>
  <c r="J105" i="35"/>
  <c r="I105" i="35"/>
  <c r="H105" i="35"/>
  <c r="G105" i="35"/>
  <c r="F105" i="35"/>
  <c r="E105" i="35"/>
  <c r="D105" i="35"/>
  <c r="C105" i="35"/>
  <c r="B105" i="35"/>
  <c r="AF104" i="35"/>
  <c r="AE104" i="35"/>
  <c r="AD104" i="35"/>
  <c r="AC104" i="35"/>
  <c r="AB104" i="35"/>
  <c r="U104" i="35"/>
  <c r="T104" i="35"/>
  <c r="S104" i="35"/>
  <c r="R104" i="35"/>
  <c r="Q104" i="35"/>
  <c r="P104" i="35"/>
  <c r="O104" i="35"/>
  <c r="N104" i="35"/>
  <c r="M104" i="35"/>
  <c r="L104" i="35"/>
  <c r="K104" i="35"/>
  <c r="J104" i="35"/>
  <c r="I104" i="35"/>
  <c r="H104" i="35"/>
  <c r="G104" i="35"/>
  <c r="F104" i="35"/>
  <c r="E104" i="35"/>
  <c r="D104" i="35"/>
  <c r="C104" i="35"/>
  <c r="B104" i="35"/>
  <c r="AF103" i="35"/>
  <c r="AE103" i="35"/>
  <c r="AD103" i="35"/>
  <c r="AC103" i="35"/>
  <c r="AB103" i="35"/>
  <c r="U103" i="35"/>
  <c r="T103" i="35"/>
  <c r="S103" i="35"/>
  <c r="R103" i="35"/>
  <c r="Q103" i="35"/>
  <c r="P103" i="35"/>
  <c r="O103" i="35"/>
  <c r="N103" i="35"/>
  <c r="M103" i="35"/>
  <c r="L103" i="35"/>
  <c r="K103" i="35"/>
  <c r="J103" i="35"/>
  <c r="I103" i="35"/>
  <c r="H103" i="35"/>
  <c r="G103" i="35"/>
  <c r="F103" i="35"/>
  <c r="E103" i="35"/>
  <c r="D103" i="35"/>
  <c r="C103" i="35"/>
  <c r="B103" i="35"/>
  <c r="AF102" i="35"/>
  <c r="AE102" i="35"/>
  <c r="AD102" i="35"/>
  <c r="AC102" i="35"/>
  <c r="AB102" i="35"/>
  <c r="U102" i="35"/>
  <c r="T102" i="35"/>
  <c r="S102" i="35"/>
  <c r="R102" i="35"/>
  <c r="Q102" i="35"/>
  <c r="P102" i="35"/>
  <c r="O102" i="35"/>
  <c r="N102" i="35"/>
  <c r="M102" i="35"/>
  <c r="L102" i="35"/>
  <c r="K102" i="35"/>
  <c r="J102" i="35"/>
  <c r="I102" i="35"/>
  <c r="H102" i="35"/>
  <c r="G102" i="35"/>
  <c r="F102" i="35"/>
  <c r="E102" i="35"/>
  <c r="D102" i="35"/>
  <c r="C102" i="35"/>
  <c r="B102" i="35"/>
  <c r="AF101" i="35"/>
  <c r="AE101" i="35"/>
  <c r="AD101" i="35"/>
  <c r="AC101" i="35"/>
  <c r="AB101" i="35"/>
  <c r="U101" i="35"/>
  <c r="T101" i="35"/>
  <c r="S101" i="35"/>
  <c r="R101" i="35"/>
  <c r="Q101" i="35"/>
  <c r="P101" i="35"/>
  <c r="O101" i="35"/>
  <c r="N101" i="35"/>
  <c r="M101" i="35"/>
  <c r="L101" i="35"/>
  <c r="K101" i="35"/>
  <c r="J101" i="35"/>
  <c r="I101" i="35"/>
  <c r="H101" i="35"/>
  <c r="G101" i="35"/>
  <c r="F101" i="35"/>
  <c r="E101" i="35"/>
  <c r="D101" i="35"/>
  <c r="C101" i="35"/>
  <c r="B101" i="35"/>
  <c r="AI98" i="35"/>
  <c r="AH98" i="35"/>
  <c r="AI96" i="35"/>
  <c r="AH96" i="35"/>
  <c r="AG96" i="35"/>
  <c r="AI95" i="35"/>
  <c r="AH95" i="35"/>
  <c r="AI94" i="35"/>
  <c r="AH94" i="35"/>
  <c r="AI93" i="35"/>
  <c r="AH93" i="35"/>
  <c r="AG92" i="35"/>
  <c r="AF92" i="35"/>
  <c r="AE5" i="35" s="1"/>
  <c r="AE92" i="35"/>
  <c r="AD92" i="35"/>
  <c r="BH19" i="35" s="1"/>
  <c r="AC92" i="35"/>
  <c r="AB5" i="35" s="1"/>
  <c r="AB92" i="35"/>
  <c r="BD19" i="35"/>
  <c r="U92" i="35"/>
  <c r="BC19" i="35" s="1"/>
  <c r="T92" i="35"/>
  <c r="BB19" i="35" s="1"/>
  <c r="S92" i="35"/>
  <c r="R5" i="35" s="1"/>
  <c r="R92" i="35"/>
  <c r="Q92" i="35"/>
  <c r="AY19" i="35" s="1"/>
  <c r="P92" i="35"/>
  <c r="O5" i="35" s="1"/>
  <c r="O92" i="35"/>
  <c r="N5" i="35" s="1"/>
  <c r="N92" i="35"/>
  <c r="AV19" i="35" s="1"/>
  <c r="M92" i="35"/>
  <c r="L5" i="35" s="1"/>
  <c r="L92" i="35"/>
  <c r="K5" i="35" s="1"/>
  <c r="K92" i="35"/>
  <c r="AT19" i="35" s="1"/>
  <c r="J92" i="35"/>
  <c r="I92" i="35"/>
  <c r="AS19" i="35" s="1"/>
  <c r="H92" i="35"/>
  <c r="G5" i="35" s="1"/>
  <c r="G92" i="35"/>
  <c r="F5" i="35" s="1"/>
  <c r="F92" i="35"/>
  <c r="E5" i="35" s="1"/>
  <c r="E92" i="35"/>
  <c r="AP19" i="35" s="1"/>
  <c r="D92" i="35"/>
  <c r="AO19" i="35" s="1"/>
  <c r="C92" i="35"/>
  <c r="B92" i="35"/>
  <c r="AI91" i="35"/>
  <c r="AH91" i="35"/>
  <c r="AI90" i="35"/>
  <c r="AH90" i="35"/>
  <c r="AI89" i="35"/>
  <c r="AH89" i="35"/>
  <c r="AI88" i="35"/>
  <c r="AH88" i="35"/>
  <c r="AI87" i="35"/>
  <c r="AH87" i="35"/>
  <c r="AI86" i="35"/>
  <c r="AH86" i="35"/>
  <c r="AI85" i="35"/>
  <c r="AH85" i="35"/>
  <c r="AI84" i="35"/>
  <c r="AH84" i="35"/>
  <c r="AI83" i="35"/>
  <c r="AH83" i="35"/>
  <c r="AI82" i="35"/>
  <c r="AH82" i="35"/>
  <c r="AI81" i="35"/>
  <c r="AH81" i="35"/>
  <c r="AG80" i="35"/>
  <c r="AG4" i="35" s="1"/>
  <c r="AF80" i="35"/>
  <c r="BJ20" i="35" s="1"/>
  <c r="AE80" i="35"/>
  <c r="AD80" i="35"/>
  <c r="BH20" i="35" s="1"/>
  <c r="AC80" i="35"/>
  <c r="AB80" i="35"/>
  <c r="BG20" i="35" s="1"/>
  <c r="U80" i="35"/>
  <c r="BC20" i="35" s="1"/>
  <c r="T80" i="35"/>
  <c r="S80" i="35"/>
  <c r="BA20" i="35" s="1"/>
  <c r="R80" i="35"/>
  <c r="Q80" i="35"/>
  <c r="AY20" i="35" s="1"/>
  <c r="P80" i="35"/>
  <c r="O80" i="35"/>
  <c r="AW20" i="35" s="1"/>
  <c r="N80" i="35"/>
  <c r="AV20" i="35" s="1"/>
  <c r="M80" i="35"/>
  <c r="L80" i="35"/>
  <c r="K80" i="35"/>
  <c r="AT20" i="35" s="1"/>
  <c r="J80" i="35"/>
  <c r="I80" i="35"/>
  <c r="H80" i="35"/>
  <c r="G80" i="35"/>
  <c r="AR20" i="35" s="1"/>
  <c r="F80" i="35"/>
  <c r="AQ20" i="35" s="1"/>
  <c r="E80" i="35"/>
  <c r="AP20" i="35" s="1"/>
  <c r="D80" i="35"/>
  <c r="C80" i="35"/>
  <c r="AN20" i="35" s="1"/>
  <c r="B80" i="35"/>
  <c r="AI79" i="35"/>
  <c r="AH79" i="35"/>
  <c r="AI78" i="35"/>
  <c r="AH78" i="35"/>
  <c r="AI77" i="35"/>
  <c r="AH77" i="35"/>
  <c r="AF76" i="35"/>
  <c r="BJ18" i="35" s="1"/>
  <c r="AE76" i="35"/>
  <c r="AD76" i="35"/>
  <c r="BH18" i="35" s="1"/>
  <c r="AC76" i="35"/>
  <c r="AB76" i="35"/>
  <c r="BG18" i="35" s="1"/>
  <c r="BE18" i="35"/>
  <c r="BD18" i="35"/>
  <c r="U76" i="35"/>
  <c r="BC18" i="35" s="1"/>
  <c r="T76" i="35"/>
  <c r="BB18" i="35" s="1"/>
  <c r="S76" i="35"/>
  <c r="R76" i="35"/>
  <c r="AZ18" i="35" s="1"/>
  <c r="Q76" i="35"/>
  <c r="P76" i="35"/>
  <c r="AX18" i="35" s="1"/>
  <c r="O76" i="35"/>
  <c r="AW18" i="35" s="1"/>
  <c r="N76" i="35"/>
  <c r="AV18" i="35" s="1"/>
  <c r="M76" i="35"/>
  <c r="AU18" i="35" s="1"/>
  <c r="L76" i="35"/>
  <c r="K76" i="35"/>
  <c r="AT18" i="35" s="1"/>
  <c r="J76" i="35"/>
  <c r="I76" i="35"/>
  <c r="H76" i="35"/>
  <c r="G76" i="35"/>
  <c r="F76" i="35"/>
  <c r="AQ18" i="35" s="1"/>
  <c r="E76" i="35"/>
  <c r="AP18" i="35" s="1"/>
  <c r="D76" i="35"/>
  <c r="AO18" i="35" s="1"/>
  <c r="C76" i="35"/>
  <c r="AN18" i="35" s="1"/>
  <c r="B76" i="35"/>
  <c r="AI75" i="35"/>
  <c r="AH75" i="35"/>
  <c r="AG75" i="35"/>
  <c r="AG76" i="35" s="1"/>
  <c r="AG3" i="35" s="1"/>
  <c r="AI74" i="35"/>
  <c r="AH74" i="35"/>
  <c r="BW73" i="35"/>
  <c r="BW80" i="35" s="1"/>
  <c r="BV73" i="35"/>
  <c r="BV80" i="35" s="1"/>
  <c r="BU73" i="35"/>
  <c r="BU80" i="35" s="1"/>
  <c r="BT73" i="35"/>
  <c r="BT80" i="35" s="1"/>
  <c r="BS73" i="35"/>
  <c r="BS80" i="35" s="1"/>
  <c r="BR73" i="35"/>
  <c r="BR80" i="35" s="1"/>
  <c r="BQ73" i="35"/>
  <c r="BQ80" i="35" s="1"/>
  <c r="BP73" i="35"/>
  <c r="BP80" i="35" s="1"/>
  <c r="BO73" i="35"/>
  <c r="BO80" i="35" s="1"/>
  <c r="BN73" i="35"/>
  <c r="BN80" i="35" s="1"/>
  <c r="BM73" i="35"/>
  <c r="BM80" i="35" s="1"/>
  <c r="BL73" i="35"/>
  <c r="BL80" i="35" s="1"/>
  <c r="BK73" i="35"/>
  <c r="BK80" i="35" s="1"/>
  <c r="BJ73" i="35"/>
  <c r="BJ80" i="35" s="1"/>
  <c r="BI73" i="35"/>
  <c r="BI80" i="35" s="1"/>
  <c r="BH73" i="35"/>
  <c r="BH80" i="35" s="1"/>
  <c r="BG73" i="35"/>
  <c r="BG80" i="35" s="1"/>
  <c r="BF73" i="35"/>
  <c r="BF80" i="35" s="1"/>
  <c r="BE73" i="35"/>
  <c r="BE80" i="35" s="1"/>
  <c r="BD73" i="35"/>
  <c r="BD80" i="35" s="1"/>
  <c r="BC73" i="35"/>
  <c r="BC80" i="35" s="1"/>
  <c r="BB73" i="35"/>
  <c r="BB80" i="35" s="1"/>
  <c r="BA73" i="35"/>
  <c r="BA80" i="35" s="1"/>
  <c r="AZ73" i="35"/>
  <c r="AZ80" i="35" s="1"/>
  <c r="AI73" i="35"/>
  <c r="AH73" i="35"/>
  <c r="BW72" i="35"/>
  <c r="BW79" i="35" s="1"/>
  <c r="BV72" i="35"/>
  <c r="BV79" i="35" s="1"/>
  <c r="BU72" i="35"/>
  <c r="BU79" i="35" s="1"/>
  <c r="BT72" i="35"/>
  <c r="BT79" i="35" s="1"/>
  <c r="BS72" i="35"/>
  <c r="BS79" i="35" s="1"/>
  <c r="BR72" i="35"/>
  <c r="BR79" i="35" s="1"/>
  <c r="BQ72" i="35"/>
  <c r="BQ79" i="35" s="1"/>
  <c r="BP72" i="35"/>
  <c r="BP79" i="35" s="1"/>
  <c r="BO72" i="35"/>
  <c r="BO79" i="35" s="1"/>
  <c r="BN72" i="35"/>
  <c r="BN79" i="35" s="1"/>
  <c r="BM72" i="35"/>
  <c r="BM79" i="35" s="1"/>
  <c r="BL72" i="35"/>
  <c r="BL79" i="35" s="1"/>
  <c r="BK72" i="35"/>
  <c r="BK79" i="35" s="1"/>
  <c r="BJ72" i="35"/>
  <c r="BJ79" i="35" s="1"/>
  <c r="BI72" i="35"/>
  <c r="BI79" i="35" s="1"/>
  <c r="BH72" i="35"/>
  <c r="BH79" i="35" s="1"/>
  <c r="BG72" i="35"/>
  <c r="BG79" i="35" s="1"/>
  <c r="BF72" i="35"/>
  <c r="BF79" i="35" s="1"/>
  <c r="BE72" i="35"/>
  <c r="BE79" i="35" s="1"/>
  <c r="BD72" i="35"/>
  <c r="BD79" i="35" s="1"/>
  <c r="BC72" i="35"/>
  <c r="BC79" i="35" s="1"/>
  <c r="BB72" i="35"/>
  <c r="BB79" i="35" s="1"/>
  <c r="BA72" i="35"/>
  <c r="BA79" i="35" s="1"/>
  <c r="AZ72" i="35"/>
  <c r="AZ79" i="35" s="1"/>
  <c r="AI72" i="35"/>
  <c r="AH72" i="35"/>
  <c r="BW71" i="35"/>
  <c r="BW78" i="35" s="1"/>
  <c r="BV71" i="35"/>
  <c r="BV78" i="35" s="1"/>
  <c r="BU71" i="35"/>
  <c r="BU78" i="35" s="1"/>
  <c r="BT71" i="35"/>
  <c r="BT78" i="35" s="1"/>
  <c r="BS71" i="35"/>
  <c r="BS78" i="35" s="1"/>
  <c r="BR71" i="35"/>
  <c r="BR78" i="35" s="1"/>
  <c r="BQ71" i="35"/>
  <c r="BQ78" i="35" s="1"/>
  <c r="BP71" i="35"/>
  <c r="BP78" i="35" s="1"/>
  <c r="BO71" i="35"/>
  <c r="BO78" i="35" s="1"/>
  <c r="BN71" i="35"/>
  <c r="BN78" i="35" s="1"/>
  <c r="BM71" i="35"/>
  <c r="BM78" i="35" s="1"/>
  <c r="BL71" i="35"/>
  <c r="BL78" i="35" s="1"/>
  <c r="BK71" i="35"/>
  <c r="BK78" i="35" s="1"/>
  <c r="BJ71" i="35"/>
  <c r="BJ78" i="35" s="1"/>
  <c r="BI71" i="35"/>
  <c r="BI78" i="35" s="1"/>
  <c r="BH71" i="35"/>
  <c r="BH78" i="35" s="1"/>
  <c r="BG71" i="35"/>
  <c r="BG78" i="35" s="1"/>
  <c r="BF71" i="35"/>
  <c r="BF78" i="35" s="1"/>
  <c r="BE71" i="35"/>
  <c r="BE78" i="35" s="1"/>
  <c r="BD71" i="35"/>
  <c r="BD78" i="35" s="1"/>
  <c r="BC71" i="35"/>
  <c r="BC78" i="35" s="1"/>
  <c r="BB71" i="35"/>
  <c r="BB78" i="35" s="1"/>
  <c r="BA71" i="35"/>
  <c r="BA78" i="35" s="1"/>
  <c r="AZ71" i="35"/>
  <c r="AZ78" i="35" s="1"/>
  <c r="AI71" i="35"/>
  <c r="AH71" i="35"/>
  <c r="BW70" i="35"/>
  <c r="BW77" i="35" s="1"/>
  <c r="BV70" i="35"/>
  <c r="BV77" i="35" s="1"/>
  <c r="BU70" i="35"/>
  <c r="BU77" i="35" s="1"/>
  <c r="BT70" i="35"/>
  <c r="BT77" i="35" s="1"/>
  <c r="BS70" i="35"/>
  <c r="BS77" i="35" s="1"/>
  <c r="BR70" i="35"/>
  <c r="BR77" i="35" s="1"/>
  <c r="BQ70" i="35"/>
  <c r="BQ77" i="35" s="1"/>
  <c r="BP70" i="35"/>
  <c r="BP77" i="35" s="1"/>
  <c r="BO70" i="35"/>
  <c r="BO77" i="35" s="1"/>
  <c r="BN70" i="35"/>
  <c r="BN77" i="35" s="1"/>
  <c r="BM70" i="35"/>
  <c r="BM77" i="35" s="1"/>
  <c r="BL70" i="35"/>
  <c r="BL77" i="35" s="1"/>
  <c r="BK70" i="35"/>
  <c r="BK77" i="35" s="1"/>
  <c r="BJ70" i="35"/>
  <c r="BJ77" i="35" s="1"/>
  <c r="BI70" i="35"/>
  <c r="BI77" i="35" s="1"/>
  <c r="BH70" i="35"/>
  <c r="BH77" i="35" s="1"/>
  <c r="BG70" i="35"/>
  <c r="BG77" i="35" s="1"/>
  <c r="BF70" i="35"/>
  <c r="BF77" i="35" s="1"/>
  <c r="BE70" i="35"/>
  <c r="BE77" i="35" s="1"/>
  <c r="BD70" i="35"/>
  <c r="BD77" i="35" s="1"/>
  <c r="BC70" i="35"/>
  <c r="BC77" i="35" s="1"/>
  <c r="BB70" i="35"/>
  <c r="BB77" i="35" s="1"/>
  <c r="BA70" i="35"/>
  <c r="BA77" i="35" s="1"/>
  <c r="AZ70" i="35"/>
  <c r="AZ77" i="35" s="1"/>
  <c r="AI70" i="35"/>
  <c r="AH70" i="35"/>
  <c r="BW69" i="35"/>
  <c r="BW76" i="35" s="1"/>
  <c r="BV69" i="35"/>
  <c r="BV76" i="35" s="1"/>
  <c r="BU69" i="35"/>
  <c r="BU76" i="35" s="1"/>
  <c r="BT69" i="35"/>
  <c r="BT76" i="35" s="1"/>
  <c r="BS69" i="35"/>
  <c r="BS76" i="35" s="1"/>
  <c r="BR69" i="35"/>
  <c r="BR76" i="35" s="1"/>
  <c r="BQ69" i="35"/>
  <c r="BQ76" i="35" s="1"/>
  <c r="BP69" i="35"/>
  <c r="BP76" i="35" s="1"/>
  <c r="BO69" i="35"/>
  <c r="BO76" i="35" s="1"/>
  <c r="BN69" i="35"/>
  <c r="BN76" i="35" s="1"/>
  <c r="BM69" i="35"/>
  <c r="BM76" i="35" s="1"/>
  <c r="BL69" i="35"/>
  <c r="BL76" i="35" s="1"/>
  <c r="BK69" i="35"/>
  <c r="BK76" i="35" s="1"/>
  <c r="BJ69" i="35"/>
  <c r="BJ76" i="35" s="1"/>
  <c r="BI69" i="35"/>
  <c r="BI76" i="35" s="1"/>
  <c r="BH69" i="35"/>
  <c r="BH76" i="35" s="1"/>
  <c r="BG69" i="35"/>
  <c r="BG76" i="35" s="1"/>
  <c r="BF69" i="35"/>
  <c r="BF76" i="35" s="1"/>
  <c r="BE69" i="35"/>
  <c r="BE76" i="35" s="1"/>
  <c r="BD69" i="35"/>
  <c r="BD76" i="35" s="1"/>
  <c r="BC69" i="35"/>
  <c r="BC76" i="35" s="1"/>
  <c r="BB69" i="35"/>
  <c r="BB76" i="35" s="1"/>
  <c r="BA69" i="35"/>
  <c r="BA76" i="35" s="1"/>
  <c r="AZ69" i="35"/>
  <c r="AZ76" i="35" s="1"/>
  <c r="AI69" i="35"/>
  <c r="AH69" i="35"/>
  <c r="BW68" i="35"/>
  <c r="BW75" i="35" s="1"/>
  <c r="BV68" i="35"/>
  <c r="BV75" i="35" s="1"/>
  <c r="BU68" i="35"/>
  <c r="BU75" i="35" s="1"/>
  <c r="BT68" i="35"/>
  <c r="BT75" i="35" s="1"/>
  <c r="BS68" i="35"/>
  <c r="BS75" i="35" s="1"/>
  <c r="BR68" i="35"/>
  <c r="BR75" i="35" s="1"/>
  <c r="BQ68" i="35"/>
  <c r="BQ75" i="35" s="1"/>
  <c r="BP68" i="35"/>
  <c r="BP75" i="35" s="1"/>
  <c r="BO68" i="35"/>
  <c r="BO75" i="35" s="1"/>
  <c r="BN68" i="35"/>
  <c r="BN75" i="35" s="1"/>
  <c r="BM68" i="35"/>
  <c r="BM75" i="35" s="1"/>
  <c r="BL68" i="35"/>
  <c r="BL75" i="35" s="1"/>
  <c r="BK68" i="35"/>
  <c r="BK75" i="35" s="1"/>
  <c r="BJ68" i="35"/>
  <c r="BJ75" i="35" s="1"/>
  <c r="BI68" i="35"/>
  <c r="BI75" i="35" s="1"/>
  <c r="BH68" i="35"/>
  <c r="BH75" i="35" s="1"/>
  <c r="BG68" i="35"/>
  <c r="BG75" i="35" s="1"/>
  <c r="BF68" i="35"/>
  <c r="BF75" i="35" s="1"/>
  <c r="BE68" i="35"/>
  <c r="BE75" i="35" s="1"/>
  <c r="BD68" i="35"/>
  <c r="BD75" i="35" s="1"/>
  <c r="BC68" i="35"/>
  <c r="BC75" i="35" s="1"/>
  <c r="BB68" i="35"/>
  <c r="BB75" i="35" s="1"/>
  <c r="BA68" i="35"/>
  <c r="BA75" i="35" s="1"/>
  <c r="AZ68" i="35"/>
  <c r="AZ75" i="35" s="1"/>
  <c r="AI68" i="35"/>
  <c r="AH68" i="35"/>
  <c r="AI67" i="35"/>
  <c r="AH67" i="35"/>
  <c r="AI66" i="35"/>
  <c r="AH66" i="35"/>
  <c r="AI65" i="35"/>
  <c r="AH65" i="35"/>
  <c r="AI64" i="35"/>
  <c r="AH64" i="35"/>
  <c r="AI63" i="35"/>
  <c r="AH63" i="35"/>
  <c r="AG62" i="35"/>
  <c r="AF62" i="35"/>
  <c r="AE62" i="35"/>
  <c r="BI17" i="35" s="1"/>
  <c r="AD62" i="35"/>
  <c r="BH17" i="35" s="1"/>
  <c r="AC62" i="35"/>
  <c r="AB62" i="35"/>
  <c r="BG17" i="35" s="1"/>
  <c r="BF17" i="35"/>
  <c r="BE17" i="35"/>
  <c r="U62" i="35"/>
  <c r="T62" i="35"/>
  <c r="BB17" i="35" s="1"/>
  <c r="S62" i="35"/>
  <c r="BA17" i="35" s="1"/>
  <c r="R62" i="35"/>
  <c r="AZ17" i="35" s="1"/>
  <c r="Q62" i="35"/>
  <c r="AY17" i="35" s="1"/>
  <c r="P62" i="35"/>
  <c r="O62" i="35"/>
  <c r="AW17" i="35" s="1"/>
  <c r="N62" i="35"/>
  <c r="AV17" i="35" s="1"/>
  <c r="M62" i="35"/>
  <c r="AU17" i="35" s="1"/>
  <c r="L62" i="35"/>
  <c r="K62" i="35"/>
  <c r="AT17" i="35" s="1"/>
  <c r="J62" i="35"/>
  <c r="I62" i="35"/>
  <c r="AS17" i="35" s="1"/>
  <c r="H62" i="35"/>
  <c r="G62" i="35"/>
  <c r="AR17" i="35" s="1"/>
  <c r="F62" i="35"/>
  <c r="E62" i="35"/>
  <c r="AP17" i="35" s="1"/>
  <c r="D62" i="35"/>
  <c r="AO17" i="35" s="1"/>
  <c r="C62" i="35"/>
  <c r="AN17" i="35" s="1"/>
  <c r="B62" i="35"/>
  <c r="AI61" i="35"/>
  <c r="AH61" i="35"/>
  <c r="AI60" i="35"/>
  <c r="AH60" i="35"/>
  <c r="AI59" i="35"/>
  <c r="AH59" i="35"/>
  <c r="AG58" i="35"/>
  <c r="AF58" i="35"/>
  <c r="AE58" i="35"/>
  <c r="AD58" i="35"/>
  <c r="BH16" i="35" s="1"/>
  <c r="AC58" i="35"/>
  <c r="AB58" i="35"/>
  <c r="BF16" i="35"/>
  <c r="U58" i="35"/>
  <c r="T58" i="35"/>
  <c r="S58" i="35"/>
  <c r="R58" i="35"/>
  <c r="Q58" i="35"/>
  <c r="P58" i="35"/>
  <c r="O58" i="35"/>
  <c r="N58" i="35"/>
  <c r="AV16" i="35" s="1"/>
  <c r="M58" i="35"/>
  <c r="AU16" i="35" s="1"/>
  <c r="L58" i="35"/>
  <c r="K58" i="35"/>
  <c r="J58" i="35"/>
  <c r="I58" i="35"/>
  <c r="H58" i="35"/>
  <c r="G58" i="35"/>
  <c r="F58" i="35"/>
  <c r="E58" i="35"/>
  <c r="AP16" i="35" s="1"/>
  <c r="D58" i="35"/>
  <c r="C58" i="35"/>
  <c r="AN16" i="35" s="1"/>
  <c r="B58" i="35"/>
  <c r="AM16" i="35" s="1"/>
  <c r="AI57" i="35"/>
  <c r="AI56" i="35"/>
  <c r="AH56" i="35"/>
  <c r="AI55" i="35"/>
  <c r="AH55" i="35"/>
  <c r="AI54" i="35"/>
  <c r="AH54" i="35"/>
  <c r="AI53" i="35"/>
  <c r="AH53" i="35"/>
  <c r="AI52" i="35"/>
  <c r="AH52" i="35"/>
  <c r="AI51" i="35"/>
  <c r="AH51" i="35"/>
  <c r="AI50" i="35"/>
  <c r="AH50" i="35"/>
  <c r="AI49" i="35"/>
  <c r="AH49" i="35"/>
  <c r="AI48" i="35"/>
  <c r="AH48" i="35"/>
  <c r="AI47" i="35"/>
  <c r="AH47" i="35"/>
  <c r="AI46" i="35"/>
  <c r="AH46" i="35"/>
  <c r="AI45" i="35"/>
  <c r="AH45" i="35"/>
  <c r="AI44" i="35"/>
  <c r="AH44" i="35"/>
  <c r="AI43" i="35"/>
  <c r="AH43" i="35"/>
  <c r="AI42" i="35"/>
  <c r="AH42" i="35"/>
  <c r="AI41" i="35"/>
  <c r="AH41" i="35"/>
  <c r="AI40" i="35"/>
  <c r="AH40" i="35"/>
  <c r="AI39" i="35"/>
  <c r="AH39" i="35"/>
  <c r="AI38" i="35"/>
  <c r="AH38" i="35"/>
  <c r="AI37" i="35"/>
  <c r="AH37" i="35"/>
  <c r="AI36" i="35"/>
  <c r="AH36" i="35"/>
  <c r="AI35" i="35"/>
  <c r="AH35" i="35"/>
  <c r="AI34" i="35"/>
  <c r="AH34" i="35"/>
  <c r="AI33" i="35"/>
  <c r="AH33" i="35"/>
  <c r="AI32" i="35"/>
  <c r="AH32" i="35"/>
  <c r="AI31" i="35"/>
  <c r="AH31" i="35"/>
  <c r="AI30" i="35"/>
  <c r="AH30" i="35"/>
  <c r="AI29" i="35"/>
  <c r="AH29" i="35"/>
  <c r="AI28" i="35"/>
  <c r="AH28" i="35"/>
  <c r="AI27" i="35"/>
  <c r="AH27" i="35"/>
  <c r="AI26" i="35"/>
  <c r="AH26" i="35"/>
  <c r="AI25" i="35"/>
  <c r="AH25" i="35"/>
  <c r="AI24" i="35"/>
  <c r="AH24" i="35"/>
  <c r="AI23" i="35"/>
  <c r="AH23" i="35"/>
  <c r="AI22" i="35"/>
  <c r="AH22" i="35"/>
  <c r="BJ21" i="35"/>
  <c r="BI21" i="35"/>
  <c r="BH21" i="35"/>
  <c r="BG21" i="35"/>
  <c r="BF21" i="35"/>
  <c r="BE21" i="35"/>
  <c r="BD21" i="35"/>
  <c r="BC21" i="35"/>
  <c r="BB21" i="35"/>
  <c r="BA21" i="35"/>
  <c r="AZ21" i="35"/>
  <c r="AY21" i="35"/>
  <c r="AX21" i="35"/>
  <c r="AW21" i="35"/>
  <c r="AV21" i="35"/>
  <c r="AU21" i="35"/>
  <c r="AT21" i="35"/>
  <c r="AS21" i="35"/>
  <c r="AR21" i="35"/>
  <c r="AQ21" i="35"/>
  <c r="AP21" i="35"/>
  <c r="AO21" i="35"/>
  <c r="AN21" i="35"/>
  <c r="AM21" i="35"/>
  <c r="AI21" i="35"/>
  <c r="AH21" i="35"/>
  <c r="BI20" i="35"/>
  <c r="BF20" i="35"/>
  <c r="BE20" i="35"/>
  <c r="BD20" i="35"/>
  <c r="BB20" i="35"/>
  <c r="AZ20" i="35"/>
  <c r="AX20" i="35"/>
  <c r="AU20" i="35"/>
  <c r="AS20" i="35"/>
  <c r="AO20" i="35"/>
  <c r="AM20" i="35"/>
  <c r="AI20" i="35"/>
  <c r="AH20" i="35"/>
  <c r="BI19" i="35"/>
  <c r="BF19" i="35"/>
  <c r="BE19" i="35"/>
  <c r="AN19" i="35"/>
  <c r="AI19" i="35"/>
  <c r="AH19" i="35"/>
  <c r="BI18" i="35"/>
  <c r="BF18" i="35"/>
  <c r="BA18" i="35"/>
  <c r="AY18" i="35"/>
  <c r="AS18" i="35"/>
  <c r="AR18" i="35"/>
  <c r="AM18" i="35"/>
  <c r="AI18" i="35"/>
  <c r="AH18" i="35"/>
  <c r="BJ17" i="35"/>
  <c r="BD17" i="35"/>
  <c r="BC17" i="35"/>
  <c r="AX17" i="35"/>
  <c r="AQ17" i="35"/>
  <c r="AM17" i="35"/>
  <c r="AI17" i="35"/>
  <c r="AH17" i="35"/>
  <c r="BJ16" i="35"/>
  <c r="BI16" i="35"/>
  <c r="BG16" i="35"/>
  <c r="BE16" i="35"/>
  <c r="BD16" i="35"/>
  <c r="BC16" i="35"/>
  <c r="BB16" i="35"/>
  <c r="AR16" i="35"/>
  <c r="AQ16" i="35"/>
  <c r="AO16" i="35"/>
  <c r="AI16" i="35"/>
  <c r="AH16" i="35"/>
  <c r="AI15" i="35"/>
  <c r="AH15" i="35"/>
  <c r="AI14" i="35"/>
  <c r="AH14" i="35"/>
  <c r="AI13" i="35"/>
  <c r="AH13" i="35"/>
  <c r="AL12" i="35"/>
  <c r="AI12" i="35"/>
  <c r="AH12" i="35"/>
  <c r="AI11" i="35"/>
  <c r="AH11" i="35"/>
  <c r="AD5" i="35"/>
  <c r="Z5" i="35"/>
  <c r="X5" i="35"/>
  <c r="W5" i="35"/>
  <c r="V5" i="35"/>
  <c r="U5" i="35"/>
  <c r="T5" i="35"/>
  <c r="S5" i="35"/>
  <c r="P5" i="35"/>
  <c r="B5" i="35"/>
  <c r="K4" i="35"/>
  <c r="E4" i="35"/>
  <c r="H4" i="35" s="1"/>
  <c r="B4" i="35"/>
  <c r="D258" i="35" s="1"/>
  <c r="BJ19" i="35" l="1"/>
  <c r="AE97" i="35"/>
  <c r="AE99" i="35" s="1"/>
  <c r="AC5" i="35"/>
  <c r="AB107" i="35"/>
  <c r="BG23" i="35" s="1"/>
  <c r="T107" i="35"/>
  <c r="BB23" i="35" s="1"/>
  <c r="BA19" i="35"/>
  <c r="R97" i="35"/>
  <c r="R99" i="35" s="1"/>
  <c r="BB22" i="35"/>
  <c r="H107" i="35"/>
  <c r="BE23" i="35"/>
  <c r="D107" i="35"/>
  <c r="AO23" i="35" s="1"/>
  <c r="L107" i="35"/>
  <c r="R107" i="35"/>
  <c r="AZ23" i="35" s="1"/>
  <c r="BF23" i="35"/>
  <c r="BC22" i="35"/>
  <c r="AB108" i="35"/>
  <c r="BE22" i="35"/>
  <c r="BI22" i="35"/>
  <c r="P97" i="35"/>
  <c r="P99" i="35" s="1"/>
  <c r="AF97" i="35"/>
  <c r="AF99" i="35" s="1"/>
  <c r="AG97" i="35"/>
  <c r="S107" i="35"/>
  <c r="BA23" i="35" s="1"/>
  <c r="BF22" i="35"/>
  <c r="S97" i="35"/>
  <c r="S99" i="35" s="1"/>
  <c r="Y7" i="35"/>
  <c r="C5" i="35"/>
  <c r="BJ22" i="35"/>
  <c r="BG19" i="35"/>
  <c r="BG22" i="35" s="1"/>
  <c r="BG24" i="35" s="1"/>
  <c r="AA7" i="35"/>
  <c r="D252" i="35"/>
  <c r="AA5" i="35"/>
  <c r="AX19" i="35"/>
  <c r="E246" i="35"/>
  <c r="F246" i="35" s="1"/>
  <c r="Q107" i="35"/>
  <c r="AY23" i="35" s="1"/>
  <c r="Q97" i="35"/>
  <c r="Q99" i="35" s="1"/>
  <c r="P107" i="35"/>
  <c r="AX23" i="35" s="1"/>
  <c r="AX16" i="35"/>
  <c r="AX22" i="35" s="1"/>
  <c r="AW19" i="35"/>
  <c r="O97" i="35"/>
  <c r="O99" i="35" s="1"/>
  <c r="AW16" i="35"/>
  <c r="M5" i="35"/>
  <c r="AU19" i="35"/>
  <c r="AU22" i="35" s="1"/>
  <c r="J5" i="35"/>
  <c r="K107" i="35"/>
  <c r="J107" i="35"/>
  <c r="J108" i="35" s="1"/>
  <c r="K97" i="35"/>
  <c r="K99" i="35" s="1"/>
  <c r="J97" i="35"/>
  <c r="J99" i="35" s="1"/>
  <c r="J100" i="35" s="1"/>
  <c r="J7" i="35" s="1"/>
  <c r="I107" i="35"/>
  <c r="AS23" i="35" s="1"/>
  <c r="H5" i="35"/>
  <c r="I97" i="35"/>
  <c r="I99" i="35" s="1"/>
  <c r="I100" i="35" s="1"/>
  <c r="I7" i="35" s="1"/>
  <c r="H108" i="35"/>
  <c r="AR19" i="35"/>
  <c r="G97" i="35"/>
  <c r="G99" i="35" s="1"/>
  <c r="AQ19" i="35"/>
  <c r="D5" i="35"/>
  <c r="AR22" i="35"/>
  <c r="AP22" i="35"/>
  <c r="H97" i="35"/>
  <c r="H99" i="35" s="1"/>
  <c r="H100" i="35" s="1"/>
  <c r="H7" i="35" s="1"/>
  <c r="AI102" i="35"/>
  <c r="AO22" i="35"/>
  <c r="AO24" i="35" s="1"/>
  <c r="AI62" i="35"/>
  <c r="C97" i="35"/>
  <c r="C99" i="35" s="1"/>
  <c r="AI76" i="35"/>
  <c r="AN22" i="35"/>
  <c r="AH92" i="35"/>
  <c r="AH103" i="35"/>
  <c r="AI80" i="35"/>
  <c r="AL13" i="35"/>
  <c r="AQ22" i="35"/>
  <c r="BH22" i="35"/>
  <c r="W7" i="35"/>
  <c r="BB24" i="35"/>
  <c r="AV22" i="35"/>
  <c r="BD22" i="35"/>
  <c r="AH62" i="35"/>
  <c r="N107" i="35"/>
  <c r="AV23" i="35" s="1"/>
  <c r="BD23" i="35"/>
  <c r="AH58" i="35"/>
  <c r="AC107" i="35"/>
  <c r="AI58" i="35"/>
  <c r="F107" i="35"/>
  <c r="AQ23" i="35" s="1"/>
  <c r="AY16" i="35"/>
  <c r="AY22" i="35" s="1"/>
  <c r="AY24" i="35" s="1"/>
  <c r="D97" i="35"/>
  <c r="D99" i="35" s="1"/>
  <c r="D100" i="35" s="1"/>
  <c r="D7" i="35" s="1"/>
  <c r="L97" i="35"/>
  <c r="L99" i="35" s="1"/>
  <c r="L100" i="35" s="1"/>
  <c r="L7" i="35" s="1"/>
  <c r="T97" i="35"/>
  <c r="T99" i="35" s="1"/>
  <c r="T100" i="35" s="1"/>
  <c r="T7" i="35" s="1"/>
  <c r="AB97" i="35"/>
  <c r="AB99" i="35" s="1"/>
  <c r="AB100" i="35" s="1"/>
  <c r="AB7" i="35" s="1"/>
  <c r="AC108" i="35"/>
  <c r="G107" i="35"/>
  <c r="AR23" i="35" s="1"/>
  <c r="O107" i="35"/>
  <c r="AW23" i="35" s="1"/>
  <c r="AE107" i="35"/>
  <c r="BI23" i="35" s="1"/>
  <c r="M107" i="35"/>
  <c r="AU23" i="35" s="1"/>
  <c r="AF5" i="35"/>
  <c r="AZ16" i="35"/>
  <c r="E97" i="35"/>
  <c r="E99" i="35" s="1"/>
  <c r="M97" i="35"/>
  <c r="M99" i="35" s="1"/>
  <c r="U97" i="35"/>
  <c r="U99" i="35" s="1"/>
  <c r="AC97" i="35"/>
  <c r="AC99" i="35" s="1"/>
  <c r="AH80" i="35"/>
  <c r="AF107" i="35"/>
  <c r="AI105" i="35"/>
  <c r="BA16" i="35"/>
  <c r="BA22" i="35" s="1"/>
  <c r="AM19" i="35"/>
  <c r="AM22" i="35" s="1"/>
  <c r="F97" i="35"/>
  <c r="F99" i="35" s="1"/>
  <c r="N97" i="35"/>
  <c r="N99" i="35" s="1"/>
  <c r="AD97" i="35"/>
  <c r="AD99" i="35" s="1"/>
  <c r="AD100" i="35" s="1"/>
  <c r="AD7" i="35" s="1"/>
  <c r="AH102" i="35"/>
  <c r="B107" i="35"/>
  <c r="B108" i="35" s="1"/>
  <c r="AI103" i="35"/>
  <c r="AI104" i="35"/>
  <c r="G246" i="35"/>
  <c r="AZ19" i="35"/>
  <c r="I5" i="35"/>
  <c r="Q5" i="35"/>
  <c r="Y5" i="35"/>
  <c r="AS16" i="35"/>
  <c r="AS22" i="35" s="1"/>
  <c r="AS24" i="35" s="1"/>
  <c r="AT16" i="35"/>
  <c r="AT22" i="35" s="1"/>
  <c r="AH76" i="35"/>
  <c r="AI101" i="35"/>
  <c r="D118" i="35"/>
  <c r="E251" i="35"/>
  <c r="AI92" i="35"/>
  <c r="Z7" i="35"/>
  <c r="E107" i="35"/>
  <c r="AP23" i="35" s="1"/>
  <c r="U107" i="35"/>
  <c r="BC23" i="35" s="1"/>
  <c r="BC24" i="35" s="1"/>
  <c r="L108" i="35"/>
  <c r="T108" i="35"/>
  <c r="B97" i="35"/>
  <c r="AD107" i="35"/>
  <c r="BH23" i="35" s="1"/>
  <c r="AG2" i="35"/>
  <c r="AG6" i="35" s="1"/>
  <c r="BG84" i="35" a="1"/>
  <c r="I108" i="35"/>
  <c r="AG99" i="35"/>
  <c r="C107" i="35"/>
  <c r="AH101" i="35"/>
  <c r="E252" i="35"/>
  <c r="AH104" i="35"/>
  <c r="AH105" i="35"/>
  <c r="AB80" i="34"/>
  <c r="AC80" i="34"/>
  <c r="AD80" i="34"/>
  <c r="AE80" i="34"/>
  <c r="AF80" i="34"/>
  <c r="AA58" i="34"/>
  <c r="AA62" i="34"/>
  <c r="AA76" i="34"/>
  <c r="AA80" i="34"/>
  <c r="AA92" i="34"/>
  <c r="AA101" i="34"/>
  <c r="AA102" i="34"/>
  <c r="AA103" i="34"/>
  <c r="AA104" i="34"/>
  <c r="AA105" i="34"/>
  <c r="AA118" i="34"/>
  <c r="BI24" i="35" l="1"/>
  <c r="AD108" i="35"/>
  <c r="BF24" i="35"/>
  <c r="BE24" i="35"/>
  <c r="S100" i="35"/>
  <c r="S7" i="35" s="1"/>
  <c r="BA24" i="35"/>
  <c r="AX24" i="35"/>
  <c r="R108" i="35"/>
  <c r="R100" i="35"/>
  <c r="R7" i="35" s="1"/>
  <c r="AE108" i="35"/>
  <c r="AZ22" i="35"/>
  <c r="AZ24" i="35" s="1"/>
  <c r="D108" i="35"/>
  <c r="S108" i="35"/>
  <c r="AC100" i="35"/>
  <c r="AC7" i="35" s="1"/>
  <c r="X7" i="35"/>
  <c r="Q108" i="35"/>
  <c r="Q100" i="35"/>
  <c r="Q7" i="35" s="1"/>
  <c r="P108" i="35"/>
  <c r="P100" i="35"/>
  <c r="P7" i="35" s="1"/>
  <c r="AW22" i="35"/>
  <c r="AW24" i="35" s="1"/>
  <c r="AU24" i="35"/>
  <c r="M108" i="35"/>
  <c r="M100" i="35"/>
  <c r="M7" i="35" s="1"/>
  <c r="K100" i="35"/>
  <c r="K7" i="35" s="1"/>
  <c r="K108" i="35"/>
  <c r="AT23" i="35"/>
  <c r="AT24" i="35" s="1"/>
  <c r="AR24" i="35"/>
  <c r="G108" i="35"/>
  <c r="G100" i="35"/>
  <c r="G7" i="35" s="1"/>
  <c r="AP24" i="35"/>
  <c r="BJ107" i="35"/>
  <c r="BH106" i="35"/>
  <c r="BL104" i="35"/>
  <c r="BJ103" i="35"/>
  <c r="BH102" i="35"/>
  <c r="BL100" i="35"/>
  <c r="BJ99" i="35"/>
  <c r="BH98" i="35"/>
  <c r="BL96" i="35"/>
  <c r="BJ95" i="35"/>
  <c r="BH94" i="35"/>
  <c r="BL92" i="35"/>
  <c r="BJ91" i="35"/>
  <c r="BH90" i="35"/>
  <c r="BL88" i="35"/>
  <c r="BJ87" i="35"/>
  <c r="BH86" i="35"/>
  <c r="BL84" i="35"/>
  <c r="BI107" i="35"/>
  <c r="BG106" i="35"/>
  <c r="BK104" i="35"/>
  <c r="BI103" i="35"/>
  <c r="BG102" i="35"/>
  <c r="BK100" i="35"/>
  <c r="BI99" i="35"/>
  <c r="BG98" i="35"/>
  <c r="BK96" i="35"/>
  <c r="BI95" i="35"/>
  <c r="BG94" i="35"/>
  <c r="BK92" i="35"/>
  <c r="BI91" i="35"/>
  <c r="BG90" i="35"/>
  <c r="BK88" i="35"/>
  <c r="BI87" i="35"/>
  <c r="BG86" i="35"/>
  <c r="BK84" i="35"/>
  <c r="BH107" i="35"/>
  <c r="BL105" i="35"/>
  <c r="BJ104" i="35"/>
  <c r="BH103" i="35"/>
  <c r="BL101" i="35"/>
  <c r="BJ100" i="35"/>
  <c r="BH99" i="35"/>
  <c r="BL97" i="35"/>
  <c r="BJ96" i="35"/>
  <c r="BH95" i="35"/>
  <c r="BL93" i="35"/>
  <c r="BJ92" i="35"/>
  <c r="BH91" i="35"/>
  <c r="BL89" i="35"/>
  <c r="BJ88" i="35"/>
  <c r="BH87" i="35"/>
  <c r="BL85" i="35"/>
  <c r="BJ84" i="35"/>
  <c r="BG107" i="35"/>
  <c r="BK105" i="35"/>
  <c r="BI104" i="35"/>
  <c r="BG103" i="35"/>
  <c r="BK101" i="35"/>
  <c r="BI100" i="35"/>
  <c r="BG99" i="35"/>
  <c r="BK97" i="35"/>
  <c r="BI96" i="35"/>
  <c r="BG95" i="35"/>
  <c r="BK93" i="35"/>
  <c r="BI92" i="35"/>
  <c r="BG91" i="35"/>
  <c r="BK89" i="35"/>
  <c r="BI88" i="35"/>
  <c r="BG87" i="35"/>
  <c r="BK85" i="35"/>
  <c r="BI84" i="35"/>
  <c r="BK106" i="35"/>
  <c r="BI105" i="35"/>
  <c r="BG104" i="35"/>
  <c r="BK102" i="35"/>
  <c r="BI101" i="35"/>
  <c r="BG100" i="35"/>
  <c r="BK98" i="35"/>
  <c r="BI97" i="35"/>
  <c r="BG96" i="35"/>
  <c r="BK94" i="35"/>
  <c r="BI93" i="35"/>
  <c r="BG92" i="35"/>
  <c r="BK90" i="35"/>
  <c r="BI89" i="35"/>
  <c r="BG88" i="35"/>
  <c r="BK86" i="35"/>
  <c r="BI85" i="35"/>
  <c r="BG84" i="35"/>
  <c r="BL107" i="35"/>
  <c r="BJ106" i="35"/>
  <c r="BH105" i="35"/>
  <c r="BL103" i="35"/>
  <c r="BJ102" i="35"/>
  <c r="BH101" i="35"/>
  <c r="BL99" i="35"/>
  <c r="BJ98" i="35"/>
  <c r="BH97" i="35"/>
  <c r="BL95" i="35"/>
  <c r="BJ94" i="35"/>
  <c r="BH93" i="35"/>
  <c r="BL91" i="35"/>
  <c r="BJ90" i="35"/>
  <c r="BH89" i="35"/>
  <c r="BL87" i="35"/>
  <c r="BJ86" i="35"/>
  <c r="BH85" i="35"/>
  <c r="BI106" i="35"/>
  <c r="BG101" i="35"/>
  <c r="BK95" i="35"/>
  <c r="BI90" i="35"/>
  <c r="BG85" i="35"/>
  <c r="BJ97" i="35"/>
  <c r="BK107" i="35"/>
  <c r="BI102" i="35"/>
  <c r="BK91" i="35"/>
  <c r="BL106" i="35"/>
  <c r="BJ101" i="35"/>
  <c r="BH96" i="35"/>
  <c r="BJ105" i="35"/>
  <c r="BH100" i="35"/>
  <c r="BL94" i="35"/>
  <c r="BJ89" i="35"/>
  <c r="BH84" i="35"/>
  <c r="BH92" i="35"/>
  <c r="BJ85" i="35"/>
  <c r="BG105" i="35"/>
  <c r="BK99" i="35"/>
  <c r="BI94" i="35"/>
  <c r="BG89" i="35"/>
  <c r="BH104" i="35"/>
  <c r="BL98" i="35"/>
  <c r="BJ93" i="35"/>
  <c r="BH88" i="35"/>
  <c r="BI86" i="35"/>
  <c r="BK103" i="35"/>
  <c r="BI98" i="35"/>
  <c r="BG93" i="35"/>
  <c r="BK87" i="35"/>
  <c r="BL86" i="35"/>
  <c r="BG97" i="35"/>
  <c r="BL102" i="35"/>
  <c r="BL90" i="35"/>
  <c r="H246" i="35"/>
  <c r="AF108" i="35"/>
  <c r="BJ23" i="35"/>
  <c r="BJ24" i="35" s="1"/>
  <c r="C256" i="35"/>
  <c r="O108" i="35"/>
  <c r="U100" i="35"/>
  <c r="U7" i="35" s="1"/>
  <c r="AF100" i="35"/>
  <c r="AF7" i="35" s="1"/>
  <c r="E100" i="35"/>
  <c r="E7" i="35" s="1"/>
  <c r="AV24" i="35"/>
  <c r="AN23" i="35"/>
  <c r="AN24" i="35" s="1"/>
  <c r="C108" i="35"/>
  <c r="AI107" i="35"/>
  <c r="AM23" i="35"/>
  <c r="AH107" i="35"/>
  <c r="N100" i="35"/>
  <c r="N7" i="35" s="1"/>
  <c r="N108" i="35"/>
  <c r="B99" i="35"/>
  <c r="AI97" i="35"/>
  <c r="AH97" i="35"/>
  <c r="F251" i="35"/>
  <c r="E118" i="35"/>
  <c r="F100" i="35"/>
  <c r="F7" i="35" s="1"/>
  <c r="F108" i="35"/>
  <c r="E108" i="35"/>
  <c r="C100" i="35"/>
  <c r="C7" i="35" s="1"/>
  <c r="V7" i="35"/>
  <c r="U108" i="35"/>
  <c r="AM24" i="35"/>
  <c r="AE100" i="35"/>
  <c r="AE7" i="35" s="1"/>
  <c r="O100" i="35"/>
  <c r="O7" i="35" s="1"/>
  <c r="BH24" i="35"/>
  <c r="BD24" i="35"/>
  <c r="B256" i="35"/>
  <c r="AQ24" i="35"/>
  <c r="AA107" i="34"/>
  <c r="AA108" i="34" s="1"/>
  <c r="AA97" i="34"/>
  <c r="AA99" i="34" s="1"/>
  <c r="AA100" i="34" s="1"/>
  <c r="AT8" i="35" l="1"/>
  <c r="K6" i="35"/>
  <c r="AI108" i="35"/>
  <c r="AH108" i="35"/>
  <c r="AH99" i="35"/>
  <c r="B100" i="35"/>
  <c r="AI99" i="35"/>
  <c r="AT9" i="35"/>
  <c r="G251" i="35"/>
  <c r="F118" i="35"/>
  <c r="F252" i="35"/>
  <c r="I246" i="35"/>
  <c r="H251" i="35" l="1"/>
  <c r="G252" i="35"/>
  <c r="G118" i="35"/>
  <c r="AI100" i="35"/>
  <c r="AH100" i="35"/>
  <c r="B7" i="35"/>
  <c r="A7" i="35" s="1"/>
  <c r="J246" i="35"/>
  <c r="K246" i="35" l="1"/>
  <c r="I251" i="35"/>
  <c r="H118" i="35"/>
  <c r="H252" i="35"/>
  <c r="J251" i="35" l="1"/>
  <c r="I252" i="35"/>
  <c r="I118" i="35"/>
  <c r="L246" i="35"/>
  <c r="M246" i="35" l="1"/>
  <c r="K251" i="35"/>
  <c r="J252" i="35"/>
  <c r="J118" i="35"/>
  <c r="N246" i="35" l="1"/>
  <c r="L251" i="35"/>
  <c r="K252" i="35"/>
  <c r="K118" i="35"/>
  <c r="M251" i="35" l="1"/>
  <c r="L252" i="35"/>
  <c r="L118" i="35"/>
  <c r="O246" i="35"/>
  <c r="P246" i="35" l="1"/>
  <c r="N251" i="35"/>
  <c r="M118" i="35"/>
  <c r="M252" i="35"/>
  <c r="O251" i="35" l="1"/>
  <c r="N252" i="35"/>
  <c r="N118" i="35"/>
  <c r="Q246" i="35"/>
  <c r="R246" i="35" l="1"/>
  <c r="P251" i="35"/>
  <c r="O118" i="35"/>
  <c r="O252" i="35"/>
  <c r="Q251" i="35" l="1"/>
  <c r="P252" i="35"/>
  <c r="S246" i="35"/>
  <c r="T246" i="35" l="1"/>
  <c r="R251" i="35"/>
  <c r="Q252" i="35"/>
  <c r="Q118" i="35"/>
  <c r="S251" i="35" l="1"/>
  <c r="R252" i="35"/>
  <c r="R118" i="35"/>
  <c r="U246" i="35"/>
  <c r="V246" i="35" l="1"/>
  <c r="T251" i="35"/>
  <c r="S252" i="35"/>
  <c r="S118" i="35"/>
  <c r="U251" i="35" l="1"/>
  <c r="T252" i="35"/>
  <c r="T118" i="35"/>
  <c r="W246" i="35"/>
  <c r="X246" i="35" l="1"/>
  <c r="V251" i="35"/>
  <c r="U118" i="35"/>
  <c r="U252" i="35"/>
  <c r="W251" i="35" l="1"/>
  <c r="V252" i="35"/>
  <c r="Y246" i="35"/>
  <c r="Z246" i="35" l="1"/>
  <c r="X251" i="35"/>
  <c r="W252" i="35"/>
  <c r="AA246" i="35" l="1"/>
  <c r="Y251" i="35"/>
  <c r="X252" i="35"/>
  <c r="AB246" i="35" l="1"/>
  <c r="Z251" i="35"/>
  <c r="Y252" i="35"/>
  <c r="AA251" i="35" l="1"/>
  <c r="Z252" i="35"/>
  <c r="AC246" i="35"/>
  <c r="AD246" i="35" l="1"/>
  <c r="AB251" i="35"/>
  <c r="AA252" i="35"/>
  <c r="AC251" i="35" l="1"/>
  <c r="AB118" i="35"/>
  <c r="AB252" i="35"/>
  <c r="AE246" i="35"/>
  <c r="AF246" i="35" l="1"/>
  <c r="AD251" i="35"/>
  <c r="AC118" i="35"/>
  <c r="AC252" i="35"/>
  <c r="AE251" i="35" l="1"/>
  <c r="AD252" i="35"/>
  <c r="AD118" i="35"/>
  <c r="B246" i="35"/>
  <c r="AF251" i="35" l="1"/>
  <c r="AE252" i="35"/>
  <c r="AE118" i="35"/>
  <c r="B251" i="35" l="1"/>
  <c r="AF252" i="35"/>
  <c r="AF118" i="35"/>
  <c r="B252" i="35" l="1"/>
  <c r="B118" i="35"/>
  <c r="AI118" i="35" l="1"/>
  <c r="AH118" i="35"/>
  <c r="Z118" i="34" l="1"/>
  <c r="Z105" i="34"/>
  <c r="Z104" i="34"/>
  <c r="Z103" i="34"/>
  <c r="Z102" i="34"/>
  <c r="Z101" i="34"/>
  <c r="Z107" i="34" s="1"/>
  <c r="Z92" i="34"/>
  <c r="Z80" i="34"/>
  <c r="Z76" i="34"/>
  <c r="Z62" i="34"/>
  <c r="Z58" i="34"/>
  <c r="Z97" i="34" s="1"/>
  <c r="Z99" i="34" s="1"/>
  <c r="Y58" i="34"/>
  <c r="Y62" i="34"/>
  <c r="Y76" i="34"/>
  <c r="Y80" i="34"/>
  <c r="Y92" i="34"/>
  <c r="Y101" i="34"/>
  <c r="Y102" i="34"/>
  <c r="Y103" i="34"/>
  <c r="Y104" i="34"/>
  <c r="Y105" i="34"/>
  <c r="Y118" i="34"/>
  <c r="X118" i="34"/>
  <c r="X105" i="34"/>
  <c r="X104" i="34"/>
  <c r="X103" i="34"/>
  <c r="X102" i="34"/>
  <c r="X101" i="34"/>
  <c r="X92" i="34"/>
  <c r="X80" i="34"/>
  <c r="X76" i="34"/>
  <c r="X62" i="34"/>
  <c r="X58" i="34"/>
  <c r="C94" i="34"/>
  <c r="D94" i="34"/>
  <c r="E94" i="34"/>
  <c r="F94" i="34"/>
  <c r="G94" i="34"/>
  <c r="H94" i="34"/>
  <c r="I94" i="34"/>
  <c r="J94" i="34"/>
  <c r="K94" i="34"/>
  <c r="L94" i="34"/>
  <c r="B94" i="34"/>
  <c r="T57" i="34"/>
  <c r="T58" i="34"/>
  <c r="T62" i="34"/>
  <c r="T76" i="34"/>
  <c r="T80" i="34"/>
  <c r="T92" i="34"/>
  <c r="T101" i="34"/>
  <c r="T102" i="34"/>
  <c r="T103" i="34"/>
  <c r="T104" i="34"/>
  <c r="T105" i="34"/>
  <c r="T118" i="34"/>
  <c r="Z108" i="34" l="1"/>
  <c r="Z100" i="34"/>
  <c r="Y97" i="34"/>
  <c r="Y99" i="34" s="1"/>
  <c r="Y107" i="34"/>
  <c r="X107" i="34"/>
  <c r="X108" i="34" s="1"/>
  <c r="X97" i="34"/>
  <c r="X99" i="34" s="1"/>
  <c r="X100" i="34" s="1"/>
  <c r="T97" i="34"/>
  <c r="T99" i="34" s="1"/>
  <c r="T107" i="34"/>
  <c r="T108" i="34"/>
  <c r="S57" i="34"/>
  <c r="S58" i="34"/>
  <c r="S62" i="34"/>
  <c r="S76" i="34"/>
  <c r="S80" i="34"/>
  <c r="S92" i="34"/>
  <c r="S101" i="34"/>
  <c r="S102" i="34"/>
  <c r="S103" i="34"/>
  <c r="S104" i="34"/>
  <c r="S105" i="34"/>
  <c r="S118" i="34"/>
  <c r="Q121" i="34"/>
  <c r="Q57" i="34"/>
  <c r="R57" i="34"/>
  <c r="P121" i="34"/>
  <c r="P57" i="34"/>
  <c r="P58" i="34"/>
  <c r="P62" i="34"/>
  <c r="P76" i="34"/>
  <c r="P80" i="34"/>
  <c r="P92" i="34"/>
  <c r="P101" i="34"/>
  <c r="P102" i="34"/>
  <c r="P103" i="34"/>
  <c r="P104" i="34"/>
  <c r="P105" i="34"/>
  <c r="P118" i="34"/>
  <c r="Y100" i="34" l="1"/>
  <c r="Y108" i="34"/>
  <c r="T100" i="34"/>
  <c r="S107" i="34"/>
  <c r="S108" i="34" s="1"/>
  <c r="S97" i="34"/>
  <c r="S99" i="34" s="1"/>
  <c r="P107" i="34"/>
  <c r="P108" i="34" s="1"/>
  <c r="P97" i="34"/>
  <c r="P99" i="34" s="1"/>
  <c r="S100" i="34" l="1"/>
  <c r="P100" i="34"/>
  <c r="N121" i="34" l="1"/>
  <c r="M121" i="34"/>
  <c r="AH125" i="34"/>
  <c r="AI125" i="34"/>
  <c r="AH124" i="34"/>
  <c r="AI124" i="34"/>
  <c r="D58" i="34"/>
  <c r="D62" i="34"/>
  <c r="AO17" i="34" s="1"/>
  <c r="D76" i="34"/>
  <c r="AO18" i="34" s="1"/>
  <c r="D80" i="34"/>
  <c r="AO20" i="34" s="1"/>
  <c r="D92" i="34"/>
  <c r="D108" i="34" s="1"/>
  <c r="D101" i="34"/>
  <c r="D102" i="34"/>
  <c r="D103" i="34"/>
  <c r="D104" i="34"/>
  <c r="D105" i="34"/>
  <c r="D118" i="34"/>
  <c r="C58" i="34"/>
  <c r="C62" i="34"/>
  <c r="C76" i="34"/>
  <c r="AN18" i="34" s="1"/>
  <c r="C80" i="34"/>
  <c r="C92" i="34"/>
  <c r="AN19" i="34" s="1"/>
  <c r="C101" i="34"/>
  <c r="C102" i="34"/>
  <c r="C103" i="34"/>
  <c r="C104" i="34"/>
  <c r="C105" i="34"/>
  <c r="C118" i="34"/>
  <c r="B118" i="34"/>
  <c r="B105" i="34"/>
  <c r="B104" i="34"/>
  <c r="B103" i="34"/>
  <c r="B102" i="34"/>
  <c r="B101" i="34"/>
  <c r="B92" i="34"/>
  <c r="B80" i="34"/>
  <c r="B76" i="34"/>
  <c r="B62" i="34"/>
  <c r="B58" i="34"/>
  <c r="AG252" i="34"/>
  <c r="C252" i="34"/>
  <c r="L251" i="34"/>
  <c r="M251" i="34" s="1"/>
  <c r="N251" i="34" s="1"/>
  <c r="O251" i="34" s="1"/>
  <c r="P251" i="34" s="1"/>
  <c r="Q251" i="34" s="1"/>
  <c r="R251" i="34" s="1"/>
  <c r="S251" i="34" s="1"/>
  <c r="T251" i="34" s="1"/>
  <c r="U251" i="34" s="1"/>
  <c r="V251" i="34" s="1"/>
  <c r="W251" i="34" s="1"/>
  <c r="X251" i="34" s="1"/>
  <c r="Y251" i="34" s="1"/>
  <c r="Z251" i="34" s="1"/>
  <c r="AA251" i="34" s="1"/>
  <c r="AB251" i="34" s="1"/>
  <c r="AC251" i="34" s="1"/>
  <c r="AD251" i="34" s="1"/>
  <c r="AE251" i="34" s="1"/>
  <c r="AF251" i="34" s="1"/>
  <c r="B251" i="34" s="1"/>
  <c r="D251" i="34"/>
  <c r="E251" i="34" s="1"/>
  <c r="F251" i="34" s="1"/>
  <c r="G251" i="34" s="1"/>
  <c r="H251" i="34" s="1"/>
  <c r="I251" i="34" s="1"/>
  <c r="J251" i="34" s="1"/>
  <c r="K251" i="34" s="1"/>
  <c r="R250" i="34"/>
  <c r="S250" i="34" s="1"/>
  <c r="T250" i="34" s="1"/>
  <c r="U250" i="34" s="1"/>
  <c r="V250" i="34" s="1"/>
  <c r="W250" i="34" s="1"/>
  <c r="X250" i="34" s="1"/>
  <c r="Y250" i="34" s="1"/>
  <c r="Z250" i="34" s="1"/>
  <c r="AA250" i="34" s="1"/>
  <c r="AB250" i="34" s="1"/>
  <c r="AC250" i="34" s="1"/>
  <c r="AD250" i="34" s="1"/>
  <c r="AE250" i="34" s="1"/>
  <c r="AF250" i="34" s="1"/>
  <c r="B250" i="34" s="1"/>
  <c r="J250" i="34"/>
  <c r="K250" i="34" s="1"/>
  <c r="L250" i="34" s="1"/>
  <c r="M250" i="34" s="1"/>
  <c r="N250" i="34" s="1"/>
  <c r="O250" i="34" s="1"/>
  <c r="P250" i="34" s="1"/>
  <c r="Q250" i="34" s="1"/>
  <c r="D250" i="34"/>
  <c r="E250" i="34" s="1"/>
  <c r="F250" i="34" s="1"/>
  <c r="G250" i="34" s="1"/>
  <c r="H250" i="34" s="1"/>
  <c r="I250" i="34" s="1"/>
  <c r="D249" i="34"/>
  <c r="E249" i="34" s="1"/>
  <c r="F249" i="34" s="1"/>
  <c r="G249" i="34" s="1"/>
  <c r="H249" i="34" s="1"/>
  <c r="I249" i="34" s="1"/>
  <c r="J249" i="34" s="1"/>
  <c r="K249" i="34" s="1"/>
  <c r="L249" i="34" s="1"/>
  <c r="M249" i="34" s="1"/>
  <c r="N249" i="34" s="1"/>
  <c r="O249" i="34" s="1"/>
  <c r="P249" i="34" s="1"/>
  <c r="Q249" i="34" s="1"/>
  <c r="R249" i="34" s="1"/>
  <c r="S249" i="34" s="1"/>
  <c r="T249" i="34" s="1"/>
  <c r="U249" i="34" s="1"/>
  <c r="V249" i="34" s="1"/>
  <c r="W249" i="34" s="1"/>
  <c r="X249" i="34" s="1"/>
  <c r="Y249" i="34" s="1"/>
  <c r="Z249" i="34" s="1"/>
  <c r="AA249" i="34" s="1"/>
  <c r="AB249" i="34" s="1"/>
  <c r="AC249" i="34" s="1"/>
  <c r="AD249" i="34" s="1"/>
  <c r="AE249" i="34" s="1"/>
  <c r="AF249" i="34" s="1"/>
  <c r="B249" i="34" s="1"/>
  <c r="L248" i="34"/>
  <c r="M248" i="34" s="1"/>
  <c r="N248" i="34" s="1"/>
  <c r="O248" i="34" s="1"/>
  <c r="P248" i="34" s="1"/>
  <c r="Q248" i="34" s="1"/>
  <c r="R248" i="34" s="1"/>
  <c r="S248" i="34" s="1"/>
  <c r="T248" i="34" s="1"/>
  <c r="U248" i="34" s="1"/>
  <c r="V248" i="34" s="1"/>
  <c r="W248" i="34" s="1"/>
  <c r="X248" i="34" s="1"/>
  <c r="Y248" i="34" s="1"/>
  <c r="Z248" i="34" s="1"/>
  <c r="AA248" i="34" s="1"/>
  <c r="AB248" i="34" s="1"/>
  <c r="AC248" i="34" s="1"/>
  <c r="AD248" i="34" s="1"/>
  <c r="AE248" i="34" s="1"/>
  <c r="AF248" i="34" s="1"/>
  <c r="B248" i="34" s="1"/>
  <c r="H248" i="34"/>
  <c r="I248" i="34" s="1"/>
  <c r="J248" i="34" s="1"/>
  <c r="K248" i="34" s="1"/>
  <c r="D248" i="34"/>
  <c r="E248" i="34" s="1"/>
  <c r="F248" i="34" s="1"/>
  <c r="G248" i="34" s="1"/>
  <c r="F247" i="34"/>
  <c r="G247" i="34" s="1"/>
  <c r="H247" i="34" s="1"/>
  <c r="I247" i="34" s="1"/>
  <c r="J247" i="34" s="1"/>
  <c r="K247" i="34" s="1"/>
  <c r="L247" i="34" s="1"/>
  <c r="M247" i="34" s="1"/>
  <c r="N247" i="34" s="1"/>
  <c r="O247" i="34" s="1"/>
  <c r="P247" i="34" s="1"/>
  <c r="Q247" i="34" s="1"/>
  <c r="R247" i="34" s="1"/>
  <c r="S247" i="34" s="1"/>
  <c r="T247" i="34" s="1"/>
  <c r="U247" i="34" s="1"/>
  <c r="V247" i="34" s="1"/>
  <c r="W247" i="34" s="1"/>
  <c r="X247" i="34" s="1"/>
  <c r="Y247" i="34" s="1"/>
  <c r="Z247" i="34" s="1"/>
  <c r="AA247" i="34" s="1"/>
  <c r="AB247" i="34" s="1"/>
  <c r="AC247" i="34" s="1"/>
  <c r="AD247" i="34" s="1"/>
  <c r="AE247" i="34" s="1"/>
  <c r="AF247" i="34" s="1"/>
  <c r="B247" i="34" s="1"/>
  <c r="D247" i="34"/>
  <c r="E247" i="34" s="1"/>
  <c r="D246" i="34"/>
  <c r="AG244" i="34"/>
  <c r="AF244" i="34"/>
  <c r="AE244" i="34"/>
  <c r="AD244" i="34"/>
  <c r="AC244" i="34"/>
  <c r="AB244" i="34"/>
  <c r="AA244" i="34"/>
  <c r="Z244" i="34"/>
  <c r="Y244" i="34"/>
  <c r="X244" i="34"/>
  <c r="W244" i="34"/>
  <c r="V244" i="34"/>
  <c r="U244" i="34"/>
  <c r="T244" i="34"/>
  <c r="S244" i="34"/>
  <c r="R244" i="34"/>
  <c r="Q244" i="34"/>
  <c r="P244" i="34"/>
  <c r="O244" i="34"/>
  <c r="N244" i="34"/>
  <c r="M244" i="34"/>
  <c r="L244" i="34"/>
  <c r="K244" i="34"/>
  <c r="J244" i="34"/>
  <c r="I244" i="34"/>
  <c r="H244" i="34"/>
  <c r="G244" i="34"/>
  <c r="F244" i="34"/>
  <c r="E244" i="34"/>
  <c r="D244" i="34"/>
  <c r="C244" i="34"/>
  <c r="B244" i="34"/>
  <c r="AI130" i="34"/>
  <c r="AH130" i="34"/>
  <c r="AI129" i="34"/>
  <c r="AH129" i="34"/>
  <c r="AI128" i="34"/>
  <c r="AH128" i="34"/>
  <c r="AI127" i="34"/>
  <c r="AH127" i="34"/>
  <c r="AI126" i="34"/>
  <c r="AH126" i="34"/>
  <c r="AI123" i="34"/>
  <c r="AH123" i="34"/>
  <c r="AI122" i="34"/>
  <c r="AH122" i="34"/>
  <c r="AI121" i="34"/>
  <c r="AH121" i="34"/>
  <c r="AI120" i="34"/>
  <c r="AH120" i="34"/>
  <c r="AI119" i="34"/>
  <c r="AH119" i="34"/>
  <c r="AI117" i="34"/>
  <c r="AH117" i="34"/>
  <c r="AI116" i="34"/>
  <c r="AH116" i="34"/>
  <c r="AI115" i="34"/>
  <c r="AH115" i="34"/>
  <c r="AI114" i="34"/>
  <c r="AH114" i="34"/>
  <c r="AI113" i="34"/>
  <c r="AH113" i="34"/>
  <c r="AI112" i="34"/>
  <c r="AH112" i="34"/>
  <c r="AI111" i="34"/>
  <c r="AH111" i="34"/>
  <c r="AI110" i="34"/>
  <c r="AH110" i="34"/>
  <c r="AI109" i="34"/>
  <c r="AH109" i="34"/>
  <c r="W107" i="34"/>
  <c r="AI106" i="34"/>
  <c r="AH106" i="34"/>
  <c r="AF105" i="34"/>
  <c r="AE105" i="34"/>
  <c r="AD105" i="34"/>
  <c r="AC105" i="34"/>
  <c r="AB105" i="34"/>
  <c r="W105" i="34"/>
  <c r="U105" i="34"/>
  <c r="R105" i="34"/>
  <c r="Q105" i="34"/>
  <c r="O105" i="34"/>
  <c r="N105" i="34"/>
  <c r="M105" i="34"/>
  <c r="L105" i="34"/>
  <c r="K105" i="34"/>
  <c r="J105" i="34"/>
  <c r="I105" i="34"/>
  <c r="H105" i="34"/>
  <c r="G105" i="34"/>
  <c r="F105" i="34"/>
  <c r="E105" i="34"/>
  <c r="AF104" i="34"/>
  <c r="AE104" i="34"/>
  <c r="AD104" i="34"/>
  <c r="AC104" i="34"/>
  <c r="AB104" i="34"/>
  <c r="W104" i="34"/>
  <c r="U104" i="34"/>
  <c r="R104" i="34"/>
  <c r="Q104" i="34"/>
  <c r="O104" i="34"/>
  <c r="N104" i="34"/>
  <c r="M104" i="34"/>
  <c r="L104" i="34"/>
  <c r="K104" i="34"/>
  <c r="J104" i="34"/>
  <c r="I104" i="34"/>
  <c r="H104" i="34"/>
  <c r="G104" i="34"/>
  <c r="F104" i="34"/>
  <c r="E104" i="34"/>
  <c r="AF103" i="34"/>
  <c r="AE103" i="34"/>
  <c r="AD103" i="34"/>
  <c r="AC103" i="34"/>
  <c r="AB103" i="34"/>
  <c r="W103" i="34"/>
  <c r="U103" i="34"/>
  <c r="R103" i="34"/>
  <c r="Q103" i="34"/>
  <c r="O103" i="34"/>
  <c r="N103" i="34"/>
  <c r="M103" i="34"/>
  <c r="L103" i="34"/>
  <c r="K103" i="34"/>
  <c r="J103" i="34"/>
  <c r="I103" i="34"/>
  <c r="H103" i="34"/>
  <c r="G103" i="34"/>
  <c r="F103" i="34"/>
  <c r="E103" i="34"/>
  <c r="AF102" i="34"/>
  <c r="AE102" i="34"/>
  <c r="AD102" i="34"/>
  <c r="AC102" i="34"/>
  <c r="AB102" i="34"/>
  <c r="W102" i="34"/>
  <c r="U102" i="34"/>
  <c r="R102" i="34"/>
  <c r="Q102" i="34"/>
  <c r="Q107" i="34" s="1"/>
  <c r="O102" i="34"/>
  <c r="N102" i="34"/>
  <c r="M102" i="34"/>
  <c r="L102" i="34"/>
  <c r="K102" i="34"/>
  <c r="J102" i="34"/>
  <c r="I102" i="34"/>
  <c r="H102" i="34"/>
  <c r="G102" i="34"/>
  <c r="F102" i="34"/>
  <c r="E102" i="34"/>
  <c r="AF101" i="34"/>
  <c r="AE101" i="34"/>
  <c r="AD101" i="34"/>
  <c r="AC101" i="34"/>
  <c r="AB101" i="34"/>
  <c r="W101" i="34"/>
  <c r="U101" i="34"/>
  <c r="BB23" i="34"/>
  <c r="R101" i="34"/>
  <c r="Q101" i="34"/>
  <c r="O101" i="34"/>
  <c r="N101" i="34"/>
  <c r="M101" i="34"/>
  <c r="L101" i="34"/>
  <c r="K101" i="34"/>
  <c r="J101" i="34"/>
  <c r="I101" i="34"/>
  <c r="H101" i="34"/>
  <c r="G101" i="34"/>
  <c r="F101" i="34"/>
  <c r="E101" i="34"/>
  <c r="AO23" i="34"/>
  <c r="AI98" i="34"/>
  <c r="AH98" i="34"/>
  <c r="AA7" i="34"/>
  <c r="Y7" i="34"/>
  <c r="AI96" i="34"/>
  <c r="AH96" i="34"/>
  <c r="AG96" i="34"/>
  <c r="AI95" i="34"/>
  <c r="AH95" i="34"/>
  <c r="AI94" i="34"/>
  <c r="AH94" i="34"/>
  <c r="AI93" i="34"/>
  <c r="AH93" i="34"/>
  <c r="AG92" i="34"/>
  <c r="AF92" i="34"/>
  <c r="AE5" i="34" s="1"/>
  <c r="AE92" i="34"/>
  <c r="BI19" i="34" s="1"/>
  <c r="AD92" i="34"/>
  <c r="AC5" i="34" s="1"/>
  <c r="AC92" i="34"/>
  <c r="AB5" i="34" s="1"/>
  <c r="AB92" i="34"/>
  <c r="AA5" i="34" s="1"/>
  <c r="BF19" i="34"/>
  <c r="W92" i="34"/>
  <c r="U92" i="34"/>
  <c r="S5" i="34"/>
  <c r="R92" i="34"/>
  <c r="AZ19" i="34" s="1"/>
  <c r="Q92" i="34"/>
  <c r="Q108" i="34" s="1"/>
  <c r="O92" i="34"/>
  <c r="N5" i="34" s="1"/>
  <c r="N92" i="34"/>
  <c r="AV19" i="34" s="1"/>
  <c r="M92" i="34"/>
  <c r="L5" i="34" s="1"/>
  <c r="L92" i="34"/>
  <c r="K5" i="34" s="1"/>
  <c r="K92" i="34"/>
  <c r="J5" i="34" s="1"/>
  <c r="J92" i="34"/>
  <c r="I92" i="34"/>
  <c r="H92" i="34"/>
  <c r="G5" i="34" s="1"/>
  <c r="G92" i="34"/>
  <c r="F92" i="34"/>
  <c r="AQ19" i="34" s="1"/>
  <c r="E92" i="34"/>
  <c r="D5" i="34" s="1"/>
  <c r="AI91" i="34"/>
  <c r="AH91" i="34"/>
  <c r="AI90" i="34"/>
  <c r="AH90" i="34"/>
  <c r="AI89" i="34"/>
  <c r="AH89" i="34"/>
  <c r="AI88" i="34"/>
  <c r="AH88" i="34"/>
  <c r="AI87" i="34"/>
  <c r="AH87" i="34"/>
  <c r="AI86" i="34"/>
  <c r="AH86" i="34"/>
  <c r="AI85" i="34"/>
  <c r="AH85" i="34"/>
  <c r="AI84" i="34"/>
  <c r="AH84" i="34"/>
  <c r="AI83" i="34"/>
  <c r="AH83" i="34"/>
  <c r="AI82" i="34"/>
  <c r="AH82" i="34"/>
  <c r="AI81" i="34"/>
  <c r="AH81" i="34"/>
  <c r="BA80" i="34"/>
  <c r="AG80" i="34"/>
  <c r="BF20" i="34"/>
  <c r="W80" i="34"/>
  <c r="U80" i="34"/>
  <c r="R80" i="34"/>
  <c r="Q80" i="34"/>
  <c r="O80" i="34"/>
  <c r="N80" i="34"/>
  <c r="M80" i="34"/>
  <c r="AU20" i="34" s="1"/>
  <c r="L80" i="34"/>
  <c r="K80" i="34"/>
  <c r="J80" i="34"/>
  <c r="I80" i="34"/>
  <c r="AS20" i="34" s="1"/>
  <c r="H80" i="34"/>
  <c r="G80" i="34"/>
  <c r="AR20" i="34" s="1"/>
  <c r="F80" i="34"/>
  <c r="AQ20" i="34" s="1"/>
  <c r="E80" i="34"/>
  <c r="AP20" i="34" s="1"/>
  <c r="AN20" i="34"/>
  <c r="BI79" i="34"/>
  <c r="BC79" i="34"/>
  <c r="AI79" i="34"/>
  <c r="AH79" i="34"/>
  <c r="AI78" i="34"/>
  <c r="AH78" i="34"/>
  <c r="BT77" i="34"/>
  <c r="BO77" i="34"/>
  <c r="AI77" i="34"/>
  <c r="AH77" i="34"/>
  <c r="BW76" i="34"/>
  <c r="BO76" i="34"/>
  <c r="AF76" i="34"/>
  <c r="BJ18" i="34" s="1"/>
  <c r="AE76" i="34"/>
  <c r="AD76" i="34"/>
  <c r="AC76" i="34"/>
  <c r="AB76" i="34"/>
  <c r="BE18" i="34"/>
  <c r="W76" i="34"/>
  <c r="U76" i="34"/>
  <c r="R76" i="34"/>
  <c r="AZ18" i="34" s="1"/>
  <c r="Q76" i="34"/>
  <c r="AX18" i="34"/>
  <c r="O76" i="34"/>
  <c r="AW18" i="34" s="1"/>
  <c r="N76" i="34"/>
  <c r="AV18" i="34" s="1"/>
  <c r="M76" i="34"/>
  <c r="AU18" i="34" s="1"/>
  <c r="L76" i="34"/>
  <c r="K76" i="34"/>
  <c r="AT18" i="34" s="1"/>
  <c r="J76" i="34"/>
  <c r="I76" i="34"/>
  <c r="AS18" i="34" s="1"/>
  <c r="H76" i="34"/>
  <c r="G76" i="34"/>
  <c r="AR18" i="34" s="1"/>
  <c r="F76" i="34"/>
  <c r="AQ18" i="34" s="1"/>
  <c r="E76" i="34"/>
  <c r="AP18" i="34" s="1"/>
  <c r="BV75" i="34"/>
  <c r="AZ75" i="34"/>
  <c r="AI75" i="34"/>
  <c r="AH75" i="34"/>
  <c r="AG75" i="34"/>
  <c r="AG76" i="34" s="1"/>
  <c r="AG3" i="34" s="1"/>
  <c r="AI74" i="34"/>
  <c r="AH74" i="34"/>
  <c r="BW73" i="34"/>
  <c r="BW80" i="34" s="1"/>
  <c r="BV73" i="34"/>
  <c r="BV80" i="34" s="1"/>
  <c r="BU73" i="34"/>
  <c r="BU80" i="34" s="1"/>
  <c r="BT73" i="34"/>
  <c r="BT80" i="34" s="1"/>
  <c r="BS73" i="34"/>
  <c r="BS80" i="34" s="1"/>
  <c r="BR73" i="34"/>
  <c r="BR80" i="34" s="1"/>
  <c r="BQ73" i="34"/>
  <c r="BQ80" i="34" s="1"/>
  <c r="BP73" i="34"/>
  <c r="BP80" i="34" s="1"/>
  <c r="BO73" i="34"/>
  <c r="BO80" i="34" s="1"/>
  <c r="BN73" i="34"/>
  <c r="BN80" i="34" s="1"/>
  <c r="BM73" i="34"/>
  <c r="BM80" i="34" s="1"/>
  <c r="BL73" i="34"/>
  <c r="BL80" i="34" s="1"/>
  <c r="BK73" i="34"/>
  <c r="BK80" i="34" s="1"/>
  <c r="BJ73" i="34"/>
  <c r="BJ80" i="34" s="1"/>
  <c r="BI73" i="34"/>
  <c r="BI80" i="34" s="1"/>
  <c r="BH73" i="34"/>
  <c r="BH80" i="34" s="1"/>
  <c r="BG73" i="34"/>
  <c r="BG80" i="34" s="1"/>
  <c r="BF73" i="34"/>
  <c r="BF80" i="34" s="1"/>
  <c r="BE73" i="34"/>
  <c r="BE80" i="34" s="1"/>
  <c r="BD73" i="34"/>
  <c r="BD80" i="34" s="1"/>
  <c r="BC73" i="34"/>
  <c r="BC80" i="34" s="1"/>
  <c r="BB73" i="34"/>
  <c r="BB80" i="34" s="1"/>
  <c r="BA73" i="34"/>
  <c r="AZ73" i="34"/>
  <c r="AZ80" i="34" s="1"/>
  <c r="AI73" i="34"/>
  <c r="AH73" i="34"/>
  <c r="BW72" i="34"/>
  <c r="BW79" i="34" s="1"/>
  <c r="BV72" i="34"/>
  <c r="BV79" i="34" s="1"/>
  <c r="BU72" i="34"/>
  <c r="BU79" i="34" s="1"/>
  <c r="BT72" i="34"/>
  <c r="BT79" i="34" s="1"/>
  <c r="BS72" i="34"/>
  <c r="BS79" i="34" s="1"/>
  <c r="BR72" i="34"/>
  <c r="BR79" i="34" s="1"/>
  <c r="BQ72" i="34"/>
  <c r="BQ79" i="34" s="1"/>
  <c r="BP72" i="34"/>
  <c r="BP79" i="34" s="1"/>
  <c r="BO72" i="34"/>
  <c r="BO79" i="34" s="1"/>
  <c r="BN72" i="34"/>
  <c r="BN79" i="34" s="1"/>
  <c r="BM72" i="34"/>
  <c r="BM79" i="34" s="1"/>
  <c r="BL72" i="34"/>
  <c r="BL79" i="34" s="1"/>
  <c r="BK72" i="34"/>
  <c r="BK79" i="34" s="1"/>
  <c r="BJ72" i="34"/>
  <c r="BJ79" i="34" s="1"/>
  <c r="BI72" i="34"/>
  <c r="BH72" i="34"/>
  <c r="BH79" i="34" s="1"/>
  <c r="BG72" i="34"/>
  <c r="BG79" i="34" s="1"/>
  <c r="BF72" i="34"/>
  <c r="BF79" i="34" s="1"/>
  <c r="BE72" i="34"/>
  <c r="BE79" i="34" s="1"/>
  <c r="BD72" i="34"/>
  <c r="BD79" i="34" s="1"/>
  <c r="BC72" i="34"/>
  <c r="BB72" i="34"/>
  <c r="BB79" i="34" s="1"/>
  <c r="BA72" i="34"/>
  <c r="BA79" i="34" s="1"/>
  <c r="AZ72" i="34"/>
  <c r="AZ79" i="34" s="1"/>
  <c r="AI72" i="34"/>
  <c r="AH72" i="34"/>
  <c r="BW71" i="34"/>
  <c r="BW78" i="34" s="1"/>
  <c r="BV71" i="34"/>
  <c r="BV78" i="34" s="1"/>
  <c r="BU71" i="34"/>
  <c r="BU78" i="34" s="1"/>
  <c r="BT71" i="34"/>
  <c r="BT78" i="34" s="1"/>
  <c r="BS71" i="34"/>
  <c r="BS78" i="34" s="1"/>
  <c r="BR71" i="34"/>
  <c r="BR78" i="34" s="1"/>
  <c r="BQ71" i="34"/>
  <c r="BQ78" i="34" s="1"/>
  <c r="BP71" i="34"/>
  <c r="BP78" i="34" s="1"/>
  <c r="BO71" i="34"/>
  <c r="BO78" i="34" s="1"/>
  <c r="BN71" i="34"/>
  <c r="BN78" i="34" s="1"/>
  <c r="BM71" i="34"/>
  <c r="BM78" i="34" s="1"/>
  <c r="BL71" i="34"/>
  <c r="BL78" i="34" s="1"/>
  <c r="BK71" i="34"/>
  <c r="BK78" i="34" s="1"/>
  <c r="BJ71" i="34"/>
  <c r="BJ78" i="34" s="1"/>
  <c r="BI71" i="34"/>
  <c r="BI78" i="34" s="1"/>
  <c r="BH71" i="34"/>
  <c r="BH78" i="34" s="1"/>
  <c r="BG71" i="34"/>
  <c r="BG78" i="34" s="1"/>
  <c r="BF71" i="34"/>
  <c r="BF78" i="34" s="1"/>
  <c r="BE71" i="34"/>
  <c r="BE78" i="34" s="1"/>
  <c r="BD71" i="34"/>
  <c r="BD78" i="34" s="1"/>
  <c r="BC71" i="34"/>
  <c r="BC78" i="34" s="1"/>
  <c r="BB71" i="34"/>
  <c r="BB78" i="34" s="1"/>
  <c r="BA71" i="34"/>
  <c r="BA78" i="34" s="1"/>
  <c r="AZ71" i="34"/>
  <c r="AZ78" i="34" s="1"/>
  <c r="AI71" i="34"/>
  <c r="AH71" i="34"/>
  <c r="BW70" i="34"/>
  <c r="BW77" i="34" s="1"/>
  <c r="BV70" i="34"/>
  <c r="BV77" i="34" s="1"/>
  <c r="BU70" i="34"/>
  <c r="BU77" i="34" s="1"/>
  <c r="BT70" i="34"/>
  <c r="BS70" i="34"/>
  <c r="BS77" i="34" s="1"/>
  <c r="BR70" i="34"/>
  <c r="BR77" i="34" s="1"/>
  <c r="BQ70" i="34"/>
  <c r="BQ77" i="34" s="1"/>
  <c r="BP70" i="34"/>
  <c r="BP77" i="34" s="1"/>
  <c r="BO70" i="34"/>
  <c r="BN70" i="34"/>
  <c r="BN77" i="34" s="1"/>
  <c r="BM70" i="34"/>
  <c r="BM77" i="34" s="1"/>
  <c r="BL70" i="34"/>
  <c r="BL77" i="34" s="1"/>
  <c r="BK70" i="34"/>
  <c r="BK77" i="34" s="1"/>
  <c r="BJ70" i="34"/>
  <c r="BJ77" i="34" s="1"/>
  <c r="BI70" i="34"/>
  <c r="BI77" i="34" s="1"/>
  <c r="BH70" i="34"/>
  <c r="BH77" i="34" s="1"/>
  <c r="BG70" i="34"/>
  <c r="BG77" i="34" s="1"/>
  <c r="BF70" i="34"/>
  <c r="BF77" i="34" s="1"/>
  <c r="BE70" i="34"/>
  <c r="BE77" i="34" s="1"/>
  <c r="BD70" i="34"/>
  <c r="BD77" i="34" s="1"/>
  <c r="BC70" i="34"/>
  <c r="BC77" i="34" s="1"/>
  <c r="BB70" i="34"/>
  <c r="BB77" i="34" s="1"/>
  <c r="BA70" i="34"/>
  <c r="BA77" i="34" s="1"/>
  <c r="AZ70" i="34"/>
  <c r="AZ77" i="34" s="1"/>
  <c r="AI70" i="34"/>
  <c r="AH70" i="34"/>
  <c r="BW69" i="34"/>
  <c r="BV69" i="34"/>
  <c r="BV76" i="34" s="1"/>
  <c r="BU69" i="34"/>
  <c r="BU76" i="34" s="1"/>
  <c r="BT69" i="34"/>
  <c r="BT76" i="34" s="1"/>
  <c r="BS69" i="34"/>
  <c r="BS76" i="34" s="1"/>
  <c r="BR69" i="34"/>
  <c r="BR76" i="34" s="1"/>
  <c r="BQ69" i="34"/>
  <c r="BQ76" i="34" s="1"/>
  <c r="BP69" i="34"/>
  <c r="BP76" i="34" s="1"/>
  <c r="BO69" i="34"/>
  <c r="BN69" i="34"/>
  <c r="BN76" i="34" s="1"/>
  <c r="BM69" i="34"/>
  <c r="BM76" i="34" s="1"/>
  <c r="BL69" i="34"/>
  <c r="BL76" i="34" s="1"/>
  <c r="BK69" i="34"/>
  <c r="BK76" i="34" s="1"/>
  <c r="BJ69" i="34"/>
  <c r="BJ76" i="34" s="1"/>
  <c r="BI69" i="34"/>
  <c r="BI76" i="34" s="1"/>
  <c r="BH69" i="34"/>
  <c r="BH76" i="34" s="1"/>
  <c r="BG69" i="34"/>
  <c r="BG76" i="34" s="1"/>
  <c r="BF69" i="34"/>
  <c r="BF76" i="34" s="1"/>
  <c r="BE69" i="34"/>
  <c r="BE76" i="34" s="1"/>
  <c r="BD69" i="34"/>
  <c r="BD76" i="34" s="1"/>
  <c r="BC69" i="34"/>
  <c r="BC76" i="34" s="1"/>
  <c r="BB69" i="34"/>
  <c r="BB76" i="34" s="1"/>
  <c r="BA69" i="34"/>
  <c r="BA76" i="34" s="1"/>
  <c r="AZ69" i="34"/>
  <c r="AZ76" i="34" s="1"/>
  <c r="AI69" i="34"/>
  <c r="AH69" i="34"/>
  <c r="BW68" i="34"/>
  <c r="BW75" i="34" s="1"/>
  <c r="BV68" i="34"/>
  <c r="BU68" i="34"/>
  <c r="BU75" i="34" s="1"/>
  <c r="BT68" i="34"/>
  <c r="BT75" i="34" s="1"/>
  <c r="BS68" i="34"/>
  <c r="BS75" i="34" s="1"/>
  <c r="BR68" i="34"/>
  <c r="BR75" i="34" s="1"/>
  <c r="BQ68" i="34"/>
  <c r="BQ75" i="34" s="1"/>
  <c r="BP68" i="34"/>
  <c r="BP75" i="34" s="1"/>
  <c r="BO68" i="34"/>
  <c r="BO75" i="34" s="1"/>
  <c r="BN68" i="34"/>
  <c r="BN75" i="34" s="1"/>
  <c r="BM68" i="34"/>
  <c r="BM75" i="34" s="1"/>
  <c r="BL68" i="34"/>
  <c r="BL75" i="34" s="1"/>
  <c r="BK68" i="34"/>
  <c r="BK75" i="34" s="1"/>
  <c r="BJ68" i="34"/>
  <c r="BJ75" i="34" s="1"/>
  <c r="BI68" i="34"/>
  <c r="BI75" i="34" s="1"/>
  <c r="BH68" i="34"/>
  <c r="BH75" i="34" s="1"/>
  <c r="BG68" i="34"/>
  <c r="BG75" i="34" s="1"/>
  <c r="BF68" i="34"/>
  <c r="BF75" i="34" s="1"/>
  <c r="BE68" i="34"/>
  <c r="BE75" i="34" s="1"/>
  <c r="BD68" i="34"/>
  <c r="BD75" i="34" s="1"/>
  <c r="BC68" i="34"/>
  <c r="BC75" i="34" s="1"/>
  <c r="BB68" i="34"/>
  <c r="BB75" i="34" s="1"/>
  <c r="BA68" i="34"/>
  <c r="BA75" i="34" s="1"/>
  <c r="AZ68" i="34"/>
  <c r="AI68" i="34"/>
  <c r="AH68" i="34"/>
  <c r="AI67" i="34"/>
  <c r="AH67" i="34"/>
  <c r="AI66" i="34"/>
  <c r="AH66" i="34"/>
  <c r="AI65" i="34"/>
  <c r="AH65" i="34"/>
  <c r="AI64" i="34"/>
  <c r="AH64" i="34"/>
  <c r="AI63" i="34"/>
  <c r="AH63" i="34"/>
  <c r="AG62" i="34"/>
  <c r="AF62" i="34"/>
  <c r="BJ17" i="34" s="1"/>
  <c r="AE62" i="34"/>
  <c r="BI17" i="34" s="1"/>
  <c r="AD62" i="34"/>
  <c r="BH17" i="34" s="1"/>
  <c r="AC62" i="34"/>
  <c r="AB62" i="34"/>
  <c r="BG17" i="34" s="1"/>
  <c r="W62" i="34"/>
  <c r="BD17" i="34"/>
  <c r="U62" i="34"/>
  <c r="BB17" i="34"/>
  <c r="R62" i="34"/>
  <c r="Q62" i="34"/>
  <c r="O62" i="34"/>
  <c r="AW17" i="34" s="1"/>
  <c r="N62" i="34"/>
  <c r="AV17" i="34" s="1"/>
  <c r="M62" i="34"/>
  <c r="AU17" i="34" s="1"/>
  <c r="L62" i="34"/>
  <c r="K62" i="34"/>
  <c r="AT17" i="34" s="1"/>
  <c r="J62" i="34"/>
  <c r="I62" i="34"/>
  <c r="AS17" i="34" s="1"/>
  <c r="H62" i="34"/>
  <c r="G62" i="34"/>
  <c r="AR17" i="34" s="1"/>
  <c r="F62" i="34"/>
  <c r="E62" i="34"/>
  <c r="AI61" i="34"/>
  <c r="AH61" i="34"/>
  <c r="AI60" i="34"/>
  <c r="AH60" i="34"/>
  <c r="AI59" i="34"/>
  <c r="AH59" i="34"/>
  <c r="AG58" i="34"/>
  <c r="AF58" i="34"/>
  <c r="BJ16" i="34" s="1"/>
  <c r="AE58" i="34"/>
  <c r="AD58" i="34"/>
  <c r="AC58" i="34"/>
  <c r="AB58" i="34"/>
  <c r="W58" i="34"/>
  <c r="W97" i="34" s="1"/>
  <c r="W99" i="34" s="1"/>
  <c r="W100" i="34" s="1"/>
  <c r="W7" i="34" s="1"/>
  <c r="U58" i="34"/>
  <c r="U97" i="34" s="1"/>
  <c r="U99" i="34" s="1"/>
  <c r="R58" i="34"/>
  <c r="Q58" i="34"/>
  <c r="AY16" i="34" s="1"/>
  <c r="AX16" i="34"/>
  <c r="O58" i="34"/>
  <c r="AW16" i="34" s="1"/>
  <c r="N58" i="34"/>
  <c r="M58" i="34"/>
  <c r="L58" i="34"/>
  <c r="K58" i="34"/>
  <c r="J58" i="34"/>
  <c r="I58" i="34"/>
  <c r="H58" i="34"/>
  <c r="G58" i="34"/>
  <c r="F58" i="34"/>
  <c r="E58" i="34"/>
  <c r="AO16" i="34"/>
  <c r="AI57" i="34"/>
  <c r="AH57" i="34"/>
  <c r="AI56" i="34"/>
  <c r="AH56" i="34"/>
  <c r="AI55" i="34"/>
  <c r="AH55" i="34"/>
  <c r="AI54" i="34"/>
  <c r="AH54" i="34"/>
  <c r="AI53" i="34"/>
  <c r="AH53" i="34"/>
  <c r="AI52" i="34"/>
  <c r="AH52" i="34"/>
  <c r="AI51" i="34"/>
  <c r="AH51" i="34"/>
  <c r="AI50" i="34"/>
  <c r="AH50" i="34"/>
  <c r="AI49" i="34"/>
  <c r="AH49" i="34"/>
  <c r="AI48" i="34"/>
  <c r="AH48" i="34"/>
  <c r="AI47" i="34"/>
  <c r="AH47" i="34"/>
  <c r="AI46" i="34"/>
  <c r="AH46" i="34"/>
  <c r="AI45" i="34"/>
  <c r="AH45" i="34"/>
  <c r="AI44" i="34"/>
  <c r="AH44" i="34"/>
  <c r="AI43" i="34"/>
  <c r="AH43" i="34"/>
  <c r="AI42" i="34"/>
  <c r="AH42" i="34"/>
  <c r="AI41" i="34"/>
  <c r="AH41" i="34"/>
  <c r="AI40" i="34"/>
  <c r="AH40" i="34"/>
  <c r="AI39" i="34"/>
  <c r="AH39" i="34"/>
  <c r="AI38" i="34"/>
  <c r="AH38" i="34"/>
  <c r="AI37" i="34"/>
  <c r="AH37" i="34"/>
  <c r="AI36" i="34"/>
  <c r="AH36" i="34"/>
  <c r="AI35" i="34"/>
  <c r="AH35" i="34"/>
  <c r="AI34" i="34"/>
  <c r="AH34" i="34"/>
  <c r="AI33" i="34"/>
  <c r="AH33" i="34"/>
  <c r="AI32" i="34"/>
  <c r="AH32" i="34"/>
  <c r="AI31" i="34"/>
  <c r="AH31" i="34"/>
  <c r="AI30" i="34"/>
  <c r="AH30" i="34"/>
  <c r="AI29" i="34"/>
  <c r="AH29" i="34"/>
  <c r="AI28" i="34"/>
  <c r="AH28" i="34"/>
  <c r="AI27" i="34"/>
  <c r="AH27" i="34"/>
  <c r="AI26" i="34"/>
  <c r="AH26" i="34"/>
  <c r="AI25" i="34"/>
  <c r="AH25" i="34"/>
  <c r="AI24" i="34"/>
  <c r="AH24" i="34"/>
  <c r="BF23" i="34"/>
  <c r="AY23" i="34"/>
  <c r="AI23" i="34"/>
  <c r="AH23" i="34"/>
  <c r="AI22" i="34"/>
  <c r="AH22" i="34"/>
  <c r="BJ21" i="34"/>
  <c r="BI21" i="34"/>
  <c r="BH21" i="34"/>
  <c r="BG21" i="34"/>
  <c r="BF21" i="34"/>
  <c r="BE21" i="34"/>
  <c r="BD21" i="34"/>
  <c r="BC21" i="34"/>
  <c r="BB21" i="34"/>
  <c r="BA21" i="34"/>
  <c r="AZ21" i="34"/>
  <c r="AY21" i="34"/>
  <c r="AX21" i="34"/>
  <c r="AW21" i="34"/>
  <c r="AV21" i="34"/>
  <c r="AU21" i="34"/>
  <c r="AT21" i="34"/>
  <c r="AS21" i="34"/>
  <c r="AR21" i="34"/>
  <c r="AQ21" i="34"/>
  <c r="AP21" i="34"/>
  <c r="AO21" i="34"/>
  <c r="AN21" i="34"/>
  <c r="AM21" i="34"/>
  <c r="AI21" i="34"/>
  <c r="AH21" i="34"/>
  <c r="BJ20" i="34"/>
  <c r="BI20" i="34"/>
  <c r="BH20" i="34"/>
  <c r="BG20" i="34"/>
  <c r="BE20" i="34"/>
  <c r="BD20" i="34"/>
  <c r="BC20" i="34"/>
  <c r="BB20" i="34"/>
  <c r="BA20" i="34"/>
  <c r="AZ20" i="34"/>
  <c r="AY20" i="34"/>
  <c r="AX20" i="34"/>
  <c r="AW20" i="34"/>
  <c r="AV20" i="34"/>
  <c r="AT20" i="34"/>
  <c r="AI20" i="34"/>
  <c r="AH20" i="34"/>
  <c r="BE19" i="34"/>
  <c r="BD19" i="34"/>
  <c r="BC19" i="34"/>
  <c r="BA19" i="34"/>
  <c r="AX19" i="34"/>
  <c r="AI19" i="34"/>
  <c r="AH19" i="34"/>
  <c r="BI18" i="34"/>
  <c r="BH18" i="34"/>
  <c r="BG18" i="34"/>
  <c r="BF18" i="34"/>
  <c r="BD18" i="34"/>
  <c r="BC18" i="34"/>
  <c r="BB18" i="34"/>
  <c r="BA18" i="34"/>
  <c r="AY18" i="34"/>
  <c r="AM18" i="34"/>
  <c r="AI18" i="34"/>
  <c r="AH18" i="34"/>
  <c r="BF17" i="34"/>
  <c r="BE17" i="34"/>
  <c r="BC17" i="34"/>
  <c r="BA17" i="34"/>
  <c r="AZ17" i="34"/>
  <c r="AY17" i="34"/>
  <c r="AX17" i="34"/>
  <c r="AQ17" i="34"/>
  <c r="AP17" i="34"/>
  <c r="AN17" i="34"/>
  <c r="AM17" i="34"/>
  <c r="AI17" i="34"/>
  <c r="AH17" i="34"/>
  <c r="BI16" i="34"/>
  <c r="BH16" i="34"/>
  <c r="BE16" i="34"/>
  <c r="BB16" i="34"/>
  <c r="BA16" i="34"/>
  <c r="AT16" i="34"/>
  <c r="AS16" i="34"/>
  <c r="AN16" i="34"/>
  <c r="AI16" i="34"/>
  <c r="AH16" i="34"/>
  <c r="AI15" i="34"/>
  <c r="AH15" i="34"/>
  <c r="AI14" i="34"/>
  <c r="AH14" i="34"/>
  <c r="AI13" i="34"/>
  <c r="AH13" i="34"/>
  <c r="AL12" i="34"/>
  <c r="AI12" i="34"/>
  <c r="AH12" i="34"/>
  <c r="AI11" i="34"/>
  <c r="AH11" i="34"/>
  <c r="Z5" i="34"/>
  <c r="Y5" i="34"/>
  <c r="X5" i="34"/>
  <c r="W5" i="34"/>
  <c r="V5" i="34"/>
  <c r="U5" i="34"/>
  <c r="T5" i="34"/>
  <c r="R5" i="34"/>
  <c r="O5" i="34"/>
  <c r="AG4" i="34"/>
  <c r="K4" i="34"/>
  <c r="E4" i="34"/>
  <c r="H4" i="34" s="1"/>
  <c r="B4" i="34"/>
  <c r="AG2" i="34"/>
  <c r="AG6" i="34" s="1"/>
  <c r="AF62" i="33"/>
  <c r="AF76" i="33"/>
  <c r="AF80" i="33"/>
  <c r="AF92" i="33"/>
  <c r="AF97" i="33" s="1"/>
  <c r="AF99" i="33" s="1"/>
  <c r="AF101" i="33"/>
  <c r="AF102" i="33"/>
  <c r="AF103" i="33"/>
  <c r="AF104" i="33"/>
  <c r="AF107" i="33" s="1"/>
  <c r="AF105" i="33"/>
  <c r="BJ19" i="34" l="1"/>
  <c r="AD5" i="34"/>
  <c r="AE107" i="34"/>
  <c r="BI23" i="34" s="1"/>
  <c r="BI22" i="34"/>
  <c r="AE97" i="34"/>
  <c r="AE99" i="34" s="1"/>
  <c r="AE100" i="34" s="1"/>
  <c r="AE7" i="34" s="1"/>
  <c r="BH19" i="34"/>
  <c r="BH22" i="34" s="1"/>
  <c r="BH24" i="34" s="1"/>
  <c r="AD97" i="34"/>
  <c r="AD99" i="34" s="1"/>
  <c r="AC97" i="34"/>
  <c r="AC99" i="34" s="1"/>
  <c r="AB107" i="34"/>
  <c r="BG23" i="34" s="1"/>
  <c r="BG19" i="34"/>
  <c r="BE22" i="34"/>
  <c r="BA22" i="34"/>
  <c r="R107" i="34"/>
  <c r="AZ23" i="34" s="1"/>
  <c r="O107" i="34"/>
  <c r="AW23" i="34" s="1"/>
  <c r="AW19" i="34"/>
  <c r="AX22" i="34"/>
  <c r="O97" i="34"/>
  <c r="O99" i="34" s="1"/>
  <c r="M5" i="34"/>
  <c r="AU19" i="34"/>
  <c r="M97" i="34"/>
  <c r="M99" i="34" s="1"/>
  <c r="L107" i="34"/>
  <c r="K107" i="34"/>
  <c r="AT23" i="34" s="1"/>
  <c r="AT19" i="34"/>
  <c r="K97" i="34"/>
  <c r="K99" i="34" s="1"/>
  <c r="K100" i="34" s="1"/>
  <c r="K7" i="34" s="1"/>
  <c r="J107" i="34"/>
  <c r="J108" i="34" s="1"/>
  <c r="J97" i="34"/>
  <c r="J99" i="34" s="1"/>
  <c r="J100" i="34" s="1"/>
  <c r="J7" i="34" s="1"/>
  <c r="I107" i="34"/>
  <c r="AS23" i="34" s="1"/>
  <c r="G107" i="34"/>
  <c r="AR23" i="34" s="1"/>
  <c r="AR19" i="34"/>
  <c r="F5" i="34"/>
  <c r="G97" i="34"/>
  <c r="G99" i="34" s="1"/>
  <c r="AR16" i="34"/>
  <c r="AR22" i="34" s="1"/>
  <c r="AR24" i="34" s="1"/>
  <c r="E5" i="34"/>
  <c r="AH80" i="34"/>
  <c r="F97" i="34"/>
  <c r="F99" i="34" s="1"/>
  <c r="AQ16" i="34"/>
  <c r="AQ22" i="34" s="1"/>
  <c r="AP19" i="34"/>
  <c r="AI102" i="34"/>
  <c r="C5" i="34"/>
  <c r="AO19" i="34"/>
  <c r="AO22" i="34" s="1"/>
  <c r="AO24" i="34" s="1"/>
  <c r="D97" i="34"/>
  <c r="D99" i="34" s="1"/>
  <c r="D100" i="34" s="1"/>
  <c r="D7" i="34" s="1"/>
  <c r="B5" i="34"/>
  <c r="C108" i="34"/>
  <c r="C97" i="34"/>
  <c r="C99" i="34" s="1"/>
  <c r="C100" i="34" s="1"/>
  <c r="AN22" i="34"/>
  <c r="B97" i="34"/>
  <c r="B99" i="34" s="1"/>
  <c r="B100" i="34" s="1"/>
  <c r="B108" i="34"/>
  <c r="AH76" i="34"/>
  <c r="AH103" i="34"/>
  <c r="G100" i="34"/>
  <c r="G7" i="34" s="1"/>
  <c r="BA23" i="34"/>
  <c r="BA24" i="34" s="1"/>
  <c r="R97" i="34"/>
  <c r="R99" i="34" s="1"/>
  <c r="R100" i="34" s="1"/>
  <c r="R7" i="34" s="1"/>
  <c r="AZ16" i="34"/>
  <c r="AZ22" i="34" s="1"/>
  <c r="AW22" i="34"/>
  <c r="AI58" i="34"/>
  <c r="Z7" i="34"/>
  <c r="BF16" i="34"/>
  <c r="BF22" i="34" s="1"/>
  <c r="BF24" i="34" s="1"/>
  <c r="AI92" i="34"/>
  <c r="AH92" i="34"/>
  <c r="AM19" i="34"/>
  <c r="AM20" i="34"/>
  <c r="W108" i="34"/>
  <c r="S7" i="34"/>
  <c r="AH104" i="34"/>
  <c r="AI105" i="34"/>
  <c r="BJ22" i="34"/>
  <c r="I97" i="34"/>
  <c r="I99" i="34" s="1"/>
  <c r="I100" i="34" s="1"/>
  <c r="I7" i="34" s="1"/>
  <c r="Q97" i="34"/>
  <c r="Q99" i="34" s="1"/>
  <c r="Q100" i="34" s="1"/>
  <c r="Q7" i="34" s="1"/>
  <c r="AI62" i="34"/>
  <c r="AH62" i="34"/>
  <c r="AF108" i="34"/>
  <c r="BC16" i="34"/>
  <c r="BC22" i="34" s="1"/>
  <c r="BC24" i="34" s="1"/>
  <c r="AY19" i="34"/>
  <c r="AY22" i="34" s="1"/>
  <c r="AY24" i="34" s="1"/>
  <c r="L97" i="34"/>
  <c r="L99" i="34" s="1"/>
  <c r="L100" i="34" s="1"/>
  <c r="L7" i="34" s="1"/>
  <c r="T7" i="34"/>
  <c r="AB97" i="34"/>
  <c r="AB99" i="34" s="1"/>
  <c r="AB100" i="34" s="1"/>
  <c r="AB7" i="34" s="1"/>
  <c r="AI76" i="34"/>
  <c r="AI80" i="34"/>
  <c r="AG97" i="34"/>
  <c r="F107" i="34"/>
  <c r="N107" i="34"/>
  <c r="AV23" i="34" s="1"/>
  <c r="AD107" i="34"/>
  <c r="BH23" i="34" s="1"/>
  <c r="AB108" i="34"/>
  <c r="D252" i="34"/>
  <c r="E246" i="34"/>
  <c r="AH58" i="34"/>
  <c r="D258" i="34"/>
  <c r="AL13" i="34"/>
  <c r="BB22" i="34"/>
  <c r="BB24" i="34" s="1"/>
  <c r="AT22" i="34"/>
  <c r="AT24" i="34" s="1"/>
  <c r="E97" i="34"/>
  <c r="E99" i="34" s="1"/>
  <c r="E100" i="34" s="1"/>
  <c r="E7" i="34" s="1"/>
  <c r="AP16" i="34"/>
  <c r="AP22" i="34" s="1"/>
  <c r="L108" i="34"/>
  <c r="H5" i="34"/>
  <c r="P5" i="34"/>
  <c r="AF5" i="34"/>
  <c r="AU16" i="34"/>
  <c r="AU22" i="34" s="1"/>
  <c r="BG16" i="34"/>
  <c r="BG22" i="34" s="1"/>
  <c r="BG24" i="34" s="1"/>
  <c r="AS19" i="34"/>
  <c r="AS22" i="34" s="1"/>
  <c r="AS24" i="34" s="1"/>
  <c r="BB19" i="34"/>
  <c r="N97" i="34"/>
  <c r="N99" i="34" s="1"/>
  <c r="AV16" i="34"/>
  <c r="AV22" i="34" s="1"/>
  <c r="V7" i="34"/>
  <c r="I5" i="34"/>
  <c r="Q5" i="34"/>
  <c r="AM16" i="34"/>
  <c r="AM22" i="34" s="1"/>
  <c r="AG99" i="34"/>
  <c r="AI101" i="34"/>
  <c r="AH102" i="34"/>
  <c r="E107" i="34"/>
  <c r="AP23" i="34" s="1"/>
  <c r="M107" i="34"/>
  <c r="AU23" i="34" s="1"/>
  <c r="U107" i="34"/>
  <c r="BC23" i="34" s="1"/>
  <c r="AC107" i="34"/>
  <c r="H107" i="34"/>
  <c r="H108" i="34" s="1"/>
  <c r="AX23" i="34"/>
  <c r="AF107" i="34"/>
  <c r="BJ23" i="34" s="1"/>
  <c r="BG84" i="34" a="1"/>
  <c r="M108" i="34"/>
  <c r="U108" i="34"/>
  <c r="AH101" i="34"/>
  <c r="AH105" i="34"/>
  <c r="H97" i="34"/>
  <c r="H99" i="34" s="1"/>
  <c r="P7" i="34"/>
  <c r="X7" i="34"/>
  <c r="AF97" i="34"/>
  <c r="AF99" i="34" s="1"/>
  <c r="AF100" i="34" s="1"/>
  <c r="AF7" i="34" s="1"/>
  <c r="BD16" i="34"/>
  <c r="BD22" i="34" s="1"/>
  <c r="AI103" i="34"/>
  <c r="AI104" i="34"/>
  <c r="AF100" i="33"/>
  <c r="AF108" i="33"/>
  <c r="AC100" i="34" l="1"/>
  <c r="AC7" i="34" s="1"/>
  <c r="BI24" i="34"/>
  <c r="AE108" i="34"/>
  <c r="AD108" i="34"/>
  <c r="R108" i="34"/>
  <c r="AZ24" i="34"/>
  <c r="AX24" i="34"/>
  <c r="O100" i="34"/>
  <c r="O7" i="34" s="1"/>
  <c r="AW24" i="34"/>
  <c r="O108" i="34"/>
  <c r="AV24" i="34"/>
  <c r="N108" i="34"/>
  <c r="N100" i="34"/>
  <c r="N7" i="34" s="1"/>
  <c r="M100" i="34"/>
  <c r="M7" i="34" s="1"/>
  <c r="K108" i="34"/>
  <c r="I108" i="34"/>
  <c r="G108" i="34"/>
  <c r="C256" i="34"/>
  <c r="E108" i="34"/>
  <c r="AI107" i="34"/>
  <c r="AH107" i="34"/>
  <c r="AM23" i="34"/>
  <c r="BE23" i="34"/>
  <c r="BE24" i="34" s="1"/>
  <c r="F108" i="34"/>
  <c r="AQ23" i="34"/>
  <c r="AQ24" i="34" s="1"/>
  <c r="U100" i="34"/>
  <c r="U7" i="34" s="1"/>
  <c r="AC108" i="34"/>
  <c r="AD100" i="34"/>
  <c r="AD7" i="34" s="1"/>
  <c r="AU24" i="34"/>
  <c r="BJ24" i="34"/>
  <c r="B256" i="34"/>
  <c r="AH97" i="34"/>
  <c r="AI97" i="34"/>
  <c r="H100" i="34"/>
  <c r="H7" i="34" s="1"/>
  <c r="F100" i="34"/>
  <c r="F7" i="34" s="1"/>
  <c r="BH107" i="34"/>
  <c r="BL105" i="34"/>
  <c r="BJ104" i="34"/>
  <c r="BH103" i="34"/>
  <c r="BL101" i="34"/>
  <c r="BJ100" i="34"/>
  <c r="BH99" i="34"/>
  <c r="BL97" i="34"/>
  <c r="BJ96" i="34"/>
  <c r="BH95" i="34"/>
  <c r="BL93" i="34"/>
  <c r="BJ92" i="34"/>
  <c r="BH91" i="34"/>
  <c r="BL89" i="34"/>
  <c r="BJ88" i="34"/>
  <c r="BH87" i="34"/>
  <c r="BL85" i="34"/>
  <c r="BJ84" i="34"/>
  <c r="BL107" i="34"/>
  <c r="BJ106" i="34"/>
  <c r="BH105" i="34"/>
  <c r="BL103" i="34"/>
  <c r="BJ102" i="34"/>
  <c r="BH101" i="34"/>
  <c r="BL99" i="34"/>
  <c r="BJ98" i="34"/>
  <c r="BH97" i="34"/>
  <c r="BL95" i="34"/>
  <c r="BJ94" i="34"/>
  <c r="BH93" i="34"/>
  <c r="BL91" i="34"/>
  <c r="BJ90" i="34"/>
  <c r="BH89" i="34"/>
  <c r="BL87" i="34"/>
  <c r="BJ86" i="34"/>
  <c r="BH85" i="34"/>
  <c r="BK106" i="34"/>
  <c r="BL104" i="34"/>
  <c r="BG103" i="34"/>
  <c r="BI101" i="34"/>
  <c r="BJ99" i="34"/>
  <c r="BK97" i="34"/>
  <c r="BG96" i="34"/>
  <c r="BH94" i="34"/>
  <c r="BI92" i="34"/>
  <c r="BK90" i="34"/>
  <c r="BL88" i="34"/>
  <c r="BG87" i="34"/>
  <c r="BI85" i="34"/>
  <c r="BI106" i="34"/>
  <c r="BK104" i="34"/>
  <c r="BL102" i="34"/>
  <c r="BG101" i="34"/>
  <c r="BI99" i="34"/>
  <c r="BJ97" i="34"/>
  <c r="BK95" i="34"/>
  <c r="BG94" i="34"/>
  <c r="BH92" i="34"/>
  <c r="BI90" i="34"/>
  <c r="BK88" i="34"/>
  <c r="BL86" i="34"/>
  <c r="BG85" i="34"/>
  <c r="BK107" i="34"/>
  <c r="BG106" i="34"/>
  <c r="BH104" i="34"/>
  <c r="BI102" i="34"/>
  <c r="BK100" i="34"/>
  <c r="BL98" i="34"/>
  <c r="BG97" i="34"/>
  <c r="BI95" i="34"/>
  <c r="BJ93" i="34"/>
  <c r="BK91" i="34"/>
  <c r="BG90" i="34"/>
  <c r="BH88" i="34"/>
  <c r="BI86" i="34"/>
  <c r="BK84" i="34"/>
  <c r="BG107" i="34"/>
  <c r="BI105" i="34"/>
  <c r="BJ103" i="34"/>
  <c r="BK101" i="34"/>
  <c r="BG100" i="34"/>
  <c r="BH98" i="34"/>
  <c r="BI96" i="34"/>
  <c r="BK94" i="34"/>
  <c r="BL92" i="34"/>
  <c r="BG91" i="34"/>
  <c r="BI89" i="34"/>
  <c r="BJ87" i="34"/>
  <c r="BK85" i="34"/>
  <c r="BG84" i="34"/>
  <c r="BJ105" i="34"/>
  <c r="BG102" i="34"/>
  <c r="BI98" i="34"/>
  <c r="BL94" i="34"/>
  <c r="BI91" i="34"/>
  <c r="BK87" i="34"/>
  <c r="BH84" i="34"/>
  <c r="BG105" i="34"/>
  <c r="BJ101" i="34"/>
  <c r="BG98" i="34"/>
  <c r="BI94" i="34"/>
  <c r="BL90" i="34"/>
  <c r="BI87" i="34"/>
  <c r="BI104" i="34"/>
  <c r="BI97" i="34"/>
  <c r="BK93" i="34"/>
  <c r="BK86" i="34"/>
  <c r="BI107" i="34"/>
  <c r="BK103" i="34"/>
  <c r="BH100" i="34"/>
  <c r="BK96" i="34"/>
  <c r="BG93" i="34"/>
  <c r="BJ89" i="34"/>
  <c r="BG86" i="34"/>
  <c r="BK92" i="34"/>
  <c r="BL100" i="34"/>
  <c r="BH90" i="34"/>
  <c r="BJ107" i="34"/>
  <c r="BG104" i="34"/>
  <c r="BI100" i="34"/>
  <c r="BL96" i="34"/>
  <c r="BI93" i="34"/>
  <c r="BK89" i="34"/>
  <c r="BH86" i="34"/>
  <c r="BH106" i="34"/>
  <c r="BK102" i="34"/>
  <c r="BG99" i="34"/>
  <c r="BJ95" i="34"/>
  <c r="BG92" i="34"/>
  <c r="BI88" i="34"/>
  <c r="BL84" i="34"/>
  <c r="BK105" i="34"/>
  <c r="BH102" i="34"/>
  <c r="BK98" i="34"/>
  <c r="BG95" i="34"/>
  <c r="BJ91" i="34"/>
  <c r="BG88" i="34"/>
  <c r="BI84" i="34"/>
  <c r="BL106" i="34"/>
  <c r="BI103" i="34"/>
  <c r="BK99" i="34"/>
  <c r="BH96" i="34"/>
  <c r="BG89" i="34"/>
  <c r="BJ85" i="34"/>
  <c r="F246" i="34"/>
  <c r="E252" i="34"/>
  <c r="E118" i="34"/>
  <c r="AM24" i="34"/>
  <c r="AT8" i="34"/>
  <c r="AP24" i="34"/>
  <c r="BD23" i="34"/>
  <c r="BD24" i="34" s="1"/>
  <c r="AN23" i="34"/>
  <c r="AN24" i="34" s="1"/>
  <c r="C7" i="34"/>
  <c r="V57" i="33"/>
  <c r="U57" i="33"/>
  <c r="T57" i="33"/>
  <c r="S57" i="33"/>
  <c r="R57" i="33"/>
  <c r="Q121" i="33"/>
  <c r="Q57" i="33"/>
  <c r="P121" i="33"/>
  <c r="O57" i="33"/>
  <c r="P57" i="33"/>
  <c r="O58" i="33"/>
  <c r="P58" i="33"/>
  <c r="O62" i="33"/>
  <c r="P62" i="33"/>
  <c r="K6" i="34" l="1"/>
  <c r="AT9" i="34"/>
  <c r="AH99" i="34"/>
  <c r="AI99" i="34"/>
  <c r="AH108" i="34"/>
  <c r="AI108" i="34"/>
  <c r="G246" i="34"/>
  <c r="F252" i="34"/>
  <c r="F118" i="34"/>
  <c r="N76" i="33"/>
  <c r="N80" i="33"/>
  <c r="N57" i="33"/>
  <c r="M57" i="33"/>
  <c r="L57" i="33"/>
  <c r="K57" i="33"/>
  <c r="J57" i="33"/>
  <c r="I121" i="33"/>
  <c r="I57" i="33"/>
  <c r="H57" i="33"/>
  <c r="G57" i="33"/>
  <c r="F57" i="33"/>
  <c r="E57" i="33"/>
  <c r="D121" i="33"/>
  <c r="D57" i="33"/>
  <c r="D58" i="33"/>
  <c r="D62" i="33"/>
  <c r="AO17" i="33" s="1"/>
  <c r="D76" i="33"/>
  <c r="D80" i="33"/>
  <c r="AO20" i="33" s="1"/>
  <c r="D92" i="33"/>
  <c r="C5" i="33" s="1"/>
  <c r="D101" i="33"/>
  <c r="D102" i="33"/>
  <c r="D103" i="33"/>
  <c r="D104" i="33"/>
  <c r="D105" i="33"/>
  <c r="D118" i="33"/>
  <c r="C121" i="33"/>
  <c r="C57" i="33"/>
  <c r="C58" i="33"/>
  <c r="C62" i="33"/>
  <c r="C76" i="33"/>
  <c r="C80" i="33"/>
  <c r="AN20" i="33" s="1"/>
  <c r="AH125" i="33"/>
  <c r="AI125" i="33"/>
  <c r="AH124" i="33"/>
  <c r="AI124" i="33"/>
  <c r="B121" i="33"/>
  <c r="B105" i="33"/>
  <c r="B104" i="33"/>
  <c r="B103" i="33"/>
  <c r="B102" i="33"/>
  <c r="B101" i="33"/>
  <c r="B107" i="33" s="1"/>
  <c r="B92" i="33"/>
  <c r="AF5" i="33" s="1"/>
  <c r="B80" i="33"/>
  <c r="AM20" i="33" s="1"/>
  <c r="B76" i="33"/>
  <c r="B62" i="33"/>
  <c r="B58" i="33"/>
  <c r="B57" i="33"/>
  <c r="AG252" i="33"/>
  <c r="C252" i="33"/>
  <c r="D251" i="33"/>
  <c r="E251" i="33" s="1"/>
  <c r="F251" i="33" s="1"/>
  <c r="G251" i="33" s="1"/>
  <c r="H251" i="33" s="1"/>
  <c r="I251" i="33" s="1"/>
  <c r="J251" i="33" s="1"/>
  <c r="K251" i="33" s="1"/>
  <c r="L251" i="33" s="1"/>
  <c r="M251" i="33" s="1"/>
  <c r="N251" i="33" s="1"/>
  <c r="O251" i="33" s="1"/>
  <c r="P251" i="33" s="1"/>
  <c r="Q251" i="33" s="1"/>
  <c r="R251" i="33" s="1"/>
  <c r="S251" i="33" s="1"/>
  <c r="T251" i="33" s="1"/>
  <c r="U251" i="33" s="1"/>
  <c r="V251" i="33" s="1"/>
  <c r="W251" i="33" s="1"/>
  <c r="X251" i="33" s="1"/>
  <c r="Y251" i="33" s="1"/>
  <c r="Z251" i="33" s="1"/>
  <c r="AA251" i="33" s="1"/>
  <c r="AB251" i="33" s="1"/>
  <c r="AC251" i="33" s="1"/>
  <c r="AD251" i="33" s="1"/>
  <c r="AE251" i="33" s="1"/>
  <c r="AF251" i="33" s="1"/>
  <c r="B251" i="33" s="1"/>
  <c r="E250" i="33"/>
  <c r="F250" i="33" s="1"/>
  <c r="G250" i="33" s="1"/>
  <c r="H250" i="33" s="1"/>
  <c r="I250" i="33" s="1"/>
  <c r="J250" i="33" s="1"/>
  <c r="K250" i="33" s="1"/>
  <c r="L250" i="33" s="1"/>
  <c r="M250" i="33" s="1"/>
  <c r="N250" i="33" s="1"/>
  <c r="O250" i="33" s="1"/>
  <c r="P250" i="33" s="1"/>
  <c r="Q250" i="33" s="1"/>
  <c r="R250" i="33" s="1"/>
  <c r="S250" i="33" s="1"/>
  <c r="T250" i="33" s="1"/>
  <c r="U250" i="33" s="1"/>
  <c r="V250" i="33" s="1"/>
  <c r="W250" i="33" s="1"/>
  <c r="X250" i="33" s="1"/>
  <c r="Y250" i="33" s="1"/>
  <c r="Z250" i="33" s="1"/>
  <c r="AA250" i="33" s="1"/>
  <c r="AB250" i="33" s="1"/>
  <c r="AC250" i="33" s="1"/>
  <c r="AD250" i="33" s="1"/>
  <c r="AE250" i="33" s="1"/>
  <c r="AF250" i="33" s="1"/>
  <c r="B250" i="33" s="1"/>
  <c r="D250" i="33"/>
  <c r="D249" i="33"/>
  <c r="E249" i="33" s="1"/>
  <c r="F249" i="33" s="1"/>
  <c r="G249" i="33" s="1"/>
  <c r="H249" i="33" s="1"/>
  <c r="I249" i="33" s="1"/>
  <c r="J249" i="33" s="1"/>
  <c r="K249" i="33" s="1"/>
  <c r="L249" i="33" s="1"/>
  <c r="M249" i="33" s="1"/>
  <c r="N249" i="33" s="1"/>
  <c r="O249" i="33" s="1"/>
  <c r="P249" i="33" s="1"/>
  <c r="Q249" i="33" s="1"/>
  <c r="R249" i="33" s="1"/>
  <c r="S249" i="33" s="1"/>
  <c r="T249" i="33" s="1"/>
  <c r="U249" i="33" s="1"/>
  <c r="V249" i="33" s="1"/>
  <c r="W249" i="33" s="1"/>
  <c r="X249" i="33" s="1"/>
  <c r="Y249" i="33" s="1"/>
  <c r="Z249" i="33" s="1"/>
  <c r="AA249" i="33" s="1"/>
  <c r="AB249" i="33" s="1"/>
  <c r="AC249" i="33" s="1"/>
  <c r="AD249" i="33" s="1"/>
  <c r="AE249" i="33" s="1"/>
  <c r="AF249" i="33" s="1"/>
  <c r="B249" i="33" s="1"/>
  <c r="F248" i="33"/>
  <c r="G248" i="33" s="1"/>
  <c r="H248" i="33" s="1"/>
  <c r="I248" i="33" s="1"/>
  <c r="J248" i="33" s="1"/>
  <c r="K248" i="33" s="1"/>
  <c r="L248" i="33" s="1"/>
  <c r="M248" i="33" s="1"/>
  <c r="N248" i="33" s="1"/>
  <c r="O248" i="33" s="1"/>
  <c r="P248" i="33" s="1"/>
  <c r="Q248" i="33" s="1"/>
  <c r="R248" i="33" s="1"/>
  <c r="S248" i="33" s="1"/>
  <c r="T248" i="33" s="1"/>
  <c r="U248" i="33" s="1"/>
  <c r="V248" i="33" s="1"/>
  <c r="W248" i="33" s="1"/>
  <c r="X248" i="33" s="1"/>
  <c r="Y248" i="33" s="1"/>
  <c r="Z248" i="33" s="1"/>
  <c r="AA248" i="33" s="1"/>
  <c r="AB248" i="33" s="1"/>
  <c r="AC248" i="33" s="1"/>
  <c r="AD248" i="33" s="1"/>
  <c r="AE248" i="33" s="1"/>
  <c r="AF248" i="33" s="1"/>
  <c r="B248" i="33" s="1"/>
  <c r="D248" i="33"/>
  <c r="E248" i="33" s="1"/>
  <c r="D247" i="33"/>
  <c r="E247" i="33" s="1"/>
  <c r="F247" i="33" s="1"/>
  <c r="G247" i="33" s="1"/>
  <c r="H247" i="33" s="1"/>
  <c r="I247" i="33" s="1"/>
  <c r="J247" i="33" s="1"/>
  <c r="K247" i="33" s="1"/>
  <c r="L247" i="33" s="1"/>
  <c r="M247" i="33" s="1"/>
  <c r="N247" i="33" s="1"/>
  <c r="O247" i="33" s="1"/>
  <c r="P247" i="33" s="1"/>
  <c r="Q247" i="33" s="1"/>
  <c r="R247" i="33" s="1"/>
  <c r="S247" i="33" s="1"/>
  <c r="T247" i="33" s="1"/>
  <c r="U247" i="33" s="1"/>
  <c r="V247" i="33" s="1"/>
  <c r="W247" i="33" s="1"/>
  <c r="X247" i="33" s="1"/>
  <c r="Y247" i="33" s="1"/>
  <c r="Z247" i="33" s="1"/>
  <c r="AA247" i="33" s="1"/>
  <c r="AB247" i="33" s="1"/>
  <c r="AC247" i="33" s="1"/>
  <c r="AD247" i="33" s="1"/>
  <c r="AE247" i="33" s="1"/>
  <c r="AF247" i="33" s="1"/>
  <c r="B247" i="33" s="1"/>
  <c r="E246" i="33"/>
  <c r="D246" i="33"/>
  <c r="AG244" i="33"/>
  <c r="AF244" i="33"/>
  <c r="AE244" i="33"/>
  <c r="AD244" i="33"/>
  <c r="AC244" i="33"/>
  <c r="AB244" i="33"/>
  <c r="AA244" i="33"/>
  <c r="Z244" i="33"/>
  <c r="Z118" i="33" s="1"/>
  <c r="Y244" i="33"/>
  <c r="Y118" i="33" s="1"/>
  <c r="X244" i="33"/>
  <c r="W244" i="33"/>
  <c r="V244" i="33"/>
  <c r="U244" i="33"/>
  <c r="T244" i="33"/>
  <c r="S244" i="33"/>
  <c r="R244" i="33"/>
  <c r="Q244" i="33"/>
  <c r="P244" i="33"/>
  <c r="O244" i="33"/>
  <c r="N244" i="33"/>
  <c r="M244" i="33"/>
  <c r="L244" i="33"/>
  <c r="K244" i="33"/>
  <c r="J244" i="33"/>
  <c r="I244" i="33"/>
  <c r="H244" i="33"/>
  <c r="G244" i="33"/>
  <c r="F244" i="33"/>
  <c r="E244" i="33"/>
  <c r="D244" i="33"/>
  <c r="C244" i="33"/>
  <c r="B244" i="33"/>
  <c r="AI130" i="33"/>
  <c r="AH130" i="33"/>
  <c r="AI129" i="33"/>
  <c r="AH129" i="33"/>
  <c r="AI128" i="33"/>
  <c r="AH128" i="33"/>
  <c r="AI127" i="33"/>
  <c r="AH127" i="33"/>
  <c r="AI126" i="33"/>
  <c r="AH126" i="33"/>
  <c r="AI123" i="33"/>
  <c r="AH123" i="33"/>
  <c r="AI122" i="33"/>
  <c r="AH122" i="33"/>
  <c r="AI121" i="33"/>
  <c r="AH121" i="33"/>
  <c r="AI120" i="33"/>
  <c r="AH120" i="33"/>
  <c r="AI119" i="33"/>
  <c r="AH119" i="33"/>
  <c r="C118" i="33"/>
  <c r="AI117" i="33"/>
  <c r="AH117" i="33"/>
  <c r="AI116" i="33"/>
  <c r="AH116" i="33"/>
  <c r="AI115" i="33"/>
  <c r="AH115" i="33"/>
  <c r="AI114" i="33"/>
  <c r="AH114" i="33"/>
  <c r="AI113" i="33"/>
  <c r="AH113" i="33"/>
  <c r="AI112" i="33"/>
  <c r="AH112" i="33"/>
  <c r="AI111" i="33"/>
  <c r="AH111" i="33"/>
  <c r="AI110" i="33"/>
  <c r="AH110" i="33"/>
  <c r="AI109" i="33"/>
  <c r="AH109" i="33"/>
  <c r="AI106" i="33"/>
  <c r="AH106" i="33"/>
  <c r="AE105" i="33"/>
  <c r="AD105" i="33"/>
  <c r="AC105" i="33"/>
  <c r="AB105" i="33"/>
  <c r="AA105" i="33"/>
  <c r="Z105" i="33"/>
  <c r="Y105" i="33"/>
  <c r="X105" i="33"/>
  <c r="W105" i="33"/>
  <c r="V105" i="33"/>
  <c r="U105" i="33"/>
  <c r="T105" i="33"/>
  <c r="S105" i="33"/>
  <c r="R105" i="33"/>
  <c r="Q105" i="33"/>
  <c r="P105" i="33"/>
  <c r="O105" i="33"/>
  <c r="N105" i="33"/>
  <c r="M105" i="33"/>
  <c r="L105" i="33"/>
  <c r="K105" i="33"/>
  <c r="J105" i="33"/>
  <c r="I105" i="33"/>
  <c r="H105" i="33"/>
  <c r="G105" i="33"/>
  <c r="F105" i="33"/>
  <c r="E105" i="33"/>
  <c r="C105" i="33"/>
  <c r="AE104" i="33"/>
  <c r="AD104" i="33"/>
  <c r="AC104" i="33"/>
  <c r="AB104" i="33"/>
  <c r="AA104" i="33"/>
  <c r="Z104" i="33"/>
  <c r="Y104" i="33"/>
  <c r="X104" i="33"/>
  <c r="W104" i="33"/>
  <c r="V104" i="33"/>
  <c r="U104" i="33"/>
  <c r="T104" i="33"/>
  <c r="S104" i="33"/>
  <c r="R104" i="33"/>
  <c r="Q104" i="33"/>
  <c r="P104" i="33"/>
  <c r="O104" i="33"/>
  <c r="N104" i="33"/>
  <c r="M104" i="33"/>
  <c r="L104" i="33"/>
  <c r="K104" i="33"/>
  <c r="J104" i="33"/>
  <c r="I104" i="33"/>
  <c r="H104" i="33"/>
  <c r="G104" i="33"/>
  <c r="F104" i="33"/>
  <c r="E104" i="33"/>
  <c r="C104" i="33"/>
  <c r="AE103" i="33"/>
  <c r="AD103" i="33"/>
  <c r="AC103" i="33"/>
  <c r="AB103" i="33"/>
  <c r="AA103" i="33"/>
  <c r="Z103" i="33"/>
  <c r="Y103" i="33"/>
  <c r="X103" i="33"/>
  <c r="W103" i="33"/>
  <c r="V103" i="33"/>
  <c r="U103" i="33"/>
  <c r="T103" i="33"/>
  <c r="S103" i="33"/>
  <c r="R103" i="33"/>
  <c r="Q103" i="33"/>
  <c r="P103" i="33"/>
  <c r="O103" i="33"/>
  <c r="N103" i="33"/>
  <c r="M103" i="33"/>
  <c r="L103" i="33"/>
  <c r="K103" i="33"/>
  <c r="J103" i="33"/>
  <c r="I103" i="33"/>
  <c r="H103" i="33"/>
  <c r="G103" i="33"/>
  <c r="F103" i="33"/>
  <c r="E103" i="33"/>
  <c r="C103" i="33"/>
  <c r="AE102" i="33"/>
  <c r="AD102" i="33"/>
  <c r="AC102" i="33"/>
  <c r="AB102" i="33"/>
  <c r="AA102" i="33"/>
  <c r="Z102" i="33"/>
  <c r="Y102" i="33"/>
  <c r="X102" i="33"/>
  <c r="W102" i="33"/>
  <c r="V102" i="33"/>
  <c r="U102" i="33"/>
  <c r="T102" i="33"/>
  <c r="S102" i="33"/>
  <c r="R102" i="33"/>
  <c r="Q102" i="33"/>
  <c r="P102" i="33"/>
  <c r="O102" i="33"/>
  <c r="N102" i="33"/>
  <c r="M102" i="33"/>
  <c r="L102" i="33"/>
  <c r="K102" i="33"/>
  <c r="J102" i="33"/>
  <c r="I102" i="33"/>
  <c r="H102" i="33"/>
  <c r="G102" i="33"/>
  <c r="F102" i="33"/>
  <c r="E102" i="33"/>
  <c r="C102" i="33"/>
  <c r="AE101" i="33"/>
  <c r="AD101" i="33"/>
  <c r="AC101" i="33"/>
  <c r="AB101" i="33"/>
  <c r="AA101" i="33"/>
  <c r="Z101" i="33"/>
  <c r="Y101" i="33"/>
  <c r="X101" i="33"/>
  <c r="W101" i="33"/>
  <c r="V101" i="33"/>
  <c r="U101" i="33"/>
  <c r="T101" i="33"/>
  <c r="S101" i="33"/>
  <c r="R101" i="33"/>
  <c r="Q101" i="33"/>
  <c r="P101" i="33"/>
  <c r="O101" i="33"/>
  <c r="N101" i="33"/>
  <c r="M101" i="33"/>
  <c r="L101" i="33"/>
  <c r="K101" i="33"/>
  <c r="J101" i="33"/>
  <c r="I101" i="33"/>
  <c r="H101" i="33"/>
  <c r="G101" i="33"/>
  <c r="F101" i="33"/>
  <c r="E101" i="33"/>
  <c r="C101" i="33"/>
  <c r="AI98" i="33"/>
  <c r="AH98" i="33"/>
  <c r="AI96" i="33"/>
  <c r="AH96" i="33"/>
  <c r="AG96" i="33"/>
  <c r="AI95" i="33"/>
  <c r="AH95" i="33"/>
  <c r="AI94" i="33"/>
  <c r="AH94" i="33"/>
  <c r="AI93" i="33"/>
  <c r="AH93" i="33"/>
  <c r="AG92" i="33"/>
  <c r="AE92" i="33"/>
  <c r="BI19" i="33" s="1"/>
  <c r="AD92" i="33"/>
  <c r="BH19" i="33" s="1"/>
  <c r="AC92" i="33"/>
  <c r="AB5" i="33" s="1"/>
  <c r="AB92" i="33"/>
  <c r="BG19" i="33" s="1"/>
  <c r="AA92" i="33"/>
  <c r="Z92" i="33"/>
  <c r="Y5" i="33" s="1"/>
  <c r="Y92" i="33"/>
  <c r="X5" i="33" s="1"/>
  <c r="X92" i="33"/>
  <c r="W5" i="33" s="1"/>
  <c r="W92" i="33"/>
  <c r="V5" i="33" s="1"/>
  <c r="V92" i="33"/>
  <c r="BD19" i="33" s="1"/>
  <c r="U92" i="33"/>
  <c r="BC19" i="33" s="1"/>
  <c r="T92" i="33"/>
  <c r="S5" i="33" s="1"/>
  <c r="S92" i="33"/>
  <c r="BA19" i="33" s="1"/>
  <c r="R92" i="33"/>
  <c r="AZ19" i="33" s="1"/>
  <c r="Q92" i="33"/>
  <c r="AY19" i="33" s="1"/>
  <c r="P92" i="33"/>
  <c r="AX19" i="33" s="1"/>
  <c r="O92" i="33"/>
  <c r="N5" i="33" s="1"/>
  <c r="N92" i="33"/>
  <c r="M5" i="33" s="1"/>
  <c r="M92" i="33"/>
  <c r="AU19" i="33" s="1"/>
  <c r="L92" i="33"/>
  <c r="K5" i="33" s="1"/>
  <c r="K92" i="33"/>
  <c r="AT19" i="33" s="1"/>
  <c r="J92" i="33"/>
  <c r="I5" i="33" s="1"/>
  <c r="I92" i="33"/>
  <c r="AS19" i="33" s="1"/>
  <c r="H92" i="33"/>
  <c r="G92" i="33"/>
  <c r="AR19" i="33" s="1"/>
  <c r="F92" i="33"/>
  <c r="E92" i="33"/>
  <c r="D5" i="33" s="1"/>
  <c r="C92" i="33"/>
  <c r="AI91" i="33"/>
  <c r="AH91" i="33"/>
  <c r="AI90" i="33"/>
  <c r="AH90" i="33"/>
  <c r="AI89" i="33"/>
  <c r="AH89" i="33"/>
  <c r="AI88" i="33"/>
  <c r="AH88" i="33"/>
  <c r="AI87" i="33"/>
  <c r="AH87" i="33"/>
  <c r="AI86" i="33"/>
  <c r="AH86" i="33"/>
  <c r="AI85" i="33"/>
  <c r="AH85" i="33"/>
  <c r="AI84" i="33"/>
  <c r="AH84" i="33"/>
  <c r="AI83" i="33"/>
  <c r="AH83" i="33"/>
  <c r="AI82" i="33"/>
  <c r="AH82" i="33"/>
  <c r="AI81" i="33"/>
  <c r="AH81" i="33"/>
  <c r="BS80" i="33"/>
  <c r="BK80" i="33"/>
  <c r="AG80" i="33"/>
  <c r="BJ20" i="33"/>
  <c r="AE80" i="33"/>
  <c r="AD80" i="33"/>
  <c r="AC80" i="33"/>
  <c r="AB80" i="33"/>
  <c r="AA80" i="33"/>
  <c r="Z80" i="33"/>
  <c r="Y80" i="33"/>
  <c r="X80" i="33"/>
  <c r="BE20" i="33" s="1"/>
  <c r="W80" i="33"/>
  <c r="V80" i="33"/>
  <c r="U80" i="33"/>
  <c r="BC20" i="33" s="1"/>
  <c r="T80" i="33"/>
  <c r="BB20" i="33" s="1"/>
  <c r="S80" i="33"/>
  <c r="BA20" i="33" s="1"/>
  <c r="R80" i="33"/>
  <c r="AZ20" i="33" s="1"/>
  <c r="Q80" i="33"/>
  <c r="P80" i="33"/>
  <c r="AX20" i="33" s="1"/>
  <c r="O80" i="33"/>
  <c r="AW20" i="33" s="1"/>
  <c r="AV20" i="33"/>
  <c r="M80" i="33"/>
  <c r="AU20" i="33" s="1"/>
  <c r="L80" i="33"/>
  <c r="K80" i="33"/>
  <c r="J80" i="33"/>
  <c r="I80" i="33"/>
  <c r="H80" i="33"/>
  <c r="G80" i="33"/>
  <c r="AR20" i="33" s="1"/>
  <c r="F80" i="33"/>
  <c r="E80" i="33"/>
  <c r="BE79" i="33"/>
  <c r="AI79" i="33"/>
  <c r="AH79" i="33"/>
  <c r="AI78" i="33"/>
  <c r="AH78" i="33"/>
  <c r="AI77" i="33"/>
  <c r="AH77" i="33"/>
  <c r="BC76" i="33"/>
  <c r="AE76" i="33"/>
  <c r="BI18" i="33" s="1"/>
  <c r="AD76" i="33"/>
  <c r="AC76" i="33"/>
  <c r="AB76" i="33"/>
  <c r="BG18" i="33" s="1"/>
  <c r="AA76" i="33"/>
  <c r="Z76" i="33"/>
  <c r="BF18" i="33" s="1"/>
  <c r="Y76" i="33"/>
  <c r="X76" i="33"/>
  <c r="BE18" i="33" s="1"/>
  <c r="W76" i="33"/>
  <c r="V76" i="33"/>
  <c r="BD18" i="33" s="1"/>
  <c r="U76" i="33"/>
  <c r="BC18" i="33" s="1"/>
  <c r="T76" i="33"/>
  <c r="BB18" i="33" s="1"/>
  <c r="S76" i="33"/>
  <c r="BA18" i="33" s="1"/>
  <c r="R76" i="33"/>
  <c r="AZ18" i="33" s="1"/>
  <c r="Q76" i="33"/>
  <c r="AY18" i="33" s="1"/>
  <c r="P76" i="33"/>
  <c r="AX18" i="33" s="1"/>
  <c r="O76" i="33"/>
  <c r="AW18" i="33" s="1"/>
  <c r="AV18" i="33"/>
  <c r="M76" i="33"/>
  <c r="AU18" i="33" s="1"/>
  <c r="L76" i="33"/>
  <c r="K76" i="33"/>
  <c r="J76" i="33"/>
  <c r="I76" i="33"/>
  <c r="AS18" i="33" s="1"/>
  <c r="H76" i="33"/>
  <c r="G76" i="33"/>
  <c r="AR18" i="33" s="1"/>
  <c r="F76" i="33"/>
  <c r="AQ18" i="33" s="1"/>
  <c r="E76" i="33"/>
  <c r="BM75" i="33"/>
  <c r="AI75" i="33"/>
  <c r="AH75" i="33"/>
  <c r="AG75" i="33"/>
  <c r="AG76" i="33" s="1"/>
  <c r="AG3" i="33" s="1"/>
  <c r="AI74" i="33"/>
  <c r="AH74" i="33"/>
  <c r="BW73" i="33"/>
  <c r="BW80" i="33" s="1"/>
  <c r="BV73" i="33"/>
  <c r="BV80" i="33" s="1"/>
  <c r="BU73" i="33"/>
  <c r="BU80" i="33" s="1"/>
  <c r="BT73" i="33"/>
  <c r="BT80" i="33" s="1"/>
  <c r="BS73" i="33"/>
  <c r="BR73" i="33"/>
  <c r="BR80" i="33" s="1"/>
  <c r="BQ73" i="33"/>
  <c r="BQ80" i="33" s="1"/>
  <c r="BP73" i="33"/>
  <c r="BP80" i="33" s="1"/>
  <c r="BO73" i="33"/>
  <c r="BO80" i="33" s="1"/>
  <c r="BN73" i="33"/>
  <c r="BN80" i="33" s="1"/>
  <c r="BM73" i="33"/>
  <c r="BM80" i="33" s="1"/>
  <c r="BL73" i="33"/>
  <c r="BL80" i="33" s="1"/>
  <c r="BK73" i="33"/>
  <c r="BJ73" i="33"/>
  <c r="BJ80" i="33" s="1"/>
  <c r="BI73" i="33"/>
  <c r="BI80" i="33" s="1"/>
  <c r="BH73" i="33"/>
  <c r="BH80" i="33" s="1"/>
  <c r="BG73" i="33"/>
  <c r="BG80" i="33" s="1"/>
  <c r="BF73" i="33"/>
  <c r="BF80" i="33" s="1"/>
  <c r="BE73" i="33"/>
  <c r="BE80" i="33" s="1"/>
  <c r="BD73" i="33"/>
  <c r="BD80" i="33" s="1"/>
  <c r="BC73" i="33"/>
  <c r="BC80" i="33" s="1"/>
  <c r="BB73" i="33"/>
  <c r="BB80" i="33" s="1"/>
  <c r="BA73" i="33"/>
  <c r="BA80" i="33" s="1"/>
  <c r="AZ73" i="33"/>
  <c r="AZ80" i="33" s="1"/>
  <c r="AI73" i="33"/>
  <c r="AH73" i="33"/>
  <c r="BW72" i="33"/>
  <c r="BW79" i="33" s="1"/>
  <c r="BV72" i="33"/>
  <c r="BV79" i="33" s="1"/>
  <c r="BU72" i="33"/>
  <c r="BU79" i="33" s="1"/>
  <c r="BT72" i="33"/>
  <c r="BT79" i="33" s="1"/>
  <c r="BS72" i="33"/>
  <c r="BS79" i="33" s="1"/>
  <c r="BR72" i="33"/>
  <c r="BR79" i="33" s="1"/>
  <c r="BQ72" i="33"/>
  <c r="BQ79" i="33" s="1"/>
  <c r="BP72" i="33"/>
  <c r="BP79" i="33" s="1"/>
  <c r="BO72" i="33"/>
  <c r="BO79" i="33" s="1"/>
  <c r="BN72" i="33"/>
  <c r="BN79" i="33" s="1"/>
  <c r="BM72" i="33"/>
  <c r="BM79" i="33" s="1"/>
  <c r="BL72" i="33"/>
  <c r="BL79" i="33" s="1"/>
  <c r="BK72" i="33"/>
  <c r="BK79" i="33" s="1"/>
  <c r="BJ72" i="33"/>
  <c r="BJ79" i="33" s="1"/>
  <c r="BI72" i="33"/>
  <c r="BI79" i="33" s="1"/>
  <c r="BH72" i="33"/>
  <c r="BH79" i="33" s="1"/>
  <c r="BG72" i="33"/>
  <c r="BG79" i="33" s="1"/>
  <c r="BF72" i="33"/>
  <c r="BF79" i="33" s="1"/>
  <c r="BE72" i="33"/>
  <c r="BD72" i="33"/>
  <c r="BD79" i="33" s="1"/>
  <c r="BC72" i="33"/>
  <c r="BC79" i="33" s="1"/>
  <c r="BB72" i="33"/>
  <c r="BB79" i="33" s="1"/>
  <c r="BA72" i="33"/>
  <c r="BA79" i="33" s="1"/>
  <c r="AZ72" i="33"/>
  <c r="AZ79" i="33" s="1"/>
  <c r="AI72" i="33"/>
  <c r="AH72" i="33"/>
  <c r="BW71" i="33"/>
  <c r="BW78" i="33" s="1"/>
  <c r="BV71" i="33"/>
  <c r="BV78" i="33" s="1"/>
  <c r="BU71" i="33"/>
  <c r="BU78" i="33" s="1"/>
  <c r="BT71" i="33"/>
  <c r="BT78" i="33" s="1"/>
  <c r="BS71" i="33"/>
  <c r="BS78" i="33" s="1"/>
  <c r="BR71" i="33"/>
  <c r="BR78" i="33" s="1"/>
  <c r="BQ71" i="33"/>
  <c r="BQ78" i="33" s="1"/>
  <c r="BP71" i="33"/>
  <c r="BP78" i="33" s="1"/>
  <c r="BO71" i="33"/>
  <c r="BO78" i="33" s="1"/>
  <c r="BN71" i="33"/>
  <c r="BN78" i="33" s="1"/>
  <c r="BM71" i="33"/>
  <c r="BM78" i="33" s="1"/>
  <c r="BL71" i="33"/>
  <c r="BL78" i="33" s="1"/>
  <c r="BK71" i="33"/>
  <c r="BK78" i="33" s="1"/>
  <c r="BJ71" i="33"/>
  <c r="BJ78" i="33" s="1"/>
  <c r="BI71" i="33"/>
  <c r="BI78" i="33" s="1"/>
  <c r="BH71" i="33"/>
  <c r="BH78" i="33" s="1"/>
  <c r="BG71" i="33"/>
  <c r="BG78" i="33" s="1"/>
  <c r="BF71" i="33"/>
  <c r="BF78" i="33" s="1"/>
  <c r="BE71" i="33"/>
  <c r="BE78" i="33" s="1"/>
  <c r="BD71" i="33"/>
  <c r="BD78" i="33" s="1"/>
  <c r="BC71" i="33"/>
  <c r="BC78" i="33" s="1"/>
  <c r="BB71" i="33"/>
  <c r="BB78" i="33" s="1"/>
  <c r="BA71" i="33"/>
  <c r="BA78" i="33" s="1"/>
  <c r="AZ71" i="33"/>
  <c r="AZ78" i="33" s="1"/>
  <c r="AI71" i="33"/>
  <c r="AH71" i="33"/>
  <c r="BW70" i="33"/>
  <c r="BW77" i="33" s="1"/>
  <c r="BV70" i="33"/>
  <c r="BV77" i="33" s="1"/>
  <c r="BU70" i="33"/>
  <c r="BU77" i="33" s="1"/>
  <c r="BT70" i="33"/>
  <c r="BT77" i="33" s="1"/>
  <c r="BS70" i="33"/>
  <c r="BS77" i="33" s="1"/>
  <c r="BR70" i="33"/>
  <c r="BR77" i="33" s="1"/>
  <c r="BQ70" i="33"/>
  <c r="BQ77" i="33" s="1"/>
  <c r="BP70" i="33"/>
  <c r="BP77" i="33" s="1"/>
  <c r="BO70" i="33"/>
  <c r="BO77" i="33" s="1"/>
  <c r="BN70" i="33"/>
  <c r="BN77" i="33" s="1"/>
  <c r="BM70" i="33"/>
  <c r="BM77" i="33" s="1"/>
  <c r="BL70" i="33"/>
  <c r="BL77" i="33" s="1"/>
  <c r="BK70" i="33"/>
  <c r="BK77" i="33" s="1"/>
  <c r="BJ70" i="33"/>
  <c r="BJ77" i="33" s="1"/>
  <c r="BI70" i="33"/>
  <c r="BI77" i="33" s="1"/>
  <c r="BH70" i="33"/>
  <c r="BH77" i="33" s="1"/>
  <c r="BG70" i="33"/>
  <c r="BG77" i="33" s="1"/>
  <c r="BF70" i="33"/>
  <c r="BF77" i="33" s="1"/>
  <c r="BE70" i="33"/>
  <c r="BE77" i="33" s="1"/>
  <c r="BD70" i="33"/>
  <c r="BD77" i="33" s="1"/>
  <c r="BC70" i="33"/>
  <c r="BC77" i="33" s="1"/>
  <c r="BB70" i="33"/>
  <c r="BB77" i="33" s="1"/>
  <c r="BA70" i="33"/>
  <c r="BA77" i="33" s="1"/>
  <c r="AZ70" i="33"/>
  <c r="AZ77" i="33" s="1"/>
  <c r="AI70" i="33"/>
  <c r="AH70" i="33"/>
  <c r="BW69" i="33"/>
  <c r="BW76" i="33" s="1"/>
  <c r="BV69" i="33"/>
  <c r="BV76" i="33" s="1"/>
  <c r="BU69" i="33"/>
  <c r="BU76" i="33" s="1"/>
  <c r="BT69" i="33"/>
  <c r="BT76" i="33" s="1"/>
  <c r="BS69" i="33"/>
  <c r="BS76" i="33" s="1"/>
  <c r="BR69" i="33"/>
  <c r="BR76" i="33" s="1"/>
  <c r="BQ69" i="33"/>
  <c r="BQ76" i="33" s="1"/>
  <c r="BP69" i="33"/>
  <c r="BP76" i="33" s="1"/>
  <c r="BO69" i="33"/>
  <c r="BO76" i="33" s="1"/>
  <c r="BN69" i="33"/>
  <c r="BN76" i="33" s="1"/>
  <c r="BM69" i="33"/>
  <c r="BM76" i="33" s="1"/>
  <c r="BL69" i="33"/>
  <c r="BL76" i="33" s="1"/>
  <c r="BK69" i="33"/>
  <c r="BK76" i="33" s="1"/>
  <c r="BJ69" i="33"/>
  <c r="BJ76" i="33" s="1"/>
  <c r="BI69" i="33"/>
  <c r="BI76" i="33" s="1"/>
  <c r="BH69" i="33"/>
  <c r="BH76" i="33" s="1"/>
  <c r="BG69" i="33"/>
  <c r="BG76" i="33" s="1"/>
  <c r="BF69" i="33"/>
  <c r="BF76" i="33" s="1"/>
  <c r="BE69" i="33"/>
  <c r="BE76" i="33" s="1"/>
  <c r="BD69" i="33"/>
  <c r="BD76" i="33" s="1"/>
  <c r="BC69" i="33"/>
  <c r="BB69" i="33"/>
  <c r="BB76" i="33" s="1"/>
  <c r="BA69" i="33"/>
  <c r="BA76" i="33" s="1"/>
  <c r="AZ69" i="33"/>
  <c r="AZ76" i="33" s="1"/>
  <c r="AI69" i="33"/>
  <c r="AH69" i="33"/>
  <c r="BW68" i="33"/>
  <c r="BW75" i="33" s="1"/>
  <c r="BV68" i="33"/>
  <c r="BV75" i="33" s="1"/>
  <c r="BU68" i="33"/>
  <c r="BU75" i="33" s="1"/>
  <c r="BT68" i="33"/>
  <c r="BT75" i="33" s="1"/>
  <c r="BS68" i="33"/>
  <c r="BS75" i="33" s="1"/>
  <c r="BR68" i="33"/>
  <c r="BR75" i="33" s="1"/>
  <c r="BQ68" i="33"/>
  <c r="BQ75" i="33" s="1"/>
  <c r="BP68" i="33"/>
  <c r="BP75" i="33" s="1"/>
  <c r="BO68" i="33"/>
  <c r="BO75" i="33" s="1"/>
  <c r="BN68" i="33"/>
  <c r="BN75" i="33" s="1"/>
  <c r="BM68" i="33"/>
  <c r="BL68" i="33"/>
  <c r="BL75" i="33" s="1"/>
  <c r="BK68" i="33"/>
  <c r="BK75" i="33" s="1"/>
  <c r="BJ68" i="33"/>
  <c r="BJ75" i="33" s="1"/>
  <c r="BI68" i="33"/>
  <c r="BI75" i="33" s="1"/>
  <c r="BH68" i="33"/>
  <c r="BH75" i="33" s="1"/>
  <c r="BG68" i="33"/>
  <c r="BG75" i="33" s="1"/>
  <c r="BF68" i="33"/>
  <c r="BF75" i="33" s="1"/>
  <c r="BE68" i="33"/>
  <c r="BE75" i="33" s="1"/>
  <c r="BD68" i="33"/>
  <c r="BD75" i="33" s="1"/>
  <c r="BC68" i="33"/>
  <c r="BC75" i="33" s="1"/>
  <c r="BB68" i="33"/>
  <c r="BB75" i="33" s="1"/>
  <c r="BA68" i="33"/>
  <c r="BA75" i="33" s="1"/>
  <c r="AZ68" i="33"/>
  <c r="AZ75" i="33" s="1"/>
  <c r="AI68" i="33"/>
  <c r="AH68" i="33"/>
  <c r="AI67" i="33"/>
  <c r="AH67" i="33"/>
  <c r="AI66" i="33"/>
  <c r="AH66" i="33"/>
  <c r="AI65" i="33"/>
  <c r="AH65" i="33"/>
  <c r="AI64" i="33"/>
  <c r="AH64" i="33"/>
  <c r="AI63" i="33"/>
  <c r="AH63" i="33"/>
  <c r="AG62" i="33"/>
  <c r="BJ17" i="33"/>
  <c r="AE62" i="33"/>
  <c r="BI17" i="33" s="1"/>
  <c r="AD62" i="33"/>
  <c r="BH17" i="33" s="1"/>
  <c r="AC62" i="33"/>
  <c r="AB62" i="33"/>
  <c r="AA62" i="33"/>
  <c r="Z62" i="33"/>
  <c r="BF17" i="33" s="1"/>
  <c r="Y62" i="33"/>
  <c r="X62" i="33"/>
  <c r="BE17" i="33" s="1"/>
  <c r="W62" i="33"/>
  <c r="V62" i="33"/>
  <c r="U62" i="33"/>
  <c r="BC17" i="33" s="1"/>
  <c r="T62" i="33"/>
  <c r="BB17" i="33" s="1"/>
  <c r="S62" i="33"/>
  <c r="BA17" i="33" s="1"/>
  <c r="R62" i="33"/>
  <c r="Q62" i="33"/>
  <c r="AY17" i="33" s="1"/>
  <c r="N62" i="33"/>
  <c r="AV17" i="33" s="1"/>
  <c r="M62" i="33"/>
  <c r="L62" i="33"/>
  <c r="K62" i="33"/>
  <c r="AT17" i="33" s="1"/>
  <c r="J62" i="33"/>
  <c r="I62" i="33"/>
  <c r="AS17" i="33" s="1"/>
  <c r="H62" i="33"/>
  <c r="G62" i="33"/>
  <c r="AR17" i="33" s="1"/>
  <c r="F62" i="33"/>
  <c r="AQ17" i="33" s="1"/>
  <c r="E62" i="33"/>
  <c r="AI61" i="33"/>
  <c r="AH61" i="33"/>
  <c r="AI60" i="33"/>
  <c r="AH60" i="33"/>
  <c r="AI59" i="33"/>
  <c r="AH59" i="33"/>
  <c r="AG58" i="33"/>
  <c r="AG2" i="33" s="1"/>
  <c r="AF58" i="33"/>
  <c r="AE58" i="33"/>
  <c r="AD58" i="33"/>
  <c r="AC58" i="33"/>
  <c r="AB58" i="33"/>
  <c r="BG16" i="33" s="1"/>
  <c r="AA58" i="33"/>
  <c r="Z58" i="33"/>
  <c r="Y58" i="33"/>
  <c r="X58" i="33"/>
  <c r="BE16" i="33" s="1"/>
  <c r="W58" i="33"/>
  <c r="V58" i="33"/>
  <c r="U58" i="33"/>
  <c r="BC16" i="33" s="1"/>
  <c r="T58" i="33"/>
  <c r="S58" i="33"/>
  <c r="R58" i="33"/>
  <c r="Q58" i="33"/>
  <c r="N58" i="33"/>
  <c r="M58" i="33"/>
  <c r="AU16" i="33" s="1"/>
  <c r="L58" i="33"/>
  <c r="K58" i="33"/>
  <c r="J58" i="33"/>
  <c r="I58" i="33"/>
  <c r="H58" i="33"/>
  <c r="G58" i="33"/>
  <c r="AR16" i="33" s="1"/>
  <c r="F58" i="33"/>
  <c r="E58" i="33"/>
  <c r="AI56" i="33"/>
  <c r="AH56" i="33"/>
  <c r="AI55" i="33"/>
  <c r="AH55" i="33"/>
  <c r="AI54" i="33"/>
  <c r="AH54" i="33"/>
  <c r="AI53" i="33"/>
  <c r="AH53" i="33"/>
  <c r="AI52" i="33"/>
  <c r="AH52" i="33"/>
  <c r="AI51" i="33"/>
  <c r="AH51" i="33"/>
  <c r="AI50" i="33"/>
  <c r="AH50" i="33"/>
  <c r="AI49" i="33"/>
  <c r="AH49" i="33"/>
  <c r="AI48" i="33"/>
  <c r="AH48" i="33"/>
  <c r="AI47" i="33"/>
  <c r="AH47" i="33"/>
  <c r="AI46" i="33"/>
  <c r="AH46" i="33"/>
  <c r="AI45" i="33"/>
  <c r="AH45" i="33"/>
  <c r="AI44" i="33"/>
  <c r="AH44" i="33"/>
  <c r="AI43" i="33"/>
  <c r="AH43" i="33"/>
  <c r="AI42" i="33"/>
  <c r="AH42" i="33"/>
  <c r="AI41" i="33"/>
  <c r="AH41" i="33"/>
  <c r="AI40" i="33"/>
  <c r="AH40" i="33"/>
  <c r="AI39" i="33"/>
  <c r="AH39" i="33"/>
  <c r="AI38" i="33"/>
  <c r="AH38" i="33"/>
  <c r="AI37" i="33"/>
  <c r="AH37" i="33"/>
  <c r="AI36" i="33"/>
  <c r="AH36" i="33"/>
  <c r="AI35" i="33"/>
  <c r="AH35" i="33"/>
  <c r="AI34" i="33"/>
  <c r="AH34" i="33"/>
  <c r="AI33" i="33"/>
  <c r="AH33" i="33"/>
  <c r="AI32" i="33"/>
  <c r="AH32" i="33"/>
  <c r="AI31" i="33"/>
  <c r="AH31" i="33"/>
  <c r="AI30" i="33"/>
  <c r="AH30" i="33"/>
  <c r="AI29" i="33"/>
  <c r="AH29" i="33"/>
  <c r="AI28" i="33"/>
  <c r="AH28" i="33"/>
  <c r="AI27" i="33"/>
  <c r="AH27" i="33"/>
  <c r="AI26" i="33"/>
  <c r="AH26" i="33"/>
  <c r="AI25" i="33"/>
  <c r="AH25" i="33"/>
  <c r="AI24" i="33"/>
  <c r="AH24" i="33"/>
  <c r="AI23" i="33"/>
  <c r="AH23" i="33"/>
  <c r="AI22" i="33"/>
  <c r="AH22" i="33"/>
  <c r="BJ21" i="33"/>
  <c r="BI21" i="33"/>
  <c r="BH21" i="33"/>
  <c r="BG21" i="33"/>
  <c r="BF21" i="33"/>
  <c r="BE21" i="33"/>
  <c r="BD21" i="33"/>
  <c r="BC21" i="33"/>
  <c r="BB21" i="33"/>
  <c r="BA21" i="33"/>
  <c r="AZ21" i="33"/>
  <c r="AY21" i="33"/>
  <c r="AX21" i="33"/>
  <c r="AW21" i="33"/>
  <c r="AV21" i="33"/>
  <c r="AU21" i="33"/>
  <c r="AT21" i="33"/>
  <c r="AS21" i="33"/>
  <c r="AR21" i="33"/>
  <c r="AQ21" i="33"/>
  <c r="AP21" i="33"/>
  <c r="AO21" i="33"/>
  <c r="AN21" i="33"/>
  <c r="AM21" i="33"/>
  <c r="AI21" i="33"/>
  <c r="AH21" i="33"/>
  <c r="BI20" i="33"/>
  <c r="BH20" i="33"/>
  <c r="BG20" i="33"/>
  <c r="BF20" i="33"/>
  <c r="BD20" i="33"/>
  <c r="AY20" i="33"/>
  <c r="AT20" i="33"/>
  <c r="AS20" i="33"/>
  <c r="AQ20" i="33"/>
  <c r="AP20" i="33"/>
  <c r="AI20" i="33"/>
  <c r="AH20" i="33"/>
  <c r="BJ19" i="33"/>
  <c r="AP19" i="33"/>
  <c r="AI19" i="33"/>
  <c r="AH19" i="33"/>
  <c r="BJ18" i="33"/>
  <c r="BH18" i="33"/>
  <c r="AT18" i="33"/>
  <c r="AO18" i="33"/>
  <c r="AN18" i="33"/>
  <c r="AM18" i="33"/>
  <c r="AI18" i="33"/>
  <c r="AH18" i="33"/>
  <c r="BG17" i="33"/>
  <c r="BD17" i="33"/>
  <c r="AZ17" i="33"/>
  <c r="AX17" i="33"/>
  <c r="AW17" i="33"/>
  <c r="AU17" i="33"/>
  <c r="AM17" i="33"/>
  <c r="AI17" i="33"/>
  <c r="AH17" i="33"/>
  <c r="BJ16" i="33"/>
  <c r="BI16" i="33"/>
  <c r="AY16" i="33"/>
  <c r="AX16" i="33"/>
  <c r="AW16" i="33"/>
  <c r="AP16" i="33"/>
  <c r="AM16" i="33"/>
  <c r="AI16" i="33"/>
  <c r="AH16" i="33"/>
  <c r="AI15" i="33"/>
  <c r="AH15" i="33"/>
  <c r="AI14" i="33"/>
  <c r="AH14" i="33"/>
  <c r="AI13" i="33"/>
  <c r="AH13" i="33"/>
  <c r="AL12" i="33"/>
  <c r="AI12" i="33"/>
  <c r="AH12" i="33"/>
  <c r="AI11" i="33"/>
  <c r="AH11" i="33"/>
  <c r="AE5" i="33"/>
  <c r="AG4" i="33"/>
  <c r="K4" i="33"/>
  <c r="E4" i="33"/>
  <c r="H4" i="33" s="1"/>
  <c r="B4" i="33"/>
  <c r="D258" i="33" s="1"/>
  <c r="AF121" i="32"/>
  <c r="AF57" i="32"/>
  <c r="AF58" i="32"/>
  <c r="AF62" i="32"/>
  <c r="AF76" i="32"/>
  <c r="AF80" i="32"/>
  <c r="AE121" i="32"/>
  <c r="AE57" i="32"/>
  <c r="AE58" i="32"/>
  <c r="AE62" i="32"/>
  <c r="AE76" i="32"/>
  <c r="AE80" i="32"/>
  <c r="AE92" i="32"/>
  <c r="AE101" i="32"/>
  <c r="AE102" i="32"/>
  <c r="AE103" i="32"/>
  <c r="AE104" i="32"/>
  <c r="AE105" i="32"/>
  <c r="AD121" i="32"/>
  <c r="AD57" i="32"/>
  <c r="AC57" i="32"/>
  <c r="G118" i="34" l="1"/>
  <c r="H246" i="34"/>
  <c r="G252" i="34"/>
  <c r="AI100" i="34"/>
  <c r="B7" i="34"/>
  <c r="A7" i="34" s="1"/>
  <c r="AH100" i="34"/>
  <c r="AC5" i="33"/>
  <c r="AC107" i="33"/>
  <c r="AA5" i="33"/>
  <c r="BG22" i="33"/>
  <c r="AA97" i="33"/>
  <c r="AA99" i="33" s="1"/>
  <c r="BF19" i="33"/>
  <c r="Z97" i="33"/>
  <c r="Z99" i="33" s="1"/>
  <c r="Y107" i="33"/>
  <c r="Y108" i="33" s="1"/>
  <c r="U5" i="33"/>
  <c r="T5" i="33"/>
  <c r="U107" i="33"/>
  <c r="BC23" i="33" s="1"/>
  <c r="BB19" i="33"/>
  <c r="Q5" i="33"/>
  <c r="R97" i="33"/>
  <c r="R99" i="33" s="1"/>
  <c r="P5" i="33"/>
  <c r="Q107" i="33"/>
  <c r="Q108" i="33" s="1"/>
  <c r="O5" i="33"/>
  <c r="AW19" i="33"/>
  <c r="AV19" i="33"/>
  <c r="M107" i="33"/>
  <c r="AU23" i="33" s="1"/>
  <c r="L5" i="33"/>
  <c r="L107" i="33"/>
  <c r="L108" i="33" s="1"/>
  <c r="AU22" i="33"/>
  <c r="AU24" i="33" s="1"/>
  <c r="BC22" i="33"/>
  <c r="BC24" i="33" s="1"/>
  <c r="AD5" i="33"/>
  <c r="BF16" i="33"/>
  <c r="BF22" i="33" s="1"/>
  <c r="S107" i="33"/>
  <c r="BA23" i="33" s="1"/>
  <c r="AA107" i="33"/>
  <c r="AA108" i="33" s="1"/>
  <c r="Q97" i="33"/>
  <c r="Q99" i="33" s="1"/>
  <c r="Y97" i="33"/>
  <c r="Y99" i="33" s="1"/>
  <c r="Y100" i="33" s="1"/>
  <c r="Y7" i="33" s="1"/>
  <c r="C107" i="33"/>
  <c r="AN23" i="33" s="1"/>
  <c r="O107" i="33"/>
  <c r="AW23" i="33" s="1"/>
  <c r="W107" i="33"/>
  <c r="AE107" i="33"/>
  <c r="BI23" i="33" s="1"/>
  <c r="N107" i="33"/>
  <c r="AV23" i="33" s="1"/>
  <c r="V107" i="33"/>
  <c r="BD23" i="33" s="1"/>
  <c r="AD107" i="33"/>
  <c r="BH23" i="33" s="1"/>
  <c r="AI103" i="33"/>
  <c r="AY22" i="33"/>
  <c r="BJ22" i="33"/>
  <c r="T97" i="33"/>
  <c r="T99" i="33" s="1"/>
  <c r="AB97" i="33"/>
  <c r="AB99" i="33" s="1"/>
  <c r="AW22" i="33"/>
  <c r="R107" i="33"/>
  <c r="AZ23" i="33" s="1"/>
  <c r="Z107" i="33"/>
  <c r="BF23" i="33" s="1"/>
  <c r="P97" i="33"/>
  <c r="P99" i="33" s="1"/>
  <c r="P107" i="33"/>
  <c r="AX23" i="33" s="1"/>
  <c r="X107" i="33"/>
  <c r="BE23" i="33" s="1"/>
  <c r="AH103" i="33"/>
  <c r="T107" i="33"/>
  <c r="BB23" i="33" s="1"/>
  <c r="AB107" i="33"/>
  <c r="BG23" i="33" s="1"/>
  <c r="BG24" i="33" s="1"/>
  <c r="AZ16" i="33"/>
  <c r="AZ22" i="33" s="1"/>
  <c r="N97" i="33"/>
  <c r="N99" i="33" s="1"/>
  <c r="V97" i="33"/>
  <c r="V99" i="33" s="1"/>
  <c r="AD97" i="33"/>
  <c r="AD99" i="33" s="1"/>
  <c r="AD100" i="33" s="1"/>
  <c r="AD7" i="33" s="1"/>
  <c r="E118" i="33"/>
  <c r="D107" i="33"/>
  <c r="AO23" i="33" s="1"/>
  <c r="O97" i="33"/>
  <c r="O99" i="33" s="1"/>
  <c r="AE97" i="33"/>
  <c r="AE99" i="33" s="1"/>
  <c r="BI22" i="33"/>
  <c r="X97" i="33"/>
  <c r="X99" i="33" s="1"/>
  <c r="W97" i="33"/>
  <c r="W99" i="33" s="1"/>
  <c r="L97" i="33"/>
  <c r="L99" i="33" s="1"/>
  <c r="K107" i="33"/>
  <c r="AT23" i="33" s="1"/>
  <c r="AH102" i="33"/>
  <c r="J107" i="33"/>
  <c r="J108" i="33" s="1"/>
  <c r="J97" i="33"/>
  <c r="J99" i="33" s="1"/>
  <c r="I107" i="33"/>
  <c r="I97" i="33"/>
  <c r="I99" i="33" s="1"/>
  <c r="I100" i="33" s="1"/>
  <c r="I7" i="33" s="1"/>
  <c r="H5" i="33"/>
  <c r="AI62" i="33"/>
  <c r="AS16" i="33"/>
  <c r="AS22" i="33" s="1"/>
  <c r="H107" i="33"/>
  <c r="H108" i="33"/>
  <c r="H97" i="33"/>
  <c r="H99" i="33" s="1"/>
  <c r="H100" i="33" s="1"/>
  <c r="H7" i="33" s="1"/>
  <c r="G5" i="33"/>
  <c r="AI57" i="33"/>
  <c r="F5" i="33"/>
  <c r="G107" i="33"/>
  <c r="AR23" i="33" s="1"/>
  <c r="AI76" i="33"/>
  <c r="AR22" i="33"/>
  <c r="F107" i="33"/>
  <c r="AQ23" i="33" s="1"/>
  <c r="F108" i="33"/>
  <c r="AQ19" i="33"/>
  <c r="E5" i="33"/>
  <c r="F97" i="33"/>
  <c r="F99" i="33" s="1"/>
  <c r="AI104" i="33"/>
  <c r="E107" i="33"/>
  <c r="AP23" i="33" s="1"/>
  <c r="AP18" i="33"/>
  <c r="AP17" i="33"/>
  <c r="D97" i="33"/>
  <c r="D99" i="33" s="1"/>
  <c r="D100" i="33" s="1"/>
  <c r="D7" i="33" s="1"/>
  <c r="AO19" i="33"/>
  <c r="D108" i="33"/>
  <c r="AH57" i="33"/>
  <c r="C108" i="33"/>
  <c r="AM19" i="33"/>
  <c r="AM22" i="33" s="1"/>
  <c r="B108" i="33"/>
  <c r="B97" i="33"/>
  <c r="B99" i="33" s="1"/>
  <c r="B100" i="33" s="1"/>
  <c r="AI101" i="33"/>
  <c r="AL13" i="33"/>
  <c r="K97" i="33"/>
  <c r="K99" i="33" s="1"/>
  <c r="AT16" i="33"/>
  <c r="AT22" i="33" s="1"/>
  <c r="AX22" i="33"/>
  <c r="I108" i="33"/>
  <c r="AS23" i="33"/>
  <c r="C97" i="33"/>
  <c r="C99" i="33" s="1"/>
  <c r="C100" i="33" s="1"/>
  <c r="C7" i="33" s="1"/>
  <c r="AN16" i="33"/>
  <c r="S97" i="33"/>
  <c r="S99" i="33" s="1"/>
  <c r="BA16" i="33"/>
  <c r="BA22" i="33" s="1"/>
  <c r="AN17" i="33"/>
  <c r="AG6" i="33"/>
  <c r="AH62" i="33"/>
  <c r="AH58" i="33"/>
  <c r="AI58" i="33"/>
  <c r="AI92" i="33"/>
  <c r="B5" i="33"/>
  <c r="J5" i="33"/>
  <c r="R5" i="33"/>
  <c r="Z5" i="33"/>
  <c r="BB16" i="33"/>
  <c r="BB22" i="33" s="1"/>
  <c r="AN19" i="33"/>
  <c r="AH76" i="33"/>
  <c r="T108" i="33"/>
  <c r="AG97" i="33"/>
  <c r="BE19" i="33"/>
  <c r="BE22" i="33" s="1"/>
  <c r="BE24" i="33" s="1"/>
  <c r="AC108" i="33"/>
  <c r="AV16" i="33"/>
  <c r="AV22" i="33" s="1"/>
  <c r="AH80" i="33"/>
  <c r="AI80" i="33"/>
  <c r="G97" i="33"/>
  <c r="G99" i="33" s="1"/>
  <c r="BD16" i="33"/>
  <c r="BD22" i="33" s="1"/>
  <c r="AO16" i="33"/>
  <c r="AO22" i="33" s="1"/>
  <c r="AO24" i="33" s="1"/>
  <c r="G108" i="33"/>
  <c r="W108" i="33"/>
  <c r="D252" i="33"/>
  <c r="BG84" i="33" a="1"/>
  <c r="F246" i="33"/>
  <c r="E252" i="33"/>
  <c r="AQ16" i="33"/>
  <c r="AQ22" i="33" s="1"/>
  <c r="AQ24" i="33" s="1"/>
  <c r="BH16" i="33"/>
  <c r="BH22" i="33" s="1"/>
  <c r="BH24" i="33" s="1"/>
  <c r="BJ23" i="33"/>
  <c r="E97" i="33"/>
  <c r="E99" i="33" s="1"/>
  <c r="M97" i="33"/>
  <c r="M99" i="33" s="1"/>
  <c r="M100" i="33" s="1"/>
  <c r="M7" i="33" s="1"/>
  <c r="U97" i="33"/>
  <c r="U99" i="33" s="1"/>
  <c r="AC97" i="33"/>
  <c r="AC99" i="33" s="1"/>
  <c r="AC100" i="33" s="1"/>
  <c r="AC7" i="33" s="1"/>
  <c r="AH92" i="33"/>
  <c r="AG99" i="33"/>
  <c r="AH101" i="33"/>
  <c r="AI102" i="33"/>
  <c r="AI105" i="33"/>
  <c r="AH104" i="33"/>
  <c r="AH105" i="33"/>
  <c r="AE107" i="32"/>
  <c r="AE97" i="32"/>
  <c r="AE99" i="32" s="1"/>
  <c r="AE100" i="32" s="1"/>
  <c r="AE108" i="32"/>
  <c r="I246" i="34" l="1"/>
  <c r="H252" i="34"/>
  <c r="H118" i="34"/>
  <c r="BJ24" i="33"/>
  <c r="AE108" i="33"/>
  <c r="BI24" i="33"/>
  <c r="AE100" i="33"/>
  <c r="AE7" i="33" s="1"/>
  <c r="AD108" i="33"/>
  <c r="AB100" i="33"/>
  <c r="AB7" i="33" s="1"/>
  <c r="Z108" i="33"/>
  <c r="X108" i="33"/>
  <c r="X100" i="33"/>
  <c r="X7" i="33" s="1"/>
  <c r="V100" i="33"/>
  <c r="V7" i="33" s="1"/>
  <c r="U100" i="33"/>
  <c r="U7" i="33" s="1"/>
  <c r="U108" i="33"/>
  <c r="S108" i="33"/>
  <c r="BA24" i="33"/>
  <c r="S100" i="33"/>
  <c r="S7" i="33" s="1"/>
  <c r="Q100" i="33"/>
  <c r="Q7" i="33" s="1"/>
  <c r="AY23" i="33"/>
  <c r="AY24" i="33" s="1"/>
  <c r="AX24" i="33"/>
  <c r="O108" i="33"/>
  <c r="AV24" i="33"/>
  <c r="N108" i="33"/>
  <c r="N100" i="33"/>
  <c r="N7" i="33" s="1"/>
  <c r="M108" i="33"/>
  <c r="L100" i="33"/>
  <c r="L7" i="33" s="1"/>
  <c r="T100" i="33"/>
  <c r="T7" i="33" s="1"/>
  <c r="V108" i="33"/>
  <c r="K108" i="33"/>
  <c r="R108" i="33"/>
  <c r="BB24" i="33"/>
  <c r="O100" i="33"/>
  <c r="O7" i="33" s="1"/>
  <c r="AF7" i="33"/>
  <c r="P108" i="33"/>
  <c r="BD24" i="33"/>
  <c r="E108" i="33"/>
  <c r="AP22" i="33"/>
  <c r="P100" i="33"/>
  <c r="P7" i="33" s="1"/>
  <c r="AA100" i="33"/>
  <c r="AA7" i="33" s="1"/>
  <c r="Z100" i="33"/>
  <c r="Z7" i="33" s="1"/>
  <c r="R100" i="33"/>
  <c r="R7" i="33" s="1"/>
  <c r="AZ24" i="33"/>
  <c r="E100" i="33"/>
  <c r="E7" i="33" s="1"/>
  <c r="AB108" i="33"/>
  <c r="K100" i="33"/>
  <c r="K7" i="33" s="1"/>
  <c r="F100" i="33"/>
  <c r="F7" i="33" s="1"/>
  <c r="W100" i="33"/>
  <c r="W7" i="33" s="1"/>
  <c r="AW24" i="33"/>
  <c r="BF24" i="33"/>
  <c r="J100" i="33"/>
  <c r="J7" i="33" s="1"/>
  <c r="AT24" i="33"/>
  <c r="AS24" i="33"/>
  <c r="AR24" i="33"/>
  <c r="AP24" i="33"/>
  <c r="AN22" i="33"/>
  <c r="AN24" i="33" s="1"/>
  <c r="AI97" i="33"/>
  <c r="AH97" i="33"/>
  <c r="AI107" i="33"/>
  <c r="AH107" i="33"/>
  <c r="AM23" i="33"/>
  <c r="AM24" i="33" s="1"/>
  <c r="G246" i="33"/>
  <c r="F118" i="33"/>
  <c r="F252" i="33"/>
  <c r="BJ107" i="33"/>
  <c r="BH106" i="33"/>
  <c r="BL104" i="33"/>
  <c r="BJ103" i="33"/>
  <c r="BH102" i="33"/>
  <c r="BL100" i="33"/>
  <c r="BJ99" i="33"/>
  <c r="BH98" i="33"/>
  <c r="BL96" i="33"/>
  <c r="BJ95" i="33"/>
  <c r="BH94" i="33"/>
  <c r="BL92" i="33"/>
  <c r="BJ91" i="33"/>
  <c r="BH90" i="33"/>
  <c r="BL88" i="33"/>
  <c r="BJ87" i="33"/>
  <c r="BH86" i="33"/>
  <c r="BL84" i="33"/>
  <c r="BH107" i="33"/>
  <c r="BL105" i="33"/>
  <c r="BJ104" i="33"/>
  <c r="BH103" i="33"/>
  <c r="BL101" i="33"/>
  <c r="BJ100" i="33"/>
  <c r="BH99" i="33"/>
  <c r="BL97" i="33"/>
  <c r="BJ96" i="33"/>
  <c r="BH95" i="33"/>
  <c r="BL93" i="33"/>
  <c r="BJ92" i="33"/>
  <c r="BH91" i="33"/>
  <c r="BL89" i="33"/>
  <c r="BJ88" i="33"/>
  <c r="BH87" i="33"/>
  <c r="BL85" i="33"/>
  <c r="BJ84" i="33"/>
  <c r="BG107" i="33"/>
  <c r="BK105" i="33"/>
  <c r="BI104" i="33"/>
  <c r="BG103" i="33"/>
  <c r="BK101" i="33"/>
  <c r="BI100" i="33"/>
  <c r="BG99" i="33"/>
  <c r="BK97" i="33"/>
  <c r="BI96" i="33"/>
  <c r="BG95" i="33"/>
  <c r="BK93" i="33"/>
  <c r="BI92" i="33"/>
  <c r="BG91" i="33"/>
  <c r="BK89" i="33"/>
  <c r="BI88" i="33"/>
  <c r="BG87" i="33"/>
  <c r="BK85" i="33"/>
  <c r="BI84" i="33"/>
  <c r="BK107" i="33"/>
  <c r="BI105" i="33"/>
  <c r="BI103" i="33"/>
  <c r="BH101" i="33"/>
  <c r="BL98" i="33"/>
  <c r="BG97" i="33"/>
  <c r="BK94" i="33"/>
  <c r="BK92" i="33"/>
  <c r="BJ90" i="33"/>
  <c r="BH88" i="33"/>
  <c r="BI86" i="33"/>
  <c r="BG84" i="33"/>
  <c r="BK96" i="33"/>
  <c r="BI107" i="33"/>
  <c r="BH105" i="33"/>
  <c r="BL102" i="33"/>
  <c r="BG101" i="33"/>
  <c r="BK98" i="33"/>
  <c r="BJ94" i="33"/>
  <c r="BH92" i="33"/>
  <c r="BI90" i="33"/>
  <c r="BG88" i="33"/>
  <c r="BG86" i="33"/>
  <c r="BL106" i="33"/>
  <c r="BG105" i="33"/>
  <c r="BK102" i="33"/>
  <c r="BK100" i="33"/>
  <c r="BJ98" i="33"/>
  <c r="BH96" i="33"/>
  <c r="BI94" i="33"/>
  <c r="BG92" i="33"/>
  <c r="BG90" i="33"/>
  <c r="BL87" i="33"/>
  <c r="BJ85" i="33"/>
  <c r="BK106" i="33"/>
  <c r="BK104" i="33"/>
  <c r="BJ102" i="33"/>
  <c r="BH100" i="33"/>
  <c r="BI98" i="33"/>
  <c r="BG96" i="33"/>
  <c r="BG94" i="33"/>
  <c r="BL91" i="33"/>
  <c r="BJ89" i="33"/>
  <c r="BK87" i="33"/>
  <c r="BI85" i="33"/>
  <c r="BJ106" i="33"/>
  <c r="BH104" i="33"/>
  <c r="BI102" i="33"/>
  <c r="BG100" i="33"/>
  <c r="BG98" i="33"/>
  <c r="BL95" i="33"/>
  <c r="BJ93" i="33"/>
  <c r="BK91" i="33"/>
  <c r="BI89" i="33"/>
  <c r="BI87" i="33"/>
  <c r="BH85" i="33"/>
  <c r="BI106" i="33"/>
  <c r="BG104" i="33"/>
  <c r="BG102" i="33"/>
  <c r="BL99" i="33"/>
  <c r="BJ97" i="33"/>
  <c r="BK95" i="33"/>
  <c r="BI93" i="33"/>
  <c r="BI91" i="33"/>
  <c r="BH89" i="33"/>
  <c r="BL86" i="33"/>
  <c r="BG85" i="33"/>
  <c r="BJ105" i="33"/>
  <c r="BI101" i="33"/>
  <c r="BH97" i="33"/>
  <c r="BG93" i="33"/>
  <c r="BJ86" i="33"/>
  <c r="BG106" i="33"/>
  <c r="BL103" i="33"/>
  <c r="BJ101" i="33"/>
  <c r="BK99" i="33"/>
  <c r="BI97" i="33"/>
  <c r="BI95" i="33"/>
  <c r="BH93" i="33"/>
  <c r="BL90" i="33"/>
  <c r="BG89" i="33"/>
  <c r="BK86" i="33"/>
  <c r="BK84" i="33"/>
  <c r="BL107" i="33"/>
  <c r="BK103" i="33"/>
  <c r="BI99" i="33"/>
  <c r="BL94" i="33"/>
  <c r="BK90" i="33"/>
  <c r="BK88" i="33"/>
  <c r="BH84" i="33"/>
  <c r="C256" i="33"/>
  <c r="G100" i="33"/>
  <c r="G7" i="33" s="1"/>
  <c r="B256" i="33"/>
  <c r="AB57" i="32"/>
  <c r="AB58" i="32"/>
  <c r="AB62" i="32"/>
  <c r="AB76" i="32"/>
  <c r="AB80" i="32"/>
  <c r="AB92" i="32"/>
  <c r="AB101" i="32"/>
  <c r="AB102" i="32"/>
  <c r="AB103" i="32"/>
  <c r="AB104" i="32"/>
  <c r="AB105" i="32"/>
  <c r="I252" i="34" l="1"/>
  <c r="I118" i="34"/>
  <c r="J246" i="34"/>
  <c r="AH108" i="33"/>
  <c r="AI108" i="33"/>
  <c r="AT8" i="33"/>
  <c r="AT9" i="33"/>
  <c r="K6" i="33"/>
  <c r="H246" i="33"/>
  <c r="G252" i="33"/>
  <c r="G118" i="33"/>
  <c r="AH99" i="33"/>
  <c r="AI99" i="33"/>
  <c r="AB107" i="32"/>
  <c r="AB108" i="32" s="1"/>
  <c r="AB97" i="32"/>
  <c r="AB99" i="32" s="1"/>
  <c r="AB100" i="32" s="1"/>
  <c r="J252" i="34" l="1"/>
  <c r="J118" i="34"/>
  <c r="K246" i="34"/>
  <c r="AI100" i="33"/>
  <c r="AH100" i="33"/>
  <c r="B7" i="33"/>
  <c r="A7" i="33" s="1"/>
  <c r="I246" i="33"/>
  <c r="H118" i="33"/>
  <c r="H252" i="33"/>
  <c r="K252" i="34" l="1"/>
  <c r="K118" i="34"/>
  <c r="L246" i="34"/>
  <c r="I252" i="33"/>
  <c r="I118" i="33"/>
  <c r="J246" i="33"/>
  <c r="L252" i="34" l="1"/>
  <c r="L118" i="34"/>
  <c r="M246" i="34"/>
  <c r="J252" i="33"/>
  <c r="J118" i="33"/>
  <c r="K246" i="33"/>
  <c r="N246" i="34" l="1"/>
  <c r="M252" i="34"/>
  <c r="M118" i="34"/>
  <c r="K252" i="33"/>
  <c r="K118" i="33"/>
  <c r="L246" i="33"/>
  <c r="O246" i="34" l="1"/>
  <c r="N252" i="34"/>
  <c r="N118" i="34"/>
  <c r="L252" i="33"/>
  <c r="L118" i="33"/>
  <c r="M246" i="33"/>
  <c r="P246" i="34" l="1"/>
  <c r="O118" i="34"/>
  <c r="O252" i="34"/>
  <c r="N246" i="33"/>
  <c r="M252" i="33"/>
  <c r="M118" i="33"/>
  <c r="Q246" i="34" l="1"/>
  <c r="P252" i="34"/>
  <c r="O246" i="33"/>
  <c r="N252" i="33"/>
  <c r="N118" i="33"/>
  <c r="Q252" i="34" l="1"/>
  <c r="R246" i="34"/>
  <c r="Q118" i="34"/>
  <c r="P246" i="33"/>
  <c r="O252" i="33"/>
  <c r="O118" i="33"/>
  <c r="R252" i="34" l="1"/>
  <c r="R118" i="34"/>
  <c r="S246" i="34"/>
  <c r="Q246" i="33"/>
  <c r="P252" i="33"/>
  <c r="S252" i="34" l="1"/>
  <c r="T246" i="34"/>
  <c r="Q252" i="33"/>
  <c r="R246" i="33"/>
  <c r="Q118" i="33"/>
  <c r="T252" i="34" l="1"/>
  <c r="U246" i="34"/>
  <c r="R252" i="33"/>
  <c r="R118" i="33"/>
  <c r="S246" i="33"/>
  <c r="U118" i="34" l="1"/>
  <c r="V246" i="34"/>
  <c r="U252" i="34"/>
  <c r="S252" i="33"/>
  <c r="S118" i="33"/>
  <c r="T246" i="33"/>
  <c r="W246" i="34" l="1"/>
  <c r="V252" i="34"/>
  <c r="T252" i="33"/>
  <c r="T118" i="33"/>
  <c r="U246" i="33"/>
  <c r="W118" i="34" l="1"/>
  <c r="W252" i="34"/>
  <c r="X246" i="34"/>
  <c r="U118" i="33"/>
  <c r="V246" i="33"/>
  <c r="U252" i="33"/>
  <c r="Y246" i="34" l="1"/>
  <c r="X252" i="34"/>
  <c r="W246" i="33"/>
  <c r="V252" i="33"/>
  <c r="V118" i="33"/>
  <c r="Y252" i="34" l="1"/>
  <c r="Z246" i="34"/>
  <c r="X246" i="33"/>
  <c r="W252" i="33"/>
  <c r="W118" i="33"/>
  <c r="Z252" i="34" l="1"/>
  <c r="AA246" i="34"/>
  <c r="Y246" i="33"/>
  <c r="X118" i="33"/>
  <c r="X252" i="33"/>
  <c r="AA252" i="34" l="1"/>
  <c r="AB246" i="34"/>
  <c r="Y252" i="33"/>
  <c r="Z246" i="33"/>
  <c r="AB252" i="34" l="1"/>
  <c r="AC246" i="34"/>
  <c r="AB118" i="34"/>
  <c r="Z252" i="33"/>
  <c r="AA246" i="33"/>
  <c r="AC118" i="34" l="1"/>
  <c r="AD246" i="34"/>
  <c r="AC252" i="34"/>
  <c r="AA252" i="33"/>
  <c r="AA118" i="33"/>
  <c r="AB246" i="33"/>
  <c r="AE246" i="34" l="1"/>
  <c r="AD252" i="34"/>
  <c r="AD118" i="34"/>
  <c r="AB252" i="33"/>
  <c r="AB118" i="33"/>
  <c r="AC246" i="33"/>
  <c r="AE118" i="34" l="1"/>
  <c r="AE252" i="34"/>
  <c r="AF246" i="34"/>
  <c r="AC118" i="33"/>
  <c r="AD246" i="33"/>
  <c r="AC252" i="33"/>
  <c r="AF252" i="34" l="1"/>
  <c r="B246" i="34"/>
  <c r="AF118" i="34"/>
  <c r="AE246" i="33"/>
  <c r="AD252" i="33"/>
  <c r="AD118" i="33"/>
  <c r="B252" i="34" l="1"/>
  <c r="AF246" i="33"/>
  <c r="AE252" i="33"/>
  <c r="AE118" i="33"/>
  <c r="AI118" i="34" l="1"/>
  <c r="AH118" i="34"/>
  <c r="AF252" i="33"/>
  <c r="AF118" i="33"/>
  <c r="B246" i="33"/>
  <c r="B252" i="33" l="1"/>
  <c r="B118" i="33"/>
  <c r="AI118" i="33" l="1"/>
  <c r="AH118" i="33"/>
  <c r="L121" i="32" l="1"/>
  <c r="L57" i="32"/>
  <c r="K121" i="32"/>
  <c r="K57" i="32"/>
  <c r="J57" i="32"/>
  <c r="I121" i="32"/>
  <c r="I57" i="32"/>
  <c r="H121" i="32"/>
  <c r="H57" i="32"/>
  <c r="G121" i="32"/>
  <c r="G57" i="32"/>
  <c r="F121" i="32"/>
  <c r="F57" i="32"/>
  <c r="AH125" i="32" l="1"/>
  <c r="AI125" i="32"/>
  <c r="AH124" i="32"/>
  <c r="AI124" i="32"/>
  <c r="E57" i="32"/>
  <c r="D58" i="32"/>
  <c r="D62" i="32"/>
  <c r="D76" i="32"/>
  <c r="D80" i="32"/>
  <c r="AO20" i="32" s="1"/>
  <c r="D92" i="32"/>
  <c r="D101" i="32"/>
  <c r="D102" i="32"/>
  <c r="D103" i="32"/>
  <c r="D104" i="32"/>
  <c r="D105" i="32"/>
  <c r="D107" i="32" s="1"/>
  <c r="AO23" i="32" s="1"/>
  <c r="D118" i="32"/>
  <c r="C58" i="32"/>
  <c r="C62" i="32"/>
  <c r="C76" i="32"/>
  <c r="C80" i="32"/>
  <c r="C92" i="32"/>
  <c r="C101" i="32"/>
  <c r="C102" i="32"/>
  <c r="C103" i="32"/>
  <c r="C104" i="32"/>
  <c r="C105" i="32"/>
  <c r="C118" i="32"/>
  <c r="B105" i="32"/>
  <c r="B104" i="32"/>
  <c r="B103" i="32"/>
  <c r="B102" i="32"/>
  <c r="B101" i="32"/>
  <c r="B92" i="32"/>
  <c r="B80" i="32"/>
  <c r="B76" i="32"/>
  <c r="B62" i="32"/>
  <c r="B58" i="32"/>
  <c r="AH11" i="32"/>
  <c r="AI11" i="32"/>
  <c r="AG252" i="32"/>
  <c r="C252" i="32"/>
  <c r="D251" i="32"/>
  <c r="E251" i="32" s="1"/>
  <c r="F251" i="32" s="1"/>
  <c r="G251" i="32" s="1"/>
  <c r="H251" i="32" s="1"/>
  <c r="I251" i="32" s="1"/>
  <c r="J251" i="32" s="1"/>
  <c r="K251" i="32" s="1"/>
  <c r="L251" i="32" s="1"/>
  <c r="M251" i="32" s="1"/>
  <c r="N251" i="32" s="1"/>
  <c r="O251" i="32" s="1"/>
  <c r="P251" i="32" s="1"/>
  <c r="Q251" i="32" s="1"/>
  <c r="R251" i="32" s="1"/>
  <c r="S251" i="32" s="1"/>
  <c r="T251" i="32" s="1"/>
  <c r="U251" i="32" s="1"/>
  <c r="V251" i="32" s="1"/>
  <c r="W251" i="32" s="1"/>
  <c r="X251" i="32" s="1"/>
  <c r="Y251" i="32" s="1"/>
  <c r="Z251" i="32" s="1"/>
  <c r="AA251" i="32" s="1"/>
  <c r="AB251" i="32" s="1"/>
  <c r="AC251" i="32" s="1"/>
  <c r="AD251" i="32" s="1"/>
  <c r="AE251" i="32" s="1"/>
  <c r="AF251" i="32" s="1"/>
  <c r="B251" i="32" s="1"/>
  <c r="D250" i="32"/>
  <c r="E250" i="32" s="1"/>
  <c r="F250" i="32" s="1"/>
  <c r="G250" i="32" s="1"/>
  <c r="H250" i="32" s="1"/>
  <c r="I250" i="32" s="1"/>
  <c r="J250" i="32" s="1"/>
  <c r="K250" i="32" s="1"/>
  <c r="L250" i="32" s="1"/>
  <c r="M250" i="32" s="1"/>
  <c r="N250" i="32" s="1"/>
  <c r="O250" i="32" s="1"/>
  <c r="P250" i="32" s="1"/>
  <c r="Q250" i="32" s="1"/>
  <c r="R250" i="32" s="1"/>
  <c r="S250" i="32" s="1"/>
  <c r="T250" i="32" s="1"/>
  <c r="U250" i="32" s="1"/>
  <c r="V250" i="32" s="1"/>
  <c r="W250" i="32" s="1"/>
  <c r="X250" i="32" s="1"/>
  <c r="Y250" i="32" s="1"/>
  <c r="Z250" i="32" s="1"/>
  <c r="AA250" i="32" s="1"/>
  <c r="AB250" i="32" s="1"/>
  <c r="AC250" i="32" s="1"/>
  <c r="AD250" i="32" s="1"/>
  <c r="AE250" i="32" s="1"/>
  <c r="AF250" i="32" s="1"/>
  <c r="B250" i="32" s="1"/>
  <c r="D249" i="32"/>
  <c r="E249" i="32" s="1"/>
  <c r="F249" i="32" s="1"/>
  <c r="G249" i="32" s="1"/>
  <c r="H249" i="32" s="1"/>
  <c r="I249" i="32" s="1"/>
  <c r="J249" i="32" s="1"/>
  <c r="K249" i="32" s="1"/>
  <c r="L249" i="32" s="1"/>
  <c r="M249" i="32" s="1"/>
  <c r="N249" i="32" s="1"/>
  <c r="O249" i="32" s="1"/>
  <c r="P249" i="32" s="1"/>
  <c r="Q249" i="32" s="1"/>
  <c r="R249" i="32" s="1"/>
  <c r="S249" i="32" s="1"/>
  <c r="T249" i="32" s="1"/>
  <c r="U249" i="32" s="1"/>
  <c r="V249" i="32" s="1"/>
  <c r="W249" i="32" s="1"/>
  <c r="X249" i="32" s="1"/>
  <c r="Y249" i="32" s="1"/>
  <c r="Z249" i="32" s="1"/>
  <c r="AA249" i="32" s="1"/>
  <c r="AB249" i="32" s="1"/>
  <c r="AC249" i="32" s="1"/>
  <c r="AD249" i="32" s="1"/>
  <c r="AE249" i="32" s="1"/>
  <c r="AF249" i="32" s="1"/>
  <c r="B249" i="32" s="1"/>
  <c r="D248" i="32"/>
  <c r="E248" i="32" s="1"/>
  <c r="F248" i="32" s="1"/>
  <c r="G248" i="32" s="1"/>
  <c r="H248" i="32" s="1"/>
  <c r="I248" i="32" s="1"/>
  <c r="J248" i="32" s="1"/>
  <c r="K248" i="32" s="1"/>
  <c r="L248" i="32" s="1"/>
  <c r="M248" i="32" s="1"/>
  <c r="N248" i="32" s="1"/>
  <c r="O248" i="32" s="1"/>
  <c r="P248" i="32" s="1"/>
  <c r="Q248" i="32" s="1"/>
  <c r="R248" i="32" s="1"/>
  <c r="S248" i="32" s="1"/>
  <c r="T248" i="32" s="1"/>
  <c r="U248" i="32" s="1"/>
  <c r="V248" i="32" s="1"/>
  <c r="W248" i="32" s="1"/>
  <c r="X248" i="32" s="1"/>
  <c r="Y248" i="32" s="1"/>
  <c r="Z248" i="32" s="1"/>
  <c r="AA248" i="32" s="1"/>
  <c r="AB248" i="32" s="1"/>
  <c r="AC248" i="32" s="1"/>
  <c r="AD248" i="32" s="1"/>
  <c r="AE248" i="32" s="1"/>
  <c r="AF248" i="32" s="1"/>
  <c r="B248" i="32" s="1"/>
  <c r="D247" i="32"/>
  <c r="E247" i="32" s="1"/>
  <c r="F247" i="32" s="1"/>
  <c r="G247" i="32" s="1"/>
  <c r="H247" i="32" s="1"/>
  <c r="I247" i="32" s="1"/>
  <c r="J247" i="32" s="1"/>
  <c r="K247" i="32" s="1"/>
  <c r="L247" i="32" s="1"/>
  <c r="M247" i="32" s="1"/>
  <c r="N247" i="32" s="1"/>
  <c r="O247" i="32" s="1"/>
  <c r="P247" i="32" s="1"/>
  <c r="Q247" i="32" s="1"/>
  <c r="R247" i="32" s="1"/>
  <c r="S247" i="32" s="1"/>
  <c r="T247" i="32" s="1"/>
  <c r="U247" i="32" s="1"/>
  <c r="V247" i="32" s="1"/>
  <c r="W247" i="32" s="1"/>
  <c r="X247" i="32" s="1"/>
  <c r="Y247" i="32" s="1"/>
  <c r="Z247" i="32" s="1"/>
  <c r="AA247" i="32" s="1"/>
  <c r="AB247" i="32" s="1"/>
  <c r="AC247" i="32" s="1"/>
  <c r="AD247" i="32" s="1"/>
  <c r="AE247" i="32" s="1"/>
  <c r="AF247" i="32" s="1"/>
  <c r="B247" i="32" s="1"/>
  <c r="D246" i="32"/>
  <c r="E246" i="32" s="1"/>
  <c r="AG244" i="32"/>
  <c r="AF244" i="32"/>
  <c r="AE244" i="32"/>
  <c r="AD244" i="32"/>
  <c r="AC244" i="32"/>
  <c r="AB244" i="32"/>
  <c r="AA244" i="32"/>
  <c r="Z244" i="32"/>
  <c r="Z118" i="32" s="1"/>
  <c r="Y244" i="32"/>
  <c r="X244" i="32"/>
  <c r="W244" i="32"/>
  <c r="V244" i="32"/>
  <c r="U244" i="32"/>
  <c r="T244" i="32"/>
  <c r="S244" i="32"/>
  <c r="R244" i="32"/>
  <c r="Q244" i="32"/>
  <c r="P244" i="32"/>
  <c r="O244" i="32"/>
  <c r="N244" i="32"/>
  <c r="M244" i="32"/>
  <c r="L244" i="32"/>
  <c r="K244" i="32"/>
  <c r="J244" i="32"/>
  <c r="I244" i="32"/>
  <c r="H244" i="32"/>
  <c r="G244" i="32"/>
  <c r="F244" i="32"/>
  <c r="E244" i="32"/>
  <c r="D244" i="32"/>
  <c r="C244" i="32"/>
  <c r="B244" i="32"/>
  <c r="AI130" i="32"/>
  <c r="AH130" i="32"/>
  <c r="AI129" i="32"/>
  <c r="AH129" i="32"/>
  <c r="AI128" i="32"/>
  <c r="AH128" i="32"/>
  <c r="AI127" i="32"/>
  <c r="AH127" i="32"/>
  <c r="AI126" i="32"/>
  <c r="AH126" i="32"/>
  <c r="AI123" i="32"/>
  <c r="AH123" i="32"/>
  <c r="AI122" i="32"/>
  <c r="AH122" i="32"/>
  <c r="AI121" i="32"/>
  <c r="AH121" i="32"/>
  <c r="AI120" i="32"/>
  <c r="AH120" i="32"/>
  <c r="AI119" i="32"/>
  <c r="AH119" i="32"/>
  <c r="Y118" i="32"/>
  <c r="AI117" i="32"/>
  <c r="AH117" i="32"/>
  <c r="AI116" i="32"/>
  <c r="AH116" i="32"/>
  <c r="AI115" i="32"/>
  <c r="AH115" i="32"/>
  <c r="AI114" i="32"/>
  <c r="AH114" i="32"/>
  <c r="AI113" i="32"/>
  <c r="AH113" i="32"/>
  <c r="AI112" i="32"/>
  <c r="AH112" i="32"/>
  <c r="AI111" i="32"/>
  <c r="AH111" i="32"/>
  <c r="AI110" i="32"/>
  <c r="AH110" i="32"/>
  <c r="AI109" i="32"/>
  <c r="AH109" i="32"/>
  <c r="AI106" i="32"/>
  <c r="AH106" i="32"/>
  <c r="AF105" i="32"/>
  <c r="AD105" i="32"/>
  <c r="AC105" i="32"/>
  <c r="AA105" i="32"/>
  <c r="Z105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AF104" i="32"/>
  <c r="AD104" i="32"/>
  <c r="AC104" i="32"/>
  <c r="AA104" i="32"/>
  <c r="Z104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AF103" i="32"/>
  <c r="AD103" i="32"/>
  <c r="AC103" i="32"/>
  <c r="BG23" i="32"/>
  <c r="AA103" i="32"/>
  <c r="Z103" i="32"/>
  <c r="Y103" i="32"/>
  <c r="X103" i="32"/>
  <c r="W103" i="32"/>
  <c r="V103" i="32"/>
  <c r="U103" i="32"/>
  <c r="T103" i="32"/>
  <c r="S103" i="32"/>
  <c r="R103" i="32"/>
  <c r="Q103" i="32"/>
  <c r="P103" i="32"/>
  <c r="O103" i="32"/>
  <c r="N103" i="32"/>
  <c r="M103" i="32"/>
  <c r="L103" i="32"/>
  <c r="K103" i="32"/>
  <c r="J103" i="32"/>
  <c r="I103" i="32"/>
  <c r="H103" i="32"/>
  <c r="G103" i="32"/>
  <c r="F103" i="32"/>
  <c r="E103" i="32"/>
  <c r="AF102" i="32"/>
  <c r="AD102" i="32"/>
  <c r="AC102" i="32"/>
  <c r="AA102" i="32"/>
  <c r="Z102" i="32"/>
  <c r="Y102" i="32"/>
  <c r="X102" i="32"/>
  <c r="W102" i="32"/>
  <c r="V102" i="32"/>
  <c r="U102" i="32"/>
  <c r="T102" i="32"/>
  <c r="S102" i="32"/>
  <c r="R102" i="32"/>
  <c r="Q102" i="32"/>
  <c r="P102" i="32"/>
  <c r="O102" i="32"/>
  <c r="N102" i="32"/>
  <c r="M102" i="32"/>
  <c r="L102" i="32"/>
  <c r="K102" i="32"/>
  <c r="J102" i="32"/>
  <c r="I102" i="32"/>
  <c r="H102" i="32"/>
  <c r="G102" i="32"/>
  <c r="F102" i="32"/>
  <c r="E102" i="32"/>
  <c r="AF101" i="32"/>
  <c r="AD101" i="32"/>
  <c r="AC101" i="32"/>
  <c r="AA101" i="32"/>
  <c r="Z101" i="32"/>
  <c r="Y101" i="32"/>
  <c r="X101" i="32"/>
  <c r="W101" i="32"/>
  <c r="V101" i="32"/>
  <c r="U101" i="32"/>
  <c r="T101" i="32"/>
  <c r="S101" i="32"/>
  <c r="R101" i="32"/>
  <c r="Q101" i="32"/>
  <c r="P101" i="32"/>
  <c r="O101" i="32"/>
  <c r="N101" i="32"/>
  <c r="M101" i="32"/>
  <c r="L101" i="32"/>
  <c r="K101" i="32"/>
  <c r="J101" i="32"/>
  <c r="I101" i="32"/>
  <c r="H101" i="32"/>
  <c r="G101" i="32"/>
  <c r="F101" i="32"/>
  <c r="E101" i="32"/>
  <c r="AI98" i="32"/>
  <c r="AH98" i="32"/>
  <c r="AI96" i="32"/>
  <c r="AH96" i="32"/>
  <c r="AG96" i="32"/>
  <c r="AI95" i="32"/>
  <c r="AH95" i="32"/>
  <c r="AI94" i="32"/>
  <c r="AH94" i="32"/>
  <c r="AI93" i="32"/>
  <c r="AH93" i="32"/>
  <c r="AG92" i="32"/>
  <c r="AF92" i="32"/>
  <c r="BJ19" i="32" s="1"/>
  <c r="AD92" i="32"/>
  <c r="BH19" i="32" s="1"/>
  <c r="AC92" i="32"/>
  <c r="AB5" i="32" s="1"/>
  <c r="BG19" i="32"/>
  <c r="AA92" i="32"/>
  <c r="Z5" i="32" s="1"/>
  <c r="Z92" i="32"/>
  <c r="BF19" i="32" s="1"/>
  <c r="Y92" i="32"/>
  <c r="X5" i="32" s="1"/>
  <c r="X92" i="32"/>
  <c r="BE19" i="32" s="1"/>
  <c r="W92" i="32"/>
  <c r="V5" i="32" s="1"/>
  <c r="V92" i="32"/>
  <c r="U5" i="32" s="1"/>
  <c r="U92" i="32"/>
  <c r="BC19" i="32" s="1"/>
  <c r="T92" i="32"/>
  <c r="S5" i="32" s="1"/>
  <c r="S92" i="32"/>
  <c r="BA19" i="32" s="1"/>
  <c r="R92" i="32"/>
  <c r="Q5" i="32" s="1"/>
  <c r="Q92" i="32"/>
  <c r="AY19" i="32" s="1"/>
  <c r="P92" i="32"/>
  <c r="AX19" i="32" s="1"/>
  <c r="O92" i="32"/>
  <c r="AW19" i="32" s="1"/>
  <c r="N92" i="32"/>
  <c r="AV19" i="32" s="1"/>
  <c r="M92" i="32"/>
  <c r="AU19" i="32" s="1"/>
  <c r="L92" i="32"/>
  <c r="K92" i="32"/>
  <c r="AT19" i="32" s="1"/>
  <c r="J92" i="32"/>
  <c r="I92" i="32"/>
  <c r="AS19" i="32" s="1"/>
  <c r="H92" i="32"/>
  <c r="G5" i="32" s="1"/>
  <c r="G92" i="32"/>
  <c r="F5" i="32" s="1"/>
  <c r="F92" i="32"/>
  <c r="AQ19" i="32" s="1"/>
  <c r="E92" i="32"/>
  <c r="AP19" i="32" s="1"/>
  <c r="AI91" i="32"/>
  <c r="AH91" i="32"/>
  <c r="AI90" i="32"/>
  <c r="AH90" i="32"/>
  <c r="AI89" i="32"/>
  <c r="AH89" i="32"/>
  <c r="AI88" i="32"/>
  <c r="AH88" i="32"/>
  <c r="AI87" i="32"/>
  <c r="AH87" i="32"/>
  <c r="AI86" i="32"/>
  <c r="AH86" i="32"/>
  <c r="AI85" i="32"/>
  <c r="AH85" i="32"/>
  <c r="AI84" i="32"/>
  <c r="AH84" i="32"/>
  <c r="AI83" i="32"/>
  <c r="AH83" i="32"/>
  <c r="AI82" i="32"/>
  <c r="AH82" i="32"/>
  <c r="AI81" i="32"/>
  <c r="AH81" i="32"/>
  <c r="BI80" i="32"/>
  <c r="BA80" i="32"/>
  <c r="AG80" i="32"/>
  <c r="AD80" i="32"/>
  <c r="BH20" i="32" s="1"/>
  <c r="AC80" i="32"/>
  <c r="AA80" i="32"/>
  <c r="Z80" i="32"/>
  <c r="Y80" i="32"/>
  <c r="X80" i="32"/>
  <c r="BE20" i="32" s="1"/>
  <c r="W80" i="32"/>
  <c r="V80" i="32"/>
  <c r="U80" i="32"/>
  <c r="BC20" i="32" s="1"/>
  <c r="T80" i="32"/>
  <c r="S80" i="32"/>
  <c r="BA20" i="32" s="1"/>
  <c r="R80" i="32"/>
  <c r="AZ20" i="32" s="1"/>
  <c r="Q80" i="32"/>
  <c r="AY20" i="32" s="1"/>
  <c r="P80" i="32"/>
  <c r="O80" i="32"/>
  <c r="N80" i="32"/>
  <c r="M80" i="32"/>
  <c r="AU20" i="32" s="1"/>
  <c r="L80" i="32"/>
  <c r="K80" i="32"/>
  <c r="J80" i="32"/>
  <c r="I80" i="32"/>
  <c r="AS20" i="32" s="1"/>
  <c r="H80" i="32"/>
  <c r="G80" i="32"/>
  <c r="AR20" i="32" s="1"/>
  <c r="F80" i="32"/>
  <c r="E80" i="32"/>
  <c r="AP20" i="32" s="1"/>
  <c r="AN20" i="32"/>
  <c r="BC79" i="32"/>
  <c r="AI79" i="32"/>
  <c r="AH79" i="32"/>
  <c r="BB78" i="32"/>
  <c r="AI78" i="32"/>
  <c r="AH78" i="32"/>
  <c r="AI77" i="32"/>
  <c r="AH77" i="32"/>
  <c r="BO76" i="32"/>
  <c r="BF76" i="32"/>
  <c r="BI18" i="32"/>
  <c r="AD76" i="32"/>
  <c r="BH18" i="32" s="1"/>
  <c r="AC76" i="32"/>
  <c r="AA76" i="32"/>
  <c r="Z76" i="32"/>
  <c r="BF18" i="32" s="1"/>
  <c r="Y76" i="32"/>
  <c r="X76" i="32"/>
  <c r="BE18" i="32" s="1"/>
  <c r="W76" i="32"/>
  <c r="V76" i="32"/>
  <c r="BD18" i="32" s="1"/>
  <c r="U76" i="32"/>
  <c r="BC18" i="32" s="1"/>
  <c r="T76" i="32"/>
  <c r="BB18" i="32" s="1"/>
  <c r="S76" i="32"/>
  <c r="BA18" i="32" s="1"/>
  <c r="R76" i="32"/>
  <c r="AZ18" i="32" s="1"/>
  <c r="Q76" i="32"/>
  <c r="AY18" i="32" s="1"/>
  <c r="P76" i="32"/>
  <c r="AX18" i="32" s="1"/>
  <c r="O76" i="32"/>
  <c r="AW18" i="32" s="1"/>
  <c r="N76" i="32"/>
  <c r="M76" i="32"/>
  <c r="L76" i="32"/>
  <c r="K76" i="32"/>
  <c r="AT18" i="32" s="1"/>
  <c r="J76" i="32"/>
  <c r="I76" i="32"/>
  <c r="AS18" i="32" s="1"/>
  <c r="H76" i="32"/>
  <c r="G76" i="32"/>
  <c r="AR18" i="32" s="1"/>
  <c r="F76" i="32"/>
  <c r="AQ18" i="32" s="1"/>
  <c r="E76" i="32"/>
  <c r="AI75" i="32"/>
  <c r="AH75" i="32"/>
  <c r="AG75" i="32"/>
  <c r="AG76" i="32" s="1"/>
  <c r="AG3" i="32" s="1"/>
  <c r="AG6" i="32" s="1"/>
  <c r="AI74" i="32"/>
  <c r="AH74" i="32"/>
  <c r="BW73" i="32"/>
  <c r="BW80" i="32" s="1"/>
  <c r="BV73" i="32"/>
  <c r="BV80" i="32" s="1"/>
  <c r="BU73" i="32"/>
  <c r="BU80" i="32" s="1"/>
  <c r="BT73" i="32"/>
  <c r="BT80" i="32" s="1"/>
  <c r="BS73" i="32"/>
  <c r="BS80" i="32" s="1"/>
  <c r="BR73" i="32"/>
  <c r="BR80" i="32" s="1"/>
  <c r="BQ73" i="32"/>
  <c r="BQ80" i="32" s="1"/>
  <c r="BP73" i="32"/>
  <c r="BP80" i="32" s="1"/>
  <c r="BO73" i="32"/>
  <c r="BO80" i="32" s="1"/>
  <c r="BN73" i="32"/>
  <c r="BN80" i="32" s="1"/>
  <c r="BM73" i="32"/>
  <c r="BM80" i="32" s="1"/>
  <c r="BL73" i="32"/>
  <c r="BL80" i="32" s="1"/>
  <c r="BK73" i="32"/>
  <c r="BK80" i="32" s="1"/>
  <c r="BJ73" i="32"/>
  <c r="BJ80" i="32" s="1"/>
  <c r="BI73" i="32"/>
  <c r="BH73" i="32"/>
  <c r="BH80" i="32" s="1"/>
  <c r="BG73" i="32"/>
  <c r="BG80" i="32" s="1"/>
  <c r="BF73" i="32"/>
  <c r="BF80" i="32" s="1"/>
  <c r="BE73" i="32"/>
  <c r="BE80" i="32" s="1"/>
  <c r="BD73" i="32"/>
  <c r="BD80" i="32" s="1"/>
  <c r="BC73" i="32"/>
  <c r="BC80" i="32" s="1"/>
  <c r="BB73" i="32"/>
  <c r="BB80" i="32" s="1"/>
  <c r="BA73" i="32"/>
  <c r="AZ73" i="32"/>
  <c r="AZ80" i="32" s="1"/>
  <c r="AI73" i="32"/>
  <c r="AH73" i="32"/>
  <c r="BW72" i="32"/>
  <c r="BW79" i="32" s="1"/>
  <c r="BV72" i="32"/>
  <c r="BV79" i="32" s="1"/>
  <c r="BU72" i="32"/>
  <c r="BU79" i="32" s="1"/>
  <c r="BT72" i="32"/>
  <c r="BT79" i="32" s="1"/>
  <c r="BS72" i="32"/>
  <c r="BS79" i="32" s="1"/>
  <c r="BR72" i="32"/>
  <c r="BR79" i="32" s="1"/>
  <c r="BQ72" i="32"/>
  <c r="BQ79" i="32" s="1"/>
  <c r="BP72" i="32"/>
  <c r="BP79" i="32" s="1"/>
  <c r="BO72" i="32"/>
  <c r="BO79" i="32" s="1"/>
  <c r="BN72" i="32"/>
  <c r="BN79" i="32" s="1"/>
  <c r="BM72" i="32"/>
  <c r="BM79" i="32" s="1"/>
  <c r="BL72" i="32"/>
  <c r="BL79" i="32" s="1"/>
  <c r="BK72" i="32"/>
  <c r="BK79" i="32" s="1"/>
  <c r="BJ72" i="32"/>
  <c r="BJ79" i="32" s="1"/>
  <c r="BI72" i="32"/>
  <c r="BI79" i="32" s="1"/>
  <c r="BH72" i="32"/>
  <c r="BH79" i="32" s="1"/>
  <c r="BG72" i="32"/>
  <c r="BG79" i="32" s="1"/>
  <c r="BF72" i="32"/>
  <c r="BF79" i="32" s="1"/>
  <c r="BE72" i="32"/>
  <c r="BE79" i="32" s="1"/>
  <c r="BD72" i="32"/>
  <c r="BD79" i="32" s="1"/>
  <c r="BC72" i="32"/>
  <c r="BB72" i="32"/>
  <c r="BB79" i="32" s="1"/>
  <c r="BA72" i="32"/>
  <c r="BA79" i="32" s="1"/>
  <c r="AZ72" i="32"/>
  <c r="AZ79" i="32" s="1"/>
  <c r="AI72" i="32"/>
  <c r="AH72" i="32"/>
  <c r="BW71" i="32"/>
  <c r="BW78" i="32" s="1"/>
  <c r="BV71" i="32"/>
  <c r="BV78" i="32" s="1"/>
  <c r="BU71" i="32"/>
  <c r="BU78" i="32" s="1"/>
  <c r="BT71" i="32"/>
  <c r="BT78" i="32" s="1"/>
  <c r="BS71" i="32"/>
  <c r="BS78" i="32" s="1"/>
  <c r="BR71" i="32"/>
  <c r="BR78" i="32" s="1"/>
  <c r="BQ71" i="32"/>
  <c r="BQ78" i="32" s="1"/>
  <c r="BP71" i="32"/>
  <c r="BP78" i="32" s="1"/>
  <c r="BO71" i="32"/>
  <c r="BO78" i="32" s="1"/>
  <c r="BN71" i="32"/>
  <c r="BN78" i="32" s="1"/>
  <c r="BM71" i="32"/>
  <c r="BM78" i="32" s="1"/>
  <c r="BL71" i="32"/>
  <c r="BL78" i="32" s="1"/>
  <c r="BK71" i="32"/>
  <c r="BK78" i="32" s="1"/>
  <c r="BJ71" i="32"/>
  <c r="BJ78" i="32" s="1"/>
  <c r="BI71" i="32"/>
  <c r="BI78" i="32" s="1"/>
  <c r="BH71" i="32"/>
  <c r="BH78" i="32" s="1"/>
  <c r="BG71" i="32"/>
  <c r="BG78" i="32" s="1"/>
  <c r="BF71" i="32"/>
  <c r="BF78" i="32" s="1"/>
  <c r="BE71" i="32"/>
  <c r="BE78" i="32" s="1"/>
  <c r="BD71" i="32"/>
  <c r="BD78" i="32" s="1"/>
  <c r="BC71" i="32"/>
  <c r="BC78" i="32" s="1"/>
  <c r="BB71" i="32"/>
  <c r="BA71" i="32"/>
  <c r="BA78" i="32" s="1"/>
  <c r="AZ71" i="32"/>
  <c r="AZ78" i="32" s="1"/>
  <c r="AI71" i="32"/>
  <c r="AH71" i="32"/>
  <c r="BW70" i="32"/>
  <c r="BW77" i="32" s="1"/>
  <c r="BV70" i="32"/>
  <c r="BV77" i="32" s="1"/>
  <c r="BU70" i="32"/>
  <c r="BU77" i="32" s="1"/>
  <c r="BT70" i="32"/>
  <c r="BT77" i="32" s="1"/>
  <c r="BS70" i="32"/>
  <c r="BS77" i="32" s="1"/>
  <c r="BR70" i="32"/>
  <c r="BR77" i="32" s="1"/>
  <c r="BQ70" i="32"/>
  <c r="BQ77" i="32" s="1"/>
  <c r="BP70" i="32"/>
  <c r="BP77" i="32" s="1"/>
  <c r="BO70" i="32"/>
  <c r="BO77" i="32" s="1"/>
  <c r="BN70" i="32"/>
  <c r="BN77" i="32" s="1"/>
  <c r="BM70" i="32"/>
  <c r="BM77" i="32" s="1"/>
  <c r="BL70" i="32"/>
  <c r="BL77" i="32" s="1"/>
  <c r="BK70" i="32"/>
  <c r="BK77" i="32" s="1"/>
  <c r="BJ70" i="32"/>
  <c r="BJ77" i="32" s="1"/>
  <c r="BI70" i="32"/>
  <c r="BI77" i="32" s="1"/>
  <c r="BH70" i="32"/>
  <c r="BH77" i="32" s="1"/>
  <c r="BG70" i="32"/>
  <c r="BG77" i="32" s="1"/>
  <c r="BF70" i="32"/>
  <c r="BF77" i="32" s="1"/>
  <c r="BE70" i="32"/>
  <c r="BE77" i="32" s="1"/>
  <c r="BD70" i="32"/>
  <c r="BD77" i="32" s="1"/>
  <c r="BC70" i="32"/>
  <c r="BC77" i="32" s="1"/>
  <c r="BB70" i="32"/>
  <c r="BB77" i="32" s="1"/>
  <c r="BA70" i="32"/>
  <c r="BA77" i="32" s="1"/>
  <c r="AZ70" i="32"/>
  <c r="AZ77" i="32" s="1"/>
  <c r="AI70" i="32"/>
  <c r="AH70" i="32"/>
  <c r="BW69" i="32"/>
  <c r="BW76" i="32" s="1"/>
  <c r="BV69" i="32"/>
  <c r="BV76" i="32" s="1"/>
  <c r="BU69" i="32"/>
  <c r="BU76" i="32" s="1"/>
  <c r="BT69" i="32"/>
  <c r="BT76" i="32" s="1"/>
  <c r="BS69" i="32"/>
  <c r="BS76" i="32" s="1"/>
  <c r="BR69" i="32"/>
  <c r="BR76" i="32" s="1"/>
  <c r="BQ69" i="32"/>
  <c r="BQ76" i="32" s="1"/>
  <c r="BP69" i="32"/>
  <c r="BP76" i="32" s="1"/>
  <c r="BO69" i="32"/>
  <c r="BN69" i="32"/>
  <c r="BN76" i="32" s="1"/>
  <c r="BM69" i="32"/>
  <c r="BM76" i="32" s="1"/>
  <c r="BL69" i="32"/>
  <c r="BL76" i="32" s="1"/>
  <c r="BK69" i="32"/>
  <c r="BK76" i="32" s="1"/>
  <c r="BJ69" i="32"/>
  <c r="BJ76" i="32" s="1"/>
  <c r="BI69" i="32"/>
  <c r="BI76" i="32" s="1"/>
  <c r="BH69" i="32"/>
  <c r="BH76" i="32" s="1"/>
  <c r="BG69" i="32"/>
  <c r="BG76" i="32" s="1"/>
  <c r="BF69" i="32"/>
  <c r="BE69" i="32"/>
  <c r="BE76" i="32" s="1"/>
  <c r="BD69" i="32"/>
  <c r="BD76" i="32" s="1"/>
  <c r="BC69" i="32"/>
  <c r="BC76" i="32" s="1"/>
  <c r="BB69" i="32"/>
  <c r="BB76" i="32" s="1"/>
  <c r="BA69" i="32"/>
  <c r="BA76" i="32" s="1"/>
  <c r="AZ69" i="32"/>
  <c r="AZ76" i="32" s="1"/>
  <c r="AI69" i="32"/>
  <c r="AH69" i="32"/>
  <c r="BW68" i="32"/>
  <c r="BW75" i="32" s="1"/>
  <c r="BV68" i="32"/>
  <c r="BV75" i="32" s="1"/>
  <c r="BU68" i="32"/>
  <c r="BU75" i="32" s="1"/>
  <c r="BT68" i="32"/>
  <c r="BT75" i="32" s="1"/>
  <c r="BS68" i="32"/>
  <c r="BS75" i="32" s="1"/>
  <c r="BR68" i="32"/>
  <c r="BR75" i="32" s="1"/>
  <c r="BQ68" i="32"/>
  <c r="BQ75" i="32" s="1"/>
  <c r="BP68" i="32"/>
  <c r="BP75" i="32" s="1"/>
  <c r="BO68" i="32"/>
  <c r="BO75" i="32" s="1"/>
  <c r="BN68" i="32"/>
  <c r="BN75" i="32" s="1"/>
  <c r="BM68" i="32"/>
  <c r="BM75" i="32" s="1"/>
  <c r="BL68" i="32"/>
  <c r="BL75" i="32" s="1"/>
  <c r="BK68" i="32"/>
  <c r="BK75" i="32" s="1"/>
  <c r="BJ68" i="32"/>
  <c r="BJ75" i="32" s="1"/>
  <c r="BI68" i="32"/>
  <c r="BI75" i="32" s="1"/>
  <c r="BH68" i="32"/>
  <c r="BH75" i="32" s="1"/>
  <c r="BG68" i="32"/>
  <c r="BG75" i="32" s="1"/>
  <c r="BF68" i="32"/>
  <c r="BF75" i="32" s="1"/>
  <c r="BE68" i="32"/>
  <c r="BE75" i="32" s="1"/>
  <c r="BD68" i="32"/>
  <c r="BD75" i="32" s="1"/>
  <c r="BC68" i="32"/>
  <c r="BC75" i="32" s="1"/>
  <c r="BB68" i="32"/>
  <c r="BB75" i="32" s="1"/>
  <c r="BA68" i="32"/>
  <c r="BA75" i="32" s="1"/>
  <c r="AZ68" i="32"/>
  <c r="AZ75" i="32" s="1"/>
  <c r="AI68" i="32"/>
  <c r="AH68" i="32"/>
  <c r="AI67" i="32"/>
  <c r="AH67" i="32"/>
  <c r="AI66" i="32"/>
  <c r="AH66" i="32"/>
  <c r="AI65" i="32"/>
  <c r="AH65" i="32"/>
  <c r="AI64" i="32"/>
  <c r="AH64" i="32"/>
  <c r="AI63" i="32"/>
  <c r="AH63" i="32"/>
  <c r="AG62" i="32"/>
  <c r="BJ17" i="32"/>
  <c r="BI17" i="32"/>
  <c r="AD62" i="32"/>
  <c r="BH17" i="32" s="1"/>
  <c r="AC62" i="32"/>
  <c r="BG17" i="32"/>
  <c r="AA62" i="32"/>
  <c r="Z62" i="32"/>
  <c r="Y62" i="32"/>
  <c r="X62" i="32"/>
  <c r="BE17" i="32" s="1"/>
  <c r="W62" i="32"/>
  <c r="V62" i="32"/>
  <c r="BD17" i="32" s="1"/>
  <c r="U62" i="32"/>
  <c r="BC17" i="32" s="1"/>
  <c r="T62" i="32"/>
  <c r="BB17" i="32" s="1"/>
  <c r="S62" i="32"/>
  <c r="BA17" i="32" s="1"/>
  <c r="R62" i="32"/>
  <c r="Q62" i="32"/>
  <c r="P62" i="32"/>
  <c r="O62" i="32"/>
  <c r="AW17" i="32" s="1"/>
  <c r="N62" i="32"/>
  <c r="AV17" i="32" s="1"/>
  <c r="M62" i="32"/>
  <c r="AU17" i="32" s="1"/>
  <c r="L62" i="32"/>
  <c r="K62" i="32"/>
  <c r="AT17" i="32" s="1"/>
  <c r="J62" i="32"/>
  <c r="I62" i="32"/>
  <c r="AS17" i="32" s="1"/>
  <c r="H62" i="32"/>
  <c r="G62" i="32"/>
  <c r="AR17" i="32" s="1"/>
  <c r="F62" i="32"/>
  <c r="E62" i="32"/>
  <c r="AP17" i="32" s="1"/>
  <c r="AI61" i="32"/>
  <c r="AH61" i="32"/>
  <c r="AI60" i="32"/>
  <c r="AH60" i="32"/>
  <c r="AI59" i="32"/>
  <c r="AH59" i="32"/>
  <c r="AG58" i="32"/>
  <c r="BJ16" i="32"/>
  <c r="AD58" i="32"/>
  <c r="AC58" i="32"/>
  <c r="AA58" i="32"/>
  <c r="Z58" i="32"/>
  <c r="BF16" i="32" s="1"/>
  <c r="Y58" i="32"/>
  <c r="X58" i="32"/>
  <c r="W58" i="32"/>
  <c r="V58" i="32"/>
  <c r="BD16" i="32" s="1"/>
  <c r="U58" i="32"/>
  <c r="T58" i="32"/>
  <c r="S58" i="32"/>
  <c r="BA16" i="32" s="1"/>
  <c r="R58" i="32"/>
  <c r="Q58" i="32"/>
  <c r="P58" i="32"/>
  <c r="O58" i="32"/>
  <c r="N58" i="32"/>
  <c r="AV16" i="32" s="1"/>
  <c r="M58" i="32"/>
  <c r="L58" i="32"/>
  <c r="K58" i="32"/>
  <c r="J58" i="32"/>
  <c r="I58" i="32"/>
  <c r="AS16" i="32" s="1"/>
  <c r="H58" i="32"/>
  <c r="G58" i="32"/>
  <c r="F58" i="32"/>
  <c r="AQ16" i="32" s="1"/>
  <c r="E58" i="32"/>
  <c r="AN16" i="32"/>
  <c r="AI57" i="32"/>
  <c r="AH57" i="32"/>
  <c r="AI56" i="32"/>
  <c r="AH56" i="32"/>
  <c r="AI55" i="32"/>
  <c r="AH55" i="32"/>
  <c r="AI54" i="32"/>
  <c r="AH54" i="32"/>
  <c r="AI53" i="32"/>
  <c r="AH53" i="32"/>
  <c r="AI52" i="32"/>
  <c r="AH52" i="32"/>
  <c r="AI51" i="32"/>
  <c r="AH51" i="32"/>
  <c r="AI50" i="32"/>
  <c r="AH50" i="32"/>
  <c r="AI49" i="32"/>
  <c r="AH49" i="32"/>
  <c r="AI48" i="32"/>
  <c r="AH48" i="32"/>
  <c r="AI47" i="32"/>
  <c r="AH47" i="32"/>
  <c r="AI46" i="32"/>
  <c r="AH46" i="32"/>
  <c r="AI45" i="32"/>
  <c r="AH45" i="32"/>
  <c r="AI44" i="32"/>
  <c r="AH44" i="32"/>
  <c r="AI43" i="32"/>
  <c r="AH43" i="32"/>
  <c r="AI42" i="32"/>
  <c r="AH42" i="32"/>
  <c r="AI41" i="32"/>
  <c r="AH41" i="32"/>
  <c r="AI40" i="32"/>
  <c r="AH40" i="32"/>
  <c r="AI39" i="32"/>
  <c r="AH39" i="32"/>
  <c r="AI38" i="32"/>
  <c r="AH38" i="32"/>
  <c r="AI37" i="32"/>
  <c r="AH37" i="32"/>
  <c r="AI36" i="32"/>
  <c r="AH36" i="32"/>
  <c r="AI35" i="32"/>
  <c r="AH35" i="32"/>
  <c r="AI34" i="32"/>
  <c r="AH34" i="32"/>
  <c r="AI33" i="32"/>
  <c r="AH33" i="32"/>
  <c r="AI32" i="32"/>
  <c r="AH32" i="32"/>
  <c r="AI31" i="32"/>
  <c r="AH31" i="32"/>
  <c r="AI30" i="32"/>
  <c r="AH30" i="32"/>
  <c r="AI29" i="32"/>
  <c r="AH29" i="32"/>
  <c r="AI28" i="32"/>
  <c r="AH28" i="32"/>
  <c r="AI27" i="32"/>
  <c r="AH27" i="32"/>
  <c r="AI26" i="32"/>
  <c r="AH26" i="32"/>
  <c r="AI25" i="32"/>
  <c r="AH25" i="32"/>
  <c r="AI24" i="32"/>
  <c r="AH24" i="32"/>
  <c r="AI23" i="32"/>
  <c r="AH23" i="32"/>
  <c r="AI22" i="32"/>
  <c r="AH22" i="32"/>
  <c r="BJ21" i="32"/>
  <c r="BI21" i="32"/>
  <c r="BH21" i="32"/>
  <c r="BG21" i="32"/>
  <c r="BF21" i="32"/>
  <c r="BE21" i="32"/>
  <c r="BD21" i="32"/>
  <c r="BC21" i="32"/>
  <c r="BB21" i="32"/>
  <c r="BA21" i="32"/>
  <c r="AZ21" i="32"/>
  <c r="AY21" i="32"/>
  <c r="AX21" i="32"/>
  <c r="AW21" i="32"/>
  <c r="AV21" i="32"/>
  <c r="AU21" i="32"/>
  <c r="AT21" i="32"/>
  <c r="AS21" i="32"/>
  <c r="AR21" i="32"/>
  <c r="AQ21" i="32"/>
  <c r="AP21" i="32"/>
  <c r="AO21" i="32"/>
  <c r="AN21" i="32"/>
  <c r="AM21" i="32"/>
  <c r="AI21" i="32"/>
  <c r="AH21" i="32"/>
  <c r="BJ20" i="32"/>
  <c r="BI20" i="32"/>
  <c r="BG20" i="32"/>
  <c r="BF20" i="32"/>
  <c r="BD20" i="32"/>
  <c r="BB20" i="32"/>
  <c r="AX20" i="32"/>
  <c r="AW20" i="32"/>
  <c r="AV20" i="32"/>
  <c r="AT20" i="32"/>
  <c r="AQ20" i="32"/>
  <c r="AM20" i="32"/>
  <c r="AI20" i="32"/>
  <c r="AH20" i="32"/>
  <c r="BI19" i="32"/>
  <c r="AR19" i="32"/>
  <c r="AN19" i="32"/>
  <c r="AI19" i="32"/>
  <c r="AH19" i="32"/>
  <c r="BJ18" i="32"/>
  <c r="BG18" i="32"/>
  <c r="AV18" i="32"/>
  <c r="AU18" i="32"/>
  <c r="AP18" i="32"/>
  <c r="AO18" i="32"/>
  <c r="AN18" i="32"/>
  <c r="AM18" i="32"/>
  <c r="AI18" i="32"/>
  <c r="AH18" i="32"/>
  <c r="BF17" i="32"/>
  <c r="AZ17" i="32"/>
  <c r="AY17" i="32"/>
  <c r="AX17" i="32"/>
  <c r="AQ17" i="32"/>
  <c r="AO17" i="32"/>
  <c r="AN17" i="32"/>
  <c r="AM17" i="32"/>
  <c r="AI17" i="32"/>
  <c r="AH17" i="32"/>
  <c r="BH16" i="32"/>
  <c r="BG16" i="32"/>
  <c r="BB16" i="32"/>
  <c r="AY16" i="32"/>
  <c r="AT16" i="32"/>
  <c r="AR16" i="32"/>
  <c r="AO16" i="32"/>
  <c r="AM16" i="32"/>
  <c r="AI16" i="32"/>
  <c r="AH16" i="32"/>
  <c r="AI15" i="32"/>
  <c r="AH15" i="32"/>
  <c r="AI14" i="32"/>
  <c r="AH14" i="32"/>
  <c r="AI13" i="32"/>
  <c r="AH13" i="32"/>
  <c r="AL12" i="32"/>
  <c r="AI12" i="32"/>
  <c r="AH12" i="32"/>
  <c r="AD5" i="32"/>
  <c r="L5" i="32"/>
  <c r="I5" i="32"/>
  <c r="E5" i="32"/>
  <c r="D5" i="32"/>
  <c r="B5" i="32"/>
  <c r="AG4" i="32"/>
  <c r="K4" i="32"/>
  <c r="E4" i="32"/>
  <c r="H4" i="32" s="1"/>
  <c r="B4" i="32"/>
  <c r="D258" i="32" s="1"/>
  <c r="AG2" i="32"/>
  <c r="AF58" i="31"/>
  <c r="AF62" i="31"/>
  <c r="AF76" i="31"/>
  <c r="AF80" i="31"/>
  <c r="AF92" i="31"/>
  <c r="AF101" i="31"/>
  <c r="AF102" i="31"/>
  <c r="AF103" i="31"/>
  <c r="AF104" i="31"/>
  <c r="AF105" i="31"/>
  <c r="AF118" i="31"/>
  <c r="AE58" i="31"/>
  <c r="AE62" i="31"/>
  <c r="AE76" i="31"/>
  <c r="AE80" i="31"/>
  <c r="AE92" i="31"/>
  <c r="AE101" i="31"/>
  <c r="AE102" i="31"/>
  <c r="AE103" i="31"/>
  <c r="AE104" i="31"/>
  <c r="AE105" i="31"/>
  <c r="AE118" i="31"/>
  <c r="AD58" i="31"/>
  <c r="AD62" i="31"/>
  <c r="AD76" i="31"/>
  <c r="AD80" i="31"/>
  <c r="AD92" i="31"/>
  <c r="AD101" i="31"/>
  <c r="AD102" i="31"/>
  <c r="AD103" i="31"/>
  <c r="AD104" i="31"/>
  <c r="AD105" i="31"/>
  <c r="AD118" i="31"/>
  <c r="AC58" i="31"/>
  <c r="AC62" i="31"/>
  <c r="AC76" i="31"/>
  <c r="AC80" i="31"/>
  <c r="AC92" i="31"/>
  <c r="AC101" i="31"/>
  <c r="AC102" i="31"/>
  <c r="AC103" i="31"/>
  <c r="AC104" i="31"/>
  <c r="AC105" i="31"/>
  <c r="AC107" i="31"/>
  <c r="AC118" i="31"/>
  <c r="AB58" i="31"/>
  <c r="AB62" i="31"/>
  <c r="AB76" i="31"/>
  <c r="AB80" i="31"/>
  <c r="AB92" i="31"/>
  <c r="AB101" i="31"/>
  <c r="AB102" i="31"/>
  <c r="AB103" i="31"/>
  <c r="AB104" i="31"/>
  <c r="AB105" i="31"/>
  <c r="AB107" i="31" s="1"/>
  <c r="AB118" i="31"/>
  <c r="R57" i="31"/>
  <c r="R58" i="31"/>
  <c r="R62" i="31"/>
  <c r="R76" i="31"/>
  <c r="R80" i="31"/>
  <c r="R92" i="31"/>
  <c r="R101" i="31"/>
  <c r="R102" i="31"/>
  <c r="R103" i="31"/>
  <c r="R104" i="31"/>
  <c r="R105" i="31"/>
  <c r="R107" i="31"/>
  <c r="Q57" i="31"/>
  <c r="AF107" i="32" l="1"/>
  <c r="BJ23" i="32" s="1"/>
  <c r="O107" i="32"/>
  <c r="AF108" i="32"/>
  <c r="AE7" i="32"/>
  <c r="AE5" i="32"/>
  <c r="B97" i="32"/>
  <c r="B99" i="32" s="1"/>
  <c r="D97" i="32"/>
  <c r="D99" i="32" s="1"/>
  <c r="D100" i="32" s="1"/>
  <c r="D7" i="32" s="1"/>
  <c r="P107" i="32"/>
  <c r="AX23" i="32" s="1"/>
  <c r="AD107" i="32"/>
  <c r="BH23" i="32" s="1"/>
  <c r="AC5" i="32"/>
  <c r="AD108" i="32"/>
  <c r="AD97" i="32"/>
  <c r="AD99" i="32" s="1"/>
  <c r="AD100" i="32" s="1"/>
  <c r="AD7" i="32" s="1"/>
  <c r="AC107" i="32"/>
  <c r="AC108" i="32" s="1"/>
  <c r="AC97" i="32"/>
  <c r="AC99" i="32" s="1"/>
  <c r="AA107" i="32"/>
  <c r="AA108" i="32"/>
  <c r="Y5" i="32"/>
  <c r="Z107" i="32"/>
  <c r="BF22" i="32"/>
  <c r="Z97" i="32"/>
  <c r="Z99" i="32" s="1"/>
  <c r="AH103" i="32"/>
  <c r="X107" i="32"/>
  <c r="BE23" i="32" s="1"/>
  <c r="W5" i="32"/>
  <c r="X97" i="32"/>
  <c r="X99" i="32" s="1"/>
  <c r="W107" i="32"/>
  <c r="W108" i="32" s="1"/>
  <c r="W97" i="32"/>
  <c r="W99" i="32" s="1"/>
  <c r="V107" i="32"/>
  <c r="BD23" i="32" s="1"/>
  <c r="BD19" i="32"/>
  <c r="V97" i="32"/>
  <c r="V99" i="32" s="1"/>
  <c r="V100" i="32" s="1"/>
  <c r="V7" i="32" s="1"/>
  <c r="BD22" i="32"/>
  <c r="BD24" i="32" s="1"/>
  <c r="U107" i="32"/>
  <c r="BC23" i="32" s="1"/>
  <c r="T5" i="32"/>
  <c r="T107" i="32"/>
  <c r="BB23" i="32" s="1"/>
  <c r="BB19" i="32"/>
  <c r="S107" i="32"/>
  <c r="R5" i="32"/>
  <c r="R107" i="32"/>
  <c r="R108" i="32" s="1"/>
  <c r="AZ19" i="32"/>
  <c r="R97" i="32"/>
  <c r="R99" i="32" s="1"/>
  <c r="AZ16" i="32"/>
  <c r="O5" i="32"/>
  <c r="P5" i="32"/>
  <c r="P97" i="32"/>
  <c r="P99" i="32" s="1"/>
  <c r="P100" i="32" s="1"/>
  <c r="P7" i="32" s="1"/>
  <c r="AY22" i="32"/>
  <c r="AI101" i="32"/>
  <c r="N5" i="32"/>
  <c r="M5" i="32"/>
  <c r="N107" i="32"/>
  <c r="N97" i="32"/>
  <c r="N99" i="32" s="1"/>
  <c r="AV22" i="32"/>
  <c r="M107" i="32"/>
  <c r="AU23" i="32" s="1"/>
  <c r="L107" i="32"/>
  <c r="L108" i="32" s="1"/>
  <c r="J5" i="32"/>
  <c r="K107" i="32"/>
  <c r="K108" i="32" s="1"/>
  <c r="J107" i="32"/>
  <c r="J108" i="32" s="1"/>
  <c r="J97" i="32"/>
  <c r="J99" i="32" s="1"/>
  <c r="J100" i="32" s="1"/>
  <c r="J7" i="32" s="1"/>
  <c r="H5" i="32"/>
  <c r="AS22" i="32"/>
  <c r="H107" i="32"/>
  <c r="H97" i="32"/>
  <c r="H99" i="32" s="1"/>
  <c r="H100" i="32" s="1"/>
  <c r="H7" i="32" s="1"/>
  <c r="G107" i="32"/>
  <c r="AR23" i="32" s="1"/>
  <c r="AR22" i="32"/>
  <c r="G97" i="32"/>
  <c r="G99" i="32" s="1"/>
  <c r="F107" i="32"/>
  <c r="F97" i="32"/>
  <c r="F99" i="32" s="1"/>
  <c r="AQ22" i="32"/>
  <c r="E107" i="32"/>
  <c r="AP23" i="32" s="1"/>
  <c r="AH80" i="32"/>
  <c r="AI80" i="32"/>
  <c r="AI62" i="32"/>
  <c r="D108" i="32"/>
  <c r="AI92" i="32"/>
  <c r="AN22" i="32"/>
  <c r="C107" i="32"/>
  <c r="C108" i="32" s="1"/>
  <c r="C97" i="32"/>
  <c r="C99" i="32" s="1"/>
  <c r="C100" i="32" s="1"/>
  <c r="C7" i="32" s="1"/>
  <c r="AI105" i="32"/>
  <c r="AF5" i="32"/>
  <c r="B107" i="32"/>
  <c r="B108" i="32" s="1"/>
  <c r="AM19" i="32"/>
  <c r="AM22" i="32" s="1"/>
  <c r="AG97" i="32"/>
  <c r="BA23" i="32"/>
  <c r="S108" i="32"/>
  <c r="AP16" i="32"/>
  <c r="AP22" i="32" s="1"/>
  <c r="E97" i="32"/>
  <c r="E99" i="32" s="1"/>
  <c r="M97" i="32"/>
  <c r="M99" i="32" s="1"/>
  <c r="AU16" i="32"/>
  <c r="AU22" i="32" s="1"/>
  <c r="BC16" i="32"/>
  <c r="BC22" i="32" s="1"/>
  <c r="U97" i="32"/>
  <c r="U99" i="32" s="1"/>
  <c r="U100" i="32" s="1"/>
  <c r="U7" i="32" s="1"/>
  <c r="AH76" i="32"/>
  <c r="BB22" i="32"/>
  <c r="BB24" i="32" s="1"/>
  <c r="AI76" i="32"/>
  <c r="O97" i="32"/>
  <c r="O99" i="32" s="1"/>
  <c r="O100" i="32" s="1"/>
  <c r="O7" i="32" s="1"/>
  <c r="AW16" i="32"/>
  <c r="AW22" i="32" s="1"/>
  <c r="G108" i="32"/>
  <c r="O108" i="32"/>
  <c r="AW23" i="32"/>
  <c r="BI23" i="32"/>
  <c r="I97" i="32"/>
  <c r="I99" i="32" s="1"/>
  <c r="Y97" i="32"/>
  <c r="Y99" i="32" s="1"/>
  <c r="AG99" i="32"/>
  <c r="AT22" i="32"/>
  <c r="BH22" i="32"/>
  <c r="BH24" i="32" s="1"/>
  <c r="AI58" i="32"/>
  <c r="BG22" i="32"/>
  <c r="BG24" i="32" s="1"/>
  <c r="AI102" i="32"/>
  <c r="BJ22" i="32"/>
  <c r="BJ24" i="32" s="1"/>
  <c r="BA22" i="32"/>
  <c r="Q97" i="32"/>
  <c r="Q99" i="32" s="1"/>
  <c r="F246" i="32"/>
  <c r="E252" i="32"/>
  <c r="E118" i="32"/>
  <c r="BI16" i="32"/>
  <c r="BI22" i="32" s="1"/>
  <c r="BG84" i="32" a="1"/>
  <c r="U108" i="32"/>
  <c r="C5" i="32"/>
  <c r="K5" i="32"/>
  <c r="AO19" i="32"/>
  <c r="AO22" i="32" s="1"/>
  <c r="AF97" i="32"/>
  <c r="AF99" i="32" s="1"/>
  <c r="AF100" i="32" s="1"/>
  <c r="AF7" i="32" s="1"/>
  <c r="AL13" i="32"/>
  <c r="I107" i="32"/>
  <c r="AS23" i="32" s="1"/>
  <c r="AS24" i="32" s="1"/>
  <c r="Q107" i="32"/>
  <c r="AY23" i="32" s="1"/>
  <c r="Y107" i="32"/>
  <c r="Y108" i="32" s="1"/>
  <c r="AH102" i="32"/>
  <c r="BE16" i="32"/>
  <c r="BE22" i="32" s="1"/>
  <c r="AH58" i="32"/>
  <c r="AH62" i="32"/>
  <c r="AH101" i="32"/>
  <c r="AH105" i="32"/>
  <c r="T108" i="32"/>
  <c r="AX16" i="32"/>
  <c r="AX22" i="32" s="1"/>
  <c r="K97" i="32"/>
  <c r="K99" i="32" s="1"/>
  <c r="K100" i="32" s="1"/>
  <c r="K7" i="32" s="1"/>
  <c r="S97" i="32"/>
  <c r="S99" i="32" s="1"/>
  <c r="S100" i="32" s="1"/>
  <c r="S7" i="32" s="1"/>
  <c r="AA97" i="32"/>
  <c r="AA99" i="32" s="1"/>
  <c r="AA100" i="32" s="1"/>
  <c r="AA7" i="32" s="1"/>
  <c r="H108" i="32"/>
  <c r="AI103" i="32"/>
  <c r="AI104" i="32"/>
  <c r="D252" i="32"/>
  <c r="AA5" i="32"/>
  <c r="L97" i="32"/>
  <c r="L99" i="32" s="1"/>
  <c r="T97" i="32"/>
  <c r="T99" i="32" s="1"/>
  <c r="T100" i="32" s="1"/>
  <c r="T7" i="32" s="1"/>
  <c r="AB7" i="32"/>
  <c r="AH92" i="32"/>
  <c r="AH104" i="32"/>
  <c r="AF107" i="31"/>
  <c r="AF108" i="31" s="1"/>
  <c r="AF97" i="31"/>
  <c r="AF99" i="31" s="1"/>
  <c r="AE107" i="31"/>
  <c r="AE97" i="31"/>
  <c r="AE99" i="31" s="1"/>
  <c r="AE100" i="31" s="1"/>
  <c r="AE108" i="31"/>
  <c r="AD97" i="31"/>
  <c r="AD99" i="31" s="1"/>
  <c r="AD100" i="31" s="1"/>
  <c r="AD107" i="31"/>
  <c r="AD108" i="31" s="1"/>
  <c r="AC97" i="31"/>
  <c r="AC99" i="31" s="1"/>
  <c r="AC100" i="31" s="1"/>
  <c r="AC108" i="31"/>
  <c r="AB108" i="31"/>
  <c r="AB97" i="31"/>
  <c r="AB99" i="31" s="1"/>
  <c r="AB100" i="31" s="1"/>
  <c r="R97" i="31"/>
  <c r="R99" i="31" s="1"/>
  <c r="R100" i="31" s="1"/>
  <c r="R108" i="31"/>
  <c r="P57" i="31"/>
  <c r="O121" i="31"/>
  <c r="O57" i="31"/>
  <c r="N121" i="31"/>
  <c r="N57" i="31"/>
  <c r="M121" i="31"/>
  <c r="M57" i="31"/>
  <c r="K82" i="31"/>
  <c r="G58" i="31"/>
  <c r="E58" i="31"/>
  <c r="AG252" i="31"/>
  <c r="C252" i="31"/>
  <c r="D251" i="31"/>
  <c r="E251" i="31" s="1"/>
  <c r="F251" i="31" s="1"/>
  <c r="G251" i="31" s="1"/>
  <c r="H251" i="31" s="1"/>
  <c r="I251" i="31" s="1"/>
  <c r="J251" i="31" s="1"/>
  <c r="K251" i="31" s="1"/>
  <c r="L251" i="31" s="1"/>
  <c r="M251" i="31" s="1"/>
  <c r="N251" i="31" s="1"/>
  <c r="O251" i="31" s="1"/>
  <c r="P251" i="31" s="1"/>
  <c r="Q251" i="31" s="1"/>
  <c r="R251" i="31" s="1"/>
  <c r="S251" i="31" s="1"/>
  <c r="T251" i="31" s="1"/>
  <c r="U251" i="31" s="1"/>
  <c r="V251" i="31" s="1"/>
  <c r="W251" i="31" s="1"/>
  <c r="X251" i="31" s="1"/>
  <c r="Y251" i="31" s="1"/>
  <c r="Z251" i="31" s="1"/>
  <c r="AA251" i="31" s="1"/>
  <c r="AB251" i="31" s="1"/>
  <c r="AC251" i="31" s="1"/>
  <c r="AD251" i="31" s="1"/>
  <c r="AE251" i="31" s="1"/>
  <c r="AF251" i="31" s="1"/>
  <c r="B251" i="31" s="1"/>
  <c r="D250" i="31"/>
  <c r="E250" i="31" s="1"/>
  <c r="F250" i="31" s="1"/>
  <c r="G250" i="31" s="1"/>
  <c r="H250" i="31" s="1"/>
  <c r="I250" i="31" s="1"/>
  <c r="J250" i="31" s="1"/>
  <c r="K250" i="31" s="1"/>
  <c r="L250" i="31" s="1"/>
  <c r="M250" i="31" s="1"/>
  <c r="N250" i="31" s="1"/>
  <c r="O250" i="31" s="1"/>
  <c r="P250" i="31" s="1"/>
  <c r="Q250" i="31" s="1"/>
  <c r="R250" i="31" s="1"/>
  <c r="S250" i="31" s="1"/>
  <c r="T250" i="31" s="1"/>
  <c r="U250" i="31" s="1"/>
  <c r="V250" i="31" s="1"/>
  <c r="W250" i="31" s="1"/>
  <c r="X250" i="31" s="1"/>
  <c r="Y250" i="31" s="1"/>
  <c r="Z250" i="31" s="1"/>
  <c r="AA250" i="31" s="1"/>
  <c r="AB250" i="31" s="1"/>
  <c r="AC250" i="31" s="1"/>
  <c r="AD250" i="31" s="1"/>
  <c r="AE250" i="31" s="1"/>
  <c r="AF250" i="31" s="1"/>
  <c r="B250" i="31" s="1"/>
  <c r="D249" i="31"/>
  <c r="E249" i="31" s="1"/>
  <c r="F249" i="31" s="1"/>
  <c r="G249" i="31" s="1"/>
  <c r="H249" i="31" s="1"/>
  <c r="I249" i="31" s="1"/>
  <c r="J249" i="31" s="1"/>
  <c r="K249" i="31" s="1"/>
  <c r="L249" i="31" s="1"/>
  <c r="M249" i="31" s="1"/>
  <c r="N249" i="31" s="1"/>
  <c r="O249" i="31" s="1"/>
  <c r="P249" i="31" s="1"/>
  <c r="Q249" i="31" s="1"/>
  <c r="R249" i="31" s="1"/>
  <c r="S249" i="31" s="1"/>
  <c r="T249" i="31" s="1"/>
  <c r="U249" i="31" s="1"/>
  <c r="V249" i="31" s="1"/>
  <c r="W249" i="31" s="1"/>
  <c r="X249" i="31" s="1"/>
  <c r="Y249" i="31" s="1"/>
  <c r="Z249" i="31" s="1"/>
  <c r="AA249" i="31" s="1"/>
  <c r="AB249" i="31" s="1"/>
  <c r="AC249" i="31" s="1"/>
  <c r="AD249" i="31" s="1"/>
  <c r="AE249" i="31" s="1"/>
  <c r="AF249" i="31" s="1"/>
  <c r="B249" i="31" s="1"/>
  <c r="D248" i="31"/>
  <c r="E248" i="31" s="1"/>
  <c r="F248" i="31" s="1"/>
  <c r="G248" i="31" s="1"/>
  <c r="H248" i="31" s="1"/>
  <c r="I248" i="31" s="1"/>
  <c r="J248" i="31" s="1"/>
  <c r="K248" i="31" s="1"/>
  <c r="L248" i="31" s="1"/>
  <c r="M248" i="31" s="1"/>
  <c r="N248" i="31" s="1"/>
  <c r="O248" i="31" s="1"/>
  <c r="P248" i="31" s="1"/>
  <c r="Q248" i="31" s="1"/>
  <c r="R248" i="31" s="1"/>
  <c r="S248" i="31" s="1"/>
  <c r="T248" i="31" s="1"/>
  <c r="U248" i="31" s="1"/>
  <c r="V248" i="31" s="1"/>
  <c r="W248" i="31" s="1"/>
  <c r="X248" i="31" s="1"/>
  <c r="Y248" i="31" s="1"/>
  <c r="Z248" i="31" s="1"/>
  <c r="AA248" i="31" s="1"/>
  <c r="AB248" i="31" s="1"/>
  <c r="AC248" i="31" s="1"/>
  <c r="AD248" i="31" s="1"/>
  <c r="AE248" i="31" s="1"/>
  <c r="AF248" i="31" s="1"/>
  <c r="B248" i="31" s="1"/>
  <c r="D247" i="31"/>
  <c r="E247" i="31" s="1"/>
  <c r="F247" i="31" s="1"/>
  <c r="G247" i="31" s="1"/>
  <c r="H247" i="31" s="1"/>
  <c r="I247" i="31" s="1"/>
  <c r="J247" i="31" s="1"/>
  <c r="K247" i="31" s="1"/>
  <c r="L247" i="31" s="1"/>
  <c r="M247" i="31" s="1"/>
  <c r="N247" i="31" s="1"/>
  <c r="O247" i="31" s="1"/>
  <c r="P247" i="31" s="1"/>
  <c r="Q247" i="31" s="1"/>
  <c r="R247" i="31" s="1"/>
  <c r="S247" i="31" s="1"/>
  <c r="T247" i="31" s="1"/>
  <c r="U247" i="31" s="1"/>
  <c r="V247" i="31" s="1"/>
  <c r="W247" i="31" s="1"/>
  <c r="X247" i="31" s="1"/>
  <c r="Y247" i="31" s="1"/>
  <c r="Z247" i="31" s="1"/>
  <c r="AA247" i="31" s="1"/>
  <c r="AB247" i="31" s="1"/>
  <c r="AC247" i="31" s="1"/>
  <c r="AD247" i="31" s="1"/>
  <c r="AE247" i="31" s="1"/>
  <c r="AF247" i="31" s="1"/>
  <c r="B247" i="31" s="1"/>
  <c r="D246" i="31"/>
  <c r="D252" i="31" s="1"/>
  <c r="AG244" i="31"/>
  <c r="AF244" i="31"/>
  <c r="AE244" i="31"/>
  <c r="AD244" i="31"/>
  <c r="AC244" i="31"/>
  <c r="AB244" i="31"/>
  <c r="AA244" i="31"/>
  <c r="Z244" i="31"/>
  <c r="Y244" i="31"/>
  <c r="Y118" i="31" s="1"/>
  <c r="X244" i="31"/>
  <c r="W244" i="31"/>
  <c r="V244" i="31"/>
  <c r="U244" i="31"/>
  <c r="T244" i="31"/>
  <c r="S244" i="31"/>
  <c r="R244" i="31"/>
  <c r="Q244" i="31"/>
  <c r="P244" i="31"/>
  <c r="O244" i="31"/>
  <c r="N244" i="31"/>
  <c r="M244" i="31"/>
  <c r="L244" i="31"/>
  <c r="K244" i="31"/>
  <c r="J244" i="31"/>
  <c r="I244" i="31"/>
  <c r="H244" i="31"/>
  <c r="G244" i="31"/>
  <c r="F244" i="31"/>
  <c r="E244" i="31"/>
  <c r="D244" i="31"/>
  <c r="C244" i="31"/>
  <c r="B244" i="31"/>
  <c r="AI130" i="31"/>
  <c r="AH130" i="31"/>
  <c r="AI129" i="31"/>
  <c r="AH129" i="31"/>
  <c r="AI128" i="31"/>
  <c r="AH128" i="31"/>
  <c r="AI127" i="31"/>
  <c r="AH127" i="31"/>
  <c r="AI126" i="31"/>
  <c r="AH126" i="31"/>
  <c r="AI123" i="31"/>
  <c r="AH123" i="31"/>
  <c r="AI122" i="31"/>
  <c r="AH122" i="31"/>
  <c r="AI121" i="31"/>
  <c r="AH121" i="31"/>
  <c r="AI120" i="31"/>
  <c r="AH120" i="31"/>
  <c r="AI119" i="31"/>
  <c r="AH119" i="31"/>
  <c r="Z118" i="31"/>
  <c r="C118" i="31"/>
  <c r="AI117" i="31"/>
  <c r="AH117" i="31"/>
  <c r="AI116" i="31"/>
  <c r="AH116" i="31"/>
  <c r="AI115" i="31"/>
  <c r="AH115" i="31"/>
  <c r="AI114" i="31"/>
  <c r="AH114" i="31"/>
  <c r="AI113" i="31"/>
  <c r="AH113" i="31"/>
  <c r="AI112" i="31"/>
  <c r="AH112" i="31"/>
  <c r="AI111" i="31"/>
  <c r="AH111" i="31"/>
  <c r="AI110" i="31"/>
  <c r="AH110" i="31"/>
  <c r="AI109" i="31"/>
  <c r="AH109" i="31"/>
  <c r="AI106" i="31"/>
  <c r="AH106" i="31"/>
  <c r="AA105" i="31"/>
  <c r="Z105" i="31"/>
  <c r="Y105" i="31"/>
  <c r="X105" i="31"/>
  <c r="W105" i="31"/>
  <c r="V105" i="31"/>
  <c r="U105" i="31"/>
  <c r="T105" i="31"/>
  <c r="S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AA104" i="31"/>
  <c r="Z104" i="31"/>
  <c r="Y104" i="31"/>
  <c r="X104" i="31"/>
  <c r="W104" i="31"/>
  <c r="V104" i="31"/>
  <c r="U104" i="31"/>
  <c r="U107" i="31" s="1"/>
  <c r="BC23" i="31" s="1"/>
  <c r="T104" i="31"/>
  <c r="S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AA103" i="31"/>
  <c r="Z103" i="31"/>
  <c r="Y103" i="31"/>
  <c r="X103" i="31"/>
  <c r="W103" i="31"/>
  <c r="V103" i="31"/>
  <c r="U103" i="31"/>
  <c r="T103" i="31"/>
  <c r="S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AA102" i="31"/>
  <c r="Z102" i="31"/>
  <c r="Y102" i="31"/>
  <c r="X102" i="31"/>
  <c r="W102" i="31"/>
  <c r="V102" i="31"/>
  <c r="U102" i="31"/>
  <c r="T102" i="31"/>
  <c r="S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BJ23" i="31"/>
  <c r="AA101" i="31"/>
  <c r="Z101" i="31"/>
  <c r="Y101" i="31"/>
  <c r="X101" i="31"/>
  <c r="X107" i="31" s="1"/>
  <c r="W101" i="31"/>
  <c r="W107" i="31" s="1"/>
  <c r="V101" i="31"/>
  <c r="U101" i="31"/>
  <c r="T101" i="31"/>
  <c r="S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AI98" i="31"/>
  <c r="AH98" i="31"/>
  <c r="AI96" i="31"/>
  <c r="AH96" i="31"/>
  <c r="AG96" i="31"/>
  <c r="AI95" i="31"/>
  <c r="AH95" i="31"/>
  <c r="AI94" i="31"/>
  <c r="AH94" i="31"/>
  <c r="AI93" i="31"/>
  <c r="AH93" i="31"/>
  <c r="AG92" i="31"/>
  <c r="AA92" i="31"/>
  <c r="Z5" i="31" s="1"/>
  <c r="Z92" i="31"/>
  <c r="Y92" i="31"/>
  <c r="X5" i="31" s="1"/>
  <c r="X92" i="31"/>
  <c r="BE19" i="31" s="1"/>
  <c r="W92" i="31"/>
  <c r="V92" i="31"/>
  <c r="BD19" i="31" s="1"/>
  <c r="U92" i="31"/>
  <c r="BC19" i="31" s="1"/>
  <c r="T92" i="31"/>
  <c r="S92" i="31"/>
  <c r="BA19" i="31" s="1"/>
  <c r="Q92" i="31"/>
  <c r="AY19" i="31" s="1"/>
  <c r="P92" i="31"/>
  <c r="AX19" i="31" s="1"/>
  <c r="O92" i="31"/>
  <c r="N92" i="31"/>
  <c r="AV19" i="31" s="1"/>
  <c r="M92" i="31"/>
  <c r="AU19" i="31" s="1"/>
  <c r="L92" i="31"/>
  <c r="K5" i="31" s="1"/>
  <c r="K92" i="31"/>
  <c r="AT19" i="31" s="1"/>
  <c r="J92" i="31"/>
  <c r="I5" i="31" s="1"/>
  <c r="I92" i="31"/>
  <c r="AS19" i="31" s="1"/>
  <c r="H92" i="31"/>
  <c r="G92" i="31"/>
  <c r="AR19" i="31" s="1"/>
  <c r="F92" i="31"/>
  <c r="E92" i="31"/>
  <c r="D5" i="31" s="1"/>
  <c r="D92" i="31"/>
  <c r="C92" i="31"/>
  <c r="B5" i="31" s="1"/>
  <c r="B92" i="31"/>
  <c r="AI91" i="31"/>
  <c r="AH91" i="31"/>
  <c r="AI90" i="31"/>
  <c r="AH90" i="31"/>
  <c r="AI89" i="31"/>
  <c r="AH89" i="31"/>
  <c r="AI88" i="31"/>
  <c r="AH88" i="31"/>
  <c r="AI87" i="31"/>
  <c r="AH87" i="31"/>
  <c r="AI86" i="31"/>
  <c r="AH86" i="31"/>
  <c r="AI85" i="31"/>
  <c r="AH85" i="31"/>
  <c r="AI84" i="31"/>
  <c r="AH84" i="31"/>
  <c r="AI83" i="31"/>
  <c r="AH83" i="31"/>
  <c r="AI82" i="31"/>
  <c r="AH82" i="31"/>
  <c r="AI81" i="31"/>
  <c r="AH81" i="31"/>
  <c r="AG80" i="31"/>
  <c r="BG20" i="31"/>
  <c r="AA80" i="31"/>
  <c r="Z80" i="31"/>
  <c r="BF20" i="31" s="1"/>
  <c r="Y80" i="31"/>
  <c r="X80" i="31"/>
  <c r="BE20" i="31" s="1"/>
  <c r="W80" i="31"/>
  <c r="V80" i="31"/>
  <c r="BD20" i="31" s="1"/>
  <c r="U80" i="31"/>
  <c r="T80" i="31"/>
  <c r="S80" i="31"/>
  <c r="BA20" i="31" s="1"/>
  <c r="AZ20" i="31"/>
  <c r="Q80" i="31"/>
  <c r="P80" i="31"/>
  <c r="O80" i="31"/>
  <c r="N80" i="31"/>
  <c r="AV20" i="31" s="1"/>
  <c r="M80" i="31"/>
  <c r="L80" i="31"/>
  <c r="K80" i="31"/>
  <c r="J80" i="31"/>
  <c r="I80" i="31"/>
  <c r="H80" i="31"/>
  <c r="G80" i="31"/>
  <c r="F80" i="31"/>
  <c r="AQ20" i="31" s="1"/>
  <c r="E80" i="31"/>
  <c r="D80" i="31"/>
  <c r="C80" i="31"/>
  <c r="B80" i="31"/>
  <c r="BR79" i="31"/>
  <c r="BD79" i="31"/>
  <c r="AI79" i="31"/>
  <c r="AH79" i="31"/>
  <c r="BV78" i="31"/>
  <c r="AI78" i="31"/>
  <c r="AH78" i="31"/>
  <c r="AI77" i="31"/>
  <c r="AH77" i="31"/>
  <c r="BW76" i="31"/>
  <c r="BD76" i="31"/>
  <c r="BC76" i="31"/>
  <c r="BB76" i="31"/>
  <c r="AZ76" i="31"/>
  <c r="AA76" i="31"/>
  <c r="Z76" i="31"/>
  <c r="BF18" i="31" s="1"/>
  <c r="Y76" i="31"/>
  <c r="X76" i="31"/>
  <c r="BE18" i="31" s="1"/>
  <c r="W76" i="31"/>
  <c r="V76" i="31"/>
  <c r="BD18" i="31" s="1"/>
  <c r="U76" i="31"/>
  <c r="BC18" i="31" s="1"/>
  <c r="T76" i="31"/>
  <c r="BB18" i="31" s="1"/>
  <c r="S76" i="31"/>
  <c r="Q76" i="31"/>
  <c r="P76" i="31"/>
  <c r="AX18" i="31" s="1"/>
  <c r="O76" i="31"/>
  <c r="AW18" i="31" s="1"/>
  <c r="N76" i="31"/>
  <c r="AV18" i="31" s="1"/>
  <c r="M76" i="31"/>
  <c r="AU18" i="31" s="1"/>
  <c r="L76" i="31"/>
  <c r="K76" i="31"/>
  <c r="AT18" i="31" s="1"/>
  <c r="J76" i="31"/>
  <c r="I76" i="31"/>
  <c r="H76" i="31"/>
  <c r="G76" i="31"/>
  <c r="F76" i="31"/>
  <c r="AQ18" i="31" s="1"/>
  <c r="E76" i="31"/>
  <c r="D76" i="31"/>
  <c r="AO18" i="31" s="1"/>
  <c r="C76" i="31"/>
  <c r="AN18" i="31" s="1"/>
  <c r="B76" i="31"/>
  <c r="BD75" i="31"/>
  <c r="BB75" i="31"/>
  <c r="AZ75" i="31"/>
  <c r="AI75" i="31"/>
  <c r="AH75" i="31"/>
  <c r="AG75" i="31"/>
  <c r="AG76" i="31" s="1"/>
  <c r="AI74" i="31"/>
  <c r="AH74" i="31"/>
  <c r="BW73" i="31"/>
  <c r="BW80" i="31" s="1"/>
  <c r="BV73" i="31"/>
  <c r="BV80" i="31" s="1"/>
  <c r="BU73" i="31"/>
  <c r="BU80" i="31" s="1"/>
  <c r="BT73" i="31"/>
  <c r="BT80" i="31" s="1"/>
  <c r="BS73" i="31"/>
  <c r="BS80" i="31" s="1"/>
  <c r="BR73" i="31"/>
  <c r="BR80" i="31" s="1"/>
  <c r="BQ73" i="31"/>
  <c r="BQ80" i="31" s="1"/>
  <c r="BP73" i="31"/>
  <c r="BP80" i="31" s="1"/>
  <c r="BO73" i="31"/>
  <c r="BO80" i="31" s="1"/>
  <c r="BN73" i="31"/>
  <c r="BN80" i="31" s="1"/>
  <c r="BM73" i="31"/>
  <c r="BM80" i="31" s="1"/>
  <c r="BL73" i="31"/>
  <c r="BL80" i="31" s="1"/>
  <c r="BK73" i="31"/>
  <c r="BK80" i="31" s="1"/>
  <c r="BJ73" i="31"/>
  <c r="BJ80" i="31" s="1"/>
  <c r="BI73" i="31"/>
  <c r="BI80" i="31" s="1"/>
  <c r="BH73" i="31"/>
  <c r="BH80" i="31" s="1"/>
  <c r="BG73" i="31"/>
  <c r="BG80" i="31" s="1"/>
  <c r="BF73" i="31"/>
  <c r="BF80" i="31" s="1"/>
  <c r="BE73" i="31"/>
  <c r="BE80" i="31" s="1"/>
  <c r="BD73" i="31"/>
  <c r="BD80" i="31" s="1"/>
  <c r="BC73" i="31"/>
  <c r="BC80" i="31" s="1"/>
  <c r="BB73" i="31"/>
  <c r="BB80" i="31" s="1"/>
  <c r="BA73" i="31"/>
  <c r="BA80" i="31" s="1"/>
  <c r="AZ73" i="31"/>
  <c r="AZ80" i="31" s="1"/>
  <c r="AI73" i="31"/>
  <c r="AH73" i="31"/>
  <c r="BW72" i="31"/>
  <c r="BW79" i="31" s="1"/>
  <c r="BV72" i="31"/>
  <c r="BV79" i="31" s="1"/>
  <c r="BU72" i="31"/>
  <c r="BU79" i="31" s="1"/>
  <c r="BT72" i="31"/>
  <c r="BT79" i="31" s="1"/>
  <c r="BS72" i="31"/>
  <c r="BS79" i="31" s="1"/>
  <c r="BR72" i="31"/>
  <c r="BQ72" i="31"/>
  <c r="BQ79" i="31" s="1"/>
  <c r="BP72" i="31"/>
  <c r="BP79" i="31" s="1"/>
  <c r="BO72" i="31"/>
  <c r="BO79" i="31" s="1"/>
  <c r="BN72" i="31"/>
  <c r="BN79" i="31" s="1"/>
  <c r="BM72" i="31"/>
  <c r="BM79" i="31" s="1"/>
  <c r="BL72" i="31"/>
  <c r="BL79" i="31" s="1"/>
  <c r="BK72" i="31"/>
  <c r="BK79" i="31" s="1"/>
  <c r="BJ72" i="31"/>
  <c r="BJ79" i="31" s="1"/>
  <c r="BI72" i="31"/>
  <c r="BI79" i="31" s="1"/>
  <c r="BH72" i="31"/>
  <c r="BH79" i="31" s="1"/>
  <c r="BG72" i="31"/>
  <c r="BG79" i="31" s="1"/>
  <c r="BF72" i="31"/>
  <c r="BF79" i="31" s="1"/>
  <c r="BE72" i="31"/>
  <c r="BE79" i="31" s="1"/>
  <c r="BD72" i="31"/>
  <c r="BC72" i="31"/>
  <c r="BC79" i="31" s="1"/>
  <c r="BB72" i="31"/>
  <c r="BB79" i="31" s="1"/>
  <c r="BA72" i="31"/>
  <c r="BA79" i="31" s="1"/>
  <c r="AZ72" i="31"/>
  <c r="AZ79" i="31" s="1"/>
  <c r="AI72" i="31"/>
  <c r="AH72" i="31"/>
  <c r="BW71" i="31"/>
  <c r="BW78" i="31" s="1"/>
  <c r="BV71" i="31"/>
  <c r="BU71" i="31"/>
  <c r="BU78" i="31" s="1"/>
  <c r="BT71" i="31"/>
  <c r="BT78" i="31" s="1"/>
  <c r="BS71" i="31"/>
  <c r="BS78" i="31" s="1"/>
  <c r="BR71" i="31"/>
  <c r="BR78" i="31" s="1"/>
  <c r="BQ71" i="31"/>
  <c r="BQ78" i="31" s="1"/>
  <c r="BP71" i="31"/>
  <c r="BP78" i="31" s="1"/>
  <c r="BO71" i="31"/>
  <c r="BO78" i="31" s="1"/>
  <c r="BN71" i="31"/>
  <c r="BN78" i="31" s="1"/>
  <c r="BM71" i="31"/>
  <c r="BM78" i="31" s="1"/>
  <c r="BL71" i="31"/>
  <c r="BL78" i="31" s="1"/>
  <c r="BK71" i="31"/>
  <c r="BK78" i="31" s="1"/>
  <c r="BJ71" i="31"/>
  <c r="BJ78" i="31" s="1"/>
  <c r="BI71" i="31"/>
  <c r="BI78" i="31" s="1"/>
  <c r="BH71" i="31"/>
  <c r="BH78" i="31" s="1"/>
  <c r="BG71" i="31"/>
  <c r="BG78" i="31" s="1"/>
  <c r="BF71" i="31"/>
  <c r="BF78" i="31" s="1"/>
  <c r="BE71" i="31"/>
  <c r="BE78" i="31" s="1"/>
  <c r="BD71" i="31"/>
  <c r="BD78" i="31" s="1"/>
  <c r="BC71" i="31"/>
  <c r="BC78" i="31" s="1"/>
  <c r="BB71" i="31"/>
  <c r="BB78" i="31" s="1"/>
  <c r="BA71" i="31"/>
  <c r="BA78" i="31" s="1"/>
  <c r="AZ71" i="31"/>
  <c r="AZ78" i="31" s="1"/>
  <c r="AI71" i="31"/>
  <c r="AH71" i="31"/>
  <c r="BW70" i="31"/>
  <c r="BW77" i="31" s="1"/>
  <c r="BV70" i="31"/>
  <c r="BV77" i="31" s="1"/>
  <c r="BU70" i="31"/>
  <c r="BU77" i="31" s="1"/>
  <c r="BT70" i="31"/>
  <c r="BT77" i="31" s="1"/>
  <c r="BS70" i="31"/>
  <c r="BS77" i="31" s="1"/>
  <c r="BR70" i="31"/>
  <c r="BR77" i="31" s="1"/>
  <c r="BQ70" i="31"/>
  <c r="BQ77" i="31" s="1"/>
  <c r="BP70" i="31"/>
  <c r="BP77" i="31" s="1"/>
  <c r="BO70" i="31"/>
  <c r="BO77" i="31" s="1"/>
  <c r="BN70" i="31"/>
  <c r="BN77" i="31" s="1"/>
  <c r="BM70" i="31"/>
  <c r="BM77" i="31" s="1"/>
  <c r="BL70" i="31"/>
  <c r="BL77" i="31" s="1"/>
  <c r="BK70" i="31"/>
  <c r="BK77" i="31" s="1"/>
  <c r="BJ70" i="31"/>
  <c r="BJ77" i="31" s="1"/>
  <c r="BI70" i="31"/>
  <c r="BI77" i="31" s="1"/>
  <c r="BH70" i="31"/>
  <c r="BH77" i="31" s="1"/>
  <c r="BG70" i="31"/>
  <c r="BG77" i="31" s="1"/>
  <c r="BF70" i="31"/>
  <c r="BF77" i="31" s="1"/>
  <c r="BE70" i="31"/>
  <c r="BE77" i="31" s="1"/>
  <c r="BD70" i="31"/>
  <c r="BD77" i="31" s="1"/>
  <c r="BC70" i="31"/>
  <c r="BC77" i="31" s="1"/>
  <c r="BB70" i="31"/>
  <c r="BB77" i="31" s="1"/>
  <c r="BA70" i="31"/>
  <c r="BA77" i="31" s="1"/>
  <c r="AZ70" i="31"/>
  <c r="AZ77" i="31" s="1"/>
  <c r="AI70" i="31"/>
  <c r="AH70" i="31"/>
  <c r="BW69" i="31"/>
  <c r="BV69" i="31"/>
  <c r="BV76" i="31" s="1"/>
  <c r="BU69" i="31"/>
  <c r="BU76" i="31" s="1"/>
  <c r="BT69" i="31"/>
  <c r="BT76" i="31" s="1"/>
  <c r="BS69" i="31"/>
  <c r="BS76" i="31" s="1"/>
  <c r="BR69" i="31"/>
  <c r="BR76" i="31" s="1"/>
  <c r="BQ69" i="31"/>
  <c r="BQ76" i="31" s="1"/>
  <c r="BP69" i="31"/>
  <c r="BP76" i="31" s="1"/>
  <c r="BO69" i="31"/>
  <c r="BO76" i="31" s="1"/>
  <c r="BN69" i="31"/>
  <c r="BN76" i="31" s="1"/>
  <c r="BM69" i="31"/>
  <c r="BM76" i="31" s="1"/>
  <c r="BL69" i="31"/>
  <c r="BL76" i="31" s="1"/>
  <c r="BK69" i="31"/>
  <c r="BK76" i="31" s="1"/>
  <c r="BJ69" i="31"/>
  <c r="BJ76" i="31" s="1"/>
  <c r="BI69" i="31"/>
  <c r="BI76" i="31" s="1"/>
  <c r="BH69" i="31"/>
  <c r="BH76" i="31" s="1"/>
  <c r="BG69" i="31"/>
  <c r="BG76" i="31" s="1"/>
  <c r="BF69" i="31"/>
  <c r="BF76" i="31" s="1"/>
  <c r="BE69" i="31"/>
  <c r="BE76" i="31" s="1"/>
  <c r="BD69" i="31"/>
  <c r="BC69" i="31"/>
  <c r="BB69" i="31"/>
  <c r="BA69" i="31"/>
  <c r="BA76" i="31" s="1"/>
  <c r="AZ69" i="31"/>
  <c r="AI69" i="31"/>
  <c r="AH69" i="31"/>
  <c r="BW68" i="31"/>
  <c r="BW75" i="31" s="1"/>
  <c r="BV68" i="31"/>
  <c r="BV75" i="31" s="1"/>
  <c r="BU68" i="31"/>
  <c r="BU75" i="31" s="1"/>
  <c r="BT68" i="31"/>
  <c r="BT75" i="31" s="1"/>
  <c r="BS68" i="31"/>
  <c r="BS75" i="31" s="1"/>
  <c r="BR68" i="31"/>
  <c r="BR75" i="31" s="1"/>
  <c r="BQ68" i="31"/>
  <c r="BQ75" i="31" s="1"/>
  <c r="BP68" i="31"/>
  <c r="BP75" i="31" s="1"/>
  <c r="BO68" i="31"/>
  <c r="BO75" i="31" s="1"/>
  <c r="BN68" i="31"/>
  <c r="BN75" i="31" s="1"/>
  <c r="BM68" i="31"/>
  <c r="BM75" i="31" s="1"/>
  <c r="BL68" i="31"/>
  <c r="BL75" i="31" s="1"/>
  <c r="BK68" i="31"/>
  <c r="BK75" i="31" s="1"/>
  <c r="BJ68" i="31"/>
  <c r="BJ75" i="31" s="1"/>
  <c r="BI68" i="31"/>
  <c r="BI75" i="31" s="1"/>
  <c r="BH68" i="31"/>
  <c r="BH75" i="31" s="1"/>
  <c r="BG68" i="31"/>
  <c r="BG75" i="31" s="1"/>
  <c r="BF68" i="31"/>
  <c r="BF75" i="31" s="1"/>
  <c r="BE68" i="31"/>
  <c r="BE75" i="31" s="1"/>
  <c r="BD68" i="31"/>
  <c r="BC68" i="31"/>
  <c r="BC75" i="31" s="1"/>
  <c r="BB68" i="31"/>
  <c r="BA68" i="31"/>
  <c r="BA75" i="31" s="1"/>
  <c r="AZ68" i="31"/>
  <c r="AI68" i="31"/>
  <c r="AH68" i="31"/>
  <c r="AI67" i="31"/>
  <c r="AH67" i="31"/>
  <c r="AI66" i="31"/>
  <c r="AH66" i="31"/>
  <c r="AI65" i="31"/>
  <c r="AH65" i="31"/>
  <c r="AI64" i="31"/>
  <c r="AH64" i="31"/>
  <c r="AI63" i="31"/>
  <c r="AH63" i="31"/>
  <c r="AG62" i="31"/>
  <c r="AA62" i="31"/>
  <c r="Z62" i="31"/>
  <c r="BF17" i="31" s="1"/>
  <c r="Y62" i="31"/>
  <c r="X62" i="31"/>
  <c r="BE17" i="31" s="1"/>
  <c r="W62" i="31"/>
  <c r="V62" i="31"/>
  <c r="U62" i="31"/>
  <c r="T62" i="31"/>
  <c r="S62" i="31"/>
  <c r="BA17" i="31" s="1"/>
  <c r="Q62" i="31"/>
  <c r="AY17" i="31" s="1"/>
  <c r="P62" i="31"/>
  <c r="AX17" i="31" s="1"/>
  <c r="O62" i="31"/>
  <c r="AW17" i="31" s="1"/>
  <c r="N62" i="31"/>
  <c r="AV17" i="31" s="1"/>
  <c r="M62" i="31"/>
  <c r="AU17" i="31" s="1"/>
  <c r="L62" i="31"/>
  <c r="K62" i="31"/>
  <c r="AT17" i="31" s="1"/>
  <c r="J62" i="31"/>
  <c r="I62" i="31"/>
  <c r="AS17" i="31" s="1"/>
  <c r="H62" i="31"/>
  <c r="G62" i="31"/>
  <c r="AR17" i="31" s="1"/>
  <c r="F62" i="31"/>
  <c r="E62" i="31"/>
  <c r="AP17" i="31" s="1"/>
  <c r="D62" i="31"/>
  <c r="AO17" i="31" s="1"/>
  <c r="C62" i="31"/>
  <c r="B62" i="31"/>
  <c r="AI61" i="31"/>
  <c r="AH61" i="31"/>
  <c r="AI60" i="31"/>
  <c r="AH60" i="31"/>
  <c r="AI59" i="31"/>
  <c r="AH59" i="31"/>
  <c r="AG58" i="31"/>
  <c r="AA58" i="31"/>
  <c r="Z58" i="31"/>
  <c r="Y58" i="31"/>
  <c r="X58" i="31"/>
  <c r="W58" i="31"/>
  <c r="V58" i="31"/>
  <c r="U58" i="31"/>
  <c r="T58" i="31"/>
  <c r="S58" i="31"/>
  <c r="BA16" i="31" s="1"/>
  <c r="AZ16" i="31"/>
  <c r="Q58" i="31"/>
  <c r="P58" i="31"/>
  <c r="O58" i="31"/>
  <c r="AW16" i="31" s="1"/>
  <c r="N58" i="31"/>
  <c r="M58" i="31"/>
  <c r="L58" i="31"/>
  <c r="K58" i="31"/>
  <c r="J58" i="31"/>
  <c r="I58" i="31"/>
  <c r="H58" i="31"/>
  <c r="F58" i="31"/>
  <c r="AQ16" i="31" s="1"/>
  <c r="AP16" i="31"/>
  <c r="D58" i="31"/>
  <c r="AO16" i="31" s="1"/>
  <c r="C58" i="31"/>
  <c r="B58" i="31"/>
  <c r="AI57" i="31"/>
  <c r="AH57" i="31"/>
  <c r="AI56" i="31"/>
  <c r="AH56" i="31"/>
  <c r="AI55" i="31"/>
  <c r="AH55" i="31"/>
  <c r="AI54" i="31"/>
  <c r="AH54" i="31"/>
  <c r="AI53" i="31"/>
  <c r="AH53" i="31"/>
  <c r="AI52" i="31"/>
  <c r="AH52" i="31"/>
  <c r="AI51" i="31"/>
  <c r="AH51" i="31"/>
  <c r="AI50" i="31"/>
  <c r="AH50" i="31"/>
  <c r="AI49" i="31"/>
  <c r="AH49" i="31"/>
  <c r="AI48" i="31"/>
  <c r="AH48" i="31"/>
  <c r="AI47" i="31"/>
  <c r="AH47" i="31"/>
  <c r="AI46" i="31"/>
  <c r="AH46" i="31"/>
  <c r="AI45" i="31"/>
  <c r="AH45" i="31"/>
  <c r="AI44" i="31"/>
  <c r="AH44" i="31"/>
  <c r="AI43" i="31"/>
  <c r="AH43" i="31"/>
  <c r="AI42" i="31"/>
  <c r="AH42" i="31"/>
  <c r="AI41" i="31"/>
  <c r="AH41" i="31"/>
  <c r="AI40" i="31"/>
  <c r="AH40" i="31"/>
  <c r="AI39" i="31"/>
  <c r="AH39" i="31"/>
  <c r="AI38" i="31"/>
  <c r="AH38" i="31"/>
  <c r="AI37" i="31"/>
  <c r="AH37" i="31"/>
  <c r="AI36" i="31"/>
  <c r="AH36" i="31"/>
  <c r="AI35" i="31"/>
  <c r="AH35" i="31"/>
  <c r="AI34" i="31"/>
  <c r="AH34" i="31"/>
  <c r="AI33" i="31"/>
  <c r="AH33" i="31"/>
  <c r="AI32" i="31"/>
  <c r="AH32" i="31"/>
  <c r="AI31" i="31"/>
  <c r="AH31" i="31"/>
  <c r="AI30" i="31"/>
  <c r="AH30" i="31"/>
  <c r="AI29" i="31"/>
  <c r="AH29" i="31"/>
  <c r="AI28" i="31"/>
  <c r="AH28" i="31"/>
  <c r="AI27" i="31"/>
  <c r="AH27" i="31"/>
  <c r="AI26" i="31"/>
  <c r="AH26" i="31"/>
  <c r="AI25" i="31"/>
  <c r="AH25" i="31"/>
  <c r="AI24" i="31"/>
  <c r="AH24" i="31"/>
  <c r="BI23" i="31"/>
  <c r="BH23" i="31"/>
  <c r="BE23" i="31"/>
  <c r="AI23" i="31"/>
  <c r="AH23" i="31"/>
  <c r="AI22" i="31"/>
  <c r="AH22" i="31"/>
  <c r="BJ21" i="31"/>
  <c r="BI21" i="31"/>
  <c r="BH21" i="31"/>
  <c r="BG21" i="31"/>
  <c r="BF21" i="31"/>
  <c r="BE21" i="31"/>
  <c r="BD21" i="31"/>
  <c r="BC21" i="31"/>
  <c r="BB21" i="31"/>
  <c r="BA21" i="31"/>
  <c r="AZ21" i="31"/>
  <c r="AY21" i="31"/>
  <c r="AX21" i="31"/>
  <c r="AW21" i="31"/>
  <c r="AV21" i="31"/>
  <c r="AU21" i="31"/>
  <c r="AT21" i="31"/>
  <c r="AS21" i="31"/>
  <c r="AR21" i="31"/>
  <c r="AQ21" i="31"/>
  <c r="AP21" i="31"/>
  <c r="AO21" i="31"/>
  <c r="AN21" i="31"/>
  <c r="AM21" i="31"/>
  <c r="AI21" i="31"/>
  <c r="AH21" i="31"/>
  <c r="BJ20" i="31"/>
  <c r="BI20" i="31"/>
  <c r="BH20" i="31"/>
  <c r="BC20" i="31"/>
  <c r="BB20" i="31"/>
  <c r="AY20" i="31"/>
  <c r="AX20" i="31"/>
  <c r="AW20" i="31"/>
  <c r="AU20" i="31"/>
  <c r="AT20" i="31"/>
  <c r="AS20" i="31"/>
  <c r="AR20" i="31"/>
  <c r="AP20" i="31"/>
  <c r="AO20" i="31"/>
  <c r="AN20" i="31"/>
  <c r="AM20" i="31"/>
  <c r="AI20" i="31"/>
  <c r="AH20" i="31"/>
  <c r="BJ19" i="31"/>
  <c r="BI19" i="31"/>
  <c r="BG19" i="31"/>
  <c r="BF19" i="31"/>
  <c r="BB19" i="31"/>
  <c r="AZ19" i="31"/>
  <c r="AO19" i="31"/>
  <c r="AI19" i="31"/>
  <c r="AH19" i="31"/>
  <c r="BJ18" i="31"/>
  <c r="BI18" i="31"/>
  <c r="BH18" i="31"/>
  <c r="BG18" i="31"/>
  <c r="AZ18" i="31"/>
  <c r="AY18" i="31"/>
  <c r="AS18" i="31"/>
  <c r="AR18" i="31"/>
  <c r="AP18" i="31"/>
  <c r="AI18" i="31"/>
  <c r="AH18" i="31"/>
  <c r="BJ17" i="31"/>
  <c r="BI17" i="31"/>
  <c r="BH17" i="31"/>
  <c r="BG17" i="31"/>
  <c r="BD17" i="31"/>
  <c r="BC17" i="31"/>
  <c r="BB17" i="31"/>
  <c r="AZ17" i="31"/>
  <c r="AQ17" i="31"/>
  <c r="AN17" i="31"/>
  <c r="AM17" i="31"/>
  <c r="AI17" i="31"/>
  <c r="AH17" i="31"/>
  <c r="BH16" i="31"/>
  <c r="BG16" i="31"/>
  <c r="BD16" i="31"/>
  <c r="BC16" i="31"/>
  <c r="BB16" i="31"/>
  <c r="AV16" i="31"/>
  <c r="AU16" i="31"/>
  <c r="AT16" i="31"/>
  <c r="AN16" i="31"/>
  <c r="AM16" i="31"/>
  <c r="AI16" i="31"/>
  <c r="AH16" i="31"/>
  <c r="AI15" i="31"/>
  <c r="AH15" i="31"/>
  <c r="AI14" i="31"/>
  <c r="AH14" i="31"/>
  <c r="AI13" i="31"/>
  <c r="AH13" i="31"/>
  <c r="AL12" i="31"/>
  <c r="AI12" i="31"/>
  <c r="AH12" i="31"/>
  <c r="AI11" i="31"/>
  <c r="AH11" i="31"/>
  <c r="AE5" i="31"/>
  <c r="AD5" i="31"/>
  <c r="AB5" i="31"/>
  <c r="AA5" i="31"/>
  <c r="Y5" i="31"/>
  <c r="W5" i="31"/>
  <c r="V5" i="31"/>
  <c r="S5" i="31"/>
  <c r="Q5" i="31"/>
  <c r="N5" i="31"/>
  <c r="G5" i="31"/>
  <c r="C5" i="31"/>
  <c r="AG4" i="31"/>
  <c r="K4" i="31"/>
  <c r="E4" i="31"/>
  <c r="H4" i="31" s="1"/>
  <c r="B4" i="31"/>
  <c r="D258" i="31" s="1"/>
  <c r="AG3" i="31"/>
  <c r="AG2" i="31"/>
  <c r="AG6" i="31" s="1"/>
  <c r="AC121" i="30"/>
  <c r="BI24" i="32" l="1"/>
  <c r="AP24" i="32"/>
  <c r="AZ23" i="32"/>
  <c r="X100" i="32"/>
  <c r="X7" i="32" s="1"/>
  <c r="L100" i="32"/>
  <c r="L7" i="32" s="1"/>
  <c r="AN23" i="32"/>
  <c r="R100" i="32"/>
  <c r="R7" i="32" s="1"/>
  <c r="BE24" i="32"/>
  <c r="AX24" i="32"/>
  <c r="BC24" i="32"/>
  <c r="P108" i="32"/>
  <c r="Z100" i="32"/>
  <c r="Z7" i="32" s="1"/>
  <c r="F100" i="32"/>
  <c r="F7" i="32" s="1"/>
  <c r="N100" i="32"/>
  <c r="N7" i="32" s="1"/>
  <c r="X108" i="32"/>
  <c r="AT23" i="32"/>
  <c r="AT24" i="32" s="1"/>
  <c r="E100" i="32"/>
  <c r="E7" i="32" s="1"/>
  <c r="G100" i="32"/>
  <c r="G7" i="32" s="1"/>
  <c r="AZ22" i="32"/>
  <c r="AZ24" i="32" s="1"/>
  <c r="AC100" i="32"/>
  <c r="AC7" i="32" s="1"/>
  <c r="Z108" i="32"/>
  <c r="BF23" i="32"/>
  <c r="BF24" i="32" s="1"/>
  <c r="W100" i="32"/>
  <c r="W7" i="32" s="1"/>
  <c r="V108" i="32"/>
  <c r="BA24" i="32"/>
  <c r="AY24" i="32"/>
  <c r="N108" i="32"/>
  <c r="AV23" i="32"/>
  <c r="AV24" i="32" s="1"/>
  <c r="M108" i="32"/>
  <c r="AU24" i="32"/>
  <c r="M100" i="32"/>
  <c r="M7" i="32" s="1"/>
  <c r="AR24" i="32"/>
  <c r="F108" i="32"/>
  <c r="AQ23" i="32"/>
  <c r="AQ24" i="32" s="1"/>
  <c r="AN24" i="32"/>
  <c r="E108" i="32"/>
  <c r="B100" i="32"/>
  <c r="AO24" i="32"/>
  <c r="AT8" i="32"/>
  <c r="C256" i="32"/>
  <c r="AI107" i="32"/>
  <c r="AH107" i="32"/>
  <c r="AM23" i="32"/>
  <c r="AM24" i="32" s="1"/>
  <c r="G246" i="32"/>
  <c r="F252" i="32"/>
  <c r="F118" i="32"/>
  <c r="B256" i="32"/>
  <c r="Q100" i="32"/>
  <c r="Q7" i="32" s="1"/>
  <c r="BH107" i="32"/>
  <c r="BL105" i="32"/>
  <c r="BJ104" i="32"/>
  <c r="BH103" i="32"/>
  <c r="BL101" i="32"/>
  <c r="BJ100" i="32"/>
  <c r="BH99" i="32"/>
  <c r="BL97" i="32"/>
  <c r="BJ96" i="32"/>
  <c r="BH95" i="32"/>
  <c r="BL93" i="32"/>
  <c r="BJ92" i="32"/>
  <c r="BH91" i="32"/>
  <c r="BL89" i="32"/>
  <c r="BJ88" i="32"/>
  <c r="BH87" i="32"/>
  <c r="BL85" i="32"/>
  <c r="BJ84" i="32"/>
  <c r="BG107" i="32"/>
  <c r="BK105" i="32"/>
  <c r="BI104" i="32"/>
  <c r="BG103" i="32"/>
  <c r="BK101" i="32"/>
  <c r="BI100" i="32"/>
  <c r="BG99" i="32"/>
  <c r="BK97" i="32"/>
  <c r="BI96" i="32"/>
  <c r="BG95" i="32"/>
  <c r="BK93" i="32"/>
  <c r="BI92" i="32"/>
  <c r="BG91" i="32"/>
  <c r="BK89" i="32"/>
  <c r="BI88" i="32"/>
  <c r="BG87" i="32"/>
  <c r="BK85" i="32"/>
  <c r="BI84" i="32"/>
  <c r="BL107" i="32"/>
  <c r="BJ106" i="32"/>
  <c r="BH105" i="32"/>
  <c r="BL103" i="32"/>
  <c r="BJ102" i="32"/>
  <c r="BH101" i="32"/>
  <c r="BL99" i="32"/>
  <c r="BJ98" i="32"/>
  <c r="BH97" i="32"/>
  <c r="BL95" i="32"/>
  <c r="BJ94" i="32"/>
  <c r="BH93" i="32"/>
  <c r="BL91" i="32"/>
  <c r="BJ90" i="32"/>
  <c r="BH89" i="32"/>
  <c r="BL87" i="32"/>
  <c r="BJ86" i="32"/>
  <c r="BH85" i="32"/>
  <c r="BK107" i="32"/>
  <c r="BI106" i="32"/>
  <c r="BG105" i="32"/>
  <c r="BK103" i="32"/>
  <c r="BI102" i="32"/>
  <c r="BG101" i="32"/>
  <c r="BK99" i="32"/>
  <c r="BI98" i="32"/>
  <c r="BG97" i="32"/>
  <c r="BK95" i="32"/>
  <c r="BI94" i="32"/>
  <c r="BL106" i="32"/>
  <c r="BH104" i="32"/>
  <c r="BJ101" i="32"/>
  <c r="BL98" i="32"/>
  <c r="BH96" i="32"/>
  <c r="BJ93" i="32"/>
  <c r="BJ91" i="32"/>
  <c r="BI89" i="32"/>
  <c r="BI87" i="32"/>
  <c r="BG85" i="32"/>
  <c r="BI105" i="32"/>
  <c r="BK102" i="32"/>
  <c r="BK94" i="32"/>
  <c r="BH92" i="32"/>
  <c r="BH90" i="32"/>
  <c r="BK106" i="32"/>
  <c r="BG104" i="32"/>
  <c r="BI101" i="32"/>
  <c r="BK98" i="32"/>
  <c r="BG96" i="32"/>
  <c r="BI93" i="32"/>
  <c r="BI91" i="32"/>
  <c r="BG89" i="32"/>
  <c r="BL86" i="32"/>
  <c r="BL84" i="32"/>
  <c r="BG100" i="32"/>
  <c r="BG88" i="32"/>
  <c r="BH106" i="32"/>
  <c r="BJ103" i="32"/>
  <c r="BL100" i="32"/>
  <c r="BH98" i="32"/>
  <c r="BJ95" i="32"/>
  <c r="BG93" i="32"/>
  <c r="BL90" i="32"/>
  <c r="BL88" i="32"/>
  <c r="BK86" i="32"/>
  <c r="BK84" i="32"/>
  <c r="BG106" i="32"/>
  <c r="BI103" i="32"/>
  <c r="BK100" i="32"/>
  <c r="BG98" i="32"/>
  <c r="BI95" i="32"/>
  <c r="BL92" i="32"/>
  <c r="BK90" i="32"/>
  <c r="BK88" i="32"/>
  <c r="BI86" i="32"/>
  <c r="BH84" i="32"/>
  <c r="BJ105" i="32"/>
  <c r="BL102" i="32"/>
  <c r="BH100" i="32"/>
  <c r="BJ97" i="32"/>
  <c r="BL94" i="32"/>
  <c r="BK92" i="32"/>
  <c r="BI90" i="32"/>
  <c r="BH88" i="32"/>
  <c r="BH86" i="32"/>
  <c r="BG84" i="32"/>
  <c r="BI97" i="32"/>
  <c r="BG86" i="32"/>
  <c r="BJ107" i="32"/>
  <c r="BL104" i="32"/>
  <c r="BH102" i="32"/>
  <c r="BJ99" i="32"/>
  <c r="BL96" i="32"/>
  <c r="BH94" i="32"/>
  <c r="BG92" i="32"/>
  <c r="BG90" i="32"/>
  <c r="BK87" i="32"/>
  <c r="BJ85" i="32"/>
  <c r="BI107" i="32"/>
  <c r="BJ87" i="32"/>
  <c r="BK104" i="32"/>
  <c r="BI85" i="32"/>
  <c r="BG102" i="32"/>
  <c r="BI99" i="32"/>
  <c r="BK96" i="32"/>
  <c r="BG94" i="32"/>
  <c r="BK91" i="32"/>
  <c r="BJ89" i="32"/>
  <c r="Q108" i="32"/>
  <c r="Y100" i="32"/>
  <c r="Y7" i="32" s="1"/>
  <c r="I108" i="32"/>
  <c r="AI97" i="32"/>
  <c r="AH97" i="32"/>
  <c r="I100" i="32"/>
  <c r="I7" i="32" s="1"/>
  <c r="AW24" i="32"/>
  <c r="AF100" i="31"/>
  <c r="AF7" i="31" s="1"/>
  <c r="BG22" i="31"/>
  <c r="AA97" i="31"/>
  <c r="AA99" i="31" s="1"/>
  <c r="Y107" i="31"/>
  <c r="X108" i="31"/>
  <c r="W108" i="31"/>
  <c r="W97" i="31"/>
  <c r="W99" i="31" s="1"/>
  <c r="W100" i="31" s="1"/>
  <c r="W7" i="31" s="1"/>
  <c r="V107" i="31"/>
  <c r="BD23" i="31" s="1"/>
  <c r="T5" i="31"/>
  <c r="BC22" i="31"/>
  <c r="BC24" i="31" s="1"/>
  <c r="BB22" i="31"/>
  <c r="R5" i="31"/>
  <c r="AZ22" i="31"/>
  <c r="P5" i="31"/>
  <c r="Q107" i="31"/>
  <c r="AY23" i="31" s="1"/>
  <c r="O5" i="31"/>
  <c r="P107" i="31"/>
  <c r="O107" i="31"/>
  <c r="AW23" i="31" s="1"/>
  <c r="AW19" i="31"/>
  <c r="AW22" i="31"/>
  <c r="N107" i="31"/>
  <c r="AV23" i="31" s="1"/>
  <c r="AV22" i="31"/>
  <c r="AV24" i="31" s="1"/>
  <c r="M107" i="31"/>
  <c r="AU23" i="31" s="1"/>
  <c r="L5" i="31"/>
  <c r="AI102" i="31"/>
  <c r="AH102" i="31"/>
  <c r="J5" i="31"/>
  <c r="H5" i="31"/>
  <c r="I107" i="31"/>
  <c r="AS23" i="31" s="1"/>
  <c r="H107" i="31"/>
  <c r="H108" i="31" s="1"/>
  <c r="H97" i="31"/>
  <c r="H99" i="31" s="1"/>
  <c r="F5" i="31"/>
  <c r="AH104" i="31"/>
  <c r="G107" i="31"/>
  <c r="AR23" i="31" s="1"/>
  <c r="F107" i="31"/>
  <c r="AQ23" i="31" s="1"/>
  <c r="AI105" i="31"/>
  <c r="AH105" i="31"/>
  <c r="AP19" i="31"/>
  <c r="AP22" i="31" s="1"/>
  <c r="E107" i="31"/>
  <c r="AP23" i="31" s="1"/>
  <c r="AO22" i="31"/>
  <c r="AN19" i="31"/>
  <c r="AI104" i="31"/>
  <c r="C97" i="31"/>
  <c r="C99" i="31" s="1"/>
  <c r="AI80" i="31"/>
  <c r="AL13" i="31"/>
  <c r="G97" i="31"/>
  <c r="G99" i="31" s="1"/>
  <c r="AR16" i="31"/>
  <c r="AR22" i="31" s="1"/>
  <c r="BI16" i="31"/>
  <c r="BI22" i="31" s="1"/>
  <c r="BI24" i="31" s="1"/>
  <c r="AE7" i="31"/>
  <c r="AN22" i="31"/>
  <c r="I97" i="31"/>
  <c r="I99" i="31" s="1"/>
  <c r="I100" i="31" s="1"/>
  <c r="I7" i="31" s="1"/>
  <c r="AS16" i="31"/>
  <c r="AS22" i="31" s="1"/>
  <c r="AS24" i="31" s="1"/>
  <c r="Q97" i="31"/>
  <c r="Q99" i="31" s="1"/>
  <c r="Q100" i="31" s="1"/>
  <c r="Q7" i="31" s="1"/>
  <c r="AY16" i="31"/>
  <c r="AY22" i="31" s="1"/>
  <c r="AY24" i="31" s="1"/>
  <c r="Y97" i="31"/>
  <c r="Y99" i="31" s="1"/>
  <c r="Y100" i="31" s="1"/>
  <c r="Y7" i="31" s="1"/>
  <c r="AG97" i="31"/>
  <c r="AI76" i="31"/>
  <c r="AH103" i="31"/>
  <c r="AI103" i="31"/>
  <c r="P97" i="31"/>
  <c r="P99" i="31" s="1"/>
  <c r="P100" i="31" s="1"/>
  <c r="P7" i="31" s="1"/>
  <c r="AX16" i="31"/>
  <c r="AX22" i="31" s="1"/>
  <c r="X97" i="31"/>
  <c r="X99" i="31" s="1"/>
  <c r="X100" i="31" s="1"/>
  <c r="X7" i="31" s="1"/>
  <c r="BE16" i="31"/>
  <c r="BE22" i="31" s="1"/>
  <c r="BE24" i="31" s="1"/>
  <c r="AI62" i="31"/>
  <c r="BD22" i="31"/>
  <c r="BD24" i="31" s="1"/>
  <c r="AI58" i="31"/>
  <c r="AH76" i="31"/>
  <c r="AM18" i="31"/>
  <c r="K97" i="31"/>
  <c r="K99" i="31" s="1"/>
  <c r="K100" i="31" s="1"/>
  <c r="K7" i="31" s="1"/>
  <c r="BG84" i="31" a="1"/>
  <c r="BA18" i="31"/>
  <c r="BA22" i="31" s="1"/>
  <c r="S97" i="31"/>
  <c r="S99" i="31" s="1"/>
  <c r="BJ16" i="31"/>
  <c r="BJ22" i="31" s="1"/>
  <c r="BJ24" i="31" s="1"/>
  <c r="F108" i="31"/>
  <c r="AQ19" i="31"/>
  <c r="AQ22" i="31" s="1"/>
  <c r="AQ24" i="31" s="1"/>
  <c r="E5" i="31"/>
  <c r="N108" i="31"/>
  <c r="M5" i="31"/>
  <c r="V108" i="31"/>
  <c r="U5" i="31"/>
  <c r="AC5" i="31"/>
  <c r="BH19" i="31"/>
  <c r="BH22" i="31" s="1"/>
  <c r="BH24" i="31" s="1"/>
  <c r="O97" i="31"/>
  <c r="O99" i="31" s="1"/>
  <c r="O100" i="31" s="1"/>
  <c r="O7" i="31" s="1"/>
  <c r="AT22" i="31"/>
  <c r="AU22" i="31"/>
  <c r="AU24" i="31" s="1"/>
  <c r="AI101" i="31"/>
  <c r="Z107" i="31"/>
  <c r="BF23" i="31" s="1"/>
  <c r="J97" i="31"/>
  <c r="J99" i="31" s="1"/>
  <c r="J100" i="31" s="1"/>
  <c r="J7" i="31" s="1"/>
  <c r="AH58" i="31"/>
  <c r="AG99" i="31"/>
  <c r="S107" i="31"/>
  <c r="BA23" i="31" s="1"/>
  <c r="AI92" i="31"/>
  <c r="AH92" i="31"/>
  <c r="D107" i="31"/>
  <c r="L107" i="31"/>
  <c r="L108" i="31" s="1"/>
  <c r="T107" i="31"/>
  <c r="AH80" i="31"/>
  <c r="J107" i="31"/>
  <c r="J108" i="31" s="1"/>
  <c r="AZ23" i="31"/>
  <c r="AZ24" i="31" s="1"/>
  <c r="Z97" i="31"/>
  <c r="Z99" i="31" s="1"/>
  <c r="AH62" i="31"/>
  <c r="I108" i="31"/>
  <c r="Y108" i="31"/>
  <c r="K107" i="31"/>
  <c r="AT23" i="31" s="1"/>
  <c r="AA107" i="31"/>
  <c r="AA100" i="31" s="1"/>
  <c r="AA7" i="31" s="1"/>
  <c r="D97" i="31"/>
  <c r="D99" i="31" s="1"/>
  <c r="L97" i="31"/>
  <c r="L99" i="31" s="1"/>
  <c r="T97" i="31"/>
  <c r="T99" i="31" s="1"/>
  <c r="T100" i="31" s="1"/>
  <c r="T7" i="31" s="1"/>
  <c r="AB7" i="31"/>
  <c r="AF5" i="31"/>
  <c r="E97" i="31"/>
  <c r="E99" i="31" s="1"/>
  <c r="E100" i="31" s="1"/>
  <c r="E7" i="31" s="1"/>
  <c r="M97" i="31"/>
  <c r="M99" i="31" s="1"/>
  <c r="M100" i="31" s="1"/>
  <c r="M7" i="31" s="1"/>
  <c r="U97" i="31"/>
  <c r="U99" i="31" s="1"/>
  <c r="U100" i="31" s="1"/>
  <c r="U7" i="31" s="1"/>
  <c r="AC7" i="31"/>
  <c r="B97" i="31"/>
  <c r="R7" i="31"/>
  <c r="C107" i="31"/>
  <c r="AN23" i="31" s="1"/>
  <c r="BF16" i="31"/>
  <c r="BF22" i="31" s="1"/>
  <c r="BF24" i="31" s="1"/>
  <c r="AM19" i="31"/>
  <c r="F97" i="31"/>
  <c r="F99" i="31" s="1"/>
  <c r="F100" i="31" s="1"/>
  <c r="F7" i="31" s="1"/>
  <c r="N97" i="31"/>
  <c r="N99" i="31" s="1"/>
  <c r="N100" i="31" s="1"/>
  <c r="N7" i="31" s="1"/>
  <c r="V97" i="31"/>
  <c r="V99" i="31" s="1"/>
  <c r="V100" i="31" s="1"/>
  <c r="V7" i="31" s="1"/>
  <c r="AD7" i="31"/>
  <c r="E108" i="31"/>
  <c r="M108" i="31"/>
  <c r="U108" i="31"/>
  <c r="AH101" i="31"/>
  <c r="B107" i="31"/>
  <c r="B108" i="31" s="1"/>
  <c r="E246" i="31"/>
  <c r="D118" i="31"/>
  <c r="AA58" i="30"/>
  <c r="AA62" i="30"/>
  <c r="AA76" i="30"/>
  <c r="AA80" i="30"/>
  <c r="AA92" i="30"/>
  <c r="AA101" i="30"/>
  <c r="AA102" i="30"/>
  <c r="AA103" i="30"/>
  <c r="AA107" i="30" s="1"/>
  <c r="AA104" i="30"/>
  <c r="AA105" i="30"/>
  <c r="AA118" i="30"/>
  <c r="Z118" i="30"/>
  <c r="Z105" i="30"/>
  <c r="Z104" i="30"/>
  <c r="Z103" i="30"/>
  <c r="Z102" i="30"/>
  <c r="Z101" i="30"/>
  <c r="Z107" i="30" s="1"/>
  <c r="BF23" i="30" s="1"/>
  <c r="Z92" i="30"/>
  <c r="Z108" i="30" s="1"/>
  <c r="Z80" i="30"/>
  <c r="Z76" i="30"/>
  <c r="Z62" i="30"/>
  <c r="BF17" i="30" s="1"/>
  <c r="Z58" i="30"/>
  <c r="Z97" i="30" s="1"/>
  <c r="Z99" i="30" s="1"/>
  <c r="Y58" i="30"/>
  <c r="Y62" i="30"/>
  <c r="Y76" i="30"/>
  <c r="Y80" i="30"/>
  <c r="Y92" i="30"/>
  <c r="Y101" i="30"/>
  <c r="Y102" i="30"/>
  <c r="Y103" i="30"/>
  <c r="Y107" i="30" s="1"/>
  <c r="Y104" i="30"/>
  <c r="Y105" i="30"/>
  <c r="Y118" i="30"/>
  <c r="X58" i="30"/>
  <c r="X62" i="30"/>
  <c r="BE17" i="30" s="1"/>
  <c r="X76" i="30"/>
  <c r="BE18" i="30" s="1"/>
  <c r="X80" i="30"/>
  <c r="X92" i="30"/>
  <c r="BE19" i="30" s="1"/>
  <c r="X101" i="30"/>
  <c r="X102" i="30"/>
  <c r="X103" i="30"/>
  <c r="X104" i="30"/>
  <c r="X105" i="30"/>
  <c r="X118" i="30"/>
  <c r="W58" i="30"/>
  <c r="W62" i="30"/>
  <c r="W76" i="30"/>
  <c r="W80" i="30"/>
  <c r="W92" i="30"/>
  <c r="W101" i="30"/>
  <c r="W102" i="30"/>
  <c r="W103" i="30"/>
  <c r="W104" i="30"/>
  <c r="W105" i="30"/>
  <c r="W118" i="30"/>
  <c r="V118" i="30"/>
  <c r="V105" i="30"/>
  <c r="V104" i="30"/>
  <c r="V103" i="30"/>
  <c r="V102" i="30"/>
  <c r="V101" i="30"/>
  <c r="V92" i="30"/>
  <c r="BD19" i="30" s="1"/>
  <c r="V80" i="30"/>
  <c r="BD20" i="30" s="1"/>
  <c r="V76" i="30"/>
  <c r="V62" i="30"/>
  <c r="V58" i="30"/>
  <c r="AB143" i="28"/>
  <c r="AB140" i="28"/>
  <c r="AB141" i="28"/>
  <c r="AB142" i="28"/>
  <c r="AB139" i="28"/>
  <c r="T58" i="30"/>
  <c r="T62" i="30"/>
  <c r="T76" i="30"/>
  <c r="BB18" i="30" s="1"/>
  <c r="T80" i="30"/>
  <c r="BB20" i="30" s="1"/>
  <c r="T92" i="30"/>
  <c r="BB19" i="30" s="1"/>
  <c r="T101" i="30"/>
  <c r="T102" i="30"/>
  <c r="T103" i="30"/>
  <c r="T104" i="30"/>
  <c r="T105" i="30"/>
  <c r="T118" i="30"/>
  <c r="S58" i="30"/>
  <c r="S62" i="30"/>
  <c r="S76" i="30"/>
  <c r="BA18" i="30" s="1"/>
  <c r="S80" i="30"/>
  <c r="BA20" i="30" s="1"/>
  <c r="S92" i="30"/>
  <c r="BA19" i="30" s="1"/>
  <c r="S101" i="30"/>
  <c r="S102" i="30"/>
  <c r="S103" i="30"/>
  <c r="S107" i="30" s="1"/>
  <c r="BA23" i="30" s="1"/>
  <c r="S104" i="30"/>
  <c r="S105" i="30"/>
  <c r="S118" i="30"/>
  <c r="R121" i="30"/>
  <c r="R57" i="30"/>
  <c r="Q57" i="30"/>
  <c r="P121" i="30"/>
  <c r="P57" i="30"/>
  <c r="BC23" i="30"/>
  <c r="AW23" i="30"/>
  <c r="AV23" i="30"/>
  <c r="AU23" i="30"/>
  <c r="AT23" i="30"/>
  <c r="AS23" i="30"/>
  <c r="AR23" i="30"/>
  <c r="AQ23" i="30"/>
  <c r="AP23" i="30"/>
  <c r="AO23" i="30"/>
  <c r="AN23" i="30"/>
  <c r="AM23" i="30"/>
  <c r="BJ21" i="30"/>
  <c r="BI21" i="30"/>
  <c r="BH21" i="30"/>
  <c r="BG21" i="30"/>
  <c r="BF21" i="30"/>
  <c r="BE21" i="30"/>
  <c r="BD21" i="30"/>
  <c r="BC21" i="30"/>
  <c r="BB21" i="30"/>
  <c r="BA21" i="30"/>
  <c r="AZ21" i="30"/>
  <c r="AY21" i="30"/>
  <c r="AX21" i="30"/>
  <c r="AW21" i="30"/>
  <c r="AV21" i="30"/>
  <c r="AU21" i="30"/>
  <c r="AT21" i="30"/>
  <c r="AS21" i="30"/>
  <c r="AR21" i="30"/>
  <c r="AQ21" i="30"/>
  <c r="AP21" i="30"/>
  <c r="AO21" i="30"/>
  <c r="AN21" i="30"/>
  <c r="AM21" i="30"/>
  <c r="BF20" i="30"/>
  <c r="BC20" i="30"/>
  <c r="AW20" i="30"/>
  <c r="AV20" i="30"/>
  <c r="AU20" i="30"/>
  <c r="AT20" i="30"/>
  <c r="AS20" i="30"/>
  <c r="AR20" i="30"/>
  <c r="AQ20" i="30"/>
  <c r="AP20" i="30"/>
  <c r="AO20" i="30"/>
  <c r="AN20" i="30"/>
  <c r="AM20" i="30"/>
  <c r="BC19" i="30"/>
  <c r="AW19" i="30"/>
  <c r="AV19" i="30"/>
  <c r="AU19" i="30"/>
  <c r="AT19" i="30"/>
  <c r="AS19" i="30"/>
  <c r="AR19" i="30"/>
  <c r="AQ19" i="30"/>
  <c r="AP19" i="30"/>
  <c r="AO19" i="30"/>
  <c r="AN19" i="30"/>
  <c r="AM19" i="30"/>
  <c r="BF18" i="30"/>
  <c r="BD18" i="30"/>
  <c r="BC18" i="30"/>
  <c r="AW18" i="30"/>
  <c r="AV18" i="30"/>
  <c r="AU18" i="30"/>
  <c r="AT18" i="30"/>
  <c r="AS18" i="30"/>
  <c r="AR18" i="30"/>
  <c r="AQ18" i="30"/>
  <c r="AP18" i="30"/>
  <c r="AO18" i="30"/>
  <c r="AN18" i="30"/>
  <c r="AM18" i="30"/>
  <c r="BD17" i="30"/>
  <c r="BC17" i="30"/>
  <c r="BB17" i="30"/>
  <c r="BA17" i="30"/>
  <c r="AW17" i="30"/>
  <c r="AV17" i="30"/>
  <c r="AU17" i="30"/>
  <c r="AT17" i="30"/>
  <c r="AS17" i="30"/>
  <c r="AR17" i="30"/>
  <c r="AQ17" i="30"/>
  <c r="AP17" i="30"/>
  <c r="AO17" i="30"/>
  <c r="AN17" i="30"/>
  <c r="AM17" i="30"/>
  <c r="BE16" i="30"/>
  <c r="BD16" i="30"/>
  <c r="BB16" i="30"/>
  <c r="BA16" i="30"/>
  <c r="AW16" i="30"/>
  <c r="AW22" i="30" s="1"/>
  <c r="AW24" i="30" s="1"/>
  <c r="AV16" i="30"/>
  <c r="AV22" i="30" s="1"/>
  <c r="AV24" i="30" s="1"/>
  <c r="AU16" i="30"/>
  <c r="AU22" i="30" s="1"/>
  <c r="AU24" i="30" s="1"/>
  <c r="AT16" i="30"/>
  <c r="AT22" i="30" s="1"/>
  <c r="AT24" i="30" s="1"/>
  <c r="AS16" i="30"/>
  <c r="AS22" i="30" s="1"/>
  <c r="AS24" i="30" s="1"/>
  <c r="AR16" i="30"/>
  <c r="AR22" i="30" s="1"/>
  <c r="AR24" i="30" s="1"/>
  <c r="AQ16" i="30"/>
  <c r="AQ22" i="30" s="1"/>
  <c r="AQ24" i="30" s="1"/>
  <c r="AP16" i="30"/>
  <c r="AP22" i="30" s="1"/>
  <c r="AP24" i="30" s="1"/>
  <c r="AO16" i="30"/>
  <c r="AO22" i="30" s="1"/>
  <c r="AO24" i="30" s="1"/>
  <c r="AN16" i="30"/>
  <c r="AN22" i="30" s="1"/>
  <c r="AN24" i="30" s="1"/>
  <c r="AM16" i="30"/>
  <c r="AM22" i="30" s="1"/>
  <c r="AM24" i="30" s="1"/>
  <c r="BJ23" i="29"/>
  <c r="BI23" i="29"/>
  <c r="BH23" i="29"/>
  <c r="BG23" i="29"/>
  <c r="BF23" i="29"/>
  <c r="BE23" i="29"/>
  <c r="BD23" i="29"/>
  <c r="BC23" i="29"/>
  <c r="BB23" i="29"/>
  <c r="BA23" i="29"/>
  <c r="AZ23" i="29"/>
  <c r="AY23" i="29"/>
  <c r="AX23" i="29"/>
  <c r="AW23" i="29"/>
  <c r="AV23" i="29"/>
  <c r="AU23" i="29"/>
  <c r="AT23" i="29"/>
  <c r="AS23" i="29"/>
  <c r="AR23" i="29"/>
  <c r="AQ23" i="29"/>
  <c r="AP23" i="29"/>
  <c r="AO23" i="29"/>
  <c r="AN23" i="29"/>
  <c r="AM23" i="29"/>
  <c r="BJ21" i="29"/>
  <c r="BI21" i="29"/>
  <c r="BH21" i="29"/>
  <c r="BG21" i="29"/>
  <c r="BF21" i="29"/>
  <c r="BE21" i="29"/>
  <c r="BD21" i="29"/>
  <c r="BC21" i="29"/>
  <c r="BB21" i="29"/>
  <c r="BA21" i="29"/>
  <c r="AZ21" i="29"/>
  <c r="AY21" i="29"/>
  <c r="AX21" i="29"/>
  <c r="AW21" i="29"/>
  <c r="AV21" i="29"/>
  <c r="AU21" i="29"/>
  <c r="AT21" i="29"/>
  <c r="AS21" i="29"/>
  <c r="AR21" i="29"/>
  <c r="AQ21" i="29"/>
  <c r="AP21" i="29"/>
  <c r="AO21" i="29"/>
  <c r="AN21" i="29"/>
  <c r="AM21" i="29"/>
  <c r="BJ20" i="29"/>
  <c r="BI20" i="29"/>
  <c r="BH20" i="29"/>
  <c r="BG20" i="29"/>
  <c r="BF20" i="29"/>
  <c r="BE20" i="29"/>
  <c r="BD20" i="29"/>
  <c r="BC20" i="29"/>
  <c r="BB20" i="29"/>
  <c r="BA20" i="29"/>
  <c r="AZ20" i="29"/>
  <c r="AY20" i="29"/>
  <c r="AX20" i="29"/>
  <c r="AW20" i="29"/>
  <c r="AV20" i="29"/>
  <c r="AU20" i="29"/>
  <c r="AT20" i="29"/>
  <c r="AS20" i="29"/>
  <c r="AR20" i="29"/>
  <c r="AQ20" i="29"/>
  <c r="AP20" i="29"/>
  <c r="AO20" i="29"/>
  <c r="AN20" i="29"/>
  <c r="AM20" i="29"/>
  <c r="BJ19" i="29"/>
  <c r="BI19" i="29"/>
  <c r="BH19" i="29"/>
  <c r="BG19" i="29"/>
  <c r="BF19" i="29"/>
  <c r="BE19" i="29"/>
  <c r="BD19" i="29"/>
  <c r="BC19" i="29"/>
  <c r="BB19" i="29"/>
  <c r="BA19" i="29"/>
  <c r="AZ19" i="29"/>
  <c r="AY19" i="29"/>
  <c r="AX19" i="29"/>
  <c r="AW19" i="29"/>
  <c r="AV19" i="29"/>
  <c r="AU19" i="29"/>
  <c r="AT19" i="29"/>
  <c r="AS19" i="29"/>
  <c r="AR19" i="29"/>
  <c r="AQ19" i="29"/>
  <c r="AP19" i="29"/>
  <c r="AO19" i="29"/>
  <c r="AN19" i="29"/>
  <c r="AM19" i="29"/>
  <c r="BJ18" i="29"/>
  <c r="BI18" i="29"/>
  <c r="BH18" i="29"/>
  <c r="BG18" i="29"/>
  <c r="BF18" i="29"/>
  <c r="BE18" i="29"/>
  <c r="BD18" i="29"/>
  <c r="BC18" i="29"/>
  <c r="BB18" i="29"/>
  <c r="BA18" i="29"/>
  <c r="AZ18" i="29"/>
  <c r="AY18" i="29"/>
  <c r="AX18" i="29"/>
  <c r="AW18" i="29"/>
  <c r="AV18" i="29"/>
  <c r="AU18" i="29"/>
  <c r="AT18" i="29"/>
  <c r="AS18" i="29"/>
  <c r="AR18" i="29"/>
  <c r="AQ18" i="29"/>
  <c r="AP18" i="29"/>
  <c r="AO18" i="29"/>
  <c r="AN18" i="29"/>
  <c r="AM18" i="29"/>
  <c r="BJ17" i="29"/>
  <c r="BI17" i="29"/>
  <c r="BH17" i="29"/>
  <c r="BG17" i="29"/>
  <c r="BF17" i="29"/>
  <c r="BE17" i="29"/>
  <c r="BD17" i="29"/>
  <c r="BC17" i="29"/>
  <c r="BB17" i="29"/>
  <c r="BA17" i="29"/>
  <c r="AZ17" i="29"/>
  <c r="AY17" i="29"/>
  <c r="AX17" i="29"/>
  <c r="AW17" i="29"/>
  <c r="AV17" i="29"/>
  <c r="AU17" i="29"/>
  <c r="AT17" i="29"/>
  <c r="AS17" i="29"/>
  <c r="AR17" i="29"/>
  <c r="AQ17" i="29"/>
  <c r="AP17" i="29"/>
  <c r="AO17" i="29"/>
  <c r="AN17" i="29"/>
  <c r="AM17" i="29"/>
  <c r="BJ16" i="29"/>
  <c r="BJ22" i="29" s="1"/>
  <c r="BJ24" i="29" s="1"/>
  <c r="BI16" i="29"/>
  <c r="BI22" i="29" s="1"/>
  <c r="BI24" i="29" s="1"/>
  <c r="BH16" i="29"/>
  <c r="BH22" i="29" s="1"/>
  <c r="BH24" i="29" s="1"/>
  <c r="BG16" i="29"/>
  <c r="BG22" i="29" s="1"/>
  <c r="BG24" i="29" s="1"/>
  <c r="BF16" i="29"/>
  <c r="BF22" i="29" s="1"/>
  <c r="BF24" i="29" s="1"/>
  <c r="BE16" i="29"/>
  <c r="BE22" i="29" s="1"/>
  <c r="BE24" i="29" s="1"/>
  <c r="BD16" i="29"/>
  <c r="BD22" i="29" s="1"/>
  <c r="BD24" i="29" s="1"/>
  <c r="BC16" i="29"/>
  <c r="BC22" i="29" s="1"/>
  <c r="BC24" i="29" s="1"/>
  <c r="BB16" i="29"/>
  <c r="BB22" i="29" s="1"/>
  <c r="BB24" i="29" s="1"/>
  <c r="BA16" i="29"/>
  <c r="BA22" i="29" s="1"/>
  <c r="BA24" i="29" s="1"/>
  <c r="AZ16" i="29"/>
  <c r="AZ22" i="29" s="1"/>
  <c r="AZ24" i="29" s="1"/>
  <c r="AY16" i="29"/>
  <c r="AY22" i="29" s="1"/>
  <c r="AY24" i="29" s="1"/>
  <c r="AX16" i="29"/>
  <c r="AX22" i="29" s="1"/>
  <c r="AX24" i="29" s="1"/>
  <c r="AW16" i="29"/>
  <c r="AW22" i="29" s="1"/>
  <c r="AW24" i="29" s="1"/>
  <c r="AV16" i="29"/>
  <c r="AV22" i="29" s="1"/>
  <c r="AV24" i="29" s="1"/>
  <c r="AU16" i="29"/>
  <c r="AU22" i="29" s="1"/>
  <c r="AU24" i="29" s="1"/>
  <c r="AT16" i="29"/>
  <c r="AT22" i="29" s="1"/>
  <c r="AT24" i="29" s="1"/>
  <c r="AS16" i="29"/>
  <c r="AS22" i="29" s="1"/>
  <c r="AS24" i="29" s="1"/>
  <c r="AR16" i="29"/>
  <c r="AR22" i="29" s="1"/>
  <c r="AR24" i="29" s="1"/>
  <c r="AQ16" i="29"/>
  <c r="AQ22" i="29" s="1"/>
  <c r="AQ24" i="29" s="1"/>
  <c r="AP16" i="29"/>
  <c r="AP22" i="29" s="1"/>
  <c r="AP24" i="29" s="1"/>
  <c r="AO16" i="29"/>
  <c r="AO22" i="29" s="1"/>
  <c r="AO24" i="29" s="1"/>
  <c r="AN16" i="29"/>
  <c r="AN22" i="29" s="1"/>
  <c r="AN24" i="29" s="1"/>
  <c r="AM16" i="29"/>
  <c r="AM22" i="29" s="1"/>
  <c r="AM24" i="29" s="1"/>
  <c r="BJ23" i="28"/>
  <c r="BI23" i="28"/>
  <c r="BH23" i="28"/>
  <c r="BG23" i="28"/>
  <c r="BF23" i="28"/>
  <c r="BE23" i="28"/>
  <c r="BD23" i="28"/>
  <c r="BC23" i="28"/>
  <c r="BB23" i="28"/>
  <c r="BA23" i="28"/>
  <c r="AZ23" i="28"/>
  <c r="AY23" i="28"/>
  <c r="AX23" i="28"/>
  <c r="AW23" i="28"/>
  <c r="AV23" i="28"/>
  <c r="AU23" i="28"/>
  <c r="AT23" i="28"/>
  <c r="AS23" i="28"/>
  <c r="AR23" i="28"/>
  <c r="AQ23" i="28"/>
  <c r="AP23" i="28"/>
  <c r="AO23" i="28"/>
  <c r="AN23" i="28"/>
  <c r="AM23" i="28"/>
  <c r="AX22" i="28"/>
  <c r="AX24" i="28" s="1"/>
  <c r="BJ21" i="28"/>
  <c r="BI21" i="28"/>
  <c r="BH21" i="28"/>
  <c r="BG21" i="28"/>
  <c r="BF21" i="28"/>
  <c r="BE21" i="28"/>
  <c r="BD21" i="28"/>
  <c r="BC21" i="28"/>
  <c r="BB21" i="28"/>
  <c r="BA21" i="28"/>
  <c r="AZ21" i="28"/>
  <c r="AY21" i="28"/>
  <c r="AX21" i="28"/>
  <c r="AW21" i="28"/>
  <c r="AV21" i="28"/>
  <c r="AU21" i="28"/>
  <c r="AT21" i="28"/>
  <c r="AS21" i="28"/>
  <c r="AR21" i="28"/>
  <c r="AQ21" i="28"/>
  <c r="AP21" i="28"/>
  <c r="AO21" i="28"/>
  <c r="AN21" i="28"/>
  <c r="AM21" i="28"/>
  <c r="BJ20" i="28"/>
  <c r="BI20" i="28"/>
  <c r="BH20" i="28"/>
  <c r="BG20" i="28"/>
  <c r="BF20" i="28"/>
  <c r="BE20" i="28"/>
  <c r="BD20" i="28"/>
  <c r="BC20" i="28"/>
  <c r="BB20" i="28"/>
  <c r="BA20" i="28"/>
  <c r="AZ20" i="28"/>
  <c r="AY20" i="28"/>
  <c r="AX20" i="28"/>
  <c r="AW20" i="28"/>
  <c r="AV20" i="28"/>
  <c r="AU20" i="28"/>
  <c r="AT20" i="28"/>
  <c r="AS20" i="28"/>
  <c r="AR20" i="28"/>
  <c r="AQ20" i="28"/>
  <c r="AP20" i="28"/>
  <c r="AO20" i="28"/>
  <c r="AN20" i="28"/>
  <c r="AM20" i="28"/>
  <c r="BJ19" i="28"/>
  <c r="BI19" i="28"/>
  <c r="BH19" i="28"/>
  <c r="BG19" i="28"/>
  <c r="BF19" i="28"/>
  <c r="BF22" i="28" s="1"/>
  <c r="BF24" i="28" s="1"/>
  <c r="BE19" i="28"/>
  <c r="BD19" i="28"/>
  <c r="BC19" i="28"/>
  <c r="BB19" i="28"/>
  <c r="BA19" i="28"/>
  <c r="AZ19" i="28"/>
  <c r="AY19" i="28"/>
  <c r="AX19" i="28"/>
  <c r="AW19" i="28"/>
  <c r="AV19" i="28"/>
  <c r="AU19" i="28"/>
  <c r="AT19" i="28"/>
  <c r="AS19" i="28"/>
  <c r="AR19" i="28"/>
  <c r="AQ19" i="28"/>
  <c r="AP19" i="28"/>
  <c r="AO19" i="28"/>
  <c r="AN19" i="28"/>
  <c r="AM19" i="28"/>
  <c r="BJ18" i="28"/>
  <c r="BI18" i="28"/>
  <c r="BH18" i="28"/>
  <c r="BG18" i="28"/>
  <c r="BF18" i="28"/>
  <c r="BE18" i="28"/>
  <c r="BD18" i="28"/>
  <c r="BC18" i="28"/>
  <c r="BB18" i="28"/>
  <c r="BA18" i="28"/>
  <c r="AZ18" i="28"/>
  <c r="AY18" i="28"/>
  <c r="AX18" i="28"/>
  <c r="AW18" i="28"/>
  <c r="AV18" i="28"/>
  <c r="AU18" i="28"/>
  <c r="AT18" i="28"/>
  <c r="AS18" i="28"/>
  <c r="AR18" i="28"/>
  <c r="AQ18" i="28"/>
  <c r="AP18" i="28"/>
  <c r="AO18" i="28"/>
  <c r="AN18" i="28"/>
  <c r="AM18" i="28"/>
  <c r="BJ17" i="28"/>
  <c r="BI17" i="28"/>
  <c r="BH17" i="28"/>
  <c r="BG17" i="28"/>
  <c r="BF17" i="28"/>
  <c r="BE17" i="28"/>
  <c r="BD17" i="28"/>
  <c r="BC17" i="28"/>
  <c r="BB17" i="28"/>
  <c r="BA17" i="28"/>
  <c r="AZ17" i="28"/>
  <c r="AY17" i="28"/>
  <c r="AX17" i="28"/>
  <c r="AW17" i="28"/>
  <c r="AV17" i="28"/>
  <c r="AU17" i="28"/>
  <c r="AT17" i="28"/>
  <c r="AS17" i="28"/>
  <c r="AR17" i="28"/>
  <c r="AQ17" i="28"/>
  <c r="AP17" i="28"/>
  <c r="AO17" i="28"/>
  <c r="AN17" i="28"/>
  <c r="AM17" i="28"/>
  <c r="BJ16" i="28"/>
  <c r="BJ22" i="28" s="1"/>
  <c r="BJ24" i="28" s="1"/>
  <c r="BI16" i="28"/>
  <c r="BI22" i="28" s="1"/>
  <c r="BI24" i="28" s="1"/>
  <c r="BH16" i="28"/>
  <c r="BH22" i="28" s="1"/>
  <c r="BH24" i="28" s="1"/>
  <c r="BG16" i="28"/>
  <c r="BG22" i="28" s="1"/>
  <c r="BG24" i="28" s="1"/>
  <c r="BF16" i="28"/>
  <c r="BE16" i="28"/>
  <c r="BE22" i="28" s="1"/>
  <c r="BE24" i="28" s="1"/>
  <c r="BD16" i="28"/>
  <c r="BD22" i="28" s="1"/>
  <c r="BD24" i="28" s="1"/>
  <c r="BC16" i="28"/>
  <c r="BC22" i="28" s="1"/>
  <c r="BC24" i="28" s="1"/>
  <c r="BB16" i="28"/>
  <c r="BB22" i="28" s="1"/>
  <c r="BB24" i="28" s="1"/>
  <c r="BA16" i="28"/>
  <c r="BA22" i="28" s="1"/>
  <c r="BA24" i="28" s="1"/>
  <c r="AZ16" i="28"/>
  <c r="AZ22" i="28" s="1"/>
  <c r="AZ24" i="28" s="1"/>
  <c r="AY16" i="28"/>
  <c r="AY22" i="28" s="1"/>
  <c r="AY24" i="28" s="1"/>
  <c r="AX16" i="28"/>
  <c r="AW16" i="28"/>
  <c r="AW22" i="28" s="1"/>
  <c r="AW24" i="28" s="1"/>
  <c r="AV16" i="28"/>
  <c r="AV22" i="28" s="1"/>
  <c r="AV24" i="28" s="1"/>
  <c r="AU16" i="28"/>
  <c r="AU22" i="28" s="1"/>
  <c r="AU24" i="28" s="1"/>
  <c r="AT16" i="28"/>
  <c r="AT22" i="28" s="1"/>
  <c r="AT24" i="28" s="1"/>
  <c r="AS16" i="28"/>
  <c r="AS22" i="28" s="1"/>
  <c r="AS24" i="28" s="1"/>
  <c r="AR16" i="28"/>
  <c r="AR22" i="28" s="1"/>
  <c r="AR24" i="28" s="1"/>
  <c r="AQ16" i="28"/>
  <c r="AQ22" i="28" s="1"/>
  <c r="AQ24" i="28" s="1"/>
  <c r="AP16" i="28"/>
  <c r="AP22" i="28" s="1"/>
  <c r="AP24" i="28" s="1"/>
  <c r="AO16" i="28"/>
  <c r="AO22" i="28" s="1"/>
  <c r="AO24" i="28" s="1"/>
  <c r="AN16" i="28"/>
  <c r="AN22" i="28" s="1"/>
  <c r="AN24" i="28" s="1"/>
  <c r="AM16" i="28"/>
  <c r="AM22" i="28" s="1"/>
  <c r="AM24" i="28" s="1"/>
  <c r="BI16" i="27"/>
  <c r="BJ16" i="27"/>
  <c r="BI17" i="27"/>
  <c r="BJ17" i="27"/>
  <c r="BI18" i="27"/>
  <c r="BJ18" i="27"/>
  <c r="BI19" i="27"/>
  <c r="BJ19" i="27"/>
  <c r="BI20" i="27"/>
  <c r="BJ20" i="27"/>
  <c r="BI21" i="27"/>
  <c r="BJ21" i="27"/>
  <c r="BI22" i="27"/>
  <c r="BI24" i="27" s="1"/>
  <c r="BJ22" i="27"/>
  <c r="BJ24" i="27" s="1"/>
  <c r="BI23" i="27"/>
  <c r="BJ23" i="27"/>
  <c r="BH23" i="27"/>
  <c r="BH21" i="27"/>
  <c r="BH20" i="27"/>
  <c r="BH19" i="27"/>
  <c r="BH18" i="27"/>
  <c r="BH17" i="27"/>
  <c r="BH16" i="27"/>
  <c r="BH22" i="27" s="1"/>
  <c r="BH24" i="27" s="1"/>
  <c r="BG23" i="27"/>
  <c r="BG21" i="27"/>
  <c r="BG20" i="27"/>
  <c r="BG19" i="27"/>
  <c r="BG18" i="27"/>
  <c r="BG17" i="27"/>
  <c r="BG16" i="27"/>
  <c r="BF23" i="27"/>
  <c r="BF21" i="27"/>
  <c r="BF20" i="27"/>
  <c r="BF19" i="27"/>
  <c r="BF18" i="27"/>
  <c r="BF17" i="27"/>
  <c r="BF16" i="27"/>
  <c r="BE23" i="27"/>
  <c r="BE21" i="27"/>
  <c r="BE20" i="27"/>
  <c r="BE19" i="27"/>
  <c r="BE18" i="27"/>
  <c r="BE17" i="27"/>
  <c r="BE16" i="27"/>
  <c r="BE22" i="27"/>
  <c r="BE24" i="27" s="1"/>
  <c r="BG22" i="27"/>
  <c r="BG24" i="27" s="1"/>
  <c r="BF22" i="27"/>
  <c r="BF24" i="27" s="1"/>
  <c r="AY16" i="27"/>
  <c r="AZ16" i="27"/>
  <c r="BA16" i="27"/>
  <c r="BB16" i="27"/>
  <c r="BC16" i="27"/>
  <c r="BD16" i="27"/>
  <c r="AY17" i="27"/>
  <c r="AZ17" i="27"/>
  <c r="BA17" i="27"/>
  <c r="BA22" i="27" s="1"/>
  <c r="BA24" i="27" s="1"/>
  <c r="BB17" i="27"/>
  <c r="BB22" i="27" s="1"/>
  <c r="BB24" i="27" s="1"/>
  <c r="BC17" i="27"/>
  <c r="BD17" i="27"/>
  <c r="AY18" i="27"/>
  <c r="AZ18" i="27"/>
  <c r="BA18" i="27"/>
  <c r="BB18" i="27"/>
  <c r="BC18" i="27"/>
  <c r="BD18" i="27"/>
  <c r="AY19" i="27"/>
  <c r="AZ19" i="27"/>
  <c r="BA19" i="27"/>
  <c r="BB19" i="27"/>
  <c r="BC19" i="27"/>
  <c r="BD19" i="27"/>
  <c r="AY20" i="27"/>
  <c r="AZ20" i="27"/>
  <c r="BA20" i="27"/>
  <c r="BB20" i="27"/>
  <c r="BC20" i="27"/>
  <c r="BD20" i="27"/>
  <c r="AY21" i="27"/>
  <c r="AZ21" i="27"/>
  <c r="BA21" i="27"/>
  <c r="BB21" i="27"/>
  <c r="BC21" i="27"/>
  <c r="BD21" i="27"/>
  <c r="AY22" i="27"/>
  <c r="AZ22" i="27"/>
  <c r="BC22" i="27"/>
  <c r="BD22" i="27"/>
  <c r="AY23" i="27"/>
  <c r="AZ23" i="27"/>
  <c r="BA23" i="27"/>
  <c r="BB23" i="27"/>
  <c r="BC23" i="27"/>
  <c r="BD23" i="27"/>
  <c r="AY24" i="27"/>
  <c r="AZ24" i="27"/>
  <c r="BC24" i="27"/>
  <c r="BD24" i="27"/>
  <c r="O57" i="30"/>
  <c r="N121" i="30"/>
  <c r="N57" i="30"/>
  <c r="M57" i="30"/>
  <c r="K6" i="32" l="1"/>
  <c r="AT9" i="32"/>
  <c r="AH108" i="32"/>
  <c r="AI108" i="32"/>
  <c r="G252" i="32"/>
  <c r="G118" i="32"/>
  <c r="H246" i="32"/>
  <c r="AI99" i="32"/>
  <c r="AH99" i="32"/>
  <c r="AA108" i="31"/>
  <c r="Z100" i="31"/>
  <c r="Z7" i="31" s="1"/>
  <c r="S108" i="31"/>
  <c r="Q108" i="31"/>
  <c r="P108" i="31"/>
  <c r="AX23" i="31"/>
  <c r="AX24" i="31" s="1"/>
  <c r="AW24" i="31"/>
  <c r="O108" i="31"/>
  <c r="K108" i="31"/>
  <c r="AR24" i="31"/>
  <c r="H100" i="31"/>
  <c r="H7" i="31" s="1"/>
  <c r="G108" i="31"/>
  <c r="AP24" i="31"/>
  <c r="AM22" i="31"/>
  <c r="AT8" i="31" s="1"/>
  <c r="L100" i="31"/>
  <c r="L7" i="31" s="1"/>
  <c r="C256" i="31"/>
  <c r="G100" i="31"/>
  <c r="G7" i="31" s="1"/>
  <c r="B256" i="31"/>
  <c r="D108" i="31"/>
  <c r="AO23" i="31"/>
  <c r="AO24" i="31" s="1"/>
  <c r="D100" i="31"/>
  <c r="D7" i="31" s="1"/>
  <c r="Z108" i="31"/>
  <c r="C100" i="31"/>
  <c r="C7" i="31" s="1"/>
  <c r="BJ107" i="31"/>
  <c r="BH106" i="31"/>
  <c r="BL104" i="31"/>
  <c r="BJ103" i="31"/>
  <c r="BH102" i="31"/>
  <c r="BL100" i="31"/>
  <c r="BJ99" i="31"/>
  <c r="BH98" i="31"/>
  <c r="BL96" i="31"/>
  <c r="BJ95" i="31"/>
  <c r="BH94" i="31"/>
  <c r="BL92" i="31"/>
  <c r="BJ91" i="31"/>
  <c r="BH90" i="31"/>
  <c r="BL88" i="31"/>
  <c r="BJ87" i="31"/>
  <c r="BI107" i="31"/>
  <c r="BG106" i="31"/>
  <c r="BK104" i="31"/>
  <c r="BI103" i="31"/>
  <c r="BG102" i="31"/>
  <c r="BK100" i="31"/>
  <c r="BI99" i="31"/>
  <c r="BG98" i="31"/>
  <c r="BK96" i="31"/>
  <c r="BI95" i="31"/>
  <c r="BG94" i="31"/>
  <c r="BK92" i="31"/>
  <c r="BI91" i="31"/>
  <c r="BG90" i="31"/>
  <c r="BK88" i="31"/>
  <c r="BI87" i="31"/>
  <c r="BG86" i="31"/>
  <c r="BK84" i="31"/>
  <c r="BH107" i="31"/>
  <c r="BL105" i="31"/>
  <c r="BJ104" i="31"/>
  <c r="BH103" i="31"/>
  <c r="BL101" i="31"/>
  <c r="BJ100" i="31"/>
  <c r="BH99" i="31"/>
  <c r="BL97" i="31"/>
  <c r="BJ96" i="31"/>
  <c r="BH95" i="31"/>
  <c r="BL93" i="31"/>
  <c r="BJ92" i="31"/>
  <c r="BH91" i="31"/>
  <c r="BL89" i="31"/>
  <c r="BJ88" i="31"/>
  <c r="BH87" i="31"/>
  <c r="BL85" i="31"/>
  <c r="BJ84" i="31"/>
  <c r="BL106" i="31"/>
  <c r="BJ105" i="31"/>
  <c r="BH104" i="31"/>
  <c r="BL102" i="31"/>
  <c r="BJ101" i="31"/>
  <c r="BH100" i="31"/>
  <c r="BL98" i="31"/>
  <c r="BJ97" i="31"/>
  <c r="BH96" i="31"/>
  <c r="BL94" i="31"/>
  <c r="BJ93" i="31"/>
  <c r="BH92" i="31"/>
  <c r="BL90" i="31"/>
  <c r="BJ89" i="31"/>
  <c r="BH88" i="31"/>
  <c r="BL86" i="31"/>
  <c r="BJ85" i="31"/>
  <c r="BH84" i="31"/>
  <c r="BK106" i="31"/>
  <c r="BI105" i="31"/>
  <c r="BG104" i="31"/>
  <c r="BK102" i="31"/>
  <c r="BI101" i="31"/>
  <c r="BG100" i="31"/>
  <c r="BK98" i="31"/>
  <c r="BI97" i="31"/>
  <c r="BG96" i="31"/>
  <c r="BK94" i="31"/>
  <c r="BI93" i="31"/>
  <c r="BG92" i="31"/>
  <c r="BK90" i="31"/>
  <c r="BI89" i="31"/>
  <c r="BG88" i="31"/>
  <c r="BK86" i="31"/>
  <c r="BI85" i="31"/>
  <c r="BG84" i="31"/>
  <c r="BL107" i="31"/>
  <c r="BJ106" i="31"/>
  <c r="BH105" i="31"/>
  <c r="BL103" i="31"/>
  <c r="BJ102" i="31"/>
  <c r="BH101" i="31"/>
  <c r="BL99" i="31"/>
  <c r="BJ98" i="31"/>
  <c r="BH97" i="31"/>
  <c r="BL95" i="31"/>
  <c r="BJ94" i="31"/>
  <c r="BH93" i="31"/>
  <c r="BL91" i="31"/>
  <c r="BJ90" i="31"/>
  <c r="BH89" i="31"/>
  <c r="BL87" i="31"/>
  <c r="BJ86" i="31"/>
  <c r="BH85" i="31"/>
  <c r="BK103" i="31"/>
  <c r="BI98" i="31"/>
  <c r="BG93" i="31"/>
  <c r="BK87" i="31"/>
  <c r="BG103" i="31"/>
  <c r="BK97" i="31"/>
  <c r="BI92" i="31"/>
  <c r="BG87" i="31"/>
  <c r="BK107" i="31"/>
  <c r="BI102" i="31"/>
  <c r="BG97" i="31"/>
  <c r="BK91" i="31"/>
  <c r="BI86" i="31"/>
  <c r="BG107" i="31"/>
  <c r="BK101" i="31"/>
  <c r="BI96" i="31"/>
  <c r="BG91" i="31"/>
  <c r="BH86" i="31"/>
  <c r="BI106" i="31"/>
  <c r="BG101" i="31"/>
  <c r="BK95" i="31"/>
  <c r="BI90" i="31"/>
  <c r="BK85" i="31"/>
  <c r="BK105" i="31"/>
  <c r="BI100" i="31"/>
  <c r="BG95" i="31"/>
  <c r="BG85" i="31"/>
  <c r="BK89" i="31"/>
  <c r="BI94" i="31"/>
  <c r="BI88" i="31"/>
  <c r="BK93" i="31"/>
  <c r="BG89" i="31"/>
  <c r="BG105" i="31"/>
  <c r="BL84" i="31"/>
  <c r="BI104" i="31"/>
  <c r="BI84" i="31"/>
  <c r="BK99" i="31"/>
  <c r="BG99" i="31"/>
  <c r="B99" i="31"/>
  <c r="AH97" i="31"/>
  <c r="AI97" i="31"/>
  <c r="AT24" i="31"/>
  <c r="S100" i="31"/>
  <c r="S7" i="31" s="1"/>
  <c r="AN24" i="31"/>
  <c r="E118" i="31"/>
  <c r="E252" i="31"/>
  <c r="F246" i="31"/>
  <c r="BG23" i="31"/>
  <c r="BG24" i="31" s="1"/>
  <c r="AI107" i="31"/>
  <c r="AM23" i="31"/>
  <c r="AH107" i="31"/>
  <c r="C108" i="31"/>
  <c r="BB23" i="31"/>
  <c r="BB24" i="31" s="1"/>
  <c r="T108" i="31"/>
  <c r="BA24" i="31"/>
  <c r="AA97" i="30"/>
  <c r="AA99" i="30" s="1"/>
  <c r="AA100" i="30" s="1"/>
  <c r="AA7" i="30" s="1"/>
  <c r="AA108" i="30"/>
  <c r="Z100" i="30"/>
  <c r="BF19" i="30"/>
  <c r="BF16" i="30"/>
  <c r="BF22" i="30" s="1"/>
  <c r="BF24" i="30" s="1"/>
  <c r="Y97" i="30"/>
  <c r="Y99" i="30" s="1"/>
  <c r="Y100" i="30" s="1"/>
  <c r="Y108" i="30"/>
  <c r="X97" i="30"/>
  <c r="X99" i="30" s="1"/>
  <c r="X107" i="30"/>
  <c r="BE23" i="30" s="1"/>
  <c r="BE20" i="30"/>
  <c r="BE22" i="30"/>
  <c r="W97" i="30"/>
  <c r="W99" i="30" s="1"/>
  <c r="W107" i="30"/>
  <c r="W108" i="30" s="1"/>
  <c r="V107" i="30"/>
  <c r="BD23" i="30" s="1"/>
  <c r="BD22" i="30"/>
  <c r="BD24" i="30" s="1"/>
  <c r="V97" i="30"/>
  <c r="V99" i="30" s="1"/>
  <c r="V100" i="30" s="1"/>
  <c r="T107" i="30"/>
  <c r="BB23" i="30" s="1"/>
  <c r="T97" i="30"/>
  <c r="T99" i="30" s="1"/>
  <c r="BB22" i="30"/>
  <c r="S97" i="30"/>
  <c r="S99" i="30" s="1"/>
  <c r="S100" i="30" s="1"/>
  <c r="S108" i="30"/>
  <c r="BA22" i="30"/>
  <c r="BA24" i="30" s="1"/>
  <c r="AH125" i="30"/>
  <c r="AI125" i="30"/>
  <c r="AH124" i="30"/>
  <c r="AI124" i="30"/>
  <c r="AG252" i="30"/>
  <c r="C252" i="30"/>
  <c r="D251" i="30"/>
  <c r="E251" i="30" s="1"/>
  <c r="F251" i="30" s="1"/>
  <c r="G251" i="30" s="1"/>
  <c r="H251" i="30" s="1"/>
  <c r="I251" i="30" s="1"/>
  <c r="J251" i="30" s="1"/>
  <c r="K251" i="30" s="1"/>
  <c r="L251" i="30" s="1"/>
  <c r="M251" i="30" s="1"/>
  <c r="N251" i="30" s="1"/>
  <c r="O251" i="30" s="1"/>
  <c r="P251" i="30" s="1"/>
  <c r="Q251" i="30" s="1"/>
  <c r="R251" i="30" s="1"/>
  <c r="S251" i="30" s="1"/>
  <c r="T251" i="30" s="1"/>
  <c r="U251" i="30" s="1"/>
  <c r="V251" i="30" s="1"/>
  <c r="W251" i="30" s="1"/>
  <c r="X251" i="30" s="1"/>
  <c r="Y251" i="30" s="1"/>
  <c r="Z251" i="30" s="1"/>
  <c r="AA251" i="30" s="1"/>
  <c r="AB251" i="30" s="1"/>
  <c r="AC251" i="30" s="1"/>
  <c r="AD251" i="30" s="1"/>
  <c r="AE251" i="30" s="1"/>
  <c r="AF251" i="30" s="1"/>
  <c r="B251" i="30" s="1"/>
  <c r="D250" i="30"/>
  <c r="E250" i="30" s="1"/>
  <c r="F250" i="30" s="1"/>
  <c r="G250" i="30" s="1"/>
  <c r="H250" i="30" s="1"/>
  <c r="I250" i="30" s="1"/>
  <c r="J250" i="30" s="1"/>
  <c r="K250" i="30" s="1"/>
  <c r="L250" i="30" s="1"/>
  <c r="M250" i="30" s="1"/>
  <c r="N250" i="30" s="1"/>
  <c r="O250" i="30" s="1"/>
  <c r="P250" i="30" s="1"/>
  <c r="Q250" i="30" s="1"/>
  <c r="R250" i="30" s="1"/>
  <c r="S250" i="30" s="1"/>
  <c r="T250" i="30" s="1"/>
  <c r="U250" i="30" s="1"/>
  <c r="V250" i="30" s="1"/>
  <c r="W250" i="30" s="1"/>
  <c r="X250" i="30" s="1"/>
  <c r="Y250" i="30" s="1"/>
  <c r="Z250" i="30" s="1"/>
  <c r="AA250" i="30" s="1"/>
  <c r="AB250" i="30" s="1"/>
  <c r="AC250" i="30" s="1"/>
  <c r="AD250" i="30" s="1"/>
  <c r="AE250" i="30" s="1"/>
  <c r="AF250" i="30" s="1"/>
  <c r="B250" i="30" s="1"/>
  <c r="E249" i="30"/>
  <c r="F249" i="30" s="1"/>
  <c r="G249" i="30" s="1"/>
  <c r="H249" i="30" s="1"/>
  <c r="I249" i="30" s="1"/>
  <c r="J249" i="30" s="1"/>
  <c r="K249" i="30" s="1"/>
  <c r="L249" i="30" s="1"/>
  <c r="M249" i="30" s="1"/>
  <c r="N249" i="30" s="1"/>
  <c r="O249" i="30" s="1"/>
  <c r="P249" i="30" s="1"/>
  <c r="Q249" i="30" s="1"/>
  <c r="R249" i="30" s="1"/>
  <c r="S249" i="30" s="1"/>
  <c r="T249" i="30" s="1"/>
  <c r="U249" i="30" s="1"/>
  <c r="V249" i="30" s="1"/>
  <c r="W249" i="30" s="1"/>
  <c r="X249" i="30" s="1"/>
  <c r="Y249" i="30" s="1"/>
  <c r="Z249" i="30" s="1"/>
  <c r="AA249" i="30" s="1"/>
  <c r="AB249" i="30" s="1"/>
  <c r="AC249" i="30" s="1"/>
  <c r="AD249" i="30" s="1"/>
  <c r="AE249" i="30" s="1"/>
  <c r="AF249" i="30" s="1"/>
  <c r="B249" i="30" s="1"/>
  <c r="D249" i="30"/>
  <c r="D248" i="30"/>
  <c r="E248" i="30" s="1"/>
  <c r="F248" i="30" s="1"/>
  <c r="G248" i="30" s="1"/>
  <c r="H248" i="30" s="1"/>
  <c r="I248" i="30" s="1"/>
  <c r="J248" i="30" s="1"/>
  <c r="K248" i="30" s="1"/>
  <c r="L248" i="30" s="1"/>
  <c r="M248" i="30" s="1"/>
  <c r="N248" i="30" s="1"/>
  <c r="O248" i="30" s="1"/>
  <c r="P248" i="30" s="1"/>
  <c r="Q248" i="30" s="1"/>
  <c r="R248" i="30" s="1"/>
  <c r="S248" i="30" s="1"/>
  <c r="T248" i="30" s="1"/>
  <c r="U248" i="30" s="1"/>
  <c r="V248" i="30" s="1"/>
  <c r="W248" i="30" s="1"/>
  <c r="X248" i="30" s="1"/>
  <c r="Y248" i="30" s="1"/>
  <c r="Z248" i="30" s="1"/>
  <c r="AA248" i="30" s="1"/>
  <c r="AB248" i="30" s="1"/>
  <c r="AC248" i="30" s="1"/>
  <c r="AD248" i="30" s="1"/>
  <c r="AE248" i="30" s="1"/>
  <c r="AF248" i="30" s="1"/>
  <c r="B248" i="30" s="1"/>
  <c r="D247" i="30"/>
  <c r="E247" i="30" s="1"/>
  <c r="F247" i="30" s="1"/>
  <c r="G247" i="30" s="1"/>
  <c r="H247" i="30" s="1"/>
  <c r="I247" i="30" s="1"/>
  <c r="J247" i="30" s="1"/>
  <c r="K247" i="30" s="1"/>
  <c r="L247" i="30" s="1"/>
  <c r="M247" i="30" s="1"/>
  <c r="N247" i="30" s="1"/>
  <c r="O247" i="30" s="1"/>
  <c r="P247" i="30" s="1"/>
  <c r="Q247" i="30" s="1"/>
  <c r="R247" i="30" s="1"/>
  <c r="S247" i="30" s="1"/>
  <c r="T247" i="30" s="1"/>
  <c r="U247" i="30" s="1"/>
  <c r="V247" i="30" s="1"/>
  <c r="W247" i="30" s="1"/>
  <c r="X247" i="30" s="1"/>
  <c r="Y247" i="30" s="1"/>
  <c r="Z247" i="30" s="1"/>
  <c r="AA247" i="30" s="1"/>
  <c r="AB247" i="30" s="1"/>
  <c r="AC247" i="30" s="1"/>
  <c r="AD247" i="30" s="1"/>
  <c r="AE247" i="30" s="1"/>
  <c r="AF247" i="30" s="1"/>
  <c r="B247" i="30" s="1"/>
  <c r="D246" i="30"/>
  <c r="AG244" i="30"/>
  <c r="AF244" i="30"/>
  <c r="AE244" i="30"/>
  <c r="AD244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J244" i="30"/>
  <c r="I244" i="30"/>
  <c r="H244" i="30"/>
  <c r="G244" i="30"/>
  <c r="F244" i="30"/>
  <c r="E244" i="30"/>
  <c r="D244" i="30"/>
  <c r="C244" i="30"/>
  <c r="B244" i="30"/>
  <c r="AI130" i="30"/>
  <c r="AH130" i="30"/>
  <c r="AI129" i="30"/>
  <c r="AH129" i="30"/>
  <c r="AI128" i="30"/>
  <c r="AH128" i="30"/>
  <c r="AI127" i="30"/>
  <c r="AH127" i="30"/>
  <c r="AI126" i="30"/>
  <c r="AH126" i="30"/>
  <c r="AI123" i="30"/>
  <c r="AH123" i="30"/>
  <c r="AI122" i="30"/>
  <c r="AH122" i="30"/>
  <c r="AI121" i="30"/>
  <c r="AH121" i="30"/>
  <c r="AI120" i="30"/>
  <c r="AH120" i="30"/>
  <c r="AI119" i="30"/>
  <c r="AH119" i="30"/>
  <c r="C118" i="30"/>
  <c r="AI117" i="30"/>
  <c r="AH117" i="30"/>
  <c r="AI116" i="30"/>
  <c r="AH116" i="30"/>
  <c r="AI115" i="30"/>
  <c r="AH115" i="30"/>
  <c r="AI114" i="30"/>
  <c r="AH114" i="30"/>
  <c r="AI113" i="30"/>
  <c r="AH113" i="30"/>
  <c r="AI112" i="30"/>
  <c r="AH112" i="30"/>
  <c r="AI111" i="30"/>
  <c r="AH111" i="30"/>
  <c r="AI110" i="30"/>
  <c r="AH110" i="30"/>
  <c r="AI109" i="30"/>
  <c r="AH109" i="30"/>
  <c r="AI106" i="30"/>
  <c r="AH106" i="30"/>
  <c r="AF105" i="30"/>
  <c r="AE105" i="30"/>
  <c r="AD105" i="30"/>
  <c r="AC105" i="30"/>
  <c r="AB105" i="30"/>
  <c r="U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AF104" i="30"/>
  <c r="AE104" i="30"/>
  <c r="AD104" i="30"/>
  <c r="AC104" i="30"/>
  <c r="AB104" i="30"/>
  <c r="U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AF103" i="30"/>
  <c r="AE103" i="30"/>
  <c r="AD103" i="30"/>
  <c r="AC103" i="30"/>
  <c r="AB103" i="30"/>
  <c r="U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AF102" i="30"/>
  <c r="AE102" i="30"/>
  <c r="AD102" i="30"/>
  <c r="AC102" i="30"/>
  <c r="AB102" i="30"/>
  <c r="U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AF101" i="30"/>
  <c r="AE101" i="30"/>
  <c r="AD101" i="30"/>
  <c r="AC101" i="30"/>
  <c r="AB101" i="30"/>
  <c r="U101" i="30"/>
  <c r="U107" i="30" s="1"/>
  <c r="U108" i="30" s="1"/>
  <c r="R101" i="30"/>
  <c r="Q101" i="30"/>
  <c r="P101" i="30"/>
  <c r="P107" i="30" s="1"/>
  <c r="O101" i="30"/>
  <c r="N101" i="30"/>
  <c r="N107" i="30" s="1"/>
  <c r="M101" i="30"/>
  <c r="L101" i="30"/>
  <c r="K101" i="30"/>
  <c r="J101" i="30"/>
  <c r="I101" i="30"/>
  <c r="H101" i="30"/>
  <c r="H107" i="30" s="1"/>
  <c r="G101" i="30"/>
  <c r="F101" i="30"/>
  <c r="E101" i="30"/>
  <c r="D101" i="30"/>
  <c r="C101" i="30"/>
  <c r="B101" i="30"/>
  <c r="AI98" i="30"/>
  <c r="AH98" i="30"/>
  <c r="S7" i="30"/>
  <c r="AI96" i="30"/>
  <c r="AH96" i="30"/>
  <c r="AG96" i="30"/>
  <c r="AG99" i="30" s="1"/>
  <c r="AI95" i="30"/>
  <c r="AH95" i="30"/>
  <c r="AI94" i="30"/>
  <c r="AH94" i="30"/>
  <c r="AI93" i="30"/>
  <c r="AH93" i="30"/>
  <c r="AG92" i="30"/>
  <c r="AF92" i="30"/>
  <c r="BJ19" i="30" s="1"/>
  <c r="AE92" i="30"/>
  <c r="BI19" i="30" s="1"/>
  <c r="AD92" i="30"/>
  <c r="BH19" i="30" s="1"/>
  <c r="AC92" i="30"/>
  <c r="AB92" i="30"/>
  <c r="AA5" i="30" s="1"/>
  <c r="U92" i="30"/>
  <c r="R92" i="30"/>
  <c r="Q5" i="30" s="1"/>
  <c r="Q92" i="30"/>
  <c r="AY19" i="30" s="1"/>
  <c r="P92" i="30"/>
  <c r="AX19" i="30" s="1"/>
  <c r="O92" i="30"/>
  <c r="N92" i="30"/>
  <c r="M5" i="30" s="1"/>
  <c r="M92" i="30"/>
  <c r="L92" i="30"/>
  <c r="K92" i="30"/>
  <c r="J92" i="30"/>
  <c r="I92" i="30"/>
  <c r="H92" i="30"/>
  <c r="G5" i="30" s="1"/>
  <c r="G92" i="30"/>
  <c r="F92" i="30"/>
  <c r="E5" i="30" s="1"/>
  <c r="E92" i="30"/>
  <c r="D92" i="30"/>
  <c r="C5" i="30" s="1"/>
  <c r="C92" i="30"/>
  <c r="B92" i="30"/>
  <c r="AI91" i="30"/>
  <c r="AH91" i="30"/>
  <c r="AI90" i="30"/>
  <c r="AH90" i="30"/>
  <c r="AI89" i="30"/>
  <c r="AH89" i="30"/>
  <c r="AI88" i="30"/>
  <c r="AH88" i="30"/>
  <c r="AI87" i="30"/>
  <c r="AH87" i="30"/>
  <c r="AI86" i="30"/>
  <c r="AH86" i="30"/>
  <c r="AI85" i="30"/>
  <c r="AH85" i="30"/>
  <c r="AI84" i="30"/>
  <c r="AH84" i="30"/>
  <c r="AI83" i="30"/>
  <c r="AH83" i="30"/>
  <c r="AI82" i="30"/>
  <c r="AH82" i="30"/>
  <c r="AI81" i="30"/>
  <c r="AH81" i="30"/>
  <c r="BL80" i="30"/>
  <c r="AG80" i="30"/>
  <c r="AF80" i="30"/>
  <c r="BJ20" i="30" s="1"/>
  <c r="AE80" i="30"/>
  <c r="BI20" i="30" s="1"/>
  <c r="AD80" i="30"/>
  <c r="BH20" i="30" s="1"/>
  <c r="AC80" i="30"/>
  <c r="AB80" i="30"/>
  <c r="BG20" i="30" s="1"/>
  <c r="U80" i="30"/>
  <c r="R80" i="30"/>
  <c r="AZ20" i="30" s="1"/>
  <c r="Q80" i="30"/>
  <c r="AY20" i="30" s="1"/>
  <c r="P80" i="30"/>
  <c r="AX20" i="30" s="1"/>
  <c r="O80" i="30"/>
  <c r="N80" i="30"/>
  <c r="M80" i="30"/>
  <c r="L80" i="30"/>
  <c r="K80" i="30"/>
  <c r="J80" i="30"/>
  <c r="I80" i="30"/>
  <c r="H80" i="30"/>
  <c r="G80" i="30"/>
  <c r="F80" i="30"/>
  <c r="E80" i="30"/>
  <c r="D80" i="30"/>
  <c r="C80" i="30"/>
  <c r="B80" i="30"/>
  <c r="BT79" i="30"/>
  <c r="BF79" i="30"/>
  <c r="AI79" i="30"/>
  <c r="AH79" i="30"/>
  <c r="BQ78" i="30"/>
  <c r="AI78" i="30"/>
  <c r="AH78" i="30"/>
  <c r="BR77" i="30"/>
  <c r="BG77" i="30"/>
  <c r="AI77" i="30"/>
  <c r="AH77" i="30"/>
  <c r="AF76" i="30"/>
  <c r="BJ18" i="30" s="1"/>
  <c r="AE76" i="30"/>
  <c r="BI18" i="30" s="1"/>
  <c r="AD76" i="30"/>
  <c r="BH18" i="30" s="1"/>
  <c r="AC76" i="30"/>
  <c r="AB76" i="30"/>
  <c r="BG18" i="30" s="1"/>
  <c r="U76" i="30"/>
  <c r="R76" i="30"/>
  <c r="AZ18" i="30" s="1"/>
  <c r="Q76" i="30"/>
  <c r="AY18" i="30" s="1"/>
  <c r="P76" i="30"/>
  <c r="AX18" i="30" s="1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BC75" i="30"/>
  <c r="BA75" i="30"/>
  <c r="AI75" i="30"/>
  <c r="AH75" i="30"/>
  <c r="AG75" i="30"/>
  <c r="AG76" i="30" s="1"/>
  <c r="AI74" i="30"/>
  <c r="AH74" i="30"/>
  <c r="BW73" i="30"/>
  <c r="BW80" i="30" s="1"/>
  <c r="BV73" i="30"/>
  <c r="BV80" i="30" s="1"/>
  <c r="BU73" i="30"/>
  <c r="BU80" i="30" s="1"/>
  <c r="BT73" i="30"/>
  <c r="BT80" i="30" s="1"/>
  <c r="BS73" i="30"/>
  <c r="BS80" i="30" s="1"/>
  <c r="BR73" i="30"/>
  <c r="BR80" i="30" s="1"/>
  <c r="BQ73" i="30"/>
  <c r="BQ80" i="30" s="1"/>
  <c r="BP73" i="30"/>
  <c r="BP80" i="30" s="1"/>
  <c r="BO73" i="30"/>
  <c r="BO80" i="30" s="1"/>
  <c r="BN73" i="30"/>
  <c r="BN80" i="30" s="1"/>
  <c r="BM73" i="30"/>
  <c r="BM80" i="30" s="1"/>
  <c r="BL73" i="30"/>
  <c r="BK73" i="30"/>
  <c r="BK80" i="30" s="1"/>
  <c r="BJ73" i="30"/>
  <c r="BJ80" i="30" s="1"/>
  <c r="BI73" i="30"/>
  <c r="BI80" i="30" s="1"/>
  <c r="BH73" i="30"/>
  <c r="BH80" i="30" s="1"/>
  <c r="BG73" i="30"/>
  <c r="BG80" i="30" s="1"/>
  <c r="BF73" i="30"/>
  <c r="BF80" i="30" s="1"/>
  <c r="BE73" i="30"/>
  <c r="BE80" i="30" s="1"/>
  <c r="BD73" i="30"/>
  <c r="BD80" i="30" s="1"/>
  <c r="BC73" i="30"/>
  <c r="BC80" i="30" s="1"/>
  <c r="BB73" i="30"/>
  <c r="BB80" i="30" s="1"/>
  <c r="BA73" i="30"/>
  <c r="BA80" i="30" s="1"/>
  <c r="AZ73" i="30"/>
  <c r="AZ80" i="30" s="1"/>
  <c r="AI73" i="30"/>
  <c r="AH73" i="30"/>
  <c r="BW72" i="30"/>
  <c r="BW79" i="30" s="1"/>
  <c r="BV72" i="30"/>
  <c r="BV79" i="30" s="1"/>
  <c r="BU72" i="30"/>
  <c r="BU79" i="30" s="1"/>
  <c r="BT72" i="30"/>
  <c r="BS72" i="30"/>
  <c r="BS79" i="30" s="1"/>
  <c r="BR72" i="30"/>
  <c r="BR79" i="30" s="1"/>
  <c r="BQ72" i="30"/>
  <c r="BQ79" i="30" s="1"/>
  <c r="BP72" i="30"/>
  <c r="BP79" i="30" s="1"/>
  <c r="BO72" i="30"/>
  <c r="BO79" i="30" s="1"/>
  <c r="BN72" i="30"/>
  <c r="BN79" i="30" s="1"/>
  <c r="BM72" i="30"/>
  <c r="BM79" i="30" s="1"/>
  <c r="BL72" i="30"/>
  <c r="BL79" i="30" s="1"/>
  <c r="BK72" i="30"/>
  <c r="BK79" i="30" s="1"/>
  <c r="BJ72" i="30"/>
  <c r="BJ79" i="30" s="1"/>
  <c r="BI72" i="30"/>
  <c r="BI79" i="30" s="1"/>
  <c r="BH72" i="30"/>
  <c r="BH79" i="30" s="1"/>
  <c r="BG72" i="30"/>
  <c r="BG79" i="30" s="1"/>
  <c r="BF72" i="30"/>
  <c r="BE72" i="30"/>
  <c r="BE79" i="30" s="1"/>
  <c r="BD72" i="30"/>
  <c r="BD79" i="30" s="1"/>
  <c r="BC72" i="30"/>
  <c r="BC79" i="30" s="1"/>
  <c r="BB72" i="30"/>
  <c r="BB79" i="30" s="1"/>
  <c r="BA72" i="30"/>
  <c r="BA79" i="30" s="1"/>
  <c r="AZ72" i="30"/>
  <c r="AZ79" i="30" s="1"/>
  <c r="AI72" i="30"/>
  <c r="AH72" i="30"/>
  <c r="BW71" i="30"/>
  <c r="BW78" i="30" s="1"/>
  <c r="BV71" i="30"/>
  <c r="BV78" i="30" s="1"/>
  <c r="BU71" i="30"/>
  <c r="BU78" i="30" s="1"/>
  <c r="BT71" i="30"/>
  <c r="BT78" i="30" s="1"/>
  <c r="BS71" i="30"/>
  <c r="BS78" i="30" s="1"/>
  <c r="BR71" i="30"/>
  <c r="BR78" i="30" s="1"/>
  <c r="BQ71" i="30"/>
  <c r="BP71" i="30"/>
  <c r="BP78" i="30" s="1"/>
  <c r="BO71" i="30"/>
  <c r="BO78" i="30" s="1"/>
  <c r="BN71" i="30"/>
  <c r="BN78" i="30" s="1"/>
  <c r="BM71" i="30"/>
  <c r="BM78" i="30" s="1"/>
  <c r="BL71" i="30"/>
  <c r="BL78" i="30" s="1"/>
  <c r="BK71" i="30"/>
  <c r="BK78" i="30" s="1"/>
  <c r="BJ71" i="30"/>
  <c r="BJ78" i="30" s="1"/>
  <c r="BI71" i="30"/>
  <c r="BI78" i="30" s="1"/>
  <c r="BH71" i="30"/>
  <c r="BH78" i="30" s="1"/>
  <c r="BG71" i="30"/>
  <c r="BG78" i="30" s="1"/>
  <c r="BF71" i="30"/>
  <c r="BF78" i="30" s="1"/>
  <c r="BE71" i="30"/>
  <c r="BE78" i="30" s="1"/>
  <c r="BD71" i="30"/>
  <c r="BD78" i="30" s="1"/>
  <c r="BC71" i="30"/>
  <c r="BC78" i="30" s="1"/>
  <c r="BB71" i="30"/>
  <c r="BB78" i="30" s="1"/>
  <c r="BA71" i="30"/>
  <c r="BA78" i="30" s="1"/>
  <c r="AZ71" i="30"/>
  <c r="AZ78" i="30" s="1"/>
  <c r="AI71" i="30"/>
  <c r="AH71" i="30"/>
  <c r="BW70" i="30"/>
  <c r="BW77" i="30" s="1"/>
  <c r="BV70" i="30"/>
  <c r="BV77" i="30" s="1"/>
  <c r="BU70" i="30"/>
  <c r="BU77" i="30" s="1"/>
  <c r="BT70" i="30"/>
  <c r="BT77" i="30" s="1"/>
  <c r="BS70" i="30"/>
  <c r="BS77" i="30" s="1"/>
  <c r="BR70" i="30"/>
  <c r="BQ70" i="30"/>
  <c r="BQ77" i="30" s="1"/>
  <c r="BP70" i="30"/>
  <c r="BP77" i="30" s="1"/>
  <c r="BO70" i="30"/>
  <c r="BO77" i="30" s="1"/>
  <c r="BN70" i="30"/>
  <c r="BN77" i="30" s="1"/>
  <c r="BM70" i="30"/>
  <c r="BM77" i="30" s="1"/>
  <c r="BL70" i="30"/>
  <c r="BL77" i="30" s="1"/>
  <c r="BK70" i="30"/>
  <c r="BK77" i="30" s="1"/>
  <c r="BJ70" i="30"/>
  <c r="BJ77" i="30" s="1"/>
  <c r="BI70" i="30"/>
  <c r="BI77" i="30" s="1"/>
  <c r="BH70" i="30"/>
  <c r="BH77" i="30" s="1"/>
  <c r="BG70" i="30"/>
  <c r="BF70" i="30"/>
  <c r="BF77" i="30" s="1"/>
  <c r="BE70" i="30"/>
  <c r="BE77" i="30" s="1"/>
  <c r="BD70" i="30"/>
  <c r="BD77" i="30" s="1"/>
  <c r="BC70" i="30"/>
  <c r="BC77" i="30" s="1"/>
  <c r="BB70" i="30"/>
  <c r="BB77" i="30" s="1"/>
  <c r="BA70" i="30"/>
  <c r="BA77" i="30" s="1"/>
  <c r="AZ70" i="30"/>
  <c r="AZ77" i="30" s="1"/>
  <c r="AI70" i="30"/>
  <c r="AH70" i="30"/>
  <c r="BW69" i="30"/>
  <c r="BW76" i="30" s="1"/>
  <c r="BV69" i="30"/>
  <c r="BV76" i="30" s="1"/>
  <c r="BU69" i="30"/>
  <c r="BU76" i="30" s="1"/>
  <c r="BT69" i="30"/>
  <c r="BT76" i="30" s="1"/>
  <c r="BS69" i="30"/>
  <c r="BS76" i="30" s="1"/>
  <c r="BR69" i="30"/>
  <c r="BR76" i="30" s="1"/>
  <c r="BQ69" i="30"/>
  <c r="BQ76" i="30" s="1"/>
  <c r="BP69" i="30"/>
  <c r="BP76" i="30" s="1"/>
  <c r="BO69" i="30"/>
  <c r="BO76" i="30" s="1"/>
  <c r="BN69" i="30"/>
  <c r="BN76" i="30" s="1"/>
  <c r="BM69" i="30"/>
  <c r="BM76" i="30" s="1"/>
  <c r="BL69" i="30"/>
  <c r="BL76" i="30" s="1"/>
  <c r="BK69" i="30"/>
  <c r="BK76" i="30" s="1"/>
  <c r="BJ69" i="30"/>
  <c r="BJ76" i="30" s="1"/>
  <c r="BI69" i="30"/>
  <c r="BI76" i="30" s="1"/>
  <c r="BH69" i="30"/>
  <c r="BH76" i="30" s="1"/>
  <c r="BG69" i="30"/>
  <c r="BG76" i="30" s="1"/>
  <c r="BF69" i="30"/>
  <c r="BF76" i="30" s="1"/>
  <c r="BE69" i="30"/>
  <c r="BE76" i="30" s="1"/>
  <c r="BD69" i="30"/>
  <c r="BD76" i="30" s="1"/>
  <c r="BC69" i="30"/>
  <c r="BC76" i="30" s="1"/>
  <c r="BB69" i="30"/>
  <c r="BB76" i="30" s="1"/>
  <c r="BA69" i="30"/>
  <c r="BA76" i="30" s="1"/>
  <c r="AZ69" i="30"/>
  <c r="AZ76" i="30" s="1"/>
  <c r="AI69" i="30"/>
  <c r="AH69" i="30"/>
  <c r="BW68" i="30"/>
  <c r="BW75" i="30" s="1"/>
  <c r="BV68" i="30"/>
  <c r="BV75" i="30" s="1"/>
  <c r="BU68" i="30"/>
  <c r="BU75" i="30" s="1"/>
  <c r="BT68" i="30"/>
  <c r="BT75" i="30" s="1"/>
  <c r="BS68" i="30"/>
  <c r="BS75" i="30" s="1"/>
  <c r="BR68" i="30"/>
  <c r="BR75" i="30" s="1"/>
  <c r="BQ68" i="30"/>
  <c r="BQ75" i="30" s="1"/>
  <c r="BP68" i="30"/>
  <c r="BP75" i="30" s="1"/>
  <c r="BO68" i="30"/>
  <c r="BO75" i="30" s="1"/>
  <c r="BN68" i="30"/>
  <c r="BN75" i="30" s="1"/>
  <c r="BM68" i="30"/>
  <c r="BM75" i="30" s="1"/>
  <c r="BL68" i="30"/>
  <c r="BL75" i="30" s="1"/>
  <c r="BK68" i="30"/>
  <c r="BK75" i="30" s="1"/>
  <c r="BJ68" i="30"/>
  <c r="BJ75" i="30" s="1"/>
  <c r="BI68" i="30"/>
  <c r="BI75" i="30" s="1"/>
  <c r="BH68" i="30"/>
  <c r="BH75" i="30" s="1"/>
  <c r="BG68" i="30"/>
  <c r="BG75" i="30" s="1"/>
  <c r="BF68" i="30"/>
  <c r="BF75" i="30" s="1"/>
  <c r="BE68" i="30"/>
  <c r="BE75" i="30" s="1"/>
  <c r="BD68" i="30"/>
  <c r="BD75" i="30" s="1"/>
  <c r="BC68" i="30"/>
  <c r="BB68" i="30"/>
  <c r="BB75" i="30" s="1"/>
  <c r="BA68" i="30"/>
  <c r="AZ68" i="30"/>
  <c r="AI68" i="30"/>
  <c r="AH68" i="30"/>
  <c r="AI67" i="30"/>
  <c r="AH67" i="30"/>
  <c r="AI66" i="30"/>
  <c r="AH66" i="30"/>
  <c r="AI65" i="30"/>
  <c r="AH65" i="30"/>
  <c r="AI64" i="30"/>
  <c r="AH64" i="30"/>
  <c r="AI63" i="30"/>
  <c r="AH63" i="30"/>
  <c r="AG62" i="30"/>
  <c r="AF62" i="30"/>
  <c r="BJ17" i="30" s="1"/>
  <c r="AE62" i="30"/>
  <c r="BI17" i="30" s="1"/>
  <c r="AD62" i="30"/>
  <c r="BH17" i="30" s="1"/>
  <c r="AC62" i="30"/>
  <c r="AB62" i="30"/>
  <c r="BG17" i="30" s="1"/>
  <c r="U62" i="30"/>
  <c r="R62" i="30"/>
  <c r="AZ17" i="30" s="1"/>
  <c r="Q62" i="30"/>
  <c r="AY17" i="30" s="1"/>
  <c r="P62" i="30"/>
  <c r="AX17" i="30" s="1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AI61" i="30"/>
  <c r="AH61" i="30"/>
  <c r="AI60" i="30"/>
  <c r="AH60" i="30"/>
  <c r="AI59" i="30"/>
  <c r="AH59" i="30"/>
  <c r="AG58" i="30"/>
  <c r="AF58" i="30"/>
  <c r="AE58" i="30"/>
  <c r="BI16" i="30" s="1"/>
  <c r="AD58" i="30"/>
  <c r="BH16" i="30" s="1"/>
  <c r="AC58" i="30"/>
  <c r="AB58" i="30"/>
  <c r="U58" i="30"/>
  <c r="BC16" i="30" s="1"/>
  <c r="BC22" i="30" s="1"/>
  <c r="BC24" i="30" s="1"/>
  <c r="R58" i="30"/>
  <c r="AZ16" i="30" s="1"/>
  <c r="Q58" i="30"/>
  <c r="AY16" i="30" s="1"/>
  <c r="P58" i="30"/>
  <c r="AX16" i="30" s="1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B58" i="30"/>
  <c r="AI57" i="30"/>
  <c r="AH57" i="30"/>
  <c r="AI56" i="30"/>
  <c r="AH56" i="30"/>
  <c r="AI55" i="30"/>
  <c r="AH55" i="30"/>
  <c r="AI54" i="30"/>
  <c r="AH54" i="30"/>
  <c r="AI53" i="30"/>
  <c r="AH53" i="30"/>
  <c r="AI52" i="30"/>
  <c r="AH52" i="30"/>
  <c r="AI51" i="30"/>
  <c r="AH51" i="30"/>
  <c r="AI50" i="30"/>
  <c r="AH50" i="30"/>
  <c r="AI49" i="30"/>
  <c r="AH49" i="30"/>
  <c r="AI48" i="30"/>
  <c r="AH48" i="30"/>
  <c r="AI47" i="30"/>
  <c r="AH47" i="30"/>
  <c r="AI46" i="30"/>
  <c r="AH46" i="30"/>
  <c r="AI45" i="30"/>
  <c r="AH45" i="30"/>
  <c r="AI44" i="30"/>
  <c r="AH44" i="30"/>
  <c r="AI43" i="30"/>
  <c r="AH43" i="30"/>
  <c r="AI42" i="30"/>
  <c r="AH42" i="30"/>
  <c r="AI41" i="30"/>
  <c r="AH41" i="30"/>
  <c r="AI40" i="30"/>
  <c r="AH40" i="30"/>
  <c r="AI39" i="30"/>
  <c r="AH39" i="30"/>
  <c r="AI38" i="30"/>
  <c r="AH38" i="30"/>
  <c r="AI37" i="30"/>
  <c r="AH37" i="30"/>
  <c r="AI36" i="30"/>
  <c r="AH36" i="30"/>
  <c r="AI35" i="30"/>
  <c r="AH35" i="30"/>
  <c r="AI34" i="30"/>
  <c r="AH34" i="30"/>
  <c r="AI33" i="30"/>
  <c r="AH33" i="30"/>
  <c r="AI32" i="30"/>
  <c r="AH32" i="30"/>
  <c r="AI31" i="30"/>
  <c r="AH31" i="30"/>
  <c r="AI30" i="30"/>
  <c r="AH30" i="30"/>
  <c r="AI29" i="30"/>
  <c r="AH29" i="30"/>
  <c r="AI28" i="30"/>
  <c r="AH28" i="30"/>
  <c r="AI27" i="30"/>
  <c r="AH27" i="30"/>
  <c r="AI26" i="30"/>
  <c r="AH26" i="30"/>
  <c r="AI25" i="30"/>
  <c r="AH25" i="30"/>
  <c r="AI24" i="30"/>
  <c r="AH24" i="30"/>
  <c r="AI23" i="30"/>
  <c r="AH23" i="30"/>
  <c r="AI22" i="30"/>
  <c r="AH22" i="30"/>
  <c r="AI21" i="30"/>
  <c r="AH21" i="30"/>
  <c r="AI20" i="30"/>
  <c r="AH20" i="30"/>
  <c r="AI19" i="30"/>
  <c r="AH19" i="30"/>
  <c r="AI18" i="30"/>
  <c r="AH18" i="30"/>
  <c r="AI17" i="30"/>
  <c r="AH17" i="30"/>
  <c r="AI16" i="30"/>
  <c r="AH16" i="30"/>
  <c r="AI15" i="30"/>
  <c r="AH15" i="30"/>
  <c r="AI14" i="30"/>
  <c r="AH14" i="30"/>
  <c r="AI13" i="30"/>
  <c r="AH13" i="30"/>
  <c r="AL12" i="30"/>
  <c r="AI12" i="30"/>
  <c r="AH12" i="30"/>
  <c r="AI11" i="30"/>
  <c r="AH11" i="30"/>
  <c r="AB5" i="30"/>
  <c r="Z5" i="30"/>
  <c r="Y5" i="30"/>
  <c r="X5" i="30"/>
  <c r="W5" i="30"/>
  <c r="V5" i="30"/>
  <c r="U5" i="30"/>
  <c r="T5" i="30"/>
  <c r="S5" i="30"/>
  <c r="R5" i="30"/>
  <c r="L5" i="30"/>
  <c r="AG4" i="30"/>
  <c r="K4" i="30"/>
  <c r="E4" i="30"/>
  <c r="H4" i="30" s="1"/>
  <c r="B4" i="30"/>
  <c r="D258" i="30" s="1"/>
  <c r="AG3" i="30"/>
  <c r="AG2" i="30"/>
  <c r="AG6" i="30" s="1"/>
  <c r="AI100" i="32" l="1"/>
  <c r="AH100" i="32"/>
  <c r="B7" i="32"/>
  <c r="A7" i="32" s="1"/>
  <c r="I246" i="32"/>
  <c r="H118" i="32"/>
  <c r="H252" i="32"/>
  <c r="AM24" i="31"/>
  <c r="K6" i="31"/>
  <c r="AI108" i="31"/>
  <c r="AT9" i="31"/>
  <c r="G246" i="31"/>
  <c r="F252" i="31"/>
  <c r="F118" i="31"/>
  <c r="AH99" i="31"/>
  <c r="B100" i="31"/>
  <c r="AI99" i="31"/>
  <c r="AH108" i="31"/>
  <c r="AF107" i="30"/>
  <c r="AE5" i="30"/>
  <c r="AF97" i="30"/>
  <c r="AF99" i="30" s="1"/>
  <c r="AF100" i="30" s="1"/>
  <c r="AF7" i="30" s="1"/>
  <c r="BJ16" i="30"/>
  <c r="BJ22" i="30" s="1"/>
  <c r="BI22" i="30"/>
  <c r="AD5" i="30"/>
  <c r="AC5" i="30"/>
  <c r="BH22" i="30"/>
  <c r="AC107" i="30"/>
  <c r="AB107" i="30"/>
  <c r="BG23" i="30" s="1"/>
  <c r="BG19" i="30"/>
  <c r="AB97" i="30"/>
  <c r="AB99" i="30" s="1"/>
  <c r="AB100" i="30" s="1"/>
  <c r="AB7" i="30" s="1"/>
  <c r="BG16" i="30"/>
  <c r="BG22" i="30" s="1"/>
  <c r="BG24" i="30" s="1"/>
  <c r="X108" i="30"/>
  <c r="BE24" i="30"/>
  <c r="X100" i="30"/>
  <c r="W100" i="30"/>
  <c r="V108" i="30"/>
  <c r="BB24" i="30"/>
  <c r="T108" i="30"/>
  <c r="T100" i="30"/>
  <c r="T7" i="30" s="1"/>
  <c r="AZ19" i="30"/>
  <c r="R107" i="30"/>
  <c r="AZ23" i="30" s="1"/>
  <c r="AZ22" i="30"/>
  <c r="AZ24" i="30" s="1"/>
  <c r="R97" i="30"/>
  <c r="R99" i="30" s="1"/>
  <c r="R100" i="30" s="1"/>
  <c r="R7" i="30" s="1"/>
  <c r="Q107" i="30"/>
  <c r="Q108" i="30" s="1"/>
  <c r="P5" i="30"/>
  <c r="AY22" i="30"/>
  <c r="P108" i="30"/>
  <c r="AX23" i="30"/>
  <c r="O5" i="30"/>
  <c r="AX22" i="30"/>
  <c r="AX24" i="30" s="1"/>
  <c r="N5" i="30"/>
  <c r="M107" i="30"/>
  <c r="L107" i="30"/>
  <c r="L108" i="30" s="1"/>
  <c r="K5" i="30"/>
  <c r="J5" i="30"/>
  <c r="K107" i="30"/>
  <c r="K97" i="30"/>
  <c r="K99" i="30" s="1"/>
  <c r="K100" i="30" s="1"/>
  <c r="K7" i="30" s="1"/>
  <c r="J107" i="30"/>
  <c r="J108" i="30"/>
  <c r="I5" i="30"/>
  <c r="J97" i="30"/>
  <c r="J99" i="30" s="1"/>
  <c r="J100" i="30" s="1"/>
  <c r="J7" i="30" s="1"/>
  <c r="H5" i="30"/>
  <c r="I107" i="30"/>
  <c r="I108" i="30" s="1"/>
  <c r="H108" i="30"/>
  <c r="F5" i="30"/>
  <c r="H97" i="30"/>
  <c r="H99" i="30" s="1"/>
  <c r="H100" i="30" s="1"/>
  <c r="H7" i="30" s="1"/>
  <c r="D5" i="30"/>
  <c r="E107" i="30"/>
  <c r="I97" i="30"/>
  <c r="I99" i="30" s="1"/>
  <c r="I100" i="30" s="1"/>
  <c r="I7" i="30" s="1"/>
  <c r="B5" i="30"/>
  <c r="C97" i="30"/>
  <c r="C99" i="30" s="1"/>
  <c r="C107" i="30"/>
  <c r="AF5" i="30"/>
  <c r="B107" i="30"/>
  <c r="BG84" i="30" a="1"/>
  <c r="AZ75" i="30"/>
  <c r="AI80" i="30"/>
  <c r="AE97" i="30"/>
  <c r="AE99" i="30" s="1"/>
  <c r="AE100" i="30" s="1"/>
  <c r="AE7" i="30" s="1"/>
  <c r="AI76" i="30"/>
  <c r="O97" i="30"/>
  <c r="O99" i="30" s="1"/>
  <c r="O100" i="30" s="1"/>
  <c r="O7" i="30" s="1"/>
  <c r="AD107" i="30"/>
  <c r="BH23" i="30" s="1"/>
  <c r="D252" i="30"/>
  <c r="D118" i="30"/>
  <c r="E246" i="30"/>
  <c r="X7" i="30"/>
  <c r="AH92" i="30"/>
  <c r="G107" i="30"/>
  <c r="O107" i="30"/>
  <c r="M108" i="30"/>
  <c r="Q97" i="30"/>
  <c r="Q99" i="30" s="1"/>
  <c r="Q100" i="30" s="1"/>
  <c r="Q7" i="30" s="1"/>
  <c r="Y7" i="30"/>
  <c r="AG97" i="30"/>
  <c r="AI62" i="30"/>
  <c r="AH62" i="30"/>
  <c r="AI92" i="30"/>
  <c r="AH101" i="30"/>
  <c r="AE107" i="30"/>
  <c r="BI23" i="30" s="1"/>
  <c r="BI24" i="30" s="1"/>
  <c r="B97" i="30"/>
  <c r="AI58" i="30"/>
  <c r="Z7" i="30"/>
  <c r="AH58" i="30"/>
  <c r="AI101" i="30"/>
  <c r="AH102" i="30"/>
  <c r="AI104" i="30"/>
  <c r="W7" i="30"/>
  <c r="P97" i="30"/>
  <c r="P99" i="30" s="1"/>
  <c r="P100" i="30" s="1"/>
  <c r="P7" i="30" s="1"/>
  <c r="AL13" i="30"/>
  <c r="AH76" i="30"/>
  <c r="AC108" i="30"/>
  <c r="AI102" i="30"/>
  <c r="AI103" i="30"/>
  <c r="AH105" i="30"/>
  <c r="G97" i="30"/>
  <c r="G99" i="30" s="1"/>
  <c r="F107" i="30"/>
  <c r="D97" i="30"/>
  <c r="D99" i="30" s="1"/>
  <c r="L97" i="30"/>
  <c r="L99" i="30" s="1"/>
  <c r="L100" i="30" s="1"/>
  <c r="L7" i="30" s="1"/>
  <c r="D107" i="30"/>
  <c r="B108" i="30"/>
  <c r="AH103" i="30"/>
  <c r="AH104" i="30"/>
  <c r="AH80" i="30"/>
  <c r="N108" i="30"/>
  <c r="AD108" i="30"/>
  <c r="E97" i="30"/>
  <c r="E99" i="30" s="1"/>
  <c r="M97" i="30"/>
  <c r="M99" i="30" s="1"/>
  <c r="M100" i="30" s="1"/>
  <c r="M7" i="30" s="1"/>
  <c r="U97" i="30"/>
  <c r="U99" i="30" s="1"/>
  <c r="U100" i="30" s="1"/>
  <c r="U7" i="30" s="1"/>
  <c r="AC97" i="30"/>
  <c r="AC99" i="30" s="1"/>
  <c r="AC100" i="30" s="1"/>
  <c r="AC7" i="30" s="1"/>
  <c r="O108" i="30"/>
  <c r="AE108" i="30"/>
  <c r="AI105" i="30"/>
  <c r="F97" i="30"/>
  <c r="F99" i="30" s="1"/>
  <c r="N97" i="30"/>
  <c r="N99" i="30" s="1"/>
  <c r="N100" i="30" s="1"/>
  <c r="N7" i="30" s="1"/>
  <c r="V7" i="30"/>
  <c r="AD97" i="30"/>
  <c r="AD99" i="30" s="1"/>
  <c r="Z118" i="29"/>
  <c r="Z104" i="29"/>
  <c r="Z103" i="29"/>
  <c r="Z102" i="29"/>
  <c r="Z101" i="29"/>
  <c r="Z107" i="29" s="1"/>
  <c r="Z92" i="29"/>
  <c r="Z108" i="29" s="1"/>
  <c r="Z80" i="29"/>
  <c r="Z76" i="29"/>
  <c r="Z62" i="29"/>
  <c r="Z58" i="29"/>
  <c r="Z97" i="29" s="1"/>
  <c r="Z99" i="29" s="1"/>
  <c r="Z100" i="29" s="1"/>
  <c r="Y58" i="29"/>
  <c r="Y62" i="29"/>
  <c r="Y76" i="29"/>
  <c r="Y80" i="29"/>
  <c r="Y92" i="29"/>
  <c r="Y101" i="29"/>
  <c r="Y102" i="29"/>
  <c r="Y103" i="29"/>
  <c r="Y104" i="29"/>
  <c r="Y105" i="29"/>
  <c r="Y118" i="29"/>
  <c r="X58" i="29"/>
  <c r="X62" i="29"/>
  <c r="X76" i="29"/>
  <c r="X80" i="29"/>
  <c r="X92" i="29"/>
  <c r="X101" i="29"/>
  <c r="X102" i="29"/>
  <c r="X103" i="29"/>
  <c r="X104" i="29"/>
  <c r="X105" i="29"/>
  <c r="X118" i="29"/>
  <c r="W58" i="29"/>
  <c r="W62" i="29"/>
  <c r="W76" i="29"/>
  <c r="W80" i="29"/>
  <c r="W92" i="29"/>
  <c r="W101" i="29"/>
  <c r="W102" i="29"/>
  <c r="W103" i="29"/>
  <c r="W104" i="29"/>
  <c r="W105" i="29"/>
  <c r="W118" i="29"/>
  <c r="V58" i="29"/>
  <c r="V62" i="29"/>
  <c r="V76" i="29"/>
  <c r="V80" i="29"/>
  <c r="V92" i="29"/>
  <c r="V101" i="29"/>
  <c r="V102" i="29"/>
  <c r="V103" i="29"/>
  <c r="V104" i="29"/>
  <c r="V105" i="29"/>
  <c r="V118" i="29"/>
  <c r="U58" i="29"/>
  <c r="U62" i="29"/>
  <c r="U76" i="29"/>
  <c r="U80" i="29"/>
  <c r="U92" i="29"/>
  <c r="U101" i="29"/>
  <c r="U102" i="29"/>
  <c r="U103" i="29"/>
  <c r="U104" i="29"/>
  <c r="U105" i="29"/>
  <c r="U118" i="29"/>
  <c r="T58" i="29"/>
  <c r="T62" i="29"/>
  <c r="T76" i="29"/>
  <c r="T80" i="29"/>
  <c r="T92" i="29"/>
  <c r="T101" i="29"/>
  <c r="T102" i="29"/>
  <c r="T103" i="29"/>
  <c r="T104" i="29"/>
  <c r="T105" i="29"/>
  <c r="T118" i="29"/>
  <c r="I252" i="32" l="1"/>
  <c r="I118" i="32"/>
  <c r="J246" i="32"/>
  <c r="AI100" i="31"/>
  <c r="B7" i="31"/>
  <c r="A7" i="31" s="1"/>
  <c r="AH100" i="31"/>
  <c r="H246" i="31"/>
  <c r="G252" i="31"/>
  <c r="G118" i="31"/>
  <c r="AF108" i="30"/>
  <c r="BJ23" i="30"/>
  <c r="BJ24" i="30" s="1"/>
  <c r="BH24" i="30"/>
  <c r="AB108" i="30"/>
  <c r="R108" i="30"/>
  <c r="AY23" i="30"/>
  <c r="AY24" i="30" s="1"/>
  <c r="K108" i="30"/>
  <c r="F100" i="30"/>
  <c r="F7" i="30" s="1"/>
  <c r="E100" i="30"/>
  <c r="E7" i="30" s="1"/>
  <c r="E108" i="30"/>
  <c r="D100" i="30"/>
  <c r="D7" i="30" s="1"/>
  <c r="D108" i="30"/>
  <c r="C108" i="30"/>
  <c r="C100" i="30"/>
  <c r="C7" i="30" s="1"/>
  <c r="AH107" i="30"/>
  <c r="B99" i="30"/>
  <c r="AI97" i="30"/>
  <c r="AH97" i="30"/>
  <c r="E118" i="30"/>
  <c r="E252" i="30"/>
  <c r="F246" i="30"/>
  <c r="AD100" i="30"/>
  <c r="AD7" i="30" s="1"/>
  <c r="G108" i="30"/>
  <c r="F108" i="30"/>
  <c r="AT8" i="30"/>
  <c r="AI107" i="30"/>
  <c r="C256" i="30"/>
  <c r="G100" i="30"/>
  <c r="G7" i="30" s="1"/>
  <c r="B256" i="30"/>
  <c r="BJ107" i="30"/>
  <c r="BH106" i="30"/>
  <c r="BL104" i="30"/>
  <c r="BJ103" i="30"/>
  <c r="BH102" i="30"/>
  <c r="BL100" i="30"/>
  <c r="BJ99" i="30"/>
  <c r="BH98" i="30"/>
  <c r="BL96" i="30"/>
  <c r="BJ95" i="30"/>
  <c r="BH94" i="30"/>
  <c r="BL92" i="30"/>
  <c r="BJ91" i="30"/>
  <c r="BH90" i="30"/>
  <c r="BL88" i="30"/>
  <c r="BJ87" i="30"/>
  <c r="BH86" i="30"/>
  <c r="BL84" i="30"/>
  <c r="BI107" i="30"/>
  <c r="BG106" i="30"/>
  <c r="BK104" i="30"/>
  <c r="BI103" i="30"/>
  <c r="BG102" i="30"/>
  <c r="BK100" i="30"/>
  <c r="BI99" i="30"/>
  <c r="BG107" i="30"/>
  <c r="BI105" i="30"/>
  <c r="BK103" i="30"/>
  <c r="BK101" i="30"/>
  <c r="BG100" i="30"/>
  <c r="BI98" i="30"/>
  <c r="BK96" i="30"/>
  <c r="BH95" i="30"/>
  <c r="BK93" i="30"/>
  <c r="BH92" i="30"/>
  <c r="BK90" i="30"/>
  <c r="BH89" i="30"/>
  <c r="BK87" i="30"/>
  <c r="BG86" i="30"/>
  <c r="BJ84" i="30"/>
  <c r="BL106" i="30"/>
  <c r="BH105" i="30"/>
  <c r="BH103" i="30"/>
  <c r="BJ101" i="30"/>
  <c r="BL99" i="30"/>
  <c r="BG98" i="30"/>
  <c r="BJ96" i="30"/>
  <c r="BG95" i="30"/>
  <c r="BJ93" i="30"/>
  <c r="BG92" i="30"/>
  <c r="BJ90" i="30"/>
  <c r="BG89" i="30"/>
  <c r="BI87" i="30"/>
  <c r="BL85" i="30"/>
  <c r="BI84" i="30"/>
  <c r="BK106" i="30"/>
  <c r="BG105" i="30"/>
  <c r="BG103" i="30"/>
  <c r="BI101" i="30"/>
  <c r="BK99" i="30"/>
  <c r="BL97" i="30"/>
  <c r="BI96" i="30"/>
  <c r="BL94" i="30"/>
  <c r="BI93" i="30"/>
  <c r="BL91" i="30"/>
  <c r="BI90" i="30"/>
  <c r="BK88" i="30"/>
  <c r="BH87" i="30"/>
  <c r="BK85" i="30"/>
  <c r="BH84" i="30"/>
  <c r="BJ106" i="30"/>
  <c r="BJ104" i="30"/>
  <c r="BL102" i="30"/>
  <c r="BH101" i="30"/>
  <c r="BH99" i="30"/>
  <c r="BK97" i="30"/>
  <c r="BH96" i="30"/>
  <c r="BK94" i="30"/>
  <c r="BH93" i="30"/>
  <c r="BK91" i="30"/>
  <c r="BG90" i="30"/>
  <c r="BJ88" i="30"/>
  <c r="BG87" i="30"/>
  <c r="BJ85" i="30"/>
  <c r="BG84" i="30"/>
  <c r="BI106" i="30"/>
  <c r="BI104" i="30"/>
  <c r="BK102" i="30"/>
  <c r="BG101" i="30"/>
  <c r="BG99" i="30"/>
  <c r="BJ97" i="30"/>
  <c r="BG96" i="30"/>
  <c r="BJ94" i="30"/>
  <c r="BG93" i="30"/>
  <c r="BI91" i="30"/>
  <c r="BL89" i="30"/>
  <c r="BI88" i="30"/>
  <c r="BL86" i="30"/>
  <c r="BI85" i="30"/>
  <c r="BK105" i="30"/>
  <c r="BJ100" i="30"/>
  <c r="BG97" i="30"/>
  <c r="BJ92" i="30"/>
  <c r="BH88" i="30"/>
  <c r="BK84" i="30"/>
  <c r="BJ105" i="30"/>
  <c r="BI100" i="30"/>
  <c r="BL95" i="30"/>
  <c r="BI92" i="30"/>
  <c r="BG88" i="30"/>
  <c r="BI97" i="30"/>
  <c r="BH104" i="30"/>
  <c r="BH100" i="30"/>
  <c r="BK95" i="30"/>
  <c r="BH91" i="30"/>
  <c r="BL87" i="30"/>
  <c r="BH107" i="30"/>
  <c r="BI102" i="30"/>
  <c r="BL93" i="30"/>
  <c r="BJ89" i="30"/>
  <c r="BH85" i="30"/>
  <c r="BG104" i="30"/>
  <c r="BL98" i="30"/>
  <c r="BI95" i="30"/>
  <c r="BG91" i="30"/>
  <c r="BK86" i="30"/>
  <c r="BJ102" i="30"/>
  <c r="BL107" i="30"/>
  <c r="BL103" i="30"/>
  <c r="BK98" i="30"/>
  <c r="BI94" i="30"/>
  <c r="BL90" i="30"/>
  <c r="BJ86" i="30"/>
  <c r="BK107" i="30"/>
  <c r="BJ98" i="30"/>
  <c r="BG94" i="30"/>
  <c r="BK89" i="30"/>
  <c r="BI86" i="30"/>
  <c r="BL105" i="30"/>
  <c r="BH97" i="30"/>
  <c r="BK92" i="30"/>
  <c r="BL101" i="30"/>
  <c r="BI89" i="30"/>
  <c r="BG85" i="30"/>
  <c r="Y107" i="29"/>
  <c r="Y97" i="29"/>
  <c r="Y99" i="29" s="1"/>
  <c r="Y100" i="29" s="1"/>
  <c r="Y108" i="29"/>
  <c r="X107" i="29"/>
  <c r="X108" i="29" s="1"/>
  <c r="X97" i="29"/>
  <c r="X99" i="29" s="1"/>
  <c r="X100" i="29" s="1"/>
  <c r="W97" i="29"/>
  <c r="W99" i="29" s="1"/>
  <c r="W100" i="29" s="1"/>
  <c r="W107" i="29"/>
  <c r="W108" i="29" s="1"/>
  <c r="V107" i="29"/>
  <c r="V108" i="29" s="1"/>
  <c r="V97" i="29"/>
  <c r="V99" i="29" s="1"/>
  <c r="U107" i="29"/>
  <c r="U108" i="29"/>
  <c r="U97" i="29"/>
  <c r="U99" i="29" s="1"/>
  <c r="U100" i="29" s="1"/>
  <c r="T107" i="29"/>
  <c r="T108" i="29" s="1"/>
  <c r="T97" i="29"/>
  <c r="T99" i="29" s="1"/>
  <c r="T100" i="29" s="1"/>
  <c r="J252" i="32" l="1"/>
  <c r="J118" i="32"/>
  <c r="K246" i="32"/>
  <c r="I246" i="31"/>
  <c r="H252" i="31"/>
  <c r="H118" i="31"/>
  <c r="AT9" i="30"/>
  <c r="K6" i="30"/>
  <c r="AH108" i="30"/>
  <c r="AI108" i="30"/>
  <c r="AH99" i="30"/>
  <c r="AI99" i="30"/>
  <c r="B100" i="30"/>
  <c r="F118" i="30"/>
  <c r="F252" i="30"/>
  <c r="G246" i="30"/>
  <c r="V100" i="29"/>
  <c r="K118" i="32" l="1"/>
  <c r="L246" i="32"/>
  <c r="K252" i="32"/>
  <c r="I118" i="31"/>
  <c r="I252" i="31"/>
  <c r="J246" i="31"/>
  <c r="H246" i="30"/>
  <c r="G252" i="30"/>
  <c r="G118" i="30"/>
  <c r="B7" i="30"/>
  <c r="A7" i="30" s="1"/>
  <c r="AI100" i="30"/>
  <c r="AH100" i="30"/>
  <c r="L118" i="32" l="1"/>
  <c r="M246" i="32"/>
  <c r="L252" i="32"/>
  <c r="J252" i="31"/>
  <c r="J118" i="31"/>
  <c r="K246" i="31"/>
  <c r="I246" i="30"/>
  <c r="H252" i="30"/>
  <c r="H118" i="30"/>
  <c r="N246" i="32" l="1"/>
  <c r="M252" i="32"/>
  <c r="M118" i="32"/>
  <c r="K252" i="31"/>
  <c r="K118" i="31"/>
  <c r="L246" i="31"/>
  <c r="J246" i="30"/>
  <c r="I118" i="30"/>
  <c r="I252" i="30"/>
  <c r="O246" i="32" l="1"/>
  <c r="N252" i="32"/>
  <c r="N118" i="32"/>
  <c r="L252" i="31"/>
  <c r="L118" i="31"/>
  <c r="M246" i="31"/>
  <c r="K246" i="30"/>
  <c r="J118" i="30"/>
  <c r="J252" i="30"/>
  <c r="S58" i="29"/>
  <c r="S62" i="29"/>
  <c r="S76" i="29"/>
  <c r="S80" i="29"/>
  <c r="S92" i="29"/>
  <c r="S101" i="29"/>
  <c r="S102" i="29"/>
  <c r="S103" i="29"/>
  <c r="S104" i="29"/>
  <c r="S105" i="29"/>
  <c r="S118" i="29"/>
  <c r="P246" i="32" l="1"/>
  <c r="O252" i="32"/>
  <c r="O118" i="32"/>
  <c r="M118" i="31"/>
  <c r="M252" i="31"/>
  <c r="N246" i="31"/>
  <c r="K252" i="30"/>
  <c r="K118" i="30"/>
  <c r="L246" i="30"/>
  <c r="S107" i="29"/>
  <c r="S108" i="29" s="1"/>
  <c r="S97" i="29"/>
  <c r="S99" i="29" s="1"/>
  <c r="N121" i="29"/>
  <c r="M121" i="29"/>
  <c r="AH125" i="29"/>
  <c r="AI125" i="29"/>
  <c r="AH124" i="29"/>
  <c r="AI124" i="29"/>
  <c r="D58" i="29"/>
  <c r="D62" i="29"/>
  <c r="D76" i="29"/>
  <c r="D80" i="29"/>
  <c r="D92" i="29"/>
  <c r="D101" i="29"/>
  <c r="D102" i="29"/>
  <c r="D103" i="29"/>
  <c r="D104" i="29"/>
  <c r="D105" i="29"/>
  <c r="D118" i="29"/>
  <c r="C58" i="29"/>
  <c r="C62" i="29"/>
  <c r="C76" i="29"/>
  <c r="C80" i="29"/>
  <c r="C92" i="29"/>
  <c r="C101" i="29"/>
  <c r="C102" i="29"/>
  <c r="C103" i="29"/>
  <c r="C104" i="29"/>
  <c r="C105" i="29"/>
  <c r="C118" i="29"/>
  <c r="B118" i="29"/>
  <c r="B105" i="29"/>
  <c r="B104" i="29"/>
  <c r="B103" i="29"/>
  <c r="B102" i="29"/>
  <c r="B101" i="29"/>
  <c r="B92" i="29"/>
  <c r="B108" i="29" s="1"/>
  <c r="B80" i="29"/>
  <c r="B76" i="29"/>
  <c r="B62" i="29"/>
  <c r="B58" i="29"/>
  <c r="AG252" i="29"/>
  <c r="C252" i="29"/>
  <c r="D251" i="29"/>
  <c r="E251" i="29" s="1"/>
  <c r="F251" i="29" s="1"/>
  <c r="G251" i="29" s="1"/>
  <c r="H251" i="29" s="1"/>
  <c r="I251" i="29" s="1"/>
  <c r="J251" i="29" s="1"/>
  <c r="K251" i="29" s="1"/>
  <c r="L251" i="29" s="1"/>
  <c r="M251" i="29" s="1"/>
  <c r="N251" i="29" s="1"/>
  <c r="O251" i="29" s="1"/>
  <c r="P251" i="29" s="1"/>
  <c r="Q251" i="29" s="1"/>
  <c r="R251" i="29" s="1"/>
  <c r="S251" i="29" s="1"/>
  <c r="T251" i="29" s="1"/>
  <c r="U251" i="29" s="1"/>
  <c r="V251" i="29" s="1"/>
  <c r="W251" i="29" s="1"/>
  <c r="X251" i="29" s="1"/>
  <c r="Y251" i="29" s="1"/>
  <c r="Z251" i="29" s="1"/>
  <c r="AA251" i="29" s="1"/>
  <c r="AB251" i="29" s="1"/>
  <c r="AC251" i="29" s="1"/>
  <c r="AD251" i="29" s="1"/>
  <c r="AE251" i="29" s="1"/>
  <c r="AF251" i="29" s="1"/>
  <c r="B251" i="29" s="1"/>
  <c r="D250" i="29"/>
  <c r="E250" i="29" s="1"/>
  <c r="F250" i="29" s="1"/>
  <c r="G250" i="29" s="1"/>
  <c r="H250" i="29" s="1"/>
  <c r="I250" i="29" s="1"/>
  <c r="J250" i="29" s="1"/>
  <c r="K250" i="29" s="1"/>
  <c r="L250" i="29" s="1"/>
  <c r="M250" i="29" s="1"/>
  <c r="N250" i="29" s="1"/>
  <c r="O250" i="29" s="1"/>
  <c r="P250" i="29" s="1"/>
  <c r="Q250" i="29" s="1"/>
  <c r="R250" i="29" s="1"/>
  <c r="S250" i="29" s="1"/>
  <c r="T250" i="29" s="1"/>
  <c r="U250" i="29" s="1"/>
  <c r="V250" i="29" s="1"/>
  <c r="W250" i="29" s="1"/>
  <c r="X250" i="29" s="1"/>
  <c r="Y250" i="29" s="1"/>
  <c r="Z250" i="29" s="1"/>
  <c r="AA250" i="29" s="1"/>
  <c r="AB250" i="29" s="1"/>
  <c r="AC250" i="29" s="1"/>
  <c r="AD250" i="29" s="1"/>
  <c r="AE250" i="29" s="1"/>
  <c r="AF250" i="29" s="1"/>
  <c r="B250" i="29" s="1"/>
  <c r="D249" i="29"/>
  <c r="E249" i="29" s="1"/>
  <c r="F249" i="29" s="1"/>
  <c r="G249" i="29" s="1"/>
  <c r="H249" i="29" s="1"/>
  <c r="I249" i="29" s="1"/>
  <c r="J249" i="29" s="1"/>
  <c r="K249" i="29" s="1"/>
  <c r="L249" i="29" s="1"/>
  <c r="M249" i="29" s="1"/>
  <c r="N249" i="29" s="1"/>
  <c r="O249" i="29" s="1"/>
  <c r="P249" i="29" s="1"/>
  <c r="Q249" i="29" s="1"/>
  <c r="R249" i="29" s="1"/>
  <c r="S249" i="29" s="1"/>
  <c r="T249" i="29" s="1"/>
  <c r="U249" i="29" s="1"/>
  <c r="V249" i="29" s="1"/>
  <c r="W249" i="29" s="1"/>
  <c r="X249" i="29" s="1"/>
  <c r="Y249" i="29" s="1"/>
  <c r="Z249" i="29" s="1"/>
  <c r="AA249" i="29" s="1"/>
  <c r="AB249" i="29" s="1"/>
  <c r="AC249" i="29" s="1"/>
  <c r="AD249" i="29" s="1"/>
  <c r="AE249" i="29" s="1"/>
  <c r="AF249" i="29" s="1"/>
  <c r="B249" i="29" s="1"/>
  <c r="F248" i="29"/>
  <c r="G248" i="29" s="1"/>
  <c r="H248" i="29" s="1"/>
  <c r="I248" i="29" s="1"/>
  <c r="J248" i="29" s="1"/>
  <c r="K248" i="29" s="1"/>
  <c r="L248" i="29" s="1"/>
  <c r="M248" i="29" s="1"/>
  <c r="N248" i="29" s="1"/>
  <c r="O248" i="29" s="1"/>
  <c r="P248" i="29" s="1"/>
  <c r="Q248" i="29" s="1"/>
  <c r="R248" i="29" s="1"/>
  <c r="S248" i="29" s="1"/>
  <c r="T248" i="29" s="1"/>
  <c r="U248" i="29" s="1"/>
  <c r="V248" i="29" s="1"/>
  <c r="W248" i="29" s="1"/>
  <c r="X248" i="29" s="1"/>
  <c r="Y248" i="29" s="1"/>
  <c r="Z248" i="29" s="1"/>
  <c r="AA248" i="29" s="1"/>
  <c r="AB248" i="29" s="1"/>
  <c r="AC248" i="29" s="1"/>
  <c r="AD248" i="29" s="1"/>
  <c r="AE248" i="29" s="1"/>
  <c r="AF248" i="29" s="1"/>
  <c r="B248" i="29" s="1"/>
  <c r="D248" i="29"/>
  <c r="E248" i="29" s="1"/>
  <c r="E247" i="29"/>
  <c r="F247" i="29" s="1"/>
  <c r="G247" i="29" s="1"/>
  <c r="H247" i="29" s="1"/>
  <c r="I247" i="29" s="1"/>
  <c r="J247" i="29" s="1"/>
  <c r="K247" i="29" s="1"/>
  <c r="L247" i="29" s="1"/>
  <c r="M247" i="29" s="1"/>
  <c r="N247" i="29" s="1"/>
  <c r="O247" i="29" s="1"/>
  <c r="P247" i="29" s="1"/>
  <c r="Q247" i="29" s="1"/>
  <c r="R247" i="29" s="1"/>
  <c r="S247" i="29" s="1"/>
  <c r="T247" i="29" s="1"/>
  <c r="U247" i="29" s="1"/>
  <c r="V247" i="29" s="1"/>
  <c r="W247" i="29" s="1"/>
  <c r="X247" i="29" s="1"/>
  <c r="Y247" i="29" s="1"/>
  <c r="Z247" i="29" s="1"/>
  <c r="AA247" i="29" s="1"/>
  <c r="AB247" i="29" s="1"/>
  <c r="AC247" i="29" s="1"/>
  <c r="AD247" i="29" s="1"/>
  <c r="AE247" i="29" s="1"/>
  <c r="AF247" i="29" s="1"/>
  <c r="B247" i="29" s="1"/>
  <c r="D247" i="29"/>
  <c r="D246" i="29"/>
  <c r="AG244" i="29"/>
  <c r="AF244" i="29"/>
  <c r="AE244" i="29"/>
  <c r="AD244" i="29"/>
  <c r="AC244" i="29"/>
  <c r="AB244" i="29"/>
  <c r="AA244" i="29"/>
  <c r="Z244" i="29"/>
  <c r="Y244" i="29"/>
  <c r="X244" i="29"/>
  <c r="W244" i="29"/>
  <c r="V244" i="29"/>
  <c r="U244" i="29"/>
  <c r="T244" i="29"/>
  <c r="S244" i="29"/>
  <c r="R244" i="29"/>
  <c r="Q244" i="29"/>
  <c r="P244" i="29"/>
  <c r="O244" i="29"/>
  <c r="N244" i="29"/>
  <c r="M244" i="29"/>
  <c r="L244" i="29"/>
  <c r="K244" i="29"/>
  <c r="J244" i="29"/>
  <c r="I244" i="29"/>
  <c r="H244" i="29"/>
  <c r="G244" i="29"/>
  <c r="F244" i="29"/>
  <c r="E244" i="29"/>
  <c r="D244" i="29"/>
  <c r="C244" i="29"/>
  <c r="B244" i="29"/>
  <c r="AI130" i="29"/>
  <c r="AH130" i="29"/>
  <c r="AI129" i="29"/>
  <c r="AH129" i="29"/>
  <c r="AI128" i="29"/>
  <c r="AH128" i="29"/>
  <c r="AI127" i="29"/>
  <c r="AH127" i="29"/>
  <c r="AI126" i="29"/>
  <c r="AH126" i="29"/>
  <c r="AI123" i="29"/>
  <c r="AH123" i="29"/>
  <c r="AI122" i="29"/>
  <c r="AH122" i="29"/>
  <c r="AI121" i="29"/>
  <c r="AH121" i="29"/>
  <c r="AI120" i="29"/>
  <c r="AH120" i="29"/>
  <c r="AI119" i="29"/>
  <c r="AH119" i="29"/>
  <c r="AI117" i="29"/>
  <c r="AH117" i="29"/>
  <c r="AI116" i="29"/>
  <c r="AH116" i="29"/>
  <c r="AI115" i="29"/>
  <c r="AH115" i="29"/>
  <c r="AI114" i="29"/>
  <c r="AH114" i="29"/>
  <c r="AI113" i="29"/>
  <c r="AH113" i="29"/>
  <c r="AI112" i="29"/>
  <c r="AH112" i="29"/>
  <c r="AI111" i="29"/>
  <c r="AH111" i="29"/>
  <c r="AI110" i="29"/>
  <c r="AH110" i="29"/>
  <c r="AI109" i="29"/>
  <c r="AH109" i="29"/>
  <c r="AI106" i="29"/>
  <c r="AH106" i="29"/>
  <c r="AF105" i="29"/>
  <c r="AE105" i="29"/>
  <c r="AD105" i="29"/>
  <c r="AC105" i="29"/>
  <c r="AB105" i="29"/>
  <c r="AA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AF104" i="29"/>
  <c r="AE104" i="29"/>
  <c r="AD104" i="29"/>
  <c r="AC104" i="29"/>
  <c r="AB104" i="29"/>
  <c r="AA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AF103" i="29"/>
  <c r="AE103" i="29"/>
  <c r="AD103" i="29"/>
  <c r="AC103" i="29"/>
  <c r="AB103" i="29"/>
  <c r="AA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AF102" i="29"/>
  <c r="AE102" i="29"/>
  <c r="AD102" i="29"/>
  <c r="AC102" i="29"/>
  <c r="AB102" i="29"/>
  <c r="AA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AF101" i="29"/>
  <c r="AF107" i="29" s="1"/>
  <c r="AE101" i="29"/>
  <c r="AD101" i="29"/>
  <c r="AC101" i="29"/>
  <c r="AB101" i="29"/>
  <c r="AA101" i="29"/>
  <c r="R101" i="29"/>
  <c r="R107" i="29" s="1"/>
  <c r="Q101" i="29"/>
  <c r="P101" i="29"/>
  <c r="P107" i="29" s="1"/>
  <c r="O101" i="29"/>
  <c r="N101" i="29"/>
  <c r="M101" i="29"/>
  <c r="L101" i="29"/>
  <c r="K101" i="29"/>
  <c r="J101" i="29"/>
  <c r="I101" i="29"/>
  <c r="H101" i="29"/>
  <c r="G101" i="29"/>
  <c r="F101" i="29"/>
  <c r="E101" i="29"/>
  <c r="AI98" i="29"/>
  <c r="AH98" i="29"/>
  <c r="AI96" i="29"/>
  <c r="AH96" i="29"/>
  <c r="AG96" i="29"/>
  <c r="AI95" i="29"/>
  <c r="AH95" i="29"/>
  <c r="AI94" i="29"/>
  <c r="AH94" i="29"/>
  <c r="AI93" i="29"/>
  <c r="AH93" i="29"/>
  <c r="AG92" i="29"/>
  <c r="AF92" i="29"/>
  <c r="AE5" i="29" s="1"/>
  <c r="AE92" i="29"/>
  <c r="AD5" i="29" s="1"/>
  <c r="AD92" i="29"/>
  <c r="AC5" i="29" s="1"/>
  <c r="AC92" i="29"/>
  <c r="AB5" i="29" s="1"/>
  <c r="AB92" i="29"/>
  <c r="AA5" i="29" s="1"/>
  <c r="AA92" i="29"/>
  <c r="Z5" i="29" s="1"/>
  <c r="R92" i="29"/>
  <c r="Q92" i="29"/>
  <c r="P92" i="29"/>
  <c r="O5" i="29" s="1"/>
  <c r="O92" i="29"/>
  <c r="N5" i="29" s="1"/>
  <c r="N92" i="29"/>
  <c r="M92" i="29"/>
  <c r="L5" i="29" s="1"/>
  <c r="L92" i="29"/>
  <c r="K92" i="29"/>
  <c r="J5" i="29" s="1"/>
  <c r="J92" i="29"/>
  <c r="I92" i="29"/>
  <c r="H92" i="29"/>
  <c r="G5" i="29" s="1"/>
  <c r="G92" i="29"/>
  <c r="F92" i="29"/>
  <c r="E92" i="29"/>
  <c r="AI91" i="29"/>
  <c r="AH91" i="29"/>
  <c r="AI90" i="29"/>
  <c r="AH90" i="29"/>
  <c r="AI89" i="29"/>
  <c r="AH89" i="29"/>
  <c r="AI88" i="29"/>
  <c r="AH88" i="29"/>
  <c r="AI87" i="29"/>
  <c r="AH87" i="29"/>
  <c r="AI86" i="29"/>
  <c r="AH86" i="29"/>
  <c r="AI85" i="29"/>
  <c r="AH85" i="29"/>
  <c r="AI84" i="29"/>
  <c r="AH84" i="29"/>
  <c r="AI83" i="29"/>
  <c r="AH83" i="29"/>
  <c r="AI82" i="29"/>
  <c r="AH82" i="29"/>
  <c r="AI81" i="29"/>
  <c r="AH81" i="29"/>
  <c r="BV80" i="29"/>
  <c r="BG80" i="29"/>
  <c r="AG80" i="29"/>
  <c r="AF80" i="29"/>
  <c r="AE80" i="29"/>
  <c r="AD80" i="29"/>
  <c r="AC80" i="29"/>
  <c r="AB80" i="29"/>
  <c r="AA80" i="29"/>
  <c r="R80" i="29"/>
  <c r="Q80" i="29"/>
  <c r="P80" i="29"/>
  <c r="O80" i="29"/>
  <c r="N80" i="29"/>
  <c r="M80" i="29"/>
  <c r="L80" i="29"/>
  <c r="K80" i="29"/>
  <c r="J80" i="29"/>
  <c r="I80" i="29"/>
  <c r="H80" i="29"/>
  <c r="G80" i="29"/>
  <c r="F80" i="29"/>
  <c r="E80" i="29"/>
  <c r="BB79" i="29"/>
  <c r="AI79" i="29"/>
  <c r="AH79" i="29"/>
  <c r="BS78" i="29"/>
  <c r="BL78" i="29"/>
  <c r="BK78" i="29"/>
  <c r="AI78" i="29"/>
  <c r="AH78" i="29"/>
  <c r="AI77" i="29"/>
  <c r="AH77" i="29"/>
  <c r="BL76" i="29"/>
  <c r="BD76" i="29"/>
  <c r="BC76" i="29"/>
  <c r="BB76" i="29"/>
  <c r="AF76" i="29"/>
  <c r="AE76" i="29"/>
  <c r="AD76" i="29"/>
  <c r="AC76" i="29"/>
  <c r="AB76" i="29"/>
  <c r="AA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BL75" i="29"/>
  <c r="BG75" i="29"/>
  <c r="BE75" i="29"/>
  <c r="BA75" i="29"/>
  <c r="AI75" i="29"/>
  <c r="AH75" i="29"/>
  <c r="AG75" i="29"/>
  <c r="AG76" i="29" s="1"/>
  <c r="AI74" i="29"/>
  <c r="AH74" i="29"/>
  <c r="BW73" i="29"/>
  <c r="BW80" i="29" s="1"/>
  <c r="BV73" i="29"/>
  <c r="BU73" i="29"/>
  <c r="BU80" i="29" s="1"/>
  <c r="BT73" i="29"/>
  <c r="BT80" i="29" s="1"/>
  <c r="BS73" i="29"/>
  <c r="BS80" i="29" s="1"/>
  <c r="BR73" i="29"/>
  <c r="BR80" i="29" s="1"/>
  <c r="BQ73" i="29"/>
  <c r="BQ80" i="29" s="1"/>
  <c r="BP73" i="29"/>
  <c r="BP80" i="29" s="1"/>
  <c r="BO73" i="29"/>
  <c r="BO80" i="29" s="1"/>
  <c r="BN73" i="29"/>
  <c r="BN80" i="29" s="1"/>
  <c r="BM73" i="29"/>
  <c r="BM80" i="29" s="1"/>
  <c r="BL73" i="29"/>
  <c r="BL80" i="29" s="1"/>
  <c r="BK73" i="29"/>
  <c r="BK80" i="29" s="1"/>
  <c r="BJ73" i="29"/>
  <c r="BJ80" i="29" s="1"/>
  <c r="BI73" i="29"/>
  <c r="BI80" i="29" s="1"/>
  <c r="BH73" i="29"/>
  <c r="BH80" i="29" s="1"/>
  <c r="BG73" i="29"/>
  <c r="BF73" i="29"/>
  <c r="BF80" i="29" s="1"/>
  <c r="BE73" i="29"/>
  <c r="BE80" i="29" s="1"/>
  <c r="BD73" i="29"/>
  <c r="BD80" i="29" s="1"/>
  <c r="BC73" i="29"/>
  <c r="BC80" i="29" s="1"/>
  <c r="BB73" i="29"/>
  <c r="BB80" i="29" s="1"/>
  <c r="BA73" i="29"/>
  <c r="BA80" i="29" s="1"/>
  <c r="AZ73" i="29"/>
  <c r="AZ80" i="29" s="1"/>
  <c r="AI73" i="29"/>
  <c r="AH73" i="29"/>
  <c r="BW72" i="29"/>
  <c r="BW79" i="29" s="1"/>
  <c r="BV72" i="29"/>
  <c r="BV79" i="29" s="1"/>
  <c r="BU72" i="29"/>
  <c r="BU79" i="29" s="1"/>
  <c r="BT72" i="29"/>
  <c r="BT79" i="29" s="1"/>
  <c r="BS72" i="29"/>
  <c r="BS79" i="29" s="1"/>
  <c r="BR72" i="29"/>
  <c r="BR79" i="29" s="1"/>
  <c r="BQ72" i="29"/>
  <c r="BQ79" i="29" s="1"/>
  <c r="BP72" i="29"/>
  <c r="BP79" i="29" s="1"/>
  <c r="BO72" i="29"/>
  <c r="BO79" i="29" s="1"/>
  <c r="BN72" i="29"/>
  <c r="BN79" i="29" s="1"/>
  <c r="BM72" i="29"/>
  <c r="BM79" i="29" s="1"/>
  <c r="BL72" i="29"/>
  <c r="BL79" i="29" s="1"/>
  <c r="BK72" i="29"/>
  <c r="BK79" i="29" s="1"/>
  <c r="BJ72" i="29"/>
  <c r="BJ79" i="29" s="1"/>
  <c r="BI72" i="29"/>
  <c r="BI79" i="29" s="1"/>
  <c r="BH72" i="29"/>
  <c r="BH79" i="29" s="1"/>
  <c r="BG72" i="29"/>
  <c r="BG79" i="29" s="1"/>
  <c r="BF72" i="29"/>
  <c r="BF79" i="29" s="1"/>
  <c r="BE72" i="29"/>
  <c r="BE79" i="29" s="1"/>
  <c r="BD72" i="29"/>
  <c r="BD79" i="29" s="1"/>
  <c r="BC72" i="29"/>
  <c r="BC79" i="29" s="1"/>
  <c r="BB72" i="29"/>
  <c r="BA72" i="29"/>
  <c r="BA79" i="29" s="1"/>
  <c r="AZ72" i="29"/>
  <c r="AZ79" i="29" s="1"/>
  <c r="AI72" i="29"/>
  <c r="AH72" i="29"/>
  <c r="BW71" i="29"/>
  <c r="BW78" i="29" s="1"/>
  <c r="BV71" i="29"/>
  <c r="BV78" i="29" s="1"/>
  <c r="BU71" i="29"/>
  <c r="BU78" i="29" s="1"/>
  <c r="BT71" i="29"/>
  <c r="BT78" i="29" s="1"/>
  <c r="BS71" i="29"/>
  <c r="BR71" i="29"/>
  <c r="BR78" i="29" s="1"/>
  <c r="BQ71" i="29"/>
  <c r="BQ78" i="29" s="1"/>
  <c r="BP71" i="29"/>
  <c r="BP78" i="29" s="1"/>
  <c r="BO71" i="29"/>
  <c r="BO78" i="29" s="1"/>
  <c r="BN71" i="29"/>
  <c r="BN78" i="29" s="1"/>
  <c r="BM71" i="29"/>
  <c r="BM78" i="29" s="1"/>
  <c r="BL71" i="29"/>
  <c r="BK71" i="29"/>
  <c r="BJ71" i="29"/>
  <c r="BJ78" i="29" s="1"/>
  <c r="BI71" i="29"/>
  <c r="BI78" i="29" s="1"/>
  <c r="BH71" i="29"/>
  <c r="BH78" i="29" s="1"/>
  <c r="BG71" i="29"/>
  <c r="BG78" i="29" s="1"/>
  <c r="BF71" i="29"/>
  <c r="BF78" i="29" s="1"/>
  <c r="BE71" i="29"/>
  <c r="BE78" i="29" s="1"/>
  <c r="BD71" i="29"/>
  <c r="BD78" i="29" s="1"/>
  <c r="BC71" i="29"/>
  <c r="BC78" i="29" s="1"/>
  <c r="BB71" i="29"/>
  <c r="BB78" i="29" s="1"/>
  <c r="BA71" i="29"/>
  <c r="BA78" i="29" s="1"/>
  <c r="AZ71" i="29"/>
  <c r="AZ78" i="29" s="1"/>
  <c r="AI71" i="29"/>
  <c r="AH71" i="29"/>
  <c r="BW70" i="29"/>
  <c r="BW77" i="29" s="1"/>
  <c r="BV70" i="29"/>
  <c r="BV77" i="29" s="1"/>
  <c r="BU70" i="29"/>
  <c r="BU77" i="29" s="1"/>
  <c r="BT70" i="29"/>
  <c r="BT77" i="29" s="1"/>
  <c r="BS70" i="29"/>
  <c r="BS77" i="29" s="1"/>
  <c r="BR70" i="29"/>
  <c r="BR77" i="29" s="1"/>
  <c r="BQ70" i="29"/>
  <c r="BQ77" i="29" s="1"/>
  <c r="BP70" i="29"/>
  <c r="BP77" i="29" s="1"/>
  <c r="BO70" i="29"/>
  <c r="BO77" i="29" s="1"/>
  <c r="BN70" i="29"/>
  <c r="BN77" i="29" s="1"/>
  <c r="BM70" i="29"/>
  <c r="BM77" i="29" s="1"/>
  <c r="BL70" i="29"/>
  <c r="BL77" i="29" s="1"/>
  <c r="BK70" i="29"/>
  <c r="BK77" i="29" s="1"/>
  <c r="BJ70" i="29"/>
  <c r="BJ77" i="29" s="1"/>
  <c r="BI70" i="29"/>
  <c r="BI77" i="29" s="1"/>
  <c r="BH70" i="29"/>
  <c r="BH77" i="29" s="1"/>
  <c r="BG70" i="29"/>
  <c r="BG77" i="29" s="1"/>
  <c r="BF70" i="29"/>
  <c r="BF77" i="29" s="1"/>
  <c r="BE70" i="29"/>
  <c r="BE77" i="29" s="1"/>
  <c r="BD70" i="29"/>
  <c r="BD77" i="29" s="1"/>
  <c r="BC70" i="29"/>
  <c r="BC77" i="29" s="1"/>
  <c r="BB70" i="29"/>
  <c r="BB77" i="29" s="1"/>
  <c r="BA70" i="29"/>
  <c r="BA77" i="29" s="1"/>
  <c r="AZ70" i="29"/>
  <c r="AZ77" i="29" s="1"/>
  <c r="AI70" i="29"/>
  <c r="AH70" i="29"/>
  <c r="BW69" i="29"/>
  <c r="BW76" i="29" s="1"/>
  <c r="BV69" i="29"/>
  <c r="BV76" i="29" s="1"/>
  <c r="BU69" i="29"/>
  <c r="BU76" i="29" s="1"/>
  <c r="BT69" i="29"/>
  <c r="BT76" i="29" s="1"/>
  <c r="BS69" i="29"/>
  <c r="BS76" i="29" s="1"/>
  <c r="BR69" i="29"/>
  <c r="BR76" i="29" s="1"/>
  <c r="BQ69" i="29"/>
  <c r="BQ76" i="29" s="1"/>
  <c r="BP69" i="29"/>
  <c r="BP76" i="29" s="1"/>
  <c r="BO69" i="29"/>
  <c r="BO76" i="29" s="1"/>
  <c r="BN69" i="29"/>
  <c r="BN76" i="29" s="1"/>
  <c r="BM69" i="29"/>
  <c r="BM76" i="29" s="1"/>
  <c r="BL69" i="29"/>
  <c r="BK69" i="29"/>
  <c r="BK76" i="29" s="1"/>
  <c r="BJ69" i="29"/>
  <c r="BJ76" i="29" s="1"/>
  <c r="BI69" i="29"/>
  <c r="BI76" i="29" s="1"/>
  <c r="BH69" i="29"/>
  <c r="BH76" i="29" s="1"/>
  <c r="BG69" i="29"/>
  <c r="BG76" i="29" s="1"/>
  <c r="BF69" i="29"/>
  <c r="BF76" i="29" s="1"/>
  <c r="BE69" i="29"/>
  <c r="BE76" i="29" s="1"/>
  <c r="BD69" i="29"/>
  <c r="BC69" i="29"/>
  <c r="BB69" i="29"/>
  <c r="BA69" i="29"/>
  <c r="BA76" i="29" s="1"/>
  <c r="AZ69" i="29"/>
  <c r="AZ76" i="29" s="1"/>
  <c r="AI69" i="29"/>
  <c r="AH69" i="29"/>
  <c r="BW68" i="29"/>
  <c r="BW75" i="29" s="1"/>
  <c r="BV68" i="29"/>
  <c r="BV75" i="29" s="1"/>
  <c r="BU68" i="29"/>
  <c r="BU75" i="29" s="1"/>
  <c r="BT68" i="29"/>
  <c r="BT75" i="29" s="1"/>
  <c r="BS68" i="29"/>
  <c r="BS75" i="29" s="1"/>
  <c r="BR68" i="29"/>
  <c r="BR75" i="29" s="1"/>
  <c r="BQ68" i="29"/>
  <c r="BQ75" i="29" s="1"/>
  <c r="BP68" i="29"/>
  <c r="BP75" i="29" s="1"/>
  <c r="BO68" i="29"/>
  <c r="BO75" i="29" s="1"/>
  <c r="BN68" i="29"/>
  <c r="BN75" i="29" s="1"/>
  <c r="BM68" i="29"/>
  <c r="BM75" i="29" s="1"/>
  <c r="BL68" i="29"/>
  <c r="BK68" i="29"/>
  <c r="BK75" i="29" s="1"/>
  <c r="BJ68" i="29"/>
  <c r="BJ75" i="29" s="1"/>
  <c r="BI68" i="29"/>
  <c r="BI75" i="29" s="1"/>
  <c r="BH68" i="29"/>
  <c r="BH75" i="29" s="1"/>
  <c r="BG68" i="29"/>
  <c r="BF68" i="29"/>
  <c r="BF75" i="29" s="1"/>
  <c r="BE68" i="29"/>
  <c r="BD68" i="29"/>
  <c r="BD75" i="29" s="1"/>
  <c r="BC68" i="29"/>
  <c r="BC75" i="29" s="1"/>
  <c r="BB68" i="29"/>
  <c r="BB75" i="29" s="1"/>
  <c r="BA68" i="29"/>
  <c r="AZ68" i="29"/>
  <c r="AZ75" i="29" s="1"/>
  <c r="AI68" i="29"/>
  <c r="AH68" i="29"/>
  <c r="AI67" i="29"/>
  <c r="AH67" i="29"/>
  <c r="AI66" i="29"/>
  <c r="AH66" i="29"/>
  <c r="AI65" i="29"/>
  <c r="AH65" i="29"/>
  <c r="AI64" i="29"/>
  <c r="AH64" i="29"/>
  <c r="AI63" i="29"/>
  <c r="AH63" i="29"/>
  <c r="AG62" i="29"/>
  <c r="AF62" i="29"/>
  <c r="AE62" i="29"/>
  <c r="AD62" i="29"/>
  <c r="AC62" i="29"/>
  <c r="AB62" i="29"/>
  <c r="AA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AI61" i="29"/>
  <c r="AH61" i="29"/>
  <c r="AI60" i="29"/>
  <c r="AH60" i="29"/>
  <c r="AI59" i="29"/>
  <c r="AH59" i="29"/>
  <c r="AG58" i="29"/>
  <c r="AF58" i="29"/>
  <c r="AE58" i="29"/>
  <c r="AD58" i="29"/>
  <c r="AC58" i="29"/>
  <c r="AB58" i="29"/>
  <c r="AA58" i="29"/>
  <c r="Z7" i="29"/>
  <c r="Y7" i="29"/>
  <c r="X7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AI57" i="29"/>
  <c r="AH57" i="29"/>
  <c r="AI56" i="29"/>
  <c r="AH56" i="29"/>
  <c r="AI55" i="29"/>
  <c r="AH55" i="29"/>
  <c r="AI54" i="29"/>
  <c r="AH54" i="29"/>
  <c r="AI53" i="29"/>
  <c r="AH53" i="29"/>
  <c r="AI52" i="29"/>
  <c r="AH52" i="29"/>
  <c r="AI51" i="29"/>
  <c r="AH51" i="29"/>
  <c r="AI50" i="29"/>
  <c r="AH50" i="29"/>
  <c r="AI49" i="29"/>
  <c r="AH49" i="29"/>
  <c r="AI48" i="29"/>
  <c r="AH48" i="29"/>
  <c r="AI47" i="29"/>
  <c r="AH47" i="29"/>
  <c r="AI46" i="29"/>
  <c r="AH46" i="29"/>
  <c r="AI45" i="29"/>
  <c r="AH45" i="29"/>
  <c r="AI44" i="29"/>
  <c r="AH44" i="29"/>
  <c r="AI43" i="29"/>
  <c r="AH43" i="29"/>
  <c r="AI42" i="29"/>
  <c r="AH42" i="29"/>
  <c r="AI41" i="29"/>
  <c r="AH41" i="29"/>
  <c r="AI40" i="29"/>
  <c r="AH40" i="29"/>
  <c r="AI39" i="29"/>
  <c r="AH39" i="29"/>
  <c r="AI38" i="29"/>
  <c r="AH38" i="29"/>
  <c r="AI37" i="29"/>
  <c r="AH37" i="29"/>
  <c r="AI36" i="29"/>
  <c r="AH36" i="29"/>
  <c r="AI35" i="29"/>
  <c r="AH35" i="29"/>
  <c r="AI34" i="29"/>
  <c r="AH34" i="29"/>
  <c r="AI33" i="29"/>
  <c r="AH33" i="29"/>
  <c r="AI32" i="29"/>
  <c r="AH32" i="29"/>
  <c r="AI31" i="29"/>
  <c r="AH31" i="29"/>
  <c r="AI30" i="29"/>
  <c r="AH30" i="29"/>
  <c r="AI29" i="29"/>
  <c r="AH29" i="29"/>
  <c r="AI28" i="29"/>
  <c r="AH28" i="29"/>
  <c r="AI27" i="29"/>
  <c r="AH27" i="29"/>
  <c r="AI26" i="29"/>
  <c r="AH26" i="29"/>
  <c r="AI25" i="29"/>
  <c r="AH25" i="29"/>
  <c r="AI24" i="29"/>
  <c r="AH24" i="29"/>
  <c r="AI23" i="29"/>
  <c r="AH23" i="29"/>
  <c r="AI22" i="29"/>
  <c r="AH22" i="29"/>
  <c r="AI21" i="29"/>
  <c r="AH21" i="29"/>
  <c r="AI20" i="29"/>
  <c r="AH20" i="29"/>
  <c r="AI19" i="29"/>
  <c r="AH19" i="29"/>
  <c r="AI18" i="29"/>
  <c r="AH18" i="29"/>
  <c r="AI17" i="29"/>
  <c r="AH17" i="29"/>
  <c r="AI16" i="29"/>
  <c r="AH16" i="29"/>
  <c r="AI15" i="29"/>
  <c r="AH15" i="29"/>
  <c r="AI14" i="29"/>
  <c r="AH14" i="29"/>
  <c r="AI13" i="29"/>
  <c r="AH13" i="29"/>
  <c r="AL12" i="29"/>
  <c r="AI12" i="29"/>
  <c r="AH12" i="29"/>
  <c r="AI11" i="29"/>
  <c r="AH11" i="29"/>
  <c r="Y5" i="29"/>
  <c r="X5" i="29"/>
  <c r="W5" i="29"/>
  <c r="V5" i="29"/>
  <c r="U5" i="29"/>
  <c r="T5" i="29"/>
  <c r="S5" i="29"/>
  <c r="R5" i="29"/>
  <c r="Q5" i="29"/>
  <c r="P5" i="29"/>
  <c r="M5" i="29"/>
  <c r="K5" i="29"/>
  <c r="F5" i="29"/>
  <c r="AG4" i="29"/>
  <c r="K4" i="29"/>
  <c r="E4" i="29"/>
  <c r="H4" i="29" s="1"/>
  <c r="B4" i="29"/>
  <c r="D258" i="29" s="1"/>
  <c r="AG2" i="29"/>
  <c r="AF58" i="28"/>
  <c r="AF62" i="28"/>
  <c r="AF76" i="28"/>
  <c r="AF80" i="28"/>
  <c r="AF92" i="28"/>
  <c r="AF108" i="28" s="1"/>
  <c r="AF101" i="28"/>
  <c r="AF102" i="28"/>
  <c r="AF103" i="28"/>
  <c r="AF104" i="28"/>
  <c r="AF105" i="28"/>
  <c r="AF118" i="28"/>
  <c r="AE58" i="28"/>
  <c r="AE62" i="28"/>
  <c r="AE76" i="28"/>
  <c r="AE80" i="28"/>
  <c r="AE92" i="28"/>
  <c r="AE108" i="28" s="1"/>
  <c r="AE101" i="28"/>
  <c r="AE102" i="28"/>
  <c r="AE103" i="28"/>
  <c r="AE104" i="28"/>
  <c r="AE105" i="28"/>
  <c r="AE118" i="28"/>
  <c r="AD58" i="28"/>
  <c r="AD62" i="28"/>
  <c r="AD76" i="28"/>
  <c r="AD80" i="28"/>
  <c r="AD92" i="28"/>
  <c r="AD101" i="28"/>
  <c r="AD102" i="28"/>
  <c r="AD103" i="28"/>
  <c r="AD104" i="28"/>
  <c r="AD105" i="28"/>
  <c r="AD118" i="28"/>
  <c r="AC58" i="28"/>
  <c r="AC62" i="28"/>
  <c r="AC76" i="28"/>
  <c r="AC80" i="28"/>
  <c r="AC92" i="28"/>
  <c r="AC101" i="28"/>
  <c r="AC102" i="28"/>
  <c r="AC103" i="28"/>
  <c r="AC104" i="28"/>
  <c r="AC105" i="28"/>
  <c r="AC118" i="28"/>
  <c r="Q246" i="32" l="1"/>
  <c r="P252" i="32"/>
  <c r="O246" i="31"/>
  <c r="N252" i="31"/>
  <c r="N118" i="31"/>
  <c r="L252" i="30"/>
  <c r="L118" i="30"/>
  <c r="M246" i="30"/>
  <c r="AF108" i="29"/>
  <c r="AF97" i="29"/>
  <c r="AF99" i="29" s="1"/>
  <c r="AF100" i="29" s="1"/>
  <c r="AF7" i="29" s="1"/>
  <c r="AE97" i="29"/>
  <c r="AE99" i="29" s="1"/>
  <c r="AB97" i="29"/>
  <c r="AB99" i="29" s="1"/>
  <c r="AA107" i="29"/>
  <c r="AA97" i="29"/>
  <c r="AA99" i="29" s="1"/>
  <c r="AA100" i="29" s="1"/>
  <c r="AA7" i="29" s="1"/>
  <c r="S100" i="29"/>
  <c r="R108" i="29"/>
  <c r="R97" i="29"/>
  <c r="R99" i="29" s="1"/>
  <c r="R100" i="29" s="1"/>
  <c r="R7" i="29" s="1"/>
  <c r="Q107" i="29"/>
  <c r="Q108" i="29" s="1"/>
  <c r="Q97" i="29"/>
  <c r="Q99" i="29" s="1"/>
  <c r="P108" i="29"/>
  <c r="P97" i="29"/>
  <c r="P99" i="29" s="1"/>
  <c r="P100" i="29" s="1"/>
  <c r="P7" i="29" s="1"/>
  <c r="AI103" i="29"/>
  <c r="O97" i="29"/>
  <c r="O99" i="29" s="1"/>
  <c r="AI102" i="29"/>
  <c r="L97" i="29"/>
  <c r="L99" i="29" s="1"/>
  <c r="K107" i="29"/>
  <c r="K108" i="29"/>
  <c r="K97" i="29"/>
  <c r="K99" i="29" s="1"/>
  <c r="K100" i="29" s="1"/>
  <c r="K7" i="29" s="1"/>
  <c r="J107" i="29"/>
  <c r="J108" i="29" s="1"/>
  <c r="I5" i="29"/>
  <c r="AI62" i="29"/>
  <c r="J97" i="29"/>
  <c r="J99" i="29" s="1"/>
  <c r="J100" i="29" s="1"/>
  <c r="J7" i="29" s="1"/>
  <c r="I107" i="29"/>
  <c r="I108" i="29" s="1"/>
  <c r="H5" i="29"/>
  <c r="I97" i="29"/>
  <c r="I99" i="29" s="1"/>
  <c r="I100" i="29" s="1"/>
  <c r="I7" i="29" s="1"/>
  <c r="H107" i="29"/>
  <c r="H108" i="29" s="1"/>
  <c r="H97" i="29"/>
  <c r="H99" i="29" s="1"/>
  <c r="H100" i="29" s="1"/>
  <c r="H7" i="29" s="1"/>
  <c r="AH62" i="29"/>
  <c r="G97" i="29"/>
  <c r="G99" i="29" s="1"/>
  <c r="E5" i="29"/>
  <c r="AI76" i="29"/>
  <c r="D5" i="29"/>
  <c r="AH76" i="29"/>
  <c r="D97" i="29"/>
  <c r="D99" i="29" s="1"/>
  <c r="D100" i="29" s="1"/>
  <c r="D108" i="29"/>
  <c r="AI80" i="29"/>
  <c r="C5" i="29"/>
  <c r="C97" i="29"/>
  <c r="C99" i="29" s="1"/>
  <c r="C100" i="29" s="1"/>
  <c r="C7" i="29" s="1"/>
  <c r="C108" i="29"/>
  <c r="B5" i="29"/>
  <c r="AF5" i="29"/>
  <c r="AI92" i="29"/>
  <c r="B97" i="29"/>
  <c r="B99" i="29" s="1"/>
  <c r="B100" i="29" s="1"/>
  <c r="AH102" i="29"/>
  <c r="AG3" i="29"/>
  <c r="AG6" i="29" s="1"/>
  <c r="AG97" i="29"/>
  <c r="E107" i="29"/>
  <c r="M107" i="29"/>
  <c r="AC107" i="29"/>
  <c r="AC108" i="29" s="1"/>
  <c r="AB107" i="29"/>
  <c r="AB108" i="29" s="1"/>
  <c r="AL13" i="29"/>
  <c r="M97" i="29"/>
  <c r="M99" i="29" s="1"/>
  <c r="M100" i="29" s="1"/>
  <c r="M7" i="29" s="1"/>
  <c r="AC97" i="29"/>
  <c r="AC99" i="29" s="1"/>
  <c r="F97" i="29"/>
  <c r="F99" i="29" s="1"/>
  <c r="F100" i="29" s="1"/>
  <c r="F7" i="29" s="1"/>
  <c r="N97" i="29"/>
  <c r="N99" i="29" s="1"/>
  <c r="V7" i="29"/>
  <c r="AD97" i="29"/>
  <c r="AD99" i="29" s="1"/>
  <c r="BG84" i="29" a="1"/>
  <c r="F107" i="29"/>
  <c r="N107" i="29"/>
  <c r="AD107" i="29"/>
  <c r="AD108" i="29" s="1"/>
  <c r="E97" i="29"/>
  <c r="E99" i="29" s="1"/>
  <c r="E100" i="29" s="1"/>
  <c r="E7" i="29" s="1"/>
  <c r="AH92" i="29"/>
  <c r="AG99" i="29"/>
  <c r="G107" i="29"/>
  <c r="O107" i="29"/>
  <c r="AE107" i="29"/>
  <c r="AE100" i="29" s="1"/>
  <c r="AE7" i="29" s="1"/>
  <c r="L107" i="29"/>
  <c r="L100" i="29" s="1"/>
  <c r="L7" i="29" s="1"/>
  <c r="AH80" i="29"/>
  <c r="AA108" i="29"/>
  <c r="D252" i="29"/>
  <c r="E246" i="29"/>
  <c r="S7" i="29"/>
  <c r="AI58" i="29"/>
  <c r="AH101" i="29"/>
  <c r="AI105" i="29"/>
  <c r="T7" i="29"/>
  <c r="AH58" i="29"/>
  <c r="E108" i="29"/>
  <c r="M108" i="29"/>
  <c r="AI101" i="29"/>
  <c r="AI104" i="29"/>
  <c r="AH103" i="29"/>
  <c r="AH104" i="29"/>
  <c r="AH105" i="29"/>
  <c r="AF97" i="28"/>
  <c r="AF99" i="28" s="1"/>
  <c r="AF100" i="28" s="1"/>
  <c r="AE97" i="28"/>
  <c r="AE99" i="28" s="1"/>
  <c r="AE100" i="28" s="1"/>
  <c r="AD97" i="28"/>
  <c r="AD99" i="28" s="1"/>
  <c r="AD100" i="28" s="1"/>
  <c r="AC107" i="28"/>
  <c r="AC108" i="28" s="1"/>
  <c r="AC97" i="28"/>
  <c r="AC99" i="28" s="1"/>
  <c r="AC100" i="28" s="1"/>
  <c r="AD108" i="28"/>
  <c r="Q252" i="32" l="1"/>
  <c r="R246" i="32"/>
  <c r="Q118" i="32"/>
  <c r="P246" i="31"/>
  <c r="O252" i="31"/>
  <c r="O118" i="31"/>
  <c r="M118" i="30"/>
  <c r="N246" i="30"/>
  <c r="M252" i="30"/>
  <c r="AE108" i="29"/>
  <c r="AD100" i="29"/>
  <c r="AD7" i="29" s="1"/>
  <c r="AB100" i="29"/>
  <c r="AB7" i="29" s="1"/>
  <c r="Q100" i="29"/>
  <c r="Q7" i="29" s="1"/>
  <c r="O108" i="29"/>
  <c r="G108" i="29"/>
  <c r="AH107" i="29"/>
  <c r="AI97" i="29"/>
  <c r="L108" i="29"/>
  <c r="F246" i="29"/>
  <c r="E118" i="29"/>
  <c r="E252" i="29"/>
  <c r="N100" i="29"/>
  <c r="N7" i="29" s="1"/>
  <c r="N108" i="29"/>
  <c r="AI107" i="29"/>
  <c r="O100" i="29"/>
  <c r="O7" i="29" s="1"/>
  <c r="AH99" i="29"/>
  <c r="AI99" i="29"/>
  <c r="F108" i="29"/>
  <c r="W7" i="29"/>
  <c r="AC100" i="29"/>
  <c r="AC7" i="29" s="1"/>
  <c r="U7" i="29"/>
  <c r="B256" i="29"/>
  <c r="AT8" i="29"/>
  <c r="G100" i="29"/>
  <c r="G7" i="29" s="1"/>
  <c r="AH97" i="29"/>
  <c r="C256" i="29"/>
  <c r="BJ107" i="29"/>
  <c r="BH106" i="29"/>
  <c r="BL104" i="29"/>
  <c r="BJ103" i="29"/>
  <c r="BH102" i="29"/>
  <c r="BL100" i="29"/>
  <c r="BJ99" i="29"/>
  <c r="BH98" i="29"/>
  <c r="BL96" i="29"/>
  <c r="BJ95" i="29"/>
  <c r="BH94" i="29"/>
  <c r="BL92" i="29"/>
  <c r="BJ91" i="29"/>
  <c r="BH90" i="29"/>
  <c r="BI107" i="29"/>
  <c r="BG106" i="29"/>
  <c r="BK104" i="29"/>
  <c r="BI103" i="29"/>
  <c r="BG102" i="29"/>
  <c r="BK100" i="29"/>
  <c r="BI99" i="29"/>
  <c r="BG98" i="29"/>
  <c r="BK96" i="29"/>
  <c r="BI95" i="29"/>
  <c r="BG94" i="29"/>
  <c r="BK92" i="29"/>
  <c r="BI91" i="29"/>
  <c r="BG90" i="29"/>
  <c r="BK88" i="29"/>
  <c r="BI87" i="29"/>
  <c r="BG86" i="29"/>
  <c r="BK84" i="29"/>
  <c r="BH107" i="29"/>
  <c r="BL105" i="29"/>
  <c r="BJ104" i="29"/>
  <c r="BH103" i="29"/>
  <c r="BL101" i="29"/>
  <c r="BJ100" i="29"/>
  <c r="BH99" i="29"/>
  <c r="BL97" i="29"/>
  <c r="BJ96" i="29"/>
  <c r="BH95" i="29"/>
  <c r="BL93" i="29"/>
  <c r="BJ92" i="29"/>
  <c r="BH91" i="29"/>
  <c r="BL89" i="29"/>
  <c r="BJ88" i="29"/>
  <c r="BH87" i="29"/>
  <c r="BL85" i="29"/>
  <c r="BJ84" i="29"/>
  <c r="BG107" i="29"/>
  <c r="BK105" i="29"/>
  <c r="BI104" i="29"/>
  <c r="BG103" i="29"/>
  <c r="BK101" i="29"/>
  <c r="BI100" i="29"/>
  <c r="BG99" i="29"/>
  <c r="BK97" i="29"/>
  <c r="BI96" i="29"/>
  <c r="BG95" i="29"/>
  <c r="BK93" i="29"/>
  <c r="BI92" i="29"/>
  <c r="BG91" i="29"/>
  <c r="BK89" i="29"/>
  <c r="BI88" i="29"/>
  <c r="BG87" i="29"/>
  <c r="BK85" i="29"/>
  <c r="BI84" i="29"/>
  <c r="BL106" i="29"/>
  <c r="BJ105" i="29"/>
  <c r="BH104" i="29"/>
  <c r="BL102" i="29"/>
  <c r="BJ101" i="29"/>
  <c r="BH100" i="29"/>
  <c r="BL98" i="29"/>
  <c r="BJ97" i="29"/>
  <c r="BH96" i="29"/>
  <c r="BL94" i="29"/>
  <c r="BJ93" i="29"/>
  <c r="BH92" i="29"/>
  <c r="BL90" i="29"/>
  <c r="BJ89" i="29"/>
  <c r="BH88" i="29"/>
  <c r="BL86" i="29"/>
  <c r="BJ85" i="29"/>
  <c r="BH84" i="29"/>
  <c r="BH105" i="29"/>
  <c r="BI101" i="29"/>
  <c r="BI98" i="29"/>
  <c r="BJ94" i="29"/>
  <c r="BK90" i="29"/>
  <c r="BL87" i="29"/>
  <c r="BH85" i="29"/>
  <c r="BK98" i="29"/>
  <c r="BL88" i="29"/>
  <c r="BG105" i="29"/>
  <c r="BH101" i="29"/>
  <c r="BI97" i="29"/>
  <c r="BI94" i="29"/>
  <c r="BJ90" i="29"/>
  <c r="BK87" i="29"/>
  <c r="BG85" i="29"/>
  <c r="BK95" i="29"/>
  <c r="BL107" i="29"/>
  <c r="BG104" i="29"/>
  <c r="BG101" i="29"/>
  <c r="BH97" i="29"/>
  <c r="BI93" i="29"/>
  <c r="BI90" i="29"/>
  <c r="BJ87" i="29"/>
  <c r="BL84" i="29"/>
  <c r="BI106" i="29"/>
  <c r="BK107" i="29"/>
  <c r="BL103" i="29"/>
  <c r="BG100" i="29"/>
  <c r="BG97" i="29"/>
  <c r="BH93" i="29"/>
  <c r="BI89" i="29"/>
  <c r="BK86" i="29"/>
  <c r="BG84" i="29"/>
  <c r="BK106" i="29"/>
  <c r="BK103" i="29"/>
  <c r="BL99" i="29"/>
  <c r="BG96" i="29"/>
  <c r="BG93" i="29"/>
  <c r="BH89" i="29"/>
  <c r="BJ86" i="29"/>
  <c r="BJ106" i="29"/>
  <c r="BK102" i="29"/>
  <c r="BK99" i="29"/>
  <c r="BL95" i="29"/>
  <c r="BG92" i="29"/>
  <c r="BG89" i="29"/>
  <c r="BI86" i="29"/>
  <c r="BJ102" i="29"/>
  <c r="BL91" i="29"/>
  <c r="BH86" i="29"/>
  <c r="BI105" i="29"/>
  <c r="BI102" i="29"/>
  <c r="BJ98" i="29"/>
  <c r="BK94" i="29"/>
  <c r="BK91" i="29"/>
  <c r="BG88" i="29"/>
  <c r="BI85" i="29"/>
  <c r="D7" i="29"/>
  <c r="R252" i="32" l="1"/>
  <c r="R118" i="32"/>
  <c r="S246" i="32"/>
  <c r="Q246" i="31"/>
  <c r="P252" i="31"/>
  <c r="N118" i="30"/>
  <c r="N252" i="30"/>
  <c r="O246" i="30"/>
  <c r="AI108" i="29"/>
  <c r="AH108" i="29"/>
  <c r="AT9" i="29"/>
  <c r="AI100" i="29"/>
  <c r="AH100" i="29"/>
  <c r="B7" i="29"/>
  <c r="A7" i="29" s="1"/>
  <c r="K6" i="29"/>
  <c r="G246" i="29"/>
  <c r="F118" i="29"/>
  <c r="F252" i="29"/>
  <c r="S118" i="32" l="1"/>
  <c r="T246" i="32"/>
  <c r="S252" i="32"/>
  <c r="Q118" i="31"/>
  <c r="Q252" i="31"/>
  <c r="R246" i="31"/>
  <c r="P246" i="30"/>
  <c r="O118" i="30"/>
  <c r="O252" i="30"/>
  <c r="H246" i="29"/>
  <c r="G118" i="29"/>
  <c r="G252" i="29"/>
  <c r="T252" i="32" l="1"/>
  <c r="T118" i="32"/>
  <c r="U246" i="32"/>
  <c r="R252" i="31"/>
  <c r="S246" i="31"/>
  <c r="R118" i="31"/>
  <c r="Q246" i="30"/>
  <c r="P252" i="30"/>
  <c r="I246" i="29"/>
  <c r="H252" i="29"/>
  <c r="H118" i="29"/>
  <c r="V246" i="32" l="1"/>
  <c r="U252" i="32"/>
  <c r="U118" i="32"/>
  <c r="S252" i="31"/>
  <c r="S118" i="31"/>
  <c r="T246" i="31"/>
  <c r="Q118" i="30"/>
  <c r="Q252" i="30"/>
  <c r="R246" i="30"/>
  <c r="I252" i="29"/>
  <c r="I118" i="29"/>
  <c r="J246" i="29"/>
  <c r="W246" i="32" l="1"/>
  <c r="V252" i="32"/>
  <c r="V118" i="32"/>
  <c r="T252" i="31"/>
  <c r="T118" i="31"/>
  <c r="U246" i="31"/>
  <c r="R252" i="30"/>
  <c r="S246" i="30"/>
  <c r="R118" i="30"/>
  <c r="J252" i="29"/>
  <c r="J118" i="29"/>
  <c r="K246" i="29"/>
  <c r="W118" i="32" l="1"/>
  <c r="W252" i="32"/>
  <c r="X246" i="32"/>
  <c r="U118" i="31"/>
  <c r="U252" i="31"/>
  <c r="V246" i="31"/>
  <c r="S252" i="30"/>
  <c r="T246" i="30"/>
  <c r="K252" i="29"/>
  <c r="K118" i="29"/>
  <c r="L246" i="29"/>
  <c r="X118" i="32" l="1"/>
  <c r="Y246" i="32"/>
  <c r="X252" i="32"/>
  <c r="W246" i="31"/>
  <c r="V252" i="31"/>
  <c r="V118" i="31"/>
  <c r="T252" i="30"/>
  <c r="U246" i="30"/>
  <c r="L252" i="29"/>
  <c r="L118" i="29"/>
  <c r="M246" i="29"/>
  <c r="Y252" i="32" l="1"/>
  <c r="Z246" i="32"/>
  <c r="X246" i="31"/>
  <c r="W252" i="31"/>
  <c r="W118" i="31"/>
  <c r="U118" i="30"/>
  <c r="V246" i="30"/>
  <c r="U252" i="30"/>
  <c r="N246" i="29"/>
  <c r="M118" i="29"/>
  <c r="M252" i="29"/>
  <c r="Z252" i="32" l="1"/>
  <c r="AA246" i="32"/>
  <c r="Y246" i="31"/>
  <c r="X252" i="31"/>
  <c r="X118" i="31"/>
  <c r="W246" i="30"/>
  <c r="V252" i="30"/>
  <c r="O246" i="29"/>
  <c r="N252" i="29"/>
  <c r="N118" i="29"/>
  <c r="AA118" i="32" l="1"/>
  <c r="AB246" i="32"/>
  <c r="AA252" i="32"/>
  <c r="Y252" i="31"/>
  <c r="Z246" i="31"/>
  <c r="X246" i="30"/>
  <c r="W252" i="30"/>
  <c r="P246" i="29"/>
  <c r="O252" i="29"/>
  <c r="O118" i="29"/>
  <c r="AB118" i="32" l="1"/>
  <c r="AB252" i="32"/>
  <c r="AC246" i="32"/>
  <c r="Z252" i="31"/>
  <c r="AA246" i="31"/>
  <c r="Y246" i="30"/>
  <c r="X252" i="30"/>
  <c r="Q246" i="29"/>
  <c r="P252" i="29"/>
  <c r="AD246" i="32" l="1"/>
  <c r="AC252" i="32"/>
  <c r="AC118" i="32"/>
  <c r="AA252" i="31"/>
  <c r="AA118" i="31"/>
  <c r="AB246" i="31"/>
  <c r="Y252" i="30"/>
  <c r="Z246" i="30"/>
  <c r="Q252" i="29"/>
  <c r="Q118" i="29"/>
  <c r="R246" i="29"/>
  <c r="AE246" i="32" l="1"/>
  <c r="AD252" i="32"/>
  <c r="AD118" i="32"/>
  <c r="AB252" i="31"/>
  <c r="AC246" i="31"/>
  <c r="Z252" i="30"/>
  <c r="AA246" i="30"/>
  <c r="R252" i="29"/>
  <c r="R118" i="29"/>
  <c r="S246" i="29"/>
  <c r="AE118" i="32" l="1"/>
  <c r="AF246" i="32"/>
  <c r="AE252" i="32"/>
  <c r="AD246" i="31"/>
  <c r="AC252" i="31"/>
  <c r="AA252" i="30"/>
  <c r="AB246" i="30"/>
  <c r="S252" i="29"/>
  <c r="T246" i="29"/>
  <c r="B246" i="32" l="1"/>
  <c r="B118" i="32" s="1"/>
  <c r="AF252" i="32"/>
  <c r="AF118" i="32"/>
  <c r="AE246" i="31"/>
  <c r="AD252" i="31"/>
  <c r="AB252" i="30"/>
  <c r="AB118" i="30"/>
  <c r="AC246" i="30"/>
  <c r="T252" i="29"/>
  <c r="U246" i="29"/>
  <c r="B252" i="32" l="1"/>
  <c r="AF246" i="31"/>
  <c r="AE252" i="31"/>
  <c r="AC118" i="30"/>
  <c r="AD246" i="30"/>
  <c r="AC252" i="30"/>
  <c r="V246" i="29"/>
  <c r="U252" i="29"/>
  <c r="AI118" i="32" l="1"/>
  <c r="AH118" i="32"/>
  <c r="AF252" i="31"/>
  <c r="B246" i="31"/>
  <c r="AD252" i="30"/>
  <c r="AE246" i="30"/>
  <c r="AD118" i="30"/>
  <c r="W246" i="29"/>
  <c r="V252" i="29"/>
  <c r="B252" i="31" l="1"/>
  <c r="B118" i="31"/>
  <c r="AF246" i="30"/>
  <c r="AE252" i="30"/>
  <c r="AE118" i="30"/>
  <c r="X246" i="29"/>
  <c r="W252" i="29"/>
  <c r="AH118" i="31" l="1"/>
  <c r="AI118" i="31"/>
  <c r="AF252" i="30"/>
  <c r="AF118" i="30"/>
  <c r="B246" i="30"/>
  <c r="Y246" i="29"/>
  <c r="X252" i="29"/>
  <c r="B118" i="30" l="1"/>
  <c r="B252" i="30"/>
  <c r="Y252" i="29"/>
  <c r="Z246" i="29"/>
  <c r="AI118" i="30" l="1"/>
  <c r="AH118" i="30"/>
  <c r="Z252" i="29"/>
  <c r="AA246" i="29"/>
  <c r="AA252" i="29" l="1"/>
  <c r="AA118" i="29"/>
  <c r="AB246" i="29"/>
  <c r="AB252" i="29" l="1"/>
  <c r="AB118" i="29"/>
  <c r="AC246" i="29"/>
  <c r="AC118" i="29" l="1"/>
  <c r="AD246" i="29"/>
  <c r="AC252" i="29"/>
  <c r="AE246" i="29" l="1"/>
  <c r="AD252" i="29"/>
  <c r="AD118" i="29"/>
  <c r="AF246" i="29" l="1"/>
  <c r="AE252" i="29"/>
  <c r="AE118" i="29"/>
  <c r="AF252" i="29" l="1"/>
  <c r="AF118" i="29"/>
  <c r="B246" i="29"/>
  <c r="B252" i="29" l="1"/>
  <c r="AI118" i="29" l="1"/>
  <c r="AH118" i="29"/>
  <c r="Q58" i="28" l="1"/>
  <c r="Q62" i="28"/>
  <c r="AH125" i="28" l="1"/>
  <c r="AI125" i="28"/>
  <c r="AH124" i="28"/>
  <c r="AI124" i="28"/>
  <c r="AH57" i="28"/>
  <c r="D121" i="28"/>
  <c r="C57" i="28"/>
  <c r="D57" i="28"/>
  <c r="C58" i="28"/>
  <c r="D58" i="28"/>
  <c r="C62" i="28"/>
  <c r="D62" i="28"/>
  <c r="C76" i="28"/>
  <c r="D76" i="28"/>
  <c r="C80" i="28"/>
  <c r="D80" i="28"/>
  <c r="C92" i="28"/>
  <c r="D92" i="28"/>
  <c r="C101" i="28"/>
  <c r="D101" i="28"/>
  <c r="C102" i="28"/>
  <c r="D102" i="28"/>
  <c r="D107" i="28" s="1"/>
  <c r="D108" i="28" s="1"/>
  <c r="C103" i="28"/>
  <c r="D103" i="28"/>
  <c r="C104" i="28"/>
  <c r="D104" i="28"/>
  <c r="C105" i="28"/>
  <c r="D105" i="28"/>
  <c r="C121" i="28"/>
  <c r="C118" i="28" s="1"/>
  <c r="D118" i="28"/>
  <c r="B121" i="28"/>
  <c r="B57" i="28"/>
  <c r="B118" i="28"/>
  <c r="B105" i="28"/>
  <c r="B104" i="28"/>
  <c r="B103" i="28"/>
  <c r="B102" i="28"/>
  <c r="B101" i="28"/>
  <c r="B92" i="28"/>
  <c r="AF5" i="28" s="1"/>
  <c r="B80" i="28"/>
  <c r="B76" i="28"/>
  <c r="B62" i="28"/>
  <c r="B58" i="28"/>
  <c r="AG252" i="28"/>
  <c r="C252" i="28"/>
  <c r="D251" i="28"/>
  <c r="D250" i="28"/>
  <c r="E250" i="28" s="1"/>
  <c r="F250" i="28" s="1"/>
  <c r="G250" i="28" s="1"/>
  <c r="H250" i="28" s="1"/>
  <c r="I250" i="28" s="1"/>
  <c r="J250" i="28" s="1"/>
  <c r="K250" i="28" s="1"/>
  <c r="L250" i="28" s="1"/>
  <c r="M250" i="28" s="1"/>
  <c r="N250" i="28" s="1"/>
  <c r="O250" i="28" s="1"/>
  <c r="P250" i="28" s="1"/>
  <c r="Q250" i="28" s="1"/>
  <c r="R250" i="28" s="1"/>
  <c r="S250" i="28" s="1"/>
  <c r="T250" i="28" s="1"/>
  <c r="U250" i="28" s="1"/>
  <c r="V250" i="28" s="1"/>
  <c r="W250" i="28" s="1"/>
  <c r="X250" i="28" s="1"/>
  <c r="Y250" i="28" s="1"/>
  <c r="Z250" i="28" s="1"/>
  <c r="AA250" i="28" s="1"/>
  <c r="AB250" i="28" s="1"/>
  <c r="AC250" i="28" s="1"/>
  <c r="AD250" i="28" s="1"/>
  <c r="AE250" i="28" s="1"/>
  <c r="AF250" i="28" s="1"/>
  <c r="B250" i="28" s="1"/>
  <c r="H249" i="28"/>
  <c r="I249" i="28" s="1"/>
  <c r="J249" i="28" s="1"/>
  <c r="K249" i="28" s="1"/>
  <c r="L249" i="28" s="1"/>
  <c r="M249" i="28" s="1"/>
  <c r="N249" i="28" s="1"/>
  <c r="O249" i="28" s="1"/>
  <c r="P249" i="28" s="1"/>
  <c r="Q249" i="28" s="1"/>
  <c r="R249" i="28" s="1"/>
  <c r="S249" i="28" s="1"/>
  <c r="T249" i="28" s="1"/>
  <c r="U249" i="28" s="1"/>
  <c r="V249" i="28" s="1"/>
  <c r="W249" i="28" s="1"/>
  <c r="X249" i="28" s="1"/>
  <c r="Y249" i="28" s="1"/>
  <c r="Z249" i="28" s="1"/>
  <c r="AA249" i="28" s="1"/>
  <c r="AB249" i="28" s="1"/>
  <c r="AC249" i="28" s="1"/>
  <c r="AD249" i="28" s="1"/>
  <c r="AE249" i="28" s="1"/>
  <c r="AF249" i="28" s="1"/>
  <c r="B249" i="28" s="1"/>
  <c r="E249" i="28"/>
  <c r="F249" i="28" s="1"/>
  <c r="G249" i="28" s="1"/>
  <c r="D249" i="28"/>
  <c r="F248" i="28"/>
  <c r="G248" i="28" s="1"/>
  <c r="H248" i="28" s="1"/>
  <c r="I248" i="28" s="1"/>
  <c r="J248" i="28" s="1"/>
  <c r="K248" i="28" s="1"/>
  <c r="L248" i="28" s="1"/>
  <c r="M248" i="28" s="1"/>
  <c r="N248" i="28" s="1"/>
  <c r="O248" i="28" s="1"/>
  <c r="P248" i="28" s="1"/>
  <c r="Q248" i="28" s="1"/>
  <c r="R248" i="28" s="1"/>
  <c r="S248" i="28" s="1"/>
  <c r="T248" i="28" s="1"/>
  <c r="U248" i="28" s="1"/>
  <c r="V248" i="28" s="1"/>
  <c r="W248" i="28" s="1"/>
  <c r="X248" i="28" s="1"/>
  <c r="Y248" i="28" s="1"/>
  <c r="Z248" i="28" s="1"/>
  <c r="AA248" i="28" s="1"/>
  <c r="AB248" i="28" s="1"/>
  <c r="AC248" i="28" s="1"/>
  <c r="AD248" i="28" s="1"/>
  <c r="AE248" i="28" s="1"/>
  <c r="AF248" i="28" s="1"/>
  <c r="B248" i="28" s="1"/>
  <c r="D248" i="28"/>
  <c r="E248" i="28" s="1"/>
  <c r="D247" i="28"/>
  <c r="E247" i="28" s="1"/>
  <c r="F247" i="28" s="1"/>
  <c r="G247" i="28" s="1"/>
  <c r="H247" i="28" s="1"/>
  <c r="I247" i="28" s="1"/>
  <c r="J247" i="28" s="1"/>
  <c r="K247" i="28" s="1"/>
  <c r="L247" i="28" s="1"/>
  <c r="M247" i="28" s="1"/>
  <c r="N247" i="28" s="1"/>
  <c r="O247" i="28" s="1"/>
  <c r="P247" i="28" s="1"/>
  <c r="Q247" i="28" s="1"/>
  <c r="R247" i="28" s="1"/>
  <c r="S247" i="28" s="1"/>
  <c r="T247" i="28" s="1"/>
  <c r="U247" i="28" s="1"/>
  <c r="V247" i="28" s="1"/>
  <c r="W247" i="28" s="1"/>
  <c r="X247" i="28" s="1"/>
  <c r="Y247" i="28" s="1"/>
  <c r="Z247" i="28" s="1"/>
  <c r="AA247" i="28" s="1"/>
  <c r="AB247" i="28" s="1"/>
  <c r="AC247" i="28" s="1"/>
  <c r="AD247" i="28" s="1"/>
  <c r="AE247" i="28" s="1"/>
  <c r="AF247" i="28" s="1"/>
  <c r="B247" i="28" s="1"/>
  <c r="D246" i="28"/>
  <c r="AG244" i="28"/>
  <c r="AF244" i="28"/>
  <c r="AE244" i="28"/>
  <c r="AD244" i="28"/>
  <c r="AC244" i="28"/>
  <c r="AB244" i="28"/>
  <c r="AA244" i="28"/>
  <c r="Z244" i="28"/>
  <c r="Y244" i="28"/>
  <c r="Y118" i="28" s="1"/>
  <c r="X244" i="28"/>
  <c r="W244" i="28"/>
  <c r="V244" i="28"/>
  <c r="U244" i="28"/>
  <c r="T244" i="28"/>
  <c r="S244" i="28"/>
  <c r="R244" i="28"/>
  <c r="Q244" i="28"/>
  <c r="P244" i="28"/>
  <c r="O244" i="28"/>
  <c r="N244" i="28"/>
  <c r="M244" i="28"/>
  <c r="L244" i="28"/>
  <c r="K244" i="28"/>
  <c r="J244" i="28"/>
  <c r="I244" i="28"/>
  <c r="H244" i="28"/>
  <c r="G244" i="28"/>
  <c r="F244" i="28"/>
  <c r="E244" i="28"/>
  <c r="D244" i="28"/>
  <c r="C244" i="28"/>
  <c r="B244" i="28"/>
  <c r="AI130" i="28"/>
  <c r="AH130" i="28"/>
  <c r="AI129" i="28"/>
  <c r="AH129" i="28"/>
  <c r="AI128" i="28"/>
  <c r="AH128" i="28"/>
  <c r="AI127" i="28"/>
  <c r="AH127" i="28"/>
  <c r="AI126" i="28"/>
  <c r="AH126" i="28"/>
  <c r="AI123" i="28"/>
  <c r="AH123" i="28"/>
  <c r="AI122" i="28"/>
  <c r="AH122" i="28"/>
  <c r="AI121" i="28"/>
  <c r="AH121" i="28"/>
  <c r="AI120" i="28"/>
  <c r="AH120" i="28"/>
  <c r="AI119" i="28"/>
  <c r="AH119" i="28"/>
  <c r="AI117" i="28"/>
  <c r="AH117" i="28"/>
  <c r="AI116" i="28"/>
  <c r="AH116" i="28"/>
  <c r="AI115" i="28"/>
  <c r="AH115" i="28"/>
  <c r="AI114" i="28"/>
  <c r="AH114" i="28"/>
  <c r="AI113" i="28"/>
  <c r="AH113" i="28"/>
  <c r="AI112" i="28"/>
  <c r="AH112" i="28"/>
  <c r="AI111" i="28"/>
  <c r="AH111" i="28"/>
  <c r="AI110" i="28"/>
  <c r="AH110" i="28"/>
  <c r="AI109" i="28"/>
  <c r="AH109" i="28"/>
  <c r="AA107" i="28"/>
  <c r="AI106" i="28"/>
  <c r="AH106" i="28"/>
  <c r="AB105" i="28"/>
  <c r="AA105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AB104" i="28"/>
  <c r="AA104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AB103" i="28"/>
  <c r="AA103" i="28"/>
  <c r="Y103" i="28"/>
  <c r="X103" i="28"/>
  <c r="W103" i="28"/>
  <c r="V103" i="28"/>
  <c r="U103" i="28"/>
  <c r="T103" i="28"/>
  <c r="S103" i="28"/>
  <c r="R103" i="28"/>
  <c r="Q103" i="28"/>
  <c r="P103" i="28"/>
  <c r="O103" i="28"/>
  <c r="N103" i="28"/>
  <c r="M103" i="28"/>
  <c r="L103" i="28"/>
  <c r="K103" i="28"/>
  <c r="J103" i="28"/>
  <c r="I103" i="28"/>
  <c r="H103" i="28"/>
  <c r="G103" i="28"/>
  <c r="F103" i="28"/>
  <c r="E103" i="28"/>
  <c r="AB102" i="28"/>
  <c r="AA102" i="28"/>
  <c r="Y102" i="28"/>
  <c r="X102" i="28"/>
  <c r="W102" i="28"/>
  <c r="V102" i="28"/>
  <c r="U102" i="28"/>
  <c r="T102" i="28"/>
  <c r="S102" i="28"/>
  <c r="R102" i="28"/>
  <c r="Q102" i="28"/>
  <c r="P102" i="28"/>
  <c r="O102" i="28"/>
  <c r="N102" i="28"/>
  <c r="M102" i="28"/>
  <c r="L102" i="28"/>
  <c r="K102" i="28"/>
  <c r="J102" i="28"/>
  <c r="I102" i="28"/>
  <c r="H102" i="28"/>
  <c r="G102" i="28"/>
  <c r="F102" i="28"/>
  <c r="E102" i="28"/>
  <c r="AB101" i="28"/>
  <c r="AA101" i="28"/>
  <c r="Y101" i="28"/>
  <c r="X101" i="28"/>
  <c r="W101" i="28"/>
  <c r="V101" i="28"/>
  <c r="U101" i="28"/>
  <c r="T101" i="28"/>
  <c r="S101" i="28"/>
  <c r="R101" i="28"/>
  <c r="Q101" i="28"/>
  <c r="P101" i="28"/>
  <c r="P107" i="28" s="1"/>
  <c r="O101" i="28"/>
  <c r="N101" i="28"/>
  <c r="M101" i="28"/>
  <c r="L101" i="28"/>
  <c r="K101" i="28"/>
  <c r="J101" i="28"/>
  <c r="I101" i="28"/>
  <c r="H101" i="28"/>
  <c r="H107" i="28" s="1"/>
  <c r="G101" i="28"/>
  <c r="F101" i="28"/>
  <c r="E101" i="28"/>
  <c r="AI98" i="28"/>
  <c r="AH98" i="28"/>
  <c r="AI96" i="28"/>
  <c r="AH96" i="28"/>
  <c r="AG96" i="28"/>
  <c r="AG99" i="28" s="1"/>
  <c r="AI95" i="28"/>
  <c r="AH95" i="28"/>
  <c r="AI94" i="28"/>
  <c r="AH94" i="28"/>
  <c r="AI93" i="28"/>
  <c r="AH93" i="28"/>
  <c r="AG92" i="28"/>
  <c r="AB92" i="28"/>
  <c r="AA5" i="28" s="1"/>
  <c r="AA92" i="28"/>
  <c r="AA108" i="28" s="1"/>
  <c r="Y92" i="28"/>
  <c r="X5" i="28" s="1"/>
  <c r="X92" i="28"/>
  <c r="W5" i="28" s="1"/>
  <c r="W92" i="28"/>
  <c r="V5" i="28" s="1"/>
  <c r="V92" i="28"/>
  <c r="U5" i="28" s="1"/>
  <c r="U92" i="28"/>
  <c r="T5" i="28" s="1"/>
  <c r="T92" i="28"/>
  <c r="S5" i="28" s="1"/>
  <c r="S92" i="28"/>
  <c r="R5" i="28" s="1"/>
  <c r="R92" i="28"/>
  <c r="Q92" i="28"/>
  <c r="P92" i="28"/>
  <c r="O92" i="28"/>
  <c r="N5" i="28" s="1"/>
  <c r="N92" i="28"/>
  <c r="M5" i="28" s="1"/>
  <c r="M92" i="28"/>
  <c r="L92" i="28"/>
  <c r="K5" i="28" s="1"/>
  <c r="K92" i="28"/>
  <c r="J92" i="28"/>
  <c r="I92" i="28"/>
  <c r="H92" i="28"/>
  <c r="G5" i="28" s="1"/>
  <c r="G92" i="28"/>
  <c r="F92" i="28"/>
  <c r="E92" i="28"/>
  <c r="D5" i="28" s="1"/>
  <c r="AI91" i="28"/>
  <c r="AH91" i="28"/>
  <c r="AI90" i="28"/>
  <c r="AH90" i="28"/>
  <c r="AI89" i="28"/>
  <c r="AH89" i="28"/>
  <c r="AI88" i="28"/>
  <c r="AH88" i="28"/>
  <c r="AI87" i="28"/>
  <c r="AH87" i="28"/>
  <c r="AI86" i="28"/>
  <c r="AH86" i="28"/>
  <c r="AI85" i="28"/>
  <c r="AH85" i="28"/>
  <c r="AI84" i="28"/>
  <c r="AH84" i="28"/>
  <c r="AI83" i="28"/>
  <c r="AH83" i="28"/>
  <c r="AI82" i="28"/>
  <c r="AH82" i="28"/>
  <c r="AI81" i="28"/>
  <c r="AH81" i="28"/>
  <c r="BO80" i="28"/>
  <c r="AG80" i="28"/>
  <c r="AB80" i="28"/>
  <c r="AA80" i="28"/>
  <c r="Y80" i="28"/>
  <c r="X80" i="28"/>
  <c r="W80" i="28"/>
  <c r="V80" i="28"/>
  <c r="U80" i="28"/>
  <c r="T80" i="28"/>
  <c r="S80" i="28"/>
  <c r="R80" i="28"/>
  <c r="Q80" i="28"/>
  <c r="P80" i="28"/>
  <c r="O80" i="28"/>
  <c r="N80" i="28"/>
  <c r="M80" i="28"/>
  <c r="L80" i="28"/>
  <c r="K80" i="28"/>
  <c r="J80" i="28"/>
  <c r="I80" i="28"/>
  <c r="H80" i="28"/>
  <c r="G80" i="28"/>
  <c r="F80" i="28"/>
  <c r="E80" i="28"/>
  <c r="BQ79" i="28"/>
  <c r="BA79" i="28"/>
  <c r="AI79" i="28"/>
  <c r="AH79" i="28"/>
  <c r="BL78" i="28"/>
  <c r="BF78" i="28"/>
  <c r="AI78" i="28"/>
  <c r="AH78" i="28"/>
  <c r="BN77" i="28"/>
  <c r="BM77" i="28"/>
  <c r="AI77" i="28"/>
  <c r="AH77" i="28"/>
  <c r="BP76" i="28"/>
  <c r="BO76" i="28"/>
  <c r="BM76" i="28"/>
  <c r="BG76" i="28"/>
  <c r="BD76" i="28"/>
  <c r="BB76" i="28"/>
  <c r="AG76" i="28"/>
  <c r="AB76" i="28"/>
  <c r="AA76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BP75" i="28"/>
  <c r="BN75" i="28"/>
  <c r="BH75" i="28"/>
  <c r="AI75" i="28"/>
  <c r="AH75" i="28"/>
  <c r="AG75" i="28"/>
  <c r="AI74" i="28"/>
  <c r="AH74" i="28"/>
  <c r="BW73" i="28"/>
  <c r="BW80" i="28" s="1"/>
  <c r="BV73" i="28"/>
  <c r="BV80" i="28" s="1"/>
  <c r="BU73" i="28"/>
  <c r="BU80" i="28" s="1"/>
  <c r="BT73" i="28"/>
  <c r="BT80" i="28" s="1"/>
  <c r="BS73" i="28"/>
  <c r="BS80" i="28" s="1"/>
  <c r="BR73" i="28"/>
  <c r="BR80" i="28" s="1"/>
  <c r="BQ73" i="28"/>
  <c r="BQ80" i="28" s="1"/>
  <c r="BP73" i="28"/>
  <c r="BP80" i="28" s="1"/>
  <c r="BO73" i="28"/>
  <c r="BN73" i="28"/>
  <c r="BN80" i="28" s="1"/>
  <c r="BM73" i="28"/>
  <c r="BM80" i="28" s="1"/>
  <c r="BL73" i="28"/>
  <c r="BL80" i="28" s="1"/>
  <c r="BK73" i="28"/>
  <c r="BK80" i="28" s="1"/>
  <c r="BJ73" i="28"/>
  <c r="BJ80" i="28" s="1"/>
  <c r="BI73" i="28"/>
  <c r="BI80" i="28" s="1"/>
  <c r="BH73" i="28"/>
  <c r="BH80" i="28" s="1"/>
  <c r="BG73" i="28"/>
  <c r="BG80" i="28" s="1"/>
  <c r="BF73" i="28"/>
  <c r="BF80" i="28" s="1"/>
  <c r="BE73" i="28"/>
  <c r="BE80" i="28" s="1"/>
  <c r="BD73" i="28"/>
  <c r="BD80" i="28" s="1"/>
  <c r="BC73" i="28"/>
  <c r="BC80" i="28" s="1"/>
  <c r="BB73" i="28"/>
  <c r="BB80" i="28" s="1"/>
  <c r="BA73" i="28"/>
  <c r="BA80" i="28" s="1"/>
  <c r="AZ73" i="28"/>
  <c r="AZ80" i="28" s="1"/>
  <c r="AI73" i="28"/>
  <c r="AH73" i="28"/>
  <c r="BW72" i="28"/>
  <c r="BW79" i="28" s="1"/>
  <c r="BV72" i="28"/>
  <c r="BV79" i="28" s="1"/>
  <c r="BU72" i="28"/>
  <c r="BU79" i="28" s="1"/>
  <c r="BT72" i="28"/>
  <c r="BT79" i="28" s="1"/>
  <c r="BS72" i="28"/>
  <c r="BS79" i="28" s="1"/>
  <c r="BR72" i="28"/>
  <c r="BR79" i="28" s="1"/>
  <c r="BQ72" i="28"/>
  <c r="BP72" i="28"/>
  <c r="BP79" i="28" s="1"/>
  <c r="BO72" i="28"/>
  <c r="BO79" i="28" s="1"/>
  <c r="BN72" i="28"/>
  <c r="BN79" i="28" s="1"/>
  <c r="BM72" i="28"/>
  <c r="BM79" i="28" s="1"/>
  <c r="BL72" i="28"/>
  <c r="BL79" i="28" s="1"/>
  <c r="BK72" i="28"/>
  <c r="BK79" i="28" s="1"/>
  <c r="BJ72" i="28"/>
  <c r="BJ79" i="28" s="1"/>
  <c r="BI72" i="28"/>
  <c r="BI79" i="28" s="1"/>
  <c r="BH72" i="28"/>
  <c r="BH79" i="28" s="1"/>
  <c r="BG72" i="28"/>
  <c r="BG79" i="28" s="1"/>
  <c r="BF72" i="28"/>
  <c r="BF79" i="28" s="1"/>
  <c r="BE72" i="28"/>
  <c r="BE79" i="28" s="1"/>
  <c r="BD72" i="28"/>
  <c r="BD79" i="28" s="1"/>
  <c r="BC72" i="28"/>
  <c r="BC79" i="28" s="1"/>
  <c r="BB72" i="28"/>
  <c r="BB79" i="28" s="1"/>
  <c r="BA72" i="28"/>
  <c r="AZ72" i="28"/>
  <c r="AZ79" i="28" s="1"/>
  <c r="AI72" i="28"/>
  <c r="AH72" i="28"/>
  <c r="BW71" i="28"/>
  <c r="BW78" i="28" s="1"/>
  <c r="BV71" i="28"/>
  <c r="BV78" i="28" s="1"/>
  <c r="BU71" i="28"/>
  <c r="BU78" i="28" s="1"/>
  <c r="BT71" i="28"/>
  <c r="BT78" i="28" s="1"/>
  <c r="BS71" i="28"/>
  <c r="BS78" i="28" s="1"/>
  <c r="BR71" i="28"/>
  <c r="BR78" i="28" s="1"/>
  <c r="BQ71" i="28"/>
  <c r="BQ78" i="28" s="1"/>
  <c r="BP71" i="28"/>
  <c r="BP78" i="28" s="1"/>
  <c r="BO71" i="28"/>
  <c r="BO78" i="28" s="1"/>
  <c r="BN71" i="28"/>
  <c r="BN78" i="28" s="1"/>
  <c r="BM71" i="28"/>
  <c r="BM78" i="28" s="1"/>
  <c r="BL71" i="28"/>
  <c r="BK71" i="28"/>
  <c r="BK78" i="28" s="1"/>
  <c r="BJ71" i="28"/>
  <c r="BJ78" i="28" s="1"/>
  <c r="BI71" i="28"/>
  <c r="BI78" i="28" s="1"/>
  <c r="BH71" i="28"/>
  <c r="BH78" i="28" s="1"/>
  <c r="BG71" i="28"/>
  <c r="BG78" i="28" s="1"/>
  <c r="BF71" i="28"/>
  <c r="BE71" i="28"/>
  <c r="BE78" i="28" s="1"/>
  <c r="BD71" i="28"/>
  <c r="BD78" i="28" s="1"/>
  <c r="BC71" i="28"/>
  <c r="BC78" i="28" s="1"/>
  <c r="BB71" i="28"/>
  <c r="BB78" i="28" s="1"/>
  <c r="BA71" i="28"/>
  <c r="BA78" i="28" s="1"/>
  <c r="AZ71" i="28"/>
  <c r="AZ78" i="28" s="1"/>
  <c r="AI71" i="28"/>
  <c r="AH71" i="28"/>
  <c r="BW70" i="28"/>
  <c r="BW77" i="28" s="1"/>
  <c r="BV70" i="28"/>
  <c r="BV77" i="28" s="1"/>
  <c r="BU70" i="28"/>
  <c r="BU77" i="28" s="1"/>
  <c r="BT70" i="28"/>
  <c r="BT77" i="28" s="1"/>
  <c r="BS70" i="28"/>
  <c r="BS77" i="28" s="1"/>
  <c r="BR70" i="28"/>
  <c r="BR77" i="28" s="1"/>
  <c r="BQ70" i="28"/>
  <c r="BQ77" i="28" s="1"/>
  <c r="BP70" i="28"/>
  <c r="BP77" i="28" s="1"/>
  <c r="BO70" i="28"/>
  <c r="BO77" i="28" s="1"/>
  <c r="BN70" i="28"/>
  <c r="BM70" i="28"/>
  <c r="BL70" i="28"/>
  <c r="BL77" i="28" s="1"/>
  <c r="BK70" i="28"/>
  <c r="BK77" i="28" s="1"/>
  <c r="BJ70" i="28"/>
  <c r="BJ77" i="28" s="1"/>
  <c r="BI70" i="28"/>
  <c r="BI77" i="28" s="1"/>
  <c r="BH70" i="28"/>
  <c r="BH77" i="28" s="1"/>
  <c r="BG70" i="28"/>
  <c r="BG77" i="28" s="1"/>
  <c r="BF70" i="28"/>
  <c r="BF77" i="28" s="1"/>
  <c r="BE70" i="28"/>
  <c r="BE77" i="28" s="1"/>
  <c r="BD70" i="28"/>
  <c r="BD77" i="28" s="1"/>
  <c r="BC70" i="28"/>
  <c r="BC77" i="28" s="1"/>
  <c r="BB70" i="28"/>
  <c r="BB77" i="28" s="1"/>
  <c r="BA70" i="28"/>
  <c r="BA77" i="28" s="1"/>
  <c r="AZ70" i="28"/>
  <c r="AZ77" i="28" s="1"/>
  <c r="AI70" i="28"/>
  <c r="AH70" i="28"/>
  <c r="BW69" i="28"/>
  <c r="BW76" i="28" s="1"/>
  <c r="BV69" i="28"/>
  <c r="BV76" i="28" s="1"/>
  <c r="BU69" i="28"/>
  <c r="BU76" i="28" s="1"/>
  <c r="BT69" i="28"/>
  <c r="BT76" i="28" s="1"/>
  <c r="BS69" i="28"/>
  <c r="BS76" i="28" s="1"/>
  <c r="BR69" i="28"/>
  <c r="BR76" i="28" s="1"/>
  <c r="BQ69" i="28"/>
  <c r="BQ76" i="28" s="1"/>
  <c r="BP69" i="28"/>
  <c r="BO69" i="28"/>
  <c r="BN69" i="28"/>
  <c r="BN76" i="28" s="1"/>
  <c r="BM69" i="28"/>
  <c r="BL69" i="28"/>
  <c r="BL76" i="28" s="1"/>
  <c r="BK69" i="28"/>
  <c r="BK76" i="28" s="1"/>
  <c r="BJ69" i="28"/>
  <c r="BJ76" i="28" s="1"/>
  <c r="BI69" i="28"/>
  <c r="BI76" i="28" s="1"/>
  <c r="BH69" i="28"/>
  <c r="BH76" i="28" s="1"/>
  <c r="BG69" i="28"/>
  <c r="BF69" i="28"/>
  <c r="BF76" i="28" s="1"/>
  <c r="BE69" i="28"/>
  <c r="BE76" i="28" s="1"/>
  <c r="BD69" i="28"/>
  <c r="BC69" i="28"/>
  <c r="BC76" i="28" s="1"/>
  <c r="BB69" i="28"/>
  <c r="BA69" i="28"/>
  <c r="BA76" i="28" s="1"/>
  <c r="AZ69" i="28"/>
  <c r="AZ76" i="28" s="1"/>
  <c r="AI69" i="28"/>
  <c r="AH69" i="28"/>
  <c r="BW68" i="28"/>
  <c r="BW75" i="28" s="1"/>
  <c r="BV68" i="28"/>
  <c r="BV75" i="28" s="1"/>
  <c r="BU68" i="28"/>
  <c r="BU75" i="28" s="1"/>
  <c r="BT68" i="28"/>
  <c r="BT75" i="28" s="1"/>
  <c r="BS68" i="28"/>
  <c r="BS75" i="28" s="1"/>
  <c r="BR68" i="28"/>
  <c r="BR75" i="28" s="1"/>
  <c r="BQ68" i="28"/>
  <c r="BQ75" i="28" s="1"/>
  <c r="BP68" i="28"/>
  <c r="BO68" i="28"/>
  <c r="BO75" i="28" s="1"/>
  <c r="BN68" i="28"/>
  <c r="BM68" i="28"/>
  <c r="BM75" i="28" s="1"/>
  <c r="BL68" i="28"/>
  <c r="BL75" i="28" s="1"/>
  <c r="BK68" i="28"/>
  <c r="BK75" i="28" s="1"/>
  <c r="BJ68" i="28"/>
  <c r="BJ75" i="28" s="1"/>
  <c r="BI68" i="28"/>
  <c r="BI75" i="28" s="1"/>
  <c r="BH68" i="28"/>
  <c r="BG68" i="28"/>
  <c r="BG75" i="28" s="1"/>
  <c r="BF68" i="28"/>
  <c r="BF75" i="28" s="1"/>
  <c r="BE68" i="28"/>
  <c r="BE75" i="28" s="1"/>
  <c r="BD68" i="28"/>
  <c r="BD75" i="28" s="1"/>
  <c r="BC68" i="28"/>
  <c r="BC75" i="28" s="1"/>
  <c r="BB68" i="28"/>
  <c r="BB75" i="28" s="1"/>
  <c r="BA68" i="28"/>
  <c r="BA75" i="28" s="1"/>
  <c r="AZ68" i="28"/>
  <c r="AZ75" i="28" s="1"/>
  <c r="AI68" i="28"/>
  <c r="AH68" i="28"/>
  <c r="AI67" i="28"/>
  <c r="AH67" i="28"/>
  <c r="AI66" i="28"/>
  <c r="AH66" i="28"/>
  <c r="AI65" i="28"/>
  <c r="AH65" i="28"/>
  <c r="AI64" i="28"/>
  <c r="AH64" i="28"/>
  <c r="AI63" i="28"/>
  <c r="AH63" i="28"/>
  <c r="AG62" i="28"/>
  <c r="AB62" i="28"/>
  <c r="AA62" i="28"/>
  <c r="Y62" i="28"/>
  <c r="X62" i="28"/>
  <c r="W62" i="28"/>
  <c r="V62" i="28"/>
  <c r="U62" i="28"/>
  <c r="T62" i="28"/>
  <c r="S62" i="28"/>
  <c r="R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AI61" i="28"/>
  <c r="AH61" i="28"/>
  <c r="AI60" i="28"/>
  <c r="AH60" i="28"/>
  <c r="AI59" i="28"/>
  <c r="AH59" i="28"/>
  <c r="AG58" i="28"/>
  <c r="AD7" i="28"/>
  <c r="AB58" i="28"/>
  <c r="AA58" i="28"/>
  <c r="Y58" i="28"/>
  <c r="X58" i="28"/>
  <c r="W58" i="28"/>
  <c r="V58" i="28"/>
  <c r="U58" i="28"/>
  <c r="T58" i="28"/>
  <c r="S58" i="28"/>
  <c r="R58" i="28"/>
  <c r="P58" i="28"/>
  <c r="O58" i="28"/>
  <c r="N58" i="28"/>
  <c r="N97" i="28" s="1"/>
  <c r="N99" i="28" s="1"/>
  <c r="M58" i="28"/>
  <c r="L58" i="28"/>
  <c r="K58" i="28"/>
  <c r="J58" i="28"/>
  <c r="I58" i="28"/>
  <c r="H58" i="28"/>
  <c r="G58" i="28"/>
  <c r="F58" i="28"/>
  <c r="E58" i="28"/>
  <c r="AI57" i="28"/>
  <c r="AI56" i="28"/>
  <c r="AH56" i="28"/>
  <c r="AI55" i="28"/>
  <c r="AH55" i="28"/>
  <c r="AI54" i="28"/>
  <c r="AH54" i="28"/>
  <c r="AI53" i="28"/>
  <c r="AH53" i="28"/>
  <c r="AI52" i="28"/>
  <c r="AH52" i="28"/>
  <c r="AI51" i="28"/>
  <c r="AH51" i="28"/>
  <c r="AI50" i="28"/>
  <c r="AH50" i="28"/>
  <c r="AI49" i="28"/>
  <c r="AH49" i="28"/>
  <c r="AI48" i="28"/>
  <c r="AH48" i="28"/>
  <c r="AI47" i="28"/>
  <c r="AH47" i="28"/>
  <c r="AI46" i="28"/>
  <c r="AH46" i="28"/>
  <c r="AI45" i="28"/>
  <c r="AH45" i="28"/>
  <c r="AI44" i="28"/>
  <c r="AH44" i="28"/>
  <c r="AI43" i="28"/>
  <c r="AH43" i="28"/>
  <c r="AI42" i="28"/>
  <c r="AH42" i="28"/>
  <c r="AI41" i="28"/>
  <c r="AH41" i="28"/>
  <c r="AI40" i="28"/>
  <c r="AH40" i="28"/>
  <c r="AI39" i="28"/>
  <c r="AH39" i="28"/>
  <c r="AI38" i="28"/>
  <c r="AH38" i="28"/>
  <c r="AI37" i="28"/>
  <c r="AH37" i="28"/>
  <c r="AI36" i="28"/>
  <c r="AH36" i="28"/>
  <c r="AI35" i="28"/>
  <c r="AH35" i="28"/>
  <c r="AI34" i="28"/>
  <c r="AH34" i="28"/>
  <c r="AI33" i="28"/>
  <c r="AH33" i="28"/>
  <c r="AI32" i="28"/>
  <c r="AH32" i="28"/>
  <c r="AI31" i="28"/>
  <c r="AH31" i="28"/>
  <c r="AI30" i="28"/>
  <c r="AH30" i="28"/>
  <c r="AI29" i="28"/>
  <c r="AH29" i="28"/>
  <c r="AI28" i="28"/>
  <c r="AH28" i="28"/>
  <c r="AI27" i="28"/>
  <c r="AH27" i="28"/>
  <c r="AI26" i="28"/>
  <c r="AH26" i="28"/>
  <c r="AI25" i="28"/>
  <c r="AH25" i="28"/>
  <c r="AI24" i="28"/>
  <c r="AH24" i="28"/>
  <c r="AI23" i="28"/>
  <c r="AH23" i="28"/>
  <c r="AI22" i="28"/>
  <c r="AH22" i="28"/>
  <c r="AI21" i="28"/>
  <c r="AH21" i="28"/>
  <c r="AI20" i="28"/>
  <c r="AH20" i="28"/>
  <c r="AI19" i="28"/>
  <c r="AH19" i="28"/>
  <c r="AI18" i="28"/>
  <c r="AH18" i="28"/>
  <c r="AI17" i="28"/>
  <c r="AH17" i="28"/>
  <c r="AI16" i="28"/>
  <c r="AH16" i="28"/>
  <c r="AI15" i="28"/>
  <c r="AH15" i="28"/>
  <c r="AI14" i="28"/>
  <c r="AH14" i="28"/>
  <c r="AI13" i="28"/>
  <c r="AH13" i="28"/>
  <c r="AL12" i="28"/>
  <c r="AI12" i="28"/>
  <c r="AH12" i="28"/>
  <c r="AI11" i="28"/>
  <c r="AH11" i="28"/>
  <c r="AE5" i="28"/>
  <c r="AD5" i="28"/>
  <c r="AC5" i="28"/>
  <c r="AB5" i="28"/>
  <c r="C5" i="28"/>
  <c r="AG4" i="28"/>
  <c r="K4" i="28"/>
  <c r="E4" i="28"/>
  <c r="H4" i="28" s="1"/>
  <c r="B4" i="28"/>
  <c r="D258" i="28" s="1"/>
  <c r="AG3" i="28"/>
  <c r="AG6" i="28" s="1"/>
  <c r="AG2" i="28"/>
  <c r="AF121" i="27"/>
  <c r="AE57" i="27"/>
  <c r="AF57" i="27"/>
  <c r="AF58" i="27"/>
  <c r="AF62" i="27"/>
  <c r="AF76" i="27"/>
  <c r="AE121" i="27"/>
  <c r="AE58" i="27"/>
  <c r="AE62" i="27"/>
  <c r="AE76" i="27"/>
  <c r="AE80" i="27"/>
  <c r="AE92" i="27"/>
  <c r="AE101" i="27"/>
  <c r="AE107" i="27" s="1"/>
  <c r="AE102" i="27"/>
  <c r="AE103" i="27"/>
  <c r="AE104" i="27"/>
  <c r="AE105" i="27"/>
  <c r="AE118" i="27"/>
  <c r="AB97" i="28" l="1"/>
  <c r="AB99" i="28" s="1"/>
  <c r="Z5" i="28"/>
  <c r="AA97" i="28"/>
  <c r="AA99" i="28" s="1"/>
  <c r="AA100" i="28" s="1"/>
  <c r="AA7" i="28" s="1"/>
  <c r="Y107" i="28"/>
  <c r="Y108" i="28" s="1"/>
  <c r="X107" i="28"/>
  <c r="X108" i="28" s="1"/>
  <c r="W97" i="28"/>
  <c r="W99" i="28" s="1"/>
  <c r="V107" i="28"/>
  <c r="V97" i="28"/>
  <c r="V99" i="28" s="1"/>
  <c r="V100" i="28" s="1"/>
  <c r="V7" i="28" s="1"/>
  <c r="U97" i="28"/>
  <c r="U99" i="28" s="1"/>
  <c r="T97" i="28"/>
  <c r="T99" i="28" s="1"/>
  <c r="S107" i="28"/>
  <c r="S108" i="28"/>
  <c r="S97" i="28"/>
  <c r="S99" i="28" s="1"/>
  <c r="S100" i="28" s="1"/>
  <c r="S7" i="28" s="1"/>
  <c r="R107" i="28"/>
  <c r="R108" i="28" s="1"/>
  <c r="Q107" i="28"/>
  <c r="Q108" i="28"/>
  <c r="P5" i="28"/>
  <c r="P108" i="28"/>
  <c r="O5" i="28"/>
  <c r="O97" i="28"/>
  <c r="O99" i="28" s="1"/>
  <c r="N107" i="28"/>
  <c r="L5" i="28"/>
  <c r="L97" i="28"/>
  <c r="L99" i="28" s="1"/>
  <c r="J5" i="28"/>
  <c r="K107" i="28"/>
  <c r="K97" i="28"/>
  <c r="K99" i="28" s="1"/>
  <c r="K100" i="28" s="1"/>
  <c r="K7" i="28" s="1"/>
  <c r="J107" i="28"/>
  <c r="J108" i="28" s="1"/>
  <c r="I107" i="28"/>
  <c r="H5" i="28"/>
  <c r="AH62" i="28"/>
  <c r="H108" i="28"/>
  <c r="AH80" i="28"/>
  <c r="F5" i="28"/>
  <c r="AH105" i="28"/>
  <c r="AI80" i="28"/>
  <c r="F107" i="28"/>
  <c r="E5" i="28"/>
  <c r="F97" i="28"/>
  <c r="F99" i="28" s="1"/>
  <c r="F100" i="28" s="1"/>
  <c r="F7" i="28" s="1"/>
  <c r="AI62" i="28"/>
  <c r="AI103" i="28"/>
  <c r="B5" i="28"/>
  <c r="C107" i="28"/>
  <c r="D97" i="28"/>
  <c r="D99" i="28" s="1"/>
  <c r="D100" i="28" s="1"/>
  <c r="C97" i="28"/>
  <c r="C99" i="28" s="1"/>
  <c r="C100" i="28" s="1"/>
  <c r="C7" i="28" s="1"/>
  <c r="AI102" i="28"/>
  <c r="AH102" i="28"/>
  <c r="B107" i="28"/>
  <c r="B108" i="28" s="1"/>
  <c r="B97" i="28"/>
  <c r="B99" i="28" s="1"/>
  <c r="B100" i="28" s="1"/>
  <c r="AL13" i="28"/>
  <c r="E97" i="28"/>
  <c r="E99" i="28" s="1"/>
  <c r="M97" i="28"/>
  <c r="M99" i="28" s="1"/>
  <c r="AH76" i="28"/>
  <c r="I108" i="28"/>
  <c r="BG84" i="28" a="1"/>
  <c r="G97" i="28"/>
  <c r="G99" i="28" s="1"/>
  <c r="I97" i="28"/>
  <c r="I99" i="28" s="1"/>
  <c r="I100" i="28" s="1"/>
  <c r="I7" i="28" s="1"/>
  <c r="Q97" i="28"/>
  <c r="Q99" i="28" s="1"/>
  <c r="Q100" i="28" s="1"/>
  <c r="Q7" i="28" s="1"/>
  <c r="Y97" i="28"/>
  <c r="Y99" i="28" s="1"/>
  <c r="Y100" i="28" s="1"/>
  <c r="Y7" i="28" s="1"/>
  <c r="AG97" i="28"/>
  <c r="L107" i="28"/>
  <c r="L108" i="28" s="1"/>
  <c r="T107" i="28"/>
  <c r="T108" i="28" s="1"/>
  <c r="AB107" i="28"/>
  <c r="AB108" i="28" s="1"/>
  <c r="AI92" i="28"/>
  <c r="AH92" i="28"/>
  <c r="AI101" i="28"/>
  <c r="H97" i="28"/>
  <c r="H99" i="28" s="1"/>
  <c r="H100" i="28" s="1"/>
  <c r="H7" i="28" s="1"/>
  <c r="P97" i="28"/>
  <c r="P99" i="28" s="1"/>
  <c r="P100" i="28" s="1"/>
  <c r="P7" i="28" s="1"/>
  <c r="X97" i="28"/>
  <c r="X99" i="28" s="1"/>
  <c r="X100" i="28" s="1"/>
  <c r="X7" i="28" s="1"/>
  <c r="AF7" i="28"/>
  <c r="AI76" i="28"/>
  <c r="I5" i="28"/>
  <c r="Q5" i="28"/>
  <c r="Y5" i="28"/>
  <c r="J97" i="28"/>
  <c r="J99" i="28" s="1"/>
  <c r="J100" i="28" s="1"/>
  <c r="J7" i="28" s="1"/>
  <c r="R97" i="28"/>
  <c r="R99" i="28" s="1"/>
  <c r="Z7" i="28"/>
  <c r="AH58" i="28"/>
  <c r="F108" i="28"/>
  <c r="N108" i="28"/>
  <c r="V108" i="28"/>
  <c r="E107" i="28"/>
  <c r="M107" i="28"/>
  <c r="U107" i="28"/>
  <c r="AC7" i="28"/>
  <c r="AI58" i="28"/>
  <c r="AI105" i="28"/>
  <c r="E251" i="28"/>
  <c r="F251" i="28" s="1"/>
  <c r="G251" i="28" s="1"/>
  <c r="H251" i="28" s="1"/>
  <c r="I251" i="28" s="1"/>
  <c r="J251" i="28" s="1"/>
  <c r="K251" i="28" s="1"/>
  <c r="L251" i="28" s="1"/>
  <c r="M251" i="28" s="1"/>
  <c r="N251" i="28" s="1"/>
  <c r="O251" i="28" s="1"/>
  <c r="P251" i="28" s="1"/>
  <c r="Q251" i="28" s="1"/>
  <c r="R251" i="28" s="1"/>
  <c r="S251" i="28" s="1"/>
  <c r="T251" i="28" s="1"/>
  <c r="U251" i="28" s="1"/>
  <c r="V251" i="28" s="1"/>
  <c r="W251" i="28" s="1"/>
  <c r="X251" i="28" s="1"/>
  <c r="Y251" i="28" s="1"/>
  <c r="Z251" i="28" s="1"/>
  <c r="AA251" i="28" s="1"/>
  <c r="AB251" i="28" s="1"/>
  <c r="AC251" i="28" s="1"/>
  <c r="AD251" i="28" s="1"/>
  <c r="AE251" i="28" s="1"/>
  <c r="AF251" i="28" s="1"/>
  <c r="B251" i="28" s="1"/>
  <c r="G107" i="28"/>
  <c r="O107" i="28"/>
  <c r="W107" i="28"/>
  <c r="AI104" i="28"/>
  <c r="D252" i="28"/>
  <c r="AH101" i="28"/>
  <c r="AH103" i="28"/>
  <c r="E246" i="28"/>
  <c r="AH104" i="28"/>
  <c r="AE97" i="27"/>
  <c r="AE99" i="27" s="1"/>
  <c r="AE100" i="27" s="1"/>
  <c r="AE108" i="27"/>
  <c r="AB100" i="28" l="1"/>
  <c r="AB7" i="28" s="1"/>
  <c r="W100" i="28"/>
  <c r="W7" i="28" s="1"/>
  <c r="U100" i="28"/>
  <c r="U7" i="28" s="1"/>
  <c r="U108" i="28"/>
  <c r="T100" i="28"/>
  <c r="T7" i="28" s="1"/>
  <c r="R100" i="28"/>
  <c r="R7" i="28" s="1"/>
  <c r="O100" i="28"/>
  <c r="O7" i="28" s="1"/>
  <c r="N100" i="28"/>
  <c r="N7" i="28" s="1"/>
  <c r="M108" i="28"/>
  <c r="L100" i="28"/>
  <c r="L7" i="28" s="1"/>
  <c r="K108" i="28"/>
  <c r="G108" i="28"/>
  <c r="E108" i="28"/>
  <c r="C108" i="28"/>
  <c r="AE7" i="28"/>
  <c r="D7" i="28"/>
  <c r="C256" i="28"/>
  <c r="G100" i="28"/>
  <c r="G7" i="28" s="1"/>
  <c r="B256" i="28"/>
  <c r="F246" i="28"/>
  <c r="E118" i="28"/>
  <c r="E252" i="28"/>
  <c r="M100" i="28"/>
  <c r="M7" i="28" s="1"/>
  <c r="AI107" i="28"/>
  <c r="AH107" i="28"/>
  <c r="W108" i="28"/>
  <c r="AI97" i="28"/>
  <c r="AH97" i="28"/>
  <c r="BJ107" i="28"/>
  <c r="BH106" i="28"/>
  <c r="BL104" i="28"/>
  <c r="BJ103" i="28"/>
  <c r="BH102" i="28"/>
  <c r="BL100" i="28"/>
  <c r="BJ99" i="28"/>
  <c r="BH98" i="28"/>
  <c r="BL96" i="28"/>
  <c r="BJ95" i="28"/>
  <c r="BH94" i="28"/>
  <c r="BL92" i="28"/>
  <c r="BJ91" i="28"/>
  <c r="BH90" i="28"/>
  <c r="BL88" i="28"/>
  <c r="BJ87" i="28"/>
  <c r="BH86" i="28"/>
  <c r="BL84" i="28"/>
  <c r="BI107" i="28"/>
  <c r="BG106" i="28"/>
  <c r="BK104" i="28"/>
  <c r="BI103" i="28"/>
  <c r="BG102" i="28"/>
  <c r="BK100" i="28"/>
  <c r="BI99" i="28"/>
  <c r="BG98" i="28"/>
  <c r="BK96" i="28"/>
  <c r="BI95" i="28"/>
  <c r="BG94" i="28"/>
  <c r="BK92" i="28"/>
  <c r="BI91" i="28"/>
  <c r="BG90" i="28"/>
  <c r="BK88" i="28"/>
  <c r="BI87" i="28"/>
  <c r="BG86" i="28"/>
  <c r="BK84" i="28"/>
  <c r="BH107" i="28"/>
  <c r="BL105" i="28"/>
  <c r="BJ104" i="28"/>
  <c r="BH103" i="28"/>
  <c r="BL101" i="28"/>
  <c r="BJ100" i="28"/>
  <c r="BH99" i="28"/>
  <c r="BL97" i="28"/>
  <c r="BJ96" i="28"/>
  <c r="BH95" i="28"/>
  <c r="BL93" i="28"/>
  <c r="BJ92" i="28"/>
  <c r="BH91" i="28"/>
  <c r="BL89" i="28"/>
  <c r="BJ88" i="28"/>
  <c r="BH87" i="28"/>
  <c r="BL85" i="28"/>
  <c r="BJ84" i="28"/>
  <c r="BG107" i="28"/>
  <c r="BK105" i="28"/>
  <c r="BI104" i="28"/>
  <c r="BG103" i="28"/>
  <c r="BK101" i="28"/>
  <c r="BI100" i="28"/>
  <c r="BG99" i="28"/>
  <c r="BK97" i="28"/>
  <c r="BI96" i="28"/>
  <c r="BG95" i="28"/>
  <c r="BK93" i="28"/>
  <c r="BI92" i="28"/>
  <c r="BG91" i="28"/>
  <c r="BK89" i="28"/>
  <c r="BI88" i="28"/>
  <c r="BG87" i="28"/>
  <c r="BK85" i="28"/>
  <c r="BI84" i="28"/>
  <c r="BL106" i="28"/>
  <c r="BJ105" i="28"/>
  <c r="BH104" i="28"/>
  <c r="BL102" i="28"/>
  <c r="BJ101" i="28"/>
  <c r="BH100" i="28"/>
  <c r="BL98" i="28"/>
  <c r="BJ97" i="28"/>
  <c r="BH96" i="28"/>
  <c r="BL94" i="28"/>
  <c r="BJ93" i="28"/>
  <c r="BH92" i="28"/>
  <c r="BL90" i="28"/>
  <c r="BJ89" i="28"/>
  <c r="BH88" i="28"/>
  <c r="BL86" i="28"/>
  <c r="BJ85" i="28"/>
  <c r="BH84" i="28"/>
  <c r="BK106" i="28"/>
  <c r="BI105" i="28"/>
  <c r="BG104" i="28"/>
  <c r="BK102" i="28"/>
  <c r="BI101" i="28"/>
  <c r="BG100" i="28"/>
  <c r="BK98" i="28"/>
  <c r="BI97" i="28"/>
  <c r="BG96" i="28"/>
  <c r="BK94" i="28"/>
  <c r="BI93" i="28"/>
  <c r="BG92" i="28"/>
  <c r="BK90" i="28"/>
  <c r="BI89" i="28"/>
  <c r="BG88" i="28"/>
  <c r="BK86" i="28"/>
  <c r="BI85" i="28"/>
  <c r="BG84" i="28"/>
  <c r="BL107" i="28"/>
  <c r="BJ106" i="28"/>
  <c r="BH105" i="28"/>
  <c r="BL103" i="28"/>
  <c r="BJ102" i="28"/>
  <c r="BH101" i="28"/>
  <c r="BL99" i="28"/>
  <c r="BJ98" i="28"/>
  <c r="BH97" i="28"/>
  <c r="BL95" i="28"/>
  <c r="BJ94" i="28"/>
  <c r="BH93" i="28"/>
  <c r="BL91" i="28"/>
  <c r="BJ90" i="28"/>
  <c r="BH89" i="28"/>
  <c r="BL87" i="28"/>
  <c r="BJ86" i="28"/>
  <c r="BH85" i="28"/>
  <c r="BK103" i="28"/>
  <c r="BG93" i="28"/>
  <c r="BI102" i="28"/>
  <c r="BK91" i="28"/>
  <c r="BG101" i="28"/>
  <c r="BI90" i="28"/>
  <c r="BK107" i="28"/>
  <c r="BG97" i="28"/>
  <c r="BI86" i="28"/>
  <c r="BI106" i="28"/>
  <c r="BK95" i="28"/>
  <c r="BG85" i="28"/>
  <c r="BK99" i="28"/>
  <c r="BG89" i="28"/>
  <c r="BI98" i="28"/>
  <c r="BK87" i="28"/>
  <c r="BG105" i="28"/>
  <c r="BI94" i="28"/>
  <c r="E100" i="28"/>
  <c r="E7" i="28" s="1"/>
  <c r="O108" i="28"/>
  <c r="AT8" i="28"/>
  <c r="AH108" i="28" l="1"/>
  <c r="K6" i="28"/>
  <c r="AT9" i="28"/>
  <c r="AI108" i="28"/>
  <c r="G246" i="28"/>
  <c r="F252" i="28"/>
  <c r="F118" i="28"/>
  <c r="AH99" i="28"/>
  <c r="AI99" i="28"/>
  <c r="M57" i="27"/>
  <c r="L57" i="27"/>
  <c r="K121" i="27"/>
  <c r="K57" i="27"/>
  <c r="J121" i="27"/>
  <c r="J57" i="27"/>
  <c r="I121" i="27"/>
  <c r="I57" i="27"/>
  <c r="H121" i="27"/>
  <c r="H57" i="27"/>
  <c r="G121" i="27"/>
  <c r="G57" i="27"/>
  <c r="H246" i="28" l="1"/>
  <c r="G252" i="28"/>
  <c r="G118" i="28"/>
  <c r="AI100" i="28"/>
  <c r="AH100" i="28"/>
  <c r="B7" i="28"/>
  <c r="A7" i="28" s="1"/>
  <c r="I246" i="28" l="1"/>
  <c r="H252" i="28"/>
  <c r="H118" i="28"/>
  <c r="F121" i="27"/>
  <c r="F57" i="27"/>
  <c r="AH125" i="27"/>
  <c r="AI125" i="27"/>
  <c r="AH124" i="27"/>
  <c r="AI124" i="27"/>
  <c r="E121" i="27"/>
  <c r="E57" i="27"/>
  <c r="AI57" i="27" s="1"/>
  <c r="D58" i="27"/>
  <c r="D62" i="27"/>
  <c r="D76" i="27"/>
  <c r="D80" i="27"/>
  <c r="D92" i="27"/>
  <c r="AO19" i="27" s="1"/>
  <c r="D101" i="27"/>
  <c r="D102" i="27"/>
  <c r="D103" i="27"/>
  <c r="D104" i="27"/>
  <c r="D105" i="27"/>
  <c r="C58" i="27"/>
  <c r="C62" i="27"/>
  <c r="C76" i="27"/>
  <c r="AN18" i="27" s="1"/>
  <c r="C80" i="27"/>
  <c r="C92" i="27"/>
  <c r="C108" i="27" s="1"/>
  <c r="C101" i="27"/>
  <c r="C102" i="27"/>
  <c r="C103" i="27"/>
  <c r="C104" i="27"/>
  <c r="C105" i="27"/>
  <c r="C118" i="27"/>
  <c r="B105" i="27"/>
  <c r="B104" i="27"/>
  <c r="B103" i="27"/>
  <c r="B102" i="27"/>
  <c r="B101" i="27"/>
  <c r="B92" i="27"/>
  <c r="B80" i="27"/>
  <c r="AM20" i="27" s="1"/>
  <c r="B76" i="27"/>
  <c r="AM18" i="27" s="1"/>
  <c r="B62" i="27"/>
  <c r="AM17" i="27" s="1"/>
  <c r="B58" i="27"/>
  <c r="AG252" i="27"/>
  <c r="AG75" i="27" s="1"/>
  <c r="AG76" i="27" s="1"/>
  <c r="AG3" i="27" s="1"/>
  <c r="C252" i="27"/>
  <c r="D251" i="27"/>
  <c r="E251" i="27" s="1"/>
  <c r="F251" i="27" s="1"/>
  <c r="G251" i="27" s="1"/>
  <c r="H251" i="27" s="1"/>
  <c r="I251" i="27" s="1"/>
  <c r="J251" i="27" s="1"/>
  <c r="K251" i="27" s="1"/>
  <c r="L251" i="27" s="1"/>
  <c r="M251" i="27" s="1"/>
  <c r="N251" i="27" s="1"/>
  <c r="O251" i="27" s="1"/>
  <c r="P251" i="27" s="1"/>
  <c r="Q251" i="27" s="1"/>
  <c r="R251" i="27" s="1"/>
  <c r="S251" i="27" s="1"/>
  <c r="T251" i="27" s="1"/>
  <c r="U251" i="27" s="1"/>
  <c r="V251" i="27" s="1"/>
  <c r="W251" i="27" s="1"/>
  <c r="X251" i="27" s="1"/>
  <c r="Y251" i="27" s="1"/>
  <c r="Z251" i="27" s="1"/>
  <c r="AA251" i="27" s="1"/>
  <c r="AB251" i="27" s="1"/>
  <c r="AC251" i="27" s="1"/>
  <c r="AD251" i="27" s="1"/>
  <c r="AE251" i="27" s="1"/>
  <c r="AF251" i="27" s="1"/>
  <c r="B251" i="27" s="1"/>
  <c r="D250" i="27"/>
  <c r="E250" i="27" s="1"/>
  <c r="F250" i="27" s="1"/>
  <c r="G250" i="27" s="1"/>
  <c r="H250" i="27" s="1"/>
  <c r="I250" i="27" s="1"/>
  <c r="J250" i="27" s="1"/>
  <c r="K250" i="27" s="1"/>
  <c r="L250" i="27" s="1"/>
  <c r="M250" i="27" s="1"/>
  <c r="N250" i="27" s="1"/>
  <c r="O250" i="27" s="1"/>
  <c r="P250" i="27" s="1"/>
  <c r="Q250" i="27" s="1"/>
  <c r="R250" i="27" s="1"/>
  <c r="S250" i="27" s="1"/>
  <c r="T250" i="27" s="1"/>
  <c r="U250" i="27" s="1"/>
  <c r="V250" i="27" s="1"/>
  <c r="W250" i="27" s="1"/>
  <c r="X250" i="27" s="1"/>
  <c r="Y250" i="27" s="1"/>
  <c r="Z250" i="27" s="1"/>
  <c r="AA250" i="27" s="1"/>
  <c r="AB250" i="27" s="1"/>
  <c r="AC250" i="27" s="1"/>
  <c r="AD250" i="27" s="1"/>
  <c r="AE250" i="27" s="1"/>
  <c r="AF250" i="27" s="1"/>
  <c r="B250" i="27" s="1"/>
  <c r="D249" i="27"/>
  <c r="E249" i="27" s="1"/>
  <c r="F249" i="27" s="1"/>
  <c r="G249" i="27" s="1"/>
  <c r="H249" i="27" s="1"/>
  <c r="I249" i="27" s="1"/>
  <c r="J249" i="27" s="1"/>
  <c r="K249" i="27" s="1"/>
  <c r="L249" i="27" s="1"/>
  <c r="M249" i="27" s="1"/>
  <c r="N249" i="27" s="1"/>
  <c r="O249" i="27" s="1"/>
  <c r="P249" i="27" s="1"/>
  <c r="Q249" i="27" s="1"/>
  <c r="R249" i="27" s="1"/>
  <c r="S249" i="27" s="1"/>
  <c r="T249" i="27" s="1"/>
  <c r="U249" i="27" s="1"/>
  <c r="V249" i="27" s="1"/>
  <c r="W249" i="27" s="1"/>
  <c r="X249" i="27" s="1"/>
  <c r="Y249" i="27" s="1"/>
  <c r="Z249" i="27" s="1"/>
  <c r="AA249" i="27" s="1"/>
  <c r="AB249" i="27" s="1"/>
  <c r="AC249" i="27" s="1"/>
  <c r="AD249" i="27" s="1"/>
  <c r="AE249" i="27" s="1"/>
  <c r="AF249" i="27" s="1"/>
  <c r="B249" i="27" s="1"/>
  <c r="D248" i="27"/>
  <c r="E248" i="27" s="1"/>
  <c r="F248" i="27" s="1"/>
  <c r="G248" i="27" s="1"/>
  <c r="H248" i="27" s="1"/>
  <c r="I248" i="27" s="1"/>
  <c r="J248" i="27" s="1"/>
  <c r="K248" i="27" s="1"/>
  <c r="L248" i="27" s="1"/>
  <c r="M248" i="27" s="1"/>
  <c r="N248" i="27" s="1"/>
  <c r="O248" i="27" s="1"/>
  <c r="P248" i="27" s="1"/>
  <c r="Q248" i="27" s="1"/>
  <c r="R248" i="27" s="1"/>
  <c r="S248" i="27" s="1"/>
  <c r="T248" i="27" s="1"/>
  <c r="U248" i="27" s="1"/>
  <c r="V248" i="27" s="1"/>
  <c r="W248" i="27" s="1"/>
  <c r="X248" i="27" s="1"/>
  <c r="Y248" i="27" s="1"/>
  <c r="Z248" i="27" s="1"/>
  <c r="AA248" i="27" s="1"/>
  <c r="AB248" i="27" s="1"/>
  <c r="AC248" i="27" s="1"/>
  <c r="AD248" i="27" s="1"/>
  <c r="AE248" i="27" s="1"/>
  <c r="AF248" i="27" s="1"/>
  <c r="B248" i="27" s="1"/>
  <c r="D247" i="27"/>
  <c r="E247" i="27" s="1"/>
  <c r="F247" i="27" s="1"/>
  <c r="G247" i="27" s="1"/>
  <c r="H247" i="27" s="1"/>
  <c r="I247" i="27" s="1"/>
  <c r="J247" i="27" s="1"/>
  <c r="K247" i="27" s="1"/>
  <c r="L247" i="27" s="1"/>
  <c r="M247" i="27" s="1"/>
  <c r="N247" i="27" s="1"/>
  <c r="O247" i="27" s="1"/>
  <c r="P247" i="27" s="1"/>
  <c r="Q247" i="27" s="1"/>
  <c r="R247" i="27" s="1"/>
  <c r="S247" i="27" s="1"/>
  <c r="T247" i="27" s="1"/>
  <c r="U247" i="27" s="1"/>
  <c r="V247" i="27" s="1"/>
  <c r="W247" i="27" s="1"/>
  <c r="X247" i="27" s="1"/>
  <c r="Y247" i="27" s="1"/>
  <c r="Z247" i="27" s="1"/>
  <c r="AA247" i="27" s="1"/>
  <c r="AB247" i="27" s="1"/>
  <c r="AC247" i="27" s="1"/>
  <c r="AD247" i="27" s="1"/>
  <c r="AE247" i="27" s="1"/>
  <c r="AF247" i="27" s="1"/>
  <c r="B247" i="27" s="1"/>
  <c r="D246" i="27"/>
  <c r="E246" i="27" s="1"/>
  <c r="AG244" i="27"/>
  <c r="AF244" i="27"/>
  <c r="AE244" i="27"/>
  <c r="AD244" i="27"/>
  <c r="AC244" i="27"/>
  <c r="AB244" i="27"/>
  <c r="AA244" i="27"/>
  <c r="Z244" i="27"/>
  <c r="Z118" i="27" s="1"/>
  <c r="Y244" i="27"/>
  <c r="X244" i="27"/>
  <c r="W244" i="27"/>
  <c r="V244" i="27"/>
  <c r="U244" i="27"/>
  <c r="T244" i="27"/>
  <c r="S244" i="27"/>
  <c r="R244" i="27"/>
  <c r="Q244" i="27"/>
  <c r="P244" i="27"/>
  <c r="O244" i="27"/>
  <c r="N244" i="27"/>
  <c r="M244" i="27"/>
  <c r="L244" i="27"/>
  <c r="K244" i="27"/>
  <c r="J244" i="27"/>
  <c r="I244" i="27"/>
  <c r="H244" i="27"/>
  <c r="G244" i="27"/>
  <c r="F244" i="27"/>
  <c r="E244" i="27"/>
  <c r="D244" i="27"/>
  <c r="C244" i="27"/>
  <c r="B244" i="27"/>
  <c r="AI130" i="27"/>
  <c r="AH130" i="27"/>
  <c r="AI129" i="27"/>
  <c r="AH129" i="27"/>
  <c r="AI128" i="27"/>
  <c r="AH128" i="27"/>
  <c r="AI127" i="27"/>
  <c r="AH127" i="27"/>
  <c r="AI126" i="27"/>
  <c r="AH126" i="27"/>
  <c r="AI123" i="27"/>
  <c r="AH123" i="27"/>
  <c r="AI122" i="27"/>
  <c r="AH122" i="27"/>
  <c r="AI120" i="27"/>
  <c r="AH120" i="27"/>
  <c r="AI119" i="27"/>
  <c r="AH119" i="27"/>
  <c r="Y118" i="27"/>
  <c r="AI117" i="27"/>
  <c r="AH117" i="27"/>
  <c r="AI116" i="27"/>
  <c r="AH116" i="27"/>
  <c r="AI115" i="27"/>
  <c r="AH115" i="27"/>
  <c r="AI114" i="27"/>
  <c r="AH114" i="27"/>
  <c r="AI113" i="27"/>
  <c r="AH113" i="27"/>
  <c r="AI112" i="27"/>
  <c r="AH112" i="27"/>
  <c r="AI111" i="27"/>
  <c r="AH111" i="27"/>
  <c r="AI110" i="27"/>
  <c r="AH110" i="27"/>
  <c r="AI109" i="27"/>
  <c r="AH109" i="27"/>
  <c r="AO23" i="27"/>
  <c r="AI106" i="27"/>
  <c r="AH106" i="27"/>
  <c r="AF105" i="27"/>
  <c r="AD105" i="27"/>
  <c r="AC105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AF104" i="27"/>
  <c r="AD104" i="27"/>
  <c r="AC104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AF103" i="27"/>
  <c r="AD103" i="27"/>
  <c r="AC103" i="27"/>
  <c r="AB103" i="27"/>
  <c r="AA103" i="27"/>
  <c r="Z103" i="27"/>
  <c r="Y103" i="27"/>
  <c r="X103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AF102" i="27"/>
  <c r="AD102" i="27"/>
  <c r="AC102" i="27"/>
  <c r="AB102" i="27"/>
  <c r="AB107" i="27" s="1"/>
  <c r="AA102" i="27"/>
  <c r="Z102" i="27"/>
  <c r="Y102" i="27"/>
  <c r="X102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AF101" i="27"/>
  <c r="AD101" i="27"/>
  <c r="AD107" i="27" s="1"/>
  <c r="AC101" i="27"/>
  <c r="AB101" i="27"/>
  <c r="AA101" i="27"/>
  <c r="Z101" i="27"/>
  <c r="Y101" i="27"/>
  <c r="X101" i="27"/>
  <c r="W101" i="27"/>
  <c r="V101" i="27"/>
  <c r="V107" i="27" s="1"/>
  <c r="U101" i="27"/>
  <c r="T101" i="27"/>
  <c r="S101" i="27"/>
  <c r="R101" i="27"/>
  <c r="Q101" i="27"/>
  <c r="P101" i="27"/>
  <c r="P107" i="27" s="1"/>
  <c r="AX23" i="27" s="1"/>
  <c r="O101" i="27"/>
  <c r="N101" i="27"/>
  <c r="M101" i="27"/>
  <c r="L101" i="27"/>
  <c r="K101" i="27"/>
  <c r="J101" i="27"/>
  <c r="I101" i="27"/>
  <c r="H101" i="27"/>
  <c r="G101" i="27"/>
  <c r="F101" i="27"/>
  <c r="E101" i="27"/>
  <c r="AI98" i="27"/>
  <c r="AH98" i="27"/>
  <c r="AI96" i="27"/>
  <c r="AH96" i="27"/>
  <c r="AG96" i="27"/>
  <c r="AI95" i="27"/>
  <c r="AH95" i="27"/>
  <c r="AI94" i="27"/>
  <c r="AH94" i="27"/>
  <c r="AI93" i="27"/>
  <c r="AH93" i="27"/>
  <c r="AG92" i="27"/>
  <c r="AF92" i="27"/>
  <c r="AD5" i="27"/>
  <c r="AD92" i="27"/>
  <c r="AC5" i="27" s="1"/>
  <c r="AC92" i="27"/>
  <c r="AB5" i="27" s="1"/>
  <c r="AB92" i="27"/>
  <c r="AA5" i="27" s="1"/>
  <c r="AA92" i="27"/>
  <c r="Z92" i="27"/>
  <c r="Y5" i="27" s="1"/>
  <c r="Y92" i="27"/>
  <c r="X5" i="27" s="1"/>
  <c r="X92" i="27"/>
  <c r="W92" i="27"/>
  <c r="V5" i="27" s="1"/>
  <c r="V92" i="27"/>
  <c r="U5" i="27" s="1"/>
  <c r="U92" i="27"/>
  <c r="T5" i="27" s="1"/>
  <c r="T92" i="27"/>
  <c r="S92" i="27"/>
  <c r="R92" i="27"/>
  <c r="Q5" i="27" s="1"/>
  <c r="Q92" i="27"/>
  <c r="P5" i="27" s="1"/>
  <c r="P92" i="27"/>
  <c r="P108" i="27" s="1"/>
  <c r="O92" i="27"/>
  <c r="N5" i="27" s="1"/>
  <c r="N92" i="27"/>
  <c r="AV19" i="27" s="1"/>
  <c r="M92" i="27"/>
  <c r="AU19" i="27" s="1"/>
  <c r="L92" i="27"/>
  <c r="K5" i="27" s="1"/>
  <c r="K92" i="27"/>
  <c r="AT19" i="27" s="1"/>
  <c r="J92" i="27"/>
  <c r="I5" i="27" s="1"/>
  <c r="I92" i="27"/>
  <c r="AS19" i="27" s="1"/>
  <c r="H92" i="27"/>
  <c r="G92" i="27"/>
  <c r="F5" i="27" s="1"/>
  <c r="F92" i="27"/>
  <c r="E5" i="27" s="1"/>
  <c r="E92" i="27"/>
  <c r="AP19" i="27" s="1"/>
  <c r="AI91" i="27"/>
  <c r="AH91" i="27"/>
  <c r="AI90" i="27"/>
  <c r="AH90" i="27"/>
  <c r="AI89" i="27"/>
  <c r="AH89" i="27"/>
  <c r="AI88" i="27"/>
  <c r="AH88" i="27"/>
  <c r="AI87" i="27"/>
  <c r="AH87" i="27"/>
  <c r="AI86" i="27"/>
  <c r="AH86" i="27"/>
  <c r="AI85" i="27"/>
  <c r="AH85" i="27"/>
  <c r="AI84" i="27"/>
  <c r="AH84" i="27"/>
  <c r="AI83" i="27"/>
  <c r="AH83" i="27"/>
  <c r="AI82" i="27"/>
  <c r="AH82" i="27"/>
  <c r="AI81" i="27"/>
  <c r="AH81" i="27"/>
  <c r="AG80" i="27"/>
  <c r="AF80" i="27"/>
  <c r="AD80" i="27"/>
  <c r="AC80" i="27"/>
  <c r="AB80" i="27"/>
  <c r="AA80" i="27"/>
  <c r="Z80" i="27"/>
  <c r="Y80" i="27"/>
  <c r="X80" i="27"/>
  <c r="W80" i="27"/>
  <c r="V80" i="27"/>
  <c r="U80" i="27"/>
  <c r="T80" i="27"/>
  <c r="S80" i="27"/>
  <c r="R80" i="27"/>
  <c r="Q80" i="27"/>
  <c r="P80" i="27"/>
  <c r="AX20" i="27" s="1"/>
  <c r="O80" i="27"/>
  <c r="AW20" i="27" s="1"/>
  <c r="N80" i="27"/>
  <c r="AV20" i="27" s="1"/>
  <c r="M80" i="27"/>
  <c r="AU20" i="27" s="1"/>
  <c r="L80" i="27"/>
  <c r="K80" i="27"/>
  <c r="J80" i="27"/>
  <c r="I80" i="27"/>
  <c r="AS20" i="27" s="1"/>
  <c r="H80" i="27"/>
  <c r="G80" i="27"/>
  <c r="F80" i="27"/>
  <c r="AQ20" i="27" s="1"/>
  <c r="E80" i="27"/>
  <c r="AP20" i="27" s="1"/>
  <c r="AI79" i="27"/>
  <c r="AH79" i="27"/>
  <c r="AI78" i="27"/>
  <c r="AH78" i="27"/>
  <c r="AI77" i="27"/>
  <c r="AH77" i="27"/>
  <c r="BQ76" i="27"/>
  <c r="BI76" i="27"/>
  <c r="AD76" i="27"/>
  <c r="AC76" i="27"/>
  <c r="AB76" i="27"/>
  <c r="AA76" i="27"/>
  <c r="Z76" i="27"/>
  <c r="Y76" i="27"/>
  <c r="X76" i="27"/>
  <c r="W76" i="27"/>
  <c r="V76" i="27"/>
  <c r="U76" i="27"/>
  <c r="T76" i="27"/>
  <c r="S76" i="27"/>
  <c r="R76" i="27"/>
  <c r="Q76" i="27"/>
  <c r="P76" i="27"/>
  <c r="AX18" i="27" s="1"/>
  <c r="O76" i="27"/>
  <c r="AW18" i="27" s="1"/>
  <c r="N76" i="27"/>
  <c r="AV18" i="27" s="1"/>
  <c r="M76" i="27"/>
  <c r="AU18" i="27" s="1"/>
  <c r="L76" i="27"/>
  <c r="K76" i="27"/>
  <c r="AT18" i="27" s="1"/>
  <c r="J76" i="27"/>
  <c r="I76" i="27"/>
  <c r="AS18" i="27" s="1"/>
  <c r="H76" i="27"/>
  <c r="G76" i="27"/>
  <c r="F76" i="27"/>
  <c r="E76" i="27"/>
  <c r="AI75" i="27"/>
  <c r="AH75" i="27"/>
  <c r="AI74" i="27"/>
  <c r="AH74" i="27"/>
  <c r="BW73" i="27"/>
  <c r="BW80" i="27" s="1"/>
  <c r="BV73" i="27"/>
  <c r="BV80" i="27" s="1"/>
  <c r="BU73" i="27"/>
  <c r="BU80" i="27" s="1"/>
  <c r="BT73" i="27"/>
  <c r="BT80" i="27" s="1"/>
  <c r="BS73" i="27"/>
  <c r="BS80" i="27" s="1"/>
  <c r="BR73" i="27"/>
  <c r="BR80" i="27" s="1"/>
  <c r="BQ73" i="27"/>
  <c r="BQ80" i="27" s="1"/>
  <c r="BP73" i="27"/>
  <c r="BP80" i="27" s="1"/>
  <c r="BO73" i="27"/>
  <c r="BO80" i="27" s="1"/>
  <c r="BN73" i="27"/>
  <c r="BN80" i="27" s="1"/>
  <c r="BM73" i="27"/>
  <c r="BM80" i="27" s="1"/>
  <c r="BL73" i="27"/>
  <c r="BL80" i="27" s="1"/>
  <c r="BK73" i="27"/>
  <c r="BK80" i="27" s="1"/>
  <c r="BJ73" i="27"/>
  <c r="BJ80" i="27" s="1"/>
  <c r="BI73" i="27"/>
  <c r="BI80" i="27" s="1"/>
  <c r="BH73" i="27"/>
  <c r="BH80" i="27" s="1"/>
  <c r="BG73" i="27"/>
  <c r="BG80" i="27" s="1"/>
  <c r="BF73" i="27"/>
  <c r="BF80" i="27" s="1"/>
  <c r="BE73" i="27"/>
  <c r="BE80" i="27" s="1"/>
  <c r="BD73" i="27"/>
  <c r="BD80" i="27" s="1"/>
  <c r="BC73" i="27"/>
  <c r="BC80" i="27" s="1"/>
  <c r="BB73" i="27"/>
  <c r="BB80" i="27" s="1"/>
  <c r="BA73" i="27"/>
  <c r="BA80" i="27" s="1"/>
  <c r="AZ73" i="27"/>
  <c r="AZ80" i="27" s="1"/>
  <c r="AI73" i="27"/>
  <c r="AH73" i="27"/>
  <c r="BW72" i="27"/>
  <c r="BW79" i="27" s="1"/>
  <c r="BV72" i="27"/>
  <c r="BV79" i="27" s="1"/>
  <c r="BU72" i="27"/>
  <c r="BU79" i="27" s="1"/>
  <c r="BT72" i="27"/>
  <c r="BT79" i="27" s="1"/>
  <c r="BS72" i="27"/>
  <c r="BS79" i="27" s="1"/>
  <c r="BR72" i="27"/>
  <c r="BR79" i="27" s="1"/>
  <c r="BQ72" i="27"/>
  <c r="BQ79" i="27" s="1"/>
  <c r="BP72" i="27"/>
  <c r="BP79" i="27" s="1"/>
  <c r="BO72" i="27"/>
  <c r="BO79" i="27" s="1"/>
  <c r="BN72" i="27"/>
  <c r="BN79" i="27" s="1"/>
  <c r="BM72" i="27"/>
  <c r="BM79" i="27" s="1"/>
  <c r="BL72" i="27"/>
  <c r="BL79" i="27" s="1"/>
  <c r="BK72" i="27"/>
  <c r="BK79" i="27" s="1"/>
  <c r="BJ72" i="27"/>
  <c r="BJ79" i="27" s="1"/>
  <c r="BI72" i="27"/>
  <c r="BI79" i="27" s="1"/>
  <c r="BH72" i="27"/>
  <c r="BH79" i="27" s="1"/>
  <c r="BG72" i="27"/>
  <c r="BG79" i="27" s="1"/>
  <c r="BF72" i="27"/>
  <c r="BF79" i="27" s="1"/>
  <c r="BE72" i="27"/>
  <c r="BE79" i="27" s="1"/>
  <c r="BD72" i="27"/>
  <c r="BD79" i="27" s="1"/>
  <c r="BC72" i="27"/>
  <c r="BC79" i="27" s="1"/>
  <c r="BB72" i="27"/>
  <c r="BB79" i="27" s="1"/>
  <c r="BA72" i="27"/>
  <c r="BA79" i="27" s="1"/>
  <c r="AZ72" i="27"/>
  <c r="AZ79" i="27" s="1"/>
  <c r="AI72" i="27"/>
  <c r="AH72" i="27"/>
  <c r="BW71" i="27"/>
  <c r="BW78" i="27" s="1"/>
  <c r="BV71" i="27"/>
  <c r="BV78" i="27" s="1"/>
  <c r="BU71" i="27"/>
  <c r="BU78" i="27" s="1"/>
  <c r="BT71" i="27"/>
  <c r="BT78" i="27" s="1"/>
  <c r="BS71" i="27"/>
  <c r="BS78" i="27" s="1"/>
  <c r="BR71" i="27"/>
  <c r="BR78" i="27" s="1"/>
  <c r="BQ71" i="27"/>
  <c r="BQ78" i="27" s="1"/>
  <c r="BP71" i="27"/>
  <c r="BP78" i="27" s="1"/>
  <c r="BO71" i="27"/>
  <c r="BO78" i="27" s="1"/>
  <c r="BN71" i="27"/>
  <c r="BN78" i="27" s="1"/>
  <c r="BM71" i="27"/>
  <c r="BM78" i="27" s="1"/>
  <c r="BL71" i="27"/>
  <c r="BL78" i="27" s="1"/>
  <c r="BK71" i="27"/>
  <c r="BK78" i="27" s="1"/>
  <c r="BJ71" i="27"/>
  <c r="BJ78" i="27" s="1"/>
  <c r="BI71" i="27"/>
  <c r="BI78" i="27" s="1"/>
  <c r="BH71" i="27"/>
  <c r="BH78" i="27" s="1"/>
  <c r="BG71" i="27"/>
  <c r="BG78" i="27" s="1"/>
  <c r="BF71" i="27"/>
  <c r="BF78" i="27" s="1"/>
  <c r="BE71" i="27"/>
  <c r="BE78" i="27" s="1"/>
  <c r="BD71" i="27"/>
  <c r="BD78" i="27" s="1"/>
  <c r="BC71" i="27"/>
  <c r="BC78" i="27" s="1"/>
  <c r="BB71" i="27"/>
  <c r="BB78" i="27" s="1"/>
  <c r="BA71" i="27"/>
  <c r="BA78" i="27" s="1"/>
  <c r="AZ71" i="27"/>
  <c r="AZ78" i="27" s="1"/>
  <c r="AI71" i="27"/>
  <c r="AH71" i="27"/>
  <c r="BW70" i="27"/>
  <c r="BW77" i="27" s="1"/>
  <c r="BV70" i="27"/>
  <c r="BV77" i="27" s="1"/>
  <c r="BU70" i="27"/>
  <c r="BU77" i="27" s="1"/>
  <c r="BT70" i="27"/>
  <c r="BT77" i="27" s="1"/>
  <c r="BS70" i="27"/>
  <c r="BS77" i="27" s="1"/>
  <c r="BR70" i="27"/>
  <c r="BR77" i="27" s="1"/>
  <c r="BQ70" i="27"/>
  <c r="BQ77" i="27" s="1"/>
  <c r="BP70" i="27"/>
  <c r="BP77" i="27" s="1"/>
  <c r="BO70" i="27"/>
  <c r="BO77" i="27" s="1"/>
  <c r="BN70" i="27"/>
  <c r="BN77" i="27" s="1"/>
  <c r="BM70" i="27"/>
  <c r="BM77" i="27" s="1"/>
  <c r="BL70" i="27"/>
  <c r="BL77" i="27" s="1"/>
  <c r="BK70" i="27"/>
  <c r="BK77" i="27" s="1"/>
  <c r="BJ70" i="27"/>
  <c r="BJ77" i="27" s="1"/>
  <c r="BI70" i="27"/>
  <c r="BI77" i="27" s="1"/>
  <c r="BH70" i="27"/>
  <c r="BH77" i="27" s="1"/>
  <c r="BG70" i="27"/>
  <c r="BG77" i="27" s="1"/>
  <c r="BF70" i="27"/>
  <c r="BF77" i="27" s="1"/>
  <c r="BE70" i="27"/>
  <c r="BE77" i="27" s="1"/>
  <c r="BD70" i="27"/>
  <c r="BD77" i="27" s="1"/>
  <c r="BC70" i="27"/>
  <c r="BC77" i="27" s="1"/>
  <c r="BB70" i="27"/>
  <c r="BB77" i="27" s="1"/>
  <c r="BA70" i="27"/>
  <c r="BA77" i="27" s="1"/>
  <c r="AZ70" i="27"/>
  <c r="AZ77" i="27" s="1"/>
  <c r="AI70" i="27"/>
  <c r="AH70" i="27"/>
  <c r="BW69" i="27"/>
  <c r="BW76" i="27" s="1"/>
  <c r="BV69" i="27"/>
  <c r="BV76" i="27" s="1"/>
  <c r="BU69" i="27"/>
  <c r="BU76" i="27" s="1"/>
  <c r="BT69" i="27"/>
  <c r="BT76" i="27" s="1"/>
  <c r="BS69" i="27"/>
  <c r="BS76" i="27" s="1"/>
  <c r="BR69" i="27"/>
  <c r="BR76" i="27" s="1"/>
  <c r="BQ69" i="27"/>
  <c r="BP69" i="27"/>
  <c r="BP76" i="27" s="1"/>
  <c r="BO69" i="27"/>
  <c r="BO76" i="27" s="1"/>
  <c r="BN69" i="27"/>
  <c r="BN76" i="27" s="1"/>
  <c r="BM69" i="27"/>
  <c r="BM76" i="27" s="1"/>
  <c r="BL69" i="27"/>
  <c r="BL76" i="27" s="1"/>
  <c r="BK69" i="27"/>
  <c r="BK76" i="27" s="1"/>
  <c r="BJ69" i="27"/>
  <c r="BJ76" i="27" s="1"/>
  <c r="BI69" i="27"/>
  <c r="BH69" i="27"/>
  <c r="BH76" i="27" s="1"/>
  <c r="BG69" i="27"/>
  <c r="BG76" i="27" s="1"/>
  <c r="BF69" i="27"/>
  <c r="BF76" i="27" s="1"/>
  <c r="BE69" i="27"/>
  <c r="BE76" i="27" s="1"/>
  <c r="BD69" i="27"/>
  <c r="BD76" i="27" s="1"/>
  <c r="BC69" i="27"/>
  <c r="BC76" i="27" s="1"/>
  <c r="BB69" i="27"/>
  <c r="BB76" i="27" s="1"/>
  <c r="BA69" i="27"/>
  <c r="BA76" i="27" s="1"/>
  <c r="AZ69" i="27"/>
  <c r="AZ76" i="27" s="1"/>
  <c r="AI69" i="27"/>
  <c r="AH69" i="27"/>
  <c r="BW68" i="27"/>
  <c r="BW75" i="27" s="1"/>
  <c r="BV68" i="27"/>
  <c r="BV75" i="27" s="1"/>
  <c r="BU68" i="27"/>
  <c r="BU75" i="27" s="1"/>
  <c r="BT68" i="27"/>
  <c r="BT75" i="27" s="1"/>
  <c r="BS68" i="27"/>
  <c r="BS75" i="27" s="1"/>
  <c r="BR68" i="27"/>
  <c r="BR75" i="27" s="1"/>
  <c r="BQ68" i="27"/>
  <c r="BQ75" i="27" s="1"/>
  <c r="BP68" i="27"/>
  <c r="BP75" i="27" s="1"/>
  <c r="BO68" i="27"/>
  <c r="BO75" i="27" s="1"/>
  <c r="BN68" i="27"/>
  <c r="BN75" i="27" s="1"/>
  <c r="BM68" i="27"/>
  <c r="BM75" i="27" s="1"/>
  <c r="BL68" i="27"/>
  <c r="BL75" i="27" s="1"/>
  <c r="BK68" i="27"/>
  <c r="BK75" i="27" s="1"/>
  <c r="BJ68" i="27"/>
  <c r="BJ75" i="27" s="1"/>
  <c r="BI68" i="27"/>
  <c r="BI75" i="27" s="1"/>
  <c r="BH68" i="27"/>
  <c r="BH75" i="27" s="1"/>
  <c r="BG68" i="27"/>
  <c r="BG75" i="27" s="1"/>
  <c r="BF68" i="27"/>
  <c r="BF75" i="27" s="1"/>
  <c r="BE68" i="27"/>
  <c r="BE75" i="27" s="1"/>
  <c r="BD68" i="27"/>
  <c r="BD75" i="27" s="1"/>
  <c r="BC68" i="27"/>
  <c r="BC75" i="27" s="1"/>
  <c r="BB68" i="27"/>
  <c r="BB75" i="27" s="1"/>
  <c r="BA68" i="27"/>
  <c r="BA75" i="27" s="1"/>
  <c r="AZ68" i="27"/>
  <c r="AZ75" i="27" s="1"/>
  <c r="AI68" i="27"/>
  <c r="AH68" i="27"/>
  <c r="AI67" i="27"/>
  <c r="AH67" i="27"/>
  <c r="AI66" i="27"/>
  <c r="AH66" i="27"/>
  <c r="AI65" i="27"/>
  <c r="AH65" i="27"/>
  <c r="AI64" i="27"/>
  <c r="AH64" i="27"/>
  <c r="AI63" i="27"/>
  <c r="AH63" i="27"/>
  <c r="AG62" i="27"/>
  <c r="AD62" i="27"/>
  <c r="AC62" i="27"/>
  <c r="AB62" i="27"/>
  <c r="AA62" i="27"/>
  <c r="Z62" i="27"/>
  <c r="Y62" i="27"/>
  <c r="X62" i="27"/>
  <c r="W62" i="27"/>
  <c r="V62" i="27"/>
  <c r="U62" i="27"/>
  <c r="T62" i="27"/>
  <c r="S62" i="27"/>
  <c r="R62" i="27"/>
  <c r="Q62" i="27"/>
  <c r="P62" i="27"/>
  <c r="AX17" i="27" s="1"/>
  <c r="O62" i="27"/>
  <c r="AW17" i="27" s="1"/>
  <c r="N62" i="27"/>
  <c r="AV17" i="27" s="1"/>
  <c r="M62" i="27"/>
  <c r="L62" i="27"/>
  <c r="K62" i="27"/>
  <c r="J62" i="27"/>
  <c r="I62" i="27"/>
  <c r="AS17" i="27" s="1"/>
  <c r="H62" i="27"/>
  <c r="G62" i="27"/>
  <c r="AR17" i="27" s="1"/>
  <c r="F62" i="27"/>
  <c r="AQ17" i="27" s="1"/>
  <c r="E62" i="27"/>
  <c r="AI61" i="27"/>
  <c r="AH61" i="27"/>
  <c r="AI60" i="27"/>
  <c r="AH60" i="27"/>
  <c r="AI59" i="27"/>
  <c r="AH59" i="27"/>
  <c r="AG58" i="27"/>
  <c r="AG2" i="27" s="1"/>
  <c r="AD58" i="27"/>
  <c r="AC58" i="27"/>
  <c r="AB58" i="27"/>
  <c r="AA58" i="27"/>
  <c r="Z58" i="27"/>
  <c r="Y58" i="27"/>
  <c r="X58" i="27"/>
  <c r="W58" i="27"/>
  <c r="V58" i="27"/>
  <c r="U58" i="27"/>
  <c r="T58" i="27"/>
  <c r="S58" i="27"/>
  <c r="R58" i="27"/>
  <c r="Q58" i="27"/>
  <c r="P58" i="27"/>
  <c r="O58" i="27"/>
  <c r="N58" i="27"/>
  <c r="M58" i="27"/>
  <c r="L58" i="27"/>
  <c r="K58" i="27"/>
  <c r="J58" i="27"/>
  <c r="I58" i="27"/>
  <c r="H58" i="27"/>
  <c r="G58" i="27"/>
  <c r="AR16" i="27" s="1"/>
  <c r="F58" i="27"/>
  <c r="E58" i="27"/>
  <c r="AP16" i="27" s="1"/>
  <c r="AI56" i="27"/>
  <c r="AH56" i="27"/>
  <c r="AI55" i="27"/>
  <c r="AH55" i="27"/>
  <c r="AI54" i="27"/>
  <c r="AH54" i="27"/>
  <c r="AI53" i="27"/>
  <c r="AH53" i="27"/>
  <c r="AI52" i="27"/>
  <c r="AH52" i="27"/>
  <c r="AI51" i="27"/>
  <c r="AH51" i="27"/>
  <c r="AI50" i="27"/>
  <c r="AH50" i="27"/>
  <c r="AI49" i="27"/>
  <c r="AH49" i="27"/>
  <c r="AI48" i="27"/>
  <c r="AH48" i="27"/>
  <c r="AI47" i="27"/>
  <c r="AH47" i="27"/>
  <c r="AI46" i="27"/>
  <c r="AH46" i="27"/>
  <c r="AI45" i="27"/>
  <c r="AH45" i="27"/>
  <c r="AI44" i="27"/>
  <c r="AH44" i="27"/>
  <c r="AI43" i="27"/>
  <c r="AH43" i="27"/>
  <c r="AI42" i="27"/>
  <c r="AH42" i="27"/>
  <c r="AI41" i="27"/>
  <c r="AH41" i="27"/>
  <c r="AI40" i="27"/>
  <c r="AH40" i="27"/>
  <c r="AI39" i="27"/>
  <c r="AH39" i="27"/>
  <c r="AI38" i="27"/>
  <c r="AH38" i="27"/>
  <c r="AI37" i="27"/>
  <c r="AH37" i="27"/>
  <c r="AI36" i="27"/>
  <c r="AH36" i="27"/>
  <c r="AI35" i="27"/>
  <c r="AH35" i="27"/>
  <c r="AI34" i="27"/>
  <c r="AH34" i="27"/>
  <c r="AI33" i="27"/>
  <c r="AH33" i="27"/>
  <c r="AI32" i="27"/>
  <c r="AH32" i="27"/>
  <c r="AI31" i="27"/>
  <c r="AH31" i="27"/>
  <c r="AI30" i="27"/>
  <c r="AH30" i="27"/>
  <c r="AI29" i="27"/>
  <c r="AH29" i="27"/>
  <c r="AI28" i="27"/>
  <c r="AH28" i="27"/>
  <c r="AI27" i="27"/>
  <c r="AH27" i="27"/>
  <c r="AI26" i="27"/>
  <c r="AH26" i="27"/>
  <c r="AI25" i="27"/>
  <c r="AH25" i="27"/>
  <c r="AI24" i="27"/>
  <c r="AH24" i="27"/>
  <c r="AI23" i="27"/>
  <c r="AH23" i="27"/>
  <c r="AI22" i="27"/>
  <c r="AH22" i="27"/>
  <c r="AX21" i="27"/>
  <c r="AW21" i="27"/>
  <c r="AV21" i="27"/>
  <c r="AU21" i="27"/>
  <c r="AT21" i="27"/>
  <c r="AS21" i="27"/>
  <c r="AR21" i="27"/>
  <c r="AQ21" i="27"/>
  <c r="AP21" i="27"/>
  <c r="AO21" i="27"/>
  <c r="AN21" i="27"/>
  <c r="AM21" i="27"/>
  <c r="AI21" i="27"/>
  <c r="AH21" i="27"/>
  <c r="AT20" i="27"/>
  <c r="AR20" i="27"/>
  <c r="AO20" i="27"/>
  <c r="AI20" i="27"/>
  <c r="AH20" i="27"/>
  <c r="AI19" i="27"/>
  <c r="AH19" i="27"/>
  <c r="AR18" i="27"/>
  <c r="AQ18" i="27"/>
  <c r="AP18" i="27"/>
  <c r="AO18" i="27"/>
  <c r="AI18" i="27"/>
  <c r="AH18" i="27"/>
  <c r="AU17" i="27"/>
  <c r="AT17" i="27"/>
  <c r="AO17" i="27"/>
  <c r="AN17" i="27"/>
  <c r="AI17" i="27"/>
  <c r="AH17" i="27"/>
  <c r="AW16" i="27"/>
  <c r="AT16" i="27"/>
  <c r="AO16" i="27"/>
  <c r="AN16" i="27"/>
  <c r="AI16" i="27"/>
  <c r="AH16" i="27"/>
  <c r="AI15" i="27"/>
  <c r="AH15" i="27"/>
  <c r="AI14" i="27"/>
  <c r="AH14" i="27"/>
  <c r="AI13" i="27"/>
  <c r="AH13" i="27"/>
  <c r="AL12" i="27"/>
  <c r="AI12" i="27"/>
  <c r="AH12" i="27"/>
  <c r="AI11" i="27"/>
  <c r="AH11" i="27"/>
  <c r="Z5" i="27"/>
  <c r="S5" i="27"/>
  <c r="R5" i="27"/>
  <c r="M5" i="27"/>
  <c r="L5" i="27"/>
  <c r="B5" i="27"/>
  <c r="AG4" i="27"/>
  <c r="K4" i="27"/>
  <c r="E4" i="27"/>
  <c r="H4" i="27" s="1"/>
  <c r="B4" i="27"/>
  <c r="D258" i="27" s="1"/>
  <c r="AF58" i="26"/>
  <c r="AF62" i="26"/>
  <c r="AF76" i="26"/>
  <c r="AF80" i="26"/>
  <c r="AF92" i="26"/>
  <c r="AF101" i="26"/>
  <c r="AF107" i="26" s="1"/>
  <c r="AF102" i="26"/>
  <c r="AF103" i="26"/>
  <c r="AF104" i="26"/>
  <c r="AF105" i="26"/>
  <c r="AF118" i="26"/>
  <c r="AE58" i="26"/>
  <c r="AE62" i="26"/>
  <c r="AE76" i="26"/>
  <c r="AE80" i="26"/>
  <c r="AE92" i="26"/>
  <c r="AE101" i="26"/>
  <c r="AE102" i="26"/>
  <c r="AE103" i="26"/>
  <c r="AE104" i="26"/>
  <c r="AE107" i="26" s="1"/>
  <c r="AE105" i="26"/>
  <c r="AE118" i="26"/>
  <c r="AD58" i="26"/>
  <c r="AD62" i="26"/>
  <c r="AD97" i="26" s="1"/>
  <c r="AD99" i="26" s="1"/>
  <c r="AD76" i="26"/>
  <c r="AD80" i="26"/>
  <c r="AD92" i="26"/>
  <c r="AD101" i="26"/>
  <c r="AD102" i="26"/>
  <c r="AD107" i="26" s="1"/>
  <c r="AD103" i="26"/>
  <c r="AD104" i="26"/>
  <c r="AD105" i="26"/>
  <c r="AD118" i="26"/>
  <c r="AC58" i="26"/>
  <c r="AC62" i="26"/>
  <c r="AC76" i="26"/>
  <c r="AC80" i="26"/>
  <c r="AC92" i="26"/>
  <c r="AC101" i="26"/>
  <c r="AC102" i="26"/>
  <c r="AC103" i="26"/>
  <c r="AC104" i="26"/>
  <c r="AC107" i="26" s="1"/>
  <c r="AC105" i="26"/>
  <c r="AC118" i="26"/>
  <c r="AB58" i="26"/>
  <c r="AB62" i="26"/>
  <c r="AB76" i="26"/>
  <c r="AB80" i="26"/>
  <c r="AB92" i="26"/>
  <c r="AB101" i="26"/>
  <c r="AB102" i="26"/>
  <c r="AB103" i="26"/>
  <c r="AB104" i="26"/>
  <c r="AB107" i="26" s="1"/>
  <c r="AB105" i="26"/>
  <c r="AB118" i="26"/>
  <c r="I252" i="28" l="1"/>
  <c r="I118" i="28"/>
  <c r="J246" i="28"/>
  <c r="AF107" i="27"/>
  <c r="AF108" i="27" s="1"/>
  <c r="X107" i="27"/>
  <c r="X108" i="27" s="1"/>
  <c r="T107" i="27"/>
  <c r="N107" i="27"/>
  <c r="AV23" i="27" s="1"/>
  <c r="J5" i="27"/>
  <c r="H107" i="27"/>
  <c r="H108" i="27" s="1"/>
  <c r="AI103" i="27"/>
  <c r="L107" i="27"/>
  <c r="L108" i="27" s="1"/>
  <c r="AI121" i="27"/>
  <c r="M97" i="27"/>
  <c r="M99" i="27" s="1"/>
  <c r="M100" i="27" s="1"/>
  <c r="M7" i="27" s="1"/>
  <c r="U97" i="27"/>
  <c r="U99" i="27" s="1"/>
  <c r="AC97" i="27"/>
  <c r="AC99" i="27" s="1"/>
  <c r="M107" i="27"/>
  <c r="AU23" i="27" s="1"/>
  <c r="V97" i="27"/>
  <c r="V99" i="27" s="1"/>
  <c r="V100" i="27" s="1"/>
  <c r="V7" i="27" s="1"/>
  <c r="N97" i="27"/>
  <c r="N99" i="27" s="1"/>
  <c r="AD97" i="27"/>
  <c r="AD99" i="27" s="1"/>
  <c r="AD100" i="27" s="1"/>
  <c r="AD7" i="27" s="1"/>
  <c r="G5" i="27"/>
  <c r="AE5" i="27"/>
  <c r="O97" i="27"/>
  <c r="O99" i="27" s="1"/>
  <c r="AG6" i="27"/>
  <c r="AN19" i="27"/>
  <c r="H97" i="27"/>
  <c r="H99" i="27" s="1"/>
  <c r="H100" i="27" s="1"/>
  <c r="H7" i="27" s="1"/>
  <c r="P97" i="27"/>
  <c r="P99" i="27" s="1"/>
  <c r="P100" i="27" s="1"/>
  <c r="P7" i="27" s="1"/>
  <c r="X97" i="27"/>
  <c r="X99" i="27" s="1"/>
  <c r="X100" i="27" s="1"/>
  <c r="X7" i="27" s="1"/>
  <c r="AF97" i="27"/>
  <c r="AF99" i="27" s="1"/>
  <c r="AF100" i="27" s="1"/>
  <c r="AF7" i="27" s="1"/>
  <c r="AI62" i="27"/>
  <c r="U107" i="27"/>
  <c r="U100" i="27" s="1"/>
  <c r="U7" i="27" s="1"/>
  <c r="AC107" i="27"/>
  <c r="AC108" i="27" s="1"/>
  <c r="AW19" i="27"/>
  <c r="H5" i="27"/>
  <c r="AR19" i="27"/>
  <c r="AR22" i="27" s="1"/>
  <c r="I97" i="27"/>
  <c r="I99" i="27" s="1"/>
  <c r="Q97" i="27"/>
  <c r="Q99" i="27" s="1"/>
  <c r="AG97" i="27"/>
  <c r="J107" i="27"/>
  <c r="J108" i="27" s="1"/>
  <c r="R107" i="27"/>
  <c r="R108" i="27" s="1"/>
  <c r="Z107" i="27"/>
  <c r="Z108" i="27" s="1"/>
  <c r="AH103" i="27"/>
  <c r="B107" i="27"/>
  <c r="B108" i="27" s="1"/>
  <c r="O5" i="27"/>
  <c r="AX19" i="27"/>
  <c r="J97" i="27"/>
  <c r="J99" i="27" s="1"/>
  <c r="J100" i="27" s="1"/>
  <c r="J7" i="27" s="1"/>
  <c r="R97" i="27"/>
  <c r="R99" i="27" s="1"/>
  <c r="Z97" i="27"/>
  <c r="Z99" i="27" s="1"/>
  <c r="T108" i="27"/>
  <c r="K107" i="27"/>
  <c r="K108" i="27" s="1"/>
  <c r="S107" i="27"/>
  <c r="S108" i="27" s="1"/>
  <c r="AA107" i="27"/>
  <c r="AA108" i="27" s="1"/>
  <c r="AH121" i="27"/>
  <c r="D118" i="27"/>
  <c r="AH102" i="27"/>
  <c r="W5" i="27"/>
  <c r="G97" i="27"/>
  <c r="G99" i="27" s="1"/>
  <c r="W97" i="27"/>
  <c r="W99" i="27" s="1"/>
  <c r="AT22" i="27"/>
  <c r="AH57" i="27"/>
  <c r="K97" i="27"/>
  <c r="K99" i="27" s="1"/>
  <c r="S97" i="27"/>
  <c r="S99" i="27" s="1"/>
  <c r="AA97" i="27"/>
  <c r="AA99" i="27" s="1"/>
  <c r="AA100" i="27" s="1"/>
  <c r="AA7" i="27" s="1"/>
  <c r="Y97" i="27"/>
  <c r="Y99" i="27" s="1"/>
  <c r="M108" i="27"/>
  <c r="AW22" i="27"/>
  <c r="N100" i="27"/>
  <c r="N7" i="27" s="1"/>
  <c r="AU16" i="27"/>
  <c r="AU22" i="27" s="1"/>
  <c r="AU24" i="27" s="1"/>
  <c r="L97" i="27"/>
  <c r="L99" i="27" s="1"/>
  <c r="T97" i="27"/>
  <c r="T99" i="27" s="1"/>
  <c r="T100" i="27" s="1"/>
  <c r="T7" i="27" s="1"/>
  <c r="AB97" i="27"/>
  <c r="AB99" i="27" s="1"/>
  <c r="AB100" i="27" s="1"/>
  <c r="AB7" i="27" s="1"/>
  <c r="F107" i="27"/>
  <c r="AQ23" i="27" s="1"/>
  <c r="AQ19" i="27"/>
  <c r="F97" i="27"/>
  <c r="F99" i="27" s="1"/>
  <c r="E107" i="27"/>
  <c r="AP23" i="27" s="1"/>
  <c r="D5" i="27"/>
  <c r="AP17" i="27"/>
  <c r="AP22" i="27" s="1"/>
  <c r="E97" i="27"/>
  <c r="E99" i="27" s="1"/>
  <c r="D108" i="27"/>
  <c r="D97" i="27"/>
  <c r="D99" i="27" s="1"/>
  <c r="D100" i="27" s="1"/>
  <c r="D7" i="27" s="1"/>
  <c r="C5" i="27"/>
  <c r="AO22" i="27"/>
  <c r="AO24" i="27" s="1"/>
  <c r="C97" i="27"/>
  <c r="C99" i="27" s="1"/>
  <c r="C100" i="27" s="1"/>
  <c r="C7" i="27" s="1"/>
  <c r="AN20" i="27"/>
  <c r="AN22" i="27"/>
  <c r="AF5" i="27"/>
  <c r="AM19" i="27"/>
  <c r="B97" i="27"/>
  <c r="B99" i="27" s="1"/>
  <c r="AM16" i="27"/>
  <c r="AI58" i="27"/>
  <c r="AN23" i="27"/>
  <c r="AT23" i="27"/>
  <c r="AG99" i="27"/>
  <c r="N108" i="27"/>
  <c r="V108" i="27"/>
  <c r="AD108" i="27"/>
  <c r="AH101" i="27"/>
  <c r="AI102" i="27"/>
  <c r="AI105" i="27"/>
  <c r="AL13" i="27"/>
  <c r="AV16" i="27"/>
  <c r="AV22" i="27" s="1"/>
  <c r="AV24" i="27" s="1"/>
  <c r="AH80" i="27"/>
  <c r="AI104" i="27"/>
  <c r="AX16" i="27"/>
  <c r="AI76" i="27"/>
  <c r="AH76" i="27"/>
  <c r="AQ16" i="27"/>
  <c r="BG84" i="27" a="1"/>
  <c r="AI92" i="27"/>
  <c r="D252" i="27"/>
  <c r="F246" i="27"/>
  <c r="E252" i="27"/>
  <c r="E118" i="27"/>
  <c r="AS16" i="27"/>
  <c r="AS22" i="27" s="1"/>
  <c r="AH58" i="27"/>
  <c r="AH62" i="27"/>
  <c r="AB108" i="27"/>
  <c r="G107" i="27"/>
  <c r="AR23" i="27" s="1"/>
  <c r="AH104" i="27"/>
  <c r="O107" i="27"/>
  <c r="AW23" i="27" s="1"/>
  <c r="W107" i="27"/>
  <c r="W108" i="27" s="1"/>
  <c r="I107" i="27"/>
  <c r="AS23" i="27" s="1"/>
  <c r="Q107" i="27"/>
  <c r="Q108" i="27" s="1"/>
  <c r="Y107" i="27"/>
  <c r="AI101" i="27"/>
  <c r="AI80" i="27"/>
  <c r="AH92" i="27"/>
  <c r="AH105" i="27"/>
  <c r="AF97" i="26"/>
  <c r="AF99" i="26" s="1"/>
  <c r="AF100" i="26" s="1"/>
  <c r="AF108" i="26"/>
  <c r="AE108" i="26"/>
  <c r="AE97" i="26"/>
  <c r="AE99" i="26" s="1"/>
  <c r="AE100" i="26" s="1"/>
  <c r="AD108" i="26"/>
  <c r="AD100" i="26"/>
  <c r="AC97" i="26"/>
  <c r="AC99" i="26" s="1"/>
  <c r="AC100" i="26" s="1"/>
  <c r="AC108" i="26"/>
  <c r="AB108" i="26"/>
  <c r="AB97" i="26"/>
  <c r="AB99" i="26" s="1"/>
  <c r="AB100" i="26" s="1"/>
  <c r="J252" i="28" l="1"/>
  <c r="J118" i="28"/>
  <c r="K246" i="28"/>
  <c r="AC100" i="27"/>
  <c r="AC7" i="27" s="1"/>
  <c r="Z100" i="27"/>
  <c r="Z7" i="27" s="1"/>
  <c r="R100" i="27"/>
  <c r="R7" i="27" s="1"/>
  <c r="AX22" i="27"/>
  <c r="AX24" i="27" s="1"/>
  <c r="L100" i="27"/>
  <c r="L7" i="27" s="1"/>
  <c r="K100" i="27"/>
  <c r="K7" i="27" s="1"/>
  <c r="AS24" i="27"/>
  <c r="C256" i="27"/>
  <c r="U108" i="27"/>
  <c r="E100" i="27"/>
  <c r="E7" i="27" s="1"/>
  <c r="AW24" i="27"/>
  <c r="B256" i="27"/>
  <c r="AT24" i="27"/>
  <c r="AP24" i="27"/>
  <c r="S100" i="27"/>
  <c r="S7" i="27" s="1"/>
  <c r="Y100" i="27"/>
  <c r="Y7" i="27" s="1"/>
  <c r="B100" i="27"/>
  <c r="AR24" i="27"/>
  <c r="AQ22" i="27"/>
  <c r="AQ24" i="27" s="1"/>
  <c r="F108" i="27"/>
  <c r="F100" i="27"/>
  <c r="F7" i="27" s="1"/>
  <c r="E108" i="27"/>
  <c r="AM22" i="27"/>
  <c r="AN24" i="27"/>
  <c r="O100" i="27"/>
  <c r="O7" i="27" s="1"/>
  <c r="O108" i="27"/>
  <c r="AI107" i="27"/>
  <c r="AH107" i="27"/>
  <c r="AM23" i="27"/>
  <c r="Y108" i="27"/>
  <c r="G108" i="27"/>
  <c r="Q100" i="27"/>
  <c r="Q7" i="27" s="1"/>
  <c r="I100" i="27"/>
  <c r="I7" i="27" s="1"/>
  <c r="G100" i="27"/>
  <c r="G7" i="27" s="1"/>
  <c r="AI97" i="27"/>
  <c r="AH97" i="27"/>
  <c r="G246" i="27"/>
  <c r="F252" i="27"/>
  <c r="F118" i="27"/>
  <c r="I108" i="27"/>
  <c r="AE7" i="27"/>
  <c r="BJ107" i="27"/>
  <c r="BH106" i="27"/>
  <c r="BL104" i="27"/>
  <c r="BJ103" i="27"/>
  <c r="BH102" i="27"/>
  <c r="BL100" i="27"/>
  <c r="BJ99" i="27"/>
  <c r="BH98" i="27"/>
  <c r="BL96" i="27"/>
  <c r="BJ95" i="27"/>
  <c r="BH94" i="27"/>
  <c r="BL92" i="27"/>
  <c r="BJ91" i="27"/>
  <c r="BH90" i="27"/>
  <c r="BL88" i="27"/>
  <c r="BJ87" i="27"/>
  <c r="BH86" i="27"/>
  <c r="BL84" i="27"/>
  <c r="BI107" i="27"/>
  <c r="BG106" i="27"/>
  <c r="BK104" i="27"/>
  <c r="BI103" i="27"/>
  <c r="BG102" i="27"/>
  <c r="BK100" i="27"/>
  <c r="BI99" i="27"/>
  <c r="BG98" i="27"/>
  <c r="BK96" i="27"/>
  <c r="BI95" i="27"/>
  <c r="BG94" i="27"/>
  <c r="BK92" i="27"/>
  <c r="BI91" i="27"/>
  <c r="BG90" i="27"/>
  <c r="BK88" i="27"/>
  <c r="BI87" i="27"/>
  <c r="BG86" i="27"/>
  <c r="BK84" i="27"/>
  <c r="BH107" i="27"/>
  <c r="BL105" i="27"/>
  <c r="BJ104" i="27"/>
  <c r="BH103" i="27"/>
  <c r="BL101" i="27"/>
  <c r="BJ100" i="27"/>
  <c r="BH99" i="27"/>
  <c r="BL97" i="27"/>
  <c r="BJ96" i="27"/>
  <c r="BH95" i="27"/>
  <c r="BL93" i="27"/>
  <c r="BJ92" i="27"/>
  <c r="BH91" i="27"/>
  <c r="BL89" i="27"/>
  <c r="BJ88" i="27"/>
  <c r="BH87" i="27"/>
  <c r="BL85" i="27"/>
  <c r="BJ84" i="27"/>
  <c r="BG107" i="27"/>
  <c r="BK105" i="27"/>
  <c r="BI104" i="27"/>
  <c r="BG103" i="27"/>
  <c r="BK101" i="27"/>
  <c r="BI100" i="27"/>
  <c r="BG99" i="27"/>
  <c r="BK97" i="27"/>
  <c r="BI96" i="27"/>
  <c r="BG95" i="27"/>
  <c r="BK93" i="27"/>
  <c r="BI92" i="27"/>
  <c r="BG91" i="27"/>
  <c r="BK89" i="27"/>
  <c r="BI88" i="27"/>
  <c r="BG87" i="27"/>
  <c r="BK85" i="27"/>
  <c r="BI84" i="27"/>
  <c r="BL107" i="27"/>
  <c r="BJ106" i="27"/>
  <c r="BH105" i="27"/>
  <c r="BL103" i="27"/>
  <c r="BJ102" i="27"/>
  <c r="BH101" i="27"/>
  <c r="BL99" i="27"/>
  <c r="BJ98" i="27"/>
  <c r="BH97" i="27"/>
  <c r="BL95" i="27"/>
  <c r="BJ94" i="27"/>
  <c r="BH93" i="27"/>
  <c r="BL91" i="27"/>
  <c r="BJ90" i="27"/>
  <c r="BH89" i="27"/>
  <c r="BL87" i="27"/>
  <c r="BJ86" i="27"/>
  <c r="BH85" i="27"/>
  <c r="BK107" i="27"/>
  <c r="BI106" i="27"/>
  <c r="BG105" i="27"/>
  <c r="BK103" i="27"/>
  <c r="BI102" i="27"/>
  <c r="BG101" i="27"/>
  <c r="BK99" i="27"/>
  <c r="BI98" i="27"/>
  <c r="BG97" i="27"/>
  <c r="BK95" i="27"/>
  <c r="BI94" i="27"/>
  <c r="BG93" i="27"/>
  <c r="BK91" i="27"/>
  <c r="BI90" i="27"/>
  <c r="BG89" i="27"/>
  <c r="BK87" i="27"/>
  <c r="BI86" i="27"/>
  <c r="BG85" i="27"/>
  <c r="BL102" i="27"/>
  <c r="BJ97" i="27"/>
  <c r="BH92" i="27"/>
  <c r="BL86" i="27"/>
  <c r="BK102" i="27"/>
  <c r="BI97" i="27"/>
  <c r="BG92" i="27"/>
  <c r="BK86" i="27"/>
  <c r="BK94" i="27"/>
  <c r="BL106" i="27"/>
  <c r="BJ101" i="27"/>
  <c r="BH96" i="27"/>
  <c r="BL90" i="27"/>
  <c r="BJ85" i="27"/>
  <c r="BK106" i="27"/>
  <c r="BI101" i="27"/>
  <c r="BG96" i="27"/>
  <c r="BK90" i="27"/>
  <c r="BI85" i="27"/>
  <c r="BI105" i="27"/>
  <c r="BG84" i="27"/>
  <c r="BJ105" i="27"/>
  <c r="BH100" i="27"/>
  <c r="BL94" i="27"/>
  <c r="BJ89" i="27"/>
  <c r="BH84" i="27"/>
  <c r="BH104" i="27"/>
  <c r="BL98" i="27"/>
  <c r="BJ93" i="27"/>
  <c r="BH88" i="27"/>
  <c r="BG100" i="27"/>
  <c r="BI89" i="27"/>
  <c r="BG104" i="27"/>
  <c r="BK98" i="27"/>
  <c r="BI93" i="27"/>
  <c r="BG88" i="27"/>
  <c r="W100" i="27"/>
  <c r="W7" i="27" s="1"/>
  <c r="K252" i="28" l="1"/>
  <c r="K118" i="28"/>
  <c r="L246" i="28"/>
  <c r="AT8" i="27"/>
  <c r="K6" i="27"/>
  <c r="AM24" i="27"/>
  <c r="AT9" i="27" s="1"/>
  <c r="AH108" i="27"/>
  <c r="AI108" i="27"/>
  <c r="AH99" i="27"/>
  <c r="AI99" i="27"/>
  <c r="H246" i="27"/>
  <c r="G252" i="27"/>
  <c r="G118" i="27"/>
  <c r="L252" i="28" l="1"/>
  <c r="L118" i="28"/>
  <c r="M246" i="28"/>
  <c r="AI100" i="27"/>
  <c r="AH100" i="27"/>
  <c r="B7" i="27"/>
  <c r="A7" i="27" s="1"/>
  <c r="I246" i="27"/>
  <c r="H252" i="27"/>
  <c r="H118" i="27"/>
  <c r="R57" i="26"/>
  <c r="Q121" i="26"/>
  <c r="Q57" i="26"/>
  <c r="P57" i="26"/>
  <c r="O121" i="26"/>
  <c r="O57" i="26"/>
  <c r="N57" i="26"/>
  <c r="M121" i="26"/>
  <c r="J58" i="26"/>
  <c r="G58" i="26"/>
  <c r="G62" i="26"/>
  <c r="G76" i="26"/>
  <c r="F80" i="26"/>
  <c r="F58" i="26"/>
  <c r="AH125" i="26"/>
  <c r="AI125" i="26"/>
  <c r="AH124" i="26"/>
  <c r="AI124" i="26"/>
  <c r="AG252" i="26"/>
  <c r="C252" i="26"/>
  <c r="N251" i="26"/>
  <c r="O251" i="26" s="1"/>
  <c r="P251" i="26" s="1"/>
  <c r="Q251" i="26" s="1"/>
  <c r="R251" i="26" s="1"/>
  <c r="S251" i="26" s="1"/>
  <c r="T251" i="26" s="1"/>
  <c r="U251" i="26" s="1"/>
  <c r="V251" i="26" s="1"/>
  <c r="W251" i="26" s="1"/>
  <c r="X251" i="26" s="1"/>
  <c r="Y251" i="26" s="1"/>
  <c r="Z251" i="26" s="1"/>
  <c r="AA251" i="26" s="1"/>
  <c r="AB251" i="26" s="1"/>
  <c r="AC251" i="26" s="1"/>
  <c r="AD251" i="26" s="1"/>
  <c r="AE251" i="26" s="1"/>
  <c r="AF251" i="26" s="1"/>
  <c r="B251" i="26" s="1"/>
  <c r="F251" i="26"/>
  <c r="G251" i="26" s="1"/>
  <c r="H251" i="26" s="1"/>
  <c r="I251" i="26" s="1"/>
  <c r="J251" i="26" s="1"/>
  <c r="K251" i="26" s="1"/>
  <c r="L251" i="26" s="1"/>
  <c r="M251" i="26" s="1"/>
  <c r="D251" i="26"/>
  <c r="E251" i="26" s="1"/>
  <c r="D250" i="26"/>
  <c r="E250" i="26" s="1"/>
  <c r="F250" i="26" s="1"/>
  <c r="G250" i="26" s="1"/>
  <c r="H250" i="26" s="1"/>
  <c r="I250" i="26" s="1"/>
  <c r="J250" i="26" s="1"/>
  <c r="K250" i="26" s="1"/>
  <c r="L250" i="26" s="1"/>
  <c r="M250" i="26" s="1"/>
  <c r="N250" i="26" s="1"/>
  <c r="O250" i="26" s="1"/>
  <c r="P250" i="26" s="1"/>
  <c r="Q250" i="26" s="1"/>
  <c r="R250" i="26" s="1"/>
  <c r="S250" i="26" s="1"/>
  <c r="T250" i="26" s="1"/>
  <c r="U250" i="26" s="1"/>
  <c r="V250" i="26" s="1"/>
  <c r="W250" i="26" s="1"/>
  <c r="X250" i="26" s="1"/>
  <c r="Y250" i="26" s="1"/>
  <c r="Z250" i="26" s="1"/>
  <c r="AA250" i="26" s="1"/>
  <c r="AB250" i="26" s="1"/>
  <c r="AC250" i="26" s="1"/>
  <c r="AD250" i="26" s="1"/>
  <c r="AE250" i="26" s="1"/>
  <c r="AF250" i="26" s="1"/>
  <c r="B250" i="26" s="1"/>
  <c r="R249" i="26"/>
  <c r="S249" i="26" s="1"/>
  <c r="T249" i="26" s="1"/>
  <c r="U249" i="26" s="1"/>
  <c r="V249" i="26" s="1"/>
  <c r="W249" i="26" s="1"/>
  <c r="X249" i="26" s="1"/>
  <c r="Y249" i="26" s="1"/>
  <c r="Z249" i="26" s="1"/>
  <c r="AA249" i="26" s="1"/>
  <c r="AB249" i="26" s="1"/>
  <c r="AC249" i="26" s="1"/>
  <c r="AD249" i="26" s="1"/>
  <c r="AE249" i="26" s="1"/>
  <c r="AF249" i="26" s="1"/>
  <c r="B249" i="26" s="1"/>
  <c r="J249" i="26"/>
  <c r="K249" i="26" s="1"/>
  <c r="L249" i="26" s="1"/>
  <c r="M249" i="26" s="1"/>
  <c r="N249" i="26" s="1"/>
  <c r="O249" i="26" s="1"/>
  <c r="P249" i="26" s="1"/>
  <c r="Q249" i="26" s="1"/>
  <c r="D249" i="26"/>
  <c r="E249" i="26" s="1"/>
  <c r="F249" i="26" s="1"/>
  <c r="G249" i="26" s="1"/>
  <c r="H249" i="26" s="1"/>
  <c r="I249" i="26" s="1"/>
  <c r="H248" i="26"/>
  <c r="I248" i="26" s="1"/>
  <c r="J248" i="26" s="1"/>
  <c r="K248" i="26" s="1"/>
  <c r="L248" i="26" s="1"/>
  <c r="M248" i="26" s="1"/>
  <c r="N248" i="26" s="1"/>
  <c r="O248" i="26" s="1"/>
  <c r="P248" i="26" s="1"/>
  <c r="Q248" i="26" s="1"/>
  <c r="R248" i="26" s="1"/>
  <c r="S248" i="26" s="1"/>
  <c r="T248" i="26" s="1"/>
  <c r="U248" i="26" s="1"/>
  <c r="V248" i="26" s="1"/>
  <c r="W248" i="26" s="1"/>
  <c r="X248" i="26" s="1"/>
  <c r="Y248" i="26" s="1"/>
  <c r="Z248" i="26" s="1"/>
  <c r="AA248" i="26" s="1"/>
  <c r="AB248" i="26" s="1"/>
  <c r="AC248" i="26" s="1"/>
  <c r="AD248" i="26" s="1"/>
  <c r="AE248" i="26" s="1"/>
  <c r="AF248" i="26" s="1"/>
  <c r="B248" i="26" s="1"/>
  <c r="D248" i="26"/>
  <c r="E248" i="26" s="1"/>
  <c r="F248" i="26" s="1"/>
  <c r="G248" i="26" s="1"/>
  <c r="D247" i="26"/>
  <c r="E247" i="26" s="1"/>
  <c r="F247" i="26" s="1"/>
  <c r="G247" i="26" s="1"/>
  <c r="H247" i="26" s="1"/>
  <c r="I247" i="26" s="1"/>
  <c r="J247" i="26" s="1"/>
  <c r="K247" i="26" s="1"/>
  <c r="L247" i="26" s="1"/>
  <c r="M247" i="26" s="1"/>
  <c r="N247" i="26" s="1"/>
  <c r="O247" i="26" s="1"/>
  <c r="P247" i="26" s="1"/>
  <c r="Q247" i="26" s="1"/>
  <c r="R247" i="26" s="1"/>
  <c r="S247" i="26" s="1"/>
  <c r="T247" i="26" s="1"/>
  <c r="U247" i="26" s="1"/>
  <c r="V247" i="26" s="1"/>
  <c r="W247" i="26" s="1"/>
  <c r="X247" i="26" s="1"/>
  <c r="Y247" i="26" s="1"/>
  <c r="Z247" i="26" s="1"/>
  <c r="AA247" i="26" s="1"/>
  <c r="AB247" i="26" s="1"/>
  <c r="AC247" i="26" s="1"/>
  <c r="AD247" i="26" s="1"/>
  <c r="AE247" i="26" s="1"/>
  <c r="AF247" i="26" s="1"/>
  <c r="B247" i="26" s="1"/>
  <c r="D246" i="26"/>
  <c r="AG244" i="26"/>
  <c r="AF244" i="26"/>
  <c r="AE244" i="26"/>
  <c r="AD244" i="26"/>
  <c r="AC244" i="26"/>
  <c r="AB244" i="26"/>
  <c r="AA244" i="26"/>
  <c r="Z244" i="26"/>
  <c r="Y244" i="26"/>
  <c r="Y118" i="26" s="1"/>
  <c r="X244" i="26"/>
  <c r="W244" i="26"/>
  <c r="V244" i="26"/>
  <c r="U244" i="26"/>
  <c r="T244" i="26"/>
  <c r="S244" i="26"/>
  <c r="R244" i="26"/>
  <c r="Q244" i="26"/>
  <c r="P244" i="26"/>
  <c r="O244" i="26"/>
  <c r="N244" i="26"/>
  <c r="M244" i="26"/>
  <c r="L244" i="26"/>
  <c r="K244" i="26"/>
  <c r="J244" i="26"/>
  <c r="I244" i="26"/>
  <c r="H244" i="26"/>
  <c r="G244" i="26"/>
  <c r="F244" i="26"/>
  <c r="E244" i="26"/>
  <c r="D244" i="26"/>
  <c r="C244" i="26"/>
  <c r="B244" i="26"/>
  <c r="AI130" i="26"/>
  <c r="AH130" i="26"/>
  <c r="AI129" i="26"/>
  <c r="AH129" i="26"/>
  <c r="AI128" i="26"/>
  <c r="AH128" i="26"/>
  <c r="AI127" i="26"/>
  <c r="AH127" i="26"/>
  <c r="AI126" i="26"/>
  <c r="AH126" i="26"/>
  <c r="AI123" i="26"/>
  <c r="AH123" i="26"/>
  <c r="AI122" i="26"/>
  <c r="AH122" i="26"/>
  <c r="AI121" i="26"/>
  <c r="AH121" i="26"/>
  <c r="AI120" i="26"/>
  <c r="AH120" i="26"/>
  <c r="AI119" i="26"/>
  <c r="AH119" i="26"/>
  <c r="Z118" i="26"/>
  <c r="C118" i="26"/>
  <c r="AI117" i="26"/>
  <c r="AH117" i="26"/>
  <c r="AI116" i="26"/>
  <c r="AH116" i="26"/>
  <c r="AI115" i="26"/>
  <c r="AH115" i="26"/>
  <c r="AI114" i="26"/>
  <c r="AH114" i="26"/>
  <c r="AI113" i="26"/>
  <c r="AH113" i="26"/>
  <c r="AI112" i="26"/>
  <c r="AH112" i="26"/>
  <c r="AI111" i="26"/>
  <c r="AH111" i="26"/>
  <c r="AI110" i="26"/>
  <c r="AH110" i="26"/>
  <c r="AI109" i="26"/>
  <c r="AH109" i="26"/>
  <c r="AA107" i="26"/>
  <c r="AI106" i="26"/>
  <c r="AH106" i="26"/>
  <c r="AA105" i="26"/>
  <c r="Z105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AA104" i="26"/>
  <c r="Z104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AA103" i="26"/>
  <c r="Z103" i="26"/>
  <c r="Y103" i="26"/>
  <c r="X103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AA102" i="26"/>
  <c r="Z102" i="26"/>
  <c r="Y102" i="26"/>
  <c r="X102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AA101" i="26"/>
  <c r="Z101" i="26"/>
  <c r="Y101" i="26"/>
  <c r="X101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AI98" i="26"/>
  <c r="AH98" i="26"/>
  <c r="AI96" i="26"/>
  <c r="AH96" i="26"/>
  <c r="AG96" i="26"/>
  <c r="AI95" i="26"/>
  <c r="AH95" i="26"/>
  <c r="AI94" i="26"/>
  <c r="AH94" i="26"/>
  <c r="AI93" i="26"/>
  <c r="AH93" i="26"/>
  <c r="AG92" i="26"/>
  <c r="AA92" i="26"/>
  <c r="Z5" i="26" s="1"/>
  <c r="Z92" i="26"/>
  <c r="Y92" i="26"/>
  <c r="X5" i="26" s="1"/>
  <c r="X92" i="26"/>
  <c r="W5" i="26" s="1"/>
  <c r="W92" i="26"/>
  <c r="V5" i="26" s="1"/>
  <c r="V92" i="26"/>
  <c r="U92" i="26"/>
  <c r="T5" i="26" s="1"/>
  <c r="T92" i="26"/>
  <c r="S92" i="26"/>
  <c r="R5" i="26" s="1"/>
  <c r="R92" i="26"/>
  <c r="Q92" i="26"/>
  <c r="P5" i="26" s="1"/>
  <c r="P92" i="26"/>
  <c r="O5" i="26" s="1"/>
  <c r="O92" i="26"/>
  <c r="AW19" i="26" s="1"/>
  <c r="N92" i="26"/>
  <c r="AV19" i="26" s="1"/>
  <c r="M92" i="26"/>
  <c r="L5" i="26" s="1"/>
  <c r="L92" i="26"/>
  <c r="K92" i="26"/>
  <c r="J5" i="26" s="1"/>
  <c r="J92" i="26"/>
  <c r="I5" i="26" s="1"/>
  <c r="I92" i="26"/>
  <c r="H5" i="26" s="1"/>
  <c r="H92" i="26"/>
  <c r="G5" i="26" s="1"/>
  <c r="G92" i="26"/>
  <c r="AR19" i="26" s="1"/>
  <c r="F92" i="26"/>
  <c r="AQ19" i="26" s="1"/>
  <c r="E92" i="26"/>
  <c r="D5" i="26" s="1"/>
  <c r="D92" i="26"/>
  <c r="C5" i="26" s="1"/>
  <c r="C92" i="26"/>
  <c r="B5" i="26" s="1"/>
  <c r="B92" i="26"/>
  <c r="AF5" i="26" s="1"/>
  <c r="AI91" i="26"/>
  <c r="AH91" i="26"/>
  <c r="AI90" i="26"/>
  <c r="AH90" i="26"/>
  <c r="AI89" i="26"/>
  <c r="AH89" i="26"/>
  <c r="AI88" i="26"/>
  <c r="AH88" i="26"/>
  <c r="AI87" i="26"/>
  <c r="AH87" i="26"/>
  <c r="AI86" i="26"/>
  <c r="AH86" i="26"/>
  <c r="AI85" i="26"/>
  <c r="AH85" i="26"/>
  <c r="AI84" i="26"/>
  <c r="AH84" i="26"/>
  <c r="AI83" i="26"/>
  <c r="AH83" i="26"/>
  <c r="AI82" i="26"/>
  <c r="AH82" i="26"/>
  <c r="AI81" i="26"/>
  <c r="AH81" i="26"/>
  <c r="BW80" i="26"/>
  <c r="BU80" i="26"/>
  <c r="BO80" i="26"/>
  <c r="AG80" i="26"/>
  <c r="AA80" i="26"/>
  <c r="Z80" i="26"/>
  <c r="Y80" i="26"/>
  <c r="X80" i="26"/>
  <c r="W80" i="26"/>
  <c r="V80" i="26"/>
  <c r="U80" i="26"/>
  <c r="T80" i="26"/>
  <c r="S80" i="26"/>
  <c r="R80" i="26"/>
  <c r="Q80" i="26"/>
  <c r="P80" i="26"/>
  <c r="O80" i="26"/>
  <c r="N80" i="26"/>
  <c r="AV20" i="26" s="1"/>
  <c r="M80" i="26"/>
  <c r="L80" i="26"/>
  <c r="K80" i="26"/>
  <c r="J80" i="26"/>
  <c r="I80" i="26"/>
  <c r="H80" i="26"/>
  <c r="G80" i="26"/>
  <c r="E80" i="26"/>
  <c r="D80" i="26"/>
  <c r="C80" i="26"/>
  <c r="B80" i="26"/>
  <c r="BI79" i="26"/>
  <c r="BE79" i="26"/>
  <c r="BC79" i="26"/>
  <c r="AI79" i="26"/>
  <c r="AH79" i="26"/>
  <c r="BC78" i="26"/>
  <c r="BA78" i="26"/>
  <c r="AI78" i="26"/>
  <c r="AH78" i="26"/>
  <c r="BM77" i="26"/>
  <c r="BG77" i="26"/>
  <c r="BA77" i="26"/>
  <c r="AI77" i="26"/>
  <c r="AH77" i="26"/>
  <c r="BO76" i="26"/>
  <c r="BK76" i="26"/>
  <c r="BI76" i="26"/>
  <c r="BG76" i="26"/>
  <c r="AA76" i="26"/>
  <c r="Z76" i="26"/>
  <c r="Y76" i="26"/>
  <c r="X76" i="26"/>
  <c r="W76" i="26"/>
  <c r="V76" i="26"/>
  <c r="U76" i="26"/>
  <c r="T76" i="26"/>
  <c r="S76" i="26"/>
  <c r="R76" i="26"/>
  <c r="Q76" i="26"/>
  <c r="P76" i="26"/>
  <c r="O76" i="26"/>
  <c r="AW18" i="26" s="1"/>
  <c r="N76" i="26"/>
  <c r="AV18" i="26" s="1"/>
  <c r="M76" i="26"/>
  <c r="AU18" i="26" s="1"/>
  <c r="L76" i="26"/>
  <c r="K76" i="26"/>
  <c r="AT18" i="26" s="1"/>
  <c r="J76" i="26"/>
  <c r="I76" i="26"/>
  <c r="H76" i="26"/>
  <c r="AR18" i="26"/>
  <c r="F76" i="26"/>
  <c r="E76" i="26"/>
  <c r="AP18" i="26" s="1"/>
  <c r="D76" i="26"/>
  <c r="C76" i="26"/>
  <c r="B76" i="26"/>
  <c r="BN75" i="26"/>
  <c r="BM75" i="26"/>
  <c r="BI75" i="26"/>
  <c r="BE75" i="26"/>
  <c r="AI75" i="26"/>
  <c r="AH75" i="26"/>
  <c r="AG75" i="26"/>
  <c r="AG76" i="26" s="1"/>
  <c r="AG99" i="26" s="1"/>
  <c r="AI74" i="26"/>
  <c r="AH74" i="26"/>
  <c r="BW73" i="26"/>
  <c r="BV73" i="26"/>
  <c r="BV80" i="26" s="1"/>
  <c r="BU73" i="26"/>
  <c r="BT73" i="26"/>
  <c r="BT80" i="26" s="1"/>
  <c r="BS73" i="26"/>
  <c r="BS80" i="26" s="1"/>
  <c r="BR73" i="26"/>
  <c r="BR80" i="26" s="1"/>
  <c r="BQ73" i="26"/>
  <c r="BQ80" i="26" s="1"/>
  <c r="BP73" i="26"/>
  <c r="BP80" i="26" s="1"/>
  <c r="BO73" i="26"/>
  <c r="BN73" i="26"/>
  <c r="BN80" i="26" s="1"/>
  <c r="BM73" i="26"/>
  <c r="BM80" i="26" s="1"/>
  <c r="BL73" i="26"/>
  <c r="BL80" i="26" s="1"/>
  <c r="BK73" i="26"/>
  <c r="BK80" i="26" s="1"/>
  <c r="BJ73" i="26"/>
  <c r="BJ80" i="26" s="1"/>
  <c r="BI73" i="26"/>
  <c r="BI80" i="26" s="1"/>
  <c r="BH73" i="26"/>
  <c r="BH80" i="26" s="1"/>
  <c r="BG73" i="26"/>
  <c r="BG80" i="26" s="1"/>
  <c r="BF73" i="26"/>
  <c r="BF80" i="26" s="1"/>
  <c r="BE73" i="26"/>
  <c r="BE80" i="26" s="1"/>
  <c r="BD73" i="26"/>
  <c r="BD80" i="26" s="1"/>
  <c r="BC73" i="26"/>
  <c r="BC80" i="26" s="1"/>
  <c r="BB73" i="26"/>
  <c r="BB80" i="26" s="1"/>
  <c r="BA73" i="26"/>
  <c r="BA80" i="26" s="1"/>
  <c r="AZ73" i="26"/>
  <c r="AZ80" i="26" s="1"/>
  <c r="AI73" i="26"/>
  <c r="AH73" i="26"/>
  <c r="BW72" i="26"/>
  <c r="BW79" i="26" s="1"/>
  <c r="BV72" i="26"/>
  <c r="BV79" i="26" s="1"/>
  <c r="BU72" i="26"/>
  <c r="BU79" i="26" s="1"/>
  <c r="BT72" i="26"/>
  <c r="BT79" i="26" s="1"/>
  <c r="BS72" i="26"/>
  <c r="BS79" i="26" s="1"/>
  <c r="BR72" i="26"/>
  <c r="BR79" i="26" s="1"/>
  <c r="BQ72" i="26"/>
  <c r="BQ79" i="26" s="1"/>
  <c r="BP72" i="26"/>
  <c r="BP79" i="26" s="1"/>
  <c r="BO72" i="26"/>
  <c r="BO79" i="26" s="1"/>
  <c r="BN72" i="26"/>
  <c r="BN79" i="26" s="1"/>
  <c r="BM72" i="26"/>
  <c r="BM79" i="26" s="1"/>
  <c r="BL72" i="26"/>
  <c r="BL79" i="26" s="1"/>
  <c r="BK72" i="26"/>
  <c r="BK79" i="26" s="1"/>
  <c r="BJ72" i="26"/>
  <c r="BJ79" i="26" s="1"/>
  <c r="BI72" i="26"/>
  <c r="BH72" i="26"/>
  <c r="BH79" i="26" s="1"/>
  <c r="BG72" i="26"/>
  <c r="BG79" i="26" s="1"/>
  <c r="BF72" i="26"/>
  <c r="BF79" i="26" s="1"/>
  <c r="BE72" i="26"/>
  <c r="BD72" i="26"/>
  <c r="BD79" i="26" s="1"/>
  <c r="BC72" i="26"/>
  <c r="BB72" i="26"/>
  <c r="BB79" i="26" s="1"/>
  <c r="BA72" i="26"/>
  <c r="BA79" i="26" s="1"/>
  <c r="AZ72" i="26"/>
  <c r="AZ79" i="26" s="1"/>
  <c r="AI72" i="26"/>
  <c r="AH72" i="26"/>
  <c r="BW71" i="26"/>
  <c r="BW78" i="26" s="1"/>
  <c r="BV71" i="26"/>
  <c r="BV78" i="26" s="1"/>
  <c r="BU71" i="26"/>
  <c r="BU78" i="26" s="1"/>
  <c r="BT71" i="26"/>
  <c r="BT78" i="26" s="1"/>
  <c r="BS71" i="26"/>
  <c r="BS78" i="26" s="1"/>
  <c r="BR71" i="26"/>
  <c r="BR78" i="26" s="1"/>
  <c r="BQ71" i="26"/>
  <c r="BQ78" i="26" s="1"/>
  <c r="BP71" i="26"/>
  <c r="BP78" i="26" s="1"/>
  <c r="BO71" i="26"/>
  <c r="BO78" i="26" s="1"/>
  <c r="BN71" i="26"/>
  <c r="BN78" i="26" s="1"/>
  <c r="BM71" i="26"/>
  <c r="BM78" i="26" s="1"/>
  <c r="BL71" i="26"/>
  <c r="BL78" i="26" s="1"/>
  <c r="BK71" i="26"/>
  <c r="BK78" i="26" s="1"/>
  <c r="BJ71" i="26"/>
  <c r="BJ78" i="26" s="1"/>
  <c r="BI71" i="26"/>
  <c r="BI78" i="26" s="1"/>
  <c r="BH71" i="26"/>
  <c r="BH78" i="26" s="1"/>
  <c r="BG71" i="26"/>
  <c r="BG78" i="26" s="1"/>
  <c r="BF71" i="26"/>
  <c r="BF78" i="26" s="1"/>
  <c r="BE71" i="26"/>
  <c r="BE78" i="26" s="1"/>
  <c r="BD71" i="26"/>
  <c r="BD78" i="26" s="1"/>
  <c r="BC71" i="26"/>
  <c r="BB71" i="26"/>
  <c r="BB78" i="26" s="1"/>
  <c r="BA71" i="26"/>
  <c r="AZ71" i="26"/>
  <c r="AZ78" i="26" s="1"/>
  <c r="AI71" i="26"/>
  <c r="AH71" i="26"/>
  <c r="BW70" i="26"/>
  <c r="BW77" i="26" s="1"/>
  <c r="BV70" i="26"/>
  <c r="BV77" i="26" s="1"/>
  <c r="BU70" i="26"/>
  <c r="BU77" i="26" s="1"/>
  <c r="BT70" i="26"/>
  <c r="BT77" i="26" s="1"/>
  <c r="BS70" i="26"/>
  <c r="BS77" i="26" s="1"/>
  <c r="BR70" i="26"/>
  <c r="BR77" i="26" s="1"/>
  <c r="BQ70" i="26"/>
  <c r="BQ77" i="26" s="1"/>
  <c r="BP70" i="26"/>
  <c r="BP77" i="26" s="1"/>
  <c r="BO70" i="26"/>
  <c r="BO77" i="26" s="1"/>
  <c r="BN70" i="26"/>
  <c r="BN77" i="26" s="1"/>
  <c r="BM70" i="26"/>
  <c r="BL70" i="26"/>
  <c r="BL77" i="26" s="1"/>
  <c r="BK70" i="26"/>
  <c r="BK77" i="26" s="1"/>
  <c r="BJ70" i="26"/>
  <c r="BJ77" i="26" s="1"/>
  <c r="BI70" i="26"/>
  <c r="BI77" i="26" s="1"/>
  <c r="BH70" i="26"/>
  <c r="BH77" i="26" s="1"/>
  <c r="BG70" i="26"/>
  <c r="BF70" i="26"/>
  <c r="BF77" i="26" s="1"/>
  <c r="BE70" i="26"/>
  <c r="BE77" i="26" s="1"/>
  <c r="BD70" i="26"/>
  <c r="BD77" i="26" s="1"/>
  <c r="BC70" i="26"/>
  <c r="BC77" i="26" s="1"/>
  <c r="BB70" i="26"/>
  <c r="BB77" i="26" s="1"/>
  <c r="BA70" i="26"/>
  <c r="AZ70" i="26"/>
  <c r="AZ77" i="26" s="1"/>
  <c r="AI70" i="26"/>
  <c r="AH70" i="26"/>
  <c r="BW69" i="26"/>
  <c r="BW76" i="26" s="1"/>
  <c r="BV69" i="26"/>
  <c r="BV76" i="26" s="1"/>
  <c r="BU69" i="26"/>
  <c r="BU76" i="26" s="1"/>
  <c r="BT69" i="26"/>
  <c r="BT76" i="26" s="1"/>
  <c r="BS69" i="26"/>
  <c r="BS76" i="26" s="1"/>
  <c r="BR69" i="26"/>
  <c r="BR76" i="26" s="1"/>
  <c r="BQ69" i="26"/>
  <c r="BQ76" i="26" s="1"/>
  <c r="BP69" i="26"/>
  <c r="BP76" i="26" s="1"/>
  <c r="BO69" i="26"/>
  <c r="BN69" i="26"/>
  <c r="BN76" i="26" s="1"/>
  <c r="BM69" i="26"/>
  <c r="BM76" i="26" s="1"/>
  <c r="BL69" i="26"/>
  <c r="BL76" i="26" s="1"/>
  <c r="BK69" i="26"/>
  <c r="BJ69" i="26"/>
  <c r="BJ76" i="26" s="1"/>
  <c r="BI69" i="26"/>
  <c r="BH69" i="26"/>
  <c r="BH76" i="26" s="1"/>
  <c r="BG69" i="26"/>
  <c r="BF69" i="26"/>
  <c r="BF76" i="26" s="1"/>
  <c r="BE69" i="26"/>
  <c r="BE76" i="26" s="1"/>
  <c r="BD69" i="26"/>
  <c r="BD76" i="26" s="1"/>
  <c r="BC69" i="26"/>
  <c r="BC76" i="26" s="1"/>
  <c r="BB69" i="26"/>
  <c r="BB76" i="26" s="1"/>
  <c r="BA69" i="26"/>
  <c r="BA76" i="26" s="1"/>
  <c r="AZ69" i="26"/>
  <c r="AZ76" i="26" s="1"/>
  <c r="AI69" i="26"/>
  <c r="AH69" i="26"/>
  <c r="BW68" i="26"/>
  <c r="BW75" i="26" s="1"/>
  <c r="BV68" i="26"/>
  <c r="BV75" i="26" s="1"/>
  <c r="BU68" i="26"/>
  <c r="BU75" i="26" s="1"/>
  <c r="BT68" i="26"/>
  <c r="BT75" i="26" s="1"/>
  <c r="BS68" i="26"/>
  <c r="BS75" i="26" s="1"/>
  <c r="BR68" i="26"/>
  <c r="BR75" i="26" s="1"/>
  <c r="BQ68" i="26"/>
  <c r="BQ75" i="26" s="1"/>
  <c r="BP68" i="26"/>
  <c r="BP75" i="26" s="1"/>
  <c r="BO68" i="26"/>
  <c r="BO75" i="26" s="1"/>
  <c r="BN68" i="26"/>
  <c r="BM68" i="26"/>
  <c r="BL68" i="26"/>
  <c r="BL75" i="26" s="1"/>
  <c r="BK68" i="26"/>
  <c r="BK75" i="26" s="1"/>
  <c r="BJ68" i="26"/>
  <c r="BJ75" i="26" s="1"/>
  <c r="BI68" i="26"/>
  <c r="BH68" i="26"/>
  <c r="BH75" i="26" s="1"/>
  <c r="BG68" i="26"/>
  <c r="BG75" i="26" s="1"/>
  <c r="BF68" i="26"/>
  <c r="BF75" i="26" s="1"/>
  <c r="BE68" i="26"/>
  <c r="BD68" i="26"/>
  <c r="BD75" i="26" s="1"/>
  <c r="BC68" i="26"/>
  <c r="BC75" i="26" s="1"/>
  <c r="BB68" i="26"/>
  <c r="BB75" i="26" s="1"/>
  <c r="BA68" i="26"/>
  <c r="BA75" i="26" s="1"/>
  <c r="AZ68" i="26"/>
  <c r="AI68" i="26"/>
  <c r="AH68" i="26"/>
  <c r="AI67" i="26"/>
  <c r="AH67" i="26"/>
  <c r="AI66" i="26"/>
  <c r="AH66" i="26"/>
  <c r="AI65" i="26"/>
  <c r="AH65" i="26"/>
  <c r="AI64" i="26"/>
  <c r="AH64" i="26"/>
  <c r="AI63" i="26"/>
  <c r="AH63" i="26"/>
  <c r="AG62" i="26"/>
  <c r="AA62" i="26"/>
  <c r="Z62" i="26"/>
  <c r="Y62" i="26"/>
  <c r="X62" i="26"/>
  <c r="W62" i="26"/>
  <c r="V62" i="26"/>
  <c r="U62" i="26"/>
  <c r="T62" i="26"/>
  <c r="S62" i="26"/>
  <c r="R62" i="26"/>
  <c r="Q62" i="26"/>
  <c r="P62" i="26"/>
  <c r="AX17" i="26" s="1"/>
  <c r="O62" i="26"/>
  <c r="N62" i="26"/>
  <c r="AV17" i="26" s="1"/>
  <c r="M62" i="26"/>
  <c r="AU17" i="26" s="1"/>
  <c r="L62" i="26"/>
  <c r="K62" i="26"/>
  <c r="AT17" i="26" s="1"/>
  <c r="J62" i="26"/>
  <c r="I62" i="26"/>
  <c r="AS17" i="26" s="1"/>
  <c r="H62" i="26"/>
  <c r="F62" i="26"/>
  <c r="E62" i="26"/>
  <c r="AP17" i="26" s="1"/>
  <c r="D62" i="26"/>
  <c r="C62" i="26"/>
  <c r="AN17" i="26" s="1"/>
  <c r="B62" i="26"/>
  <c r="AI61" i="26"/>
  <c r="AH61" i="26"/>
  <c r="AI60" i="26"/>
  <c r="AH60" i="26"/>
  <c r="AI59" i="26"/>
  <c r="AH59" i="26"/>
  <c r="AG58" i="26"/>
  <c r="AF7" i="26"/>
  <c r="AB7" i="26"/>
  <c r="AA58" i="26"/>
  <c r="Z58" i="26"/>
  <c r="Y58" i="26"/>
  <c r="X58" i="26"/>
  <c r="W58" i="26"/>
  <c r="V58" i="26"/>
  <c r="U58" i="26"/>
  <c r="T58" i="26"/>
  <c r="S58" i="26"/>
  <c r="R58" i="26"/>
  <c r="Q58" i="26"/>
  <c r="P58" i="26"/>
  <c r="O58" i="26"/>
  <c r="N58" i="26"/>
  <c r="AV16" i="26" s="1"/>
  <c r="M58" i="26"/>
  <c r="AU16" i="26" s="1"/>
  <c r="L58" i="26"/>
  <c r="K58" i="26"/>
  <c r="AT16" i="26" s="1"/>
  <c r="I58" i="26"/>
  <c r="H58" i="26"/>
  <c r="AR16" i="26"/>
  <c r="E58" i="26"/>
  <c r="AP16" i="26" s="1"/>
  <c r="D58" i="26"/>
  <c r="C58" i="26"/>
  <c r="B58" i="26"/>
  <c r="AM16" i="26" s="1"/>
  <c r="AI57" i="26"/>
  <c r="AH57" i="26"/>
  <c r="AI56" i="26"/>
  <c r="AH56" i="26"/>
  <c r="AI55" i="26"/>
  <c r="AH55" i="26"/>
  <c r="AI54" i="26"/>
  <c r="AH54" i="26"/>
  <c r="AI53" i="26"/>
  <c r="AH53" i="26"/>
  <c r="AI52" i="26"/>
  <c r="AH52" i="26"/>
  <c r="AI51" i="26"/>
  <c r="AH51" i="26"/>
  <c r="AI50" i="26"/>
  <c r="AH50" i="26"/>
  <c r="AI49" i="26"/>
  <c r="AH49" i="26"/>
  <c r="AI48" i="26"/>
  <c r="AH48" i="26"/>
  <c r="AI47" i="26"/>
  <c r="AH47" i="26"/>
  <c r="AI46" i="26"/>
  <c r="AH46" i="26"/>
  <c r="AI45" i="26"/>
  <c r="AH45" i="26"/>
  <c r="AI44" i="26"/>
  <c r="AH44" i="26"/>
  <c r="AI43" i="26"/>
  <c r="AH43" i="26"/>
  <c r="AI42" i="26"/>
  <c r="AH42" i="26"/>
  <c r="AI41" i="26"/>
  <c r="AH41" i="26"/>
  <c r="AI40" i="26"/>
  <c r="AH40" i="26"/>
  <c r="AI39" i="26"/>
  <c r="AH39" i="26"/>
  <c r="AI38" i="26"/>
  <c r="AH38" i="26"/>
  <c r="AI37" i="26"/>
  <c r="AH37" i="26"/>
  <c r="AI36" i="26"/>
  <c r="AH36" i="26"/>
  <c r="AI35" i="26"/>
  <c r="AH35" i="26"/>
  <c r="AI34" i="26"/>
  <c r="AH34" i="26"/>
  <c r="AI33" i="26"/>
  <c r="AH33" i="26"/>
  <c r="AI32" i="26"/>
  <c r="AH32" i="26"/>
  <c r="AI31" i="26"/>
  <c r="AH31" i="26"/>
  <c r="AI30" i="26"/>
  <c r="AH30" i="26"/>
  <c r="AI29" i="26"/>
  <c r="AH29" i="26"/>
  <c r="AI28" i="26"/>
  <c r="AH28" i="26"/>
  <c r="AI27" i="26"/>
  <c r="AH27" i="26"/>
  <c r="AI26" i="26"/>
  <c r="AH26" i="26"/>
  <c r="AI25" i="26"/>
  <c r="AH25" i="26"/>
  <c r="AI24" i="26"/>
  <c r="AH24" i="26"/>
  <c r="AI23" i="26"/>
  <c r="AH23" i="26"/>
  <c r="AI22" i="26"/>
  <c r="AH22" i="26"/>
  <c r="AX21" i="26"/>
  <c r="AW21" i="26"/>
  <c r="AV21" i="26"/>
  <c r="AU21" i="26"/>
  <c r="AT21" i="26"/>
  <c r="AS21" i="26"/>
  <c r="AR21" i="26"/>
  <c r="AQ21" i="26"/>
  <c r="AP21" i="26"/>
  <c r="AO21" i="26"/>
  <c r="AN21" i="26"/>
  <c r="AM21" i="26"/>
  <c r="AI21" i="26"/>
  <c r="AH21" i="26"/>
  <c r="AX20" i="26"/>
  <c r="AW20" i="26"/>
  <c r="AU20" i="26"/>
  <c r="AT20" i="26"/>
  <c r="AS20" i="26"/>
  <c r="AR20" i="26"/>
  <c r="AQ20" i="26"/>
  <c r="AP20" i="26"/>
  <c r="AO20" i="26"/>
  <c r="AN20" i="26"/>
  <c r="AM20" i="26"/>
  <c r="AI20" i="26"/>
  <c r="AH20" i="26"/>
  <c r="AI19" i="26"/>
  <c r="AH19" i="26"/>
  <c r="AX18" i="26"/>
  <c r="AS18" i="26"/>
  <c r="AQ18" i="26"/>
  <c r="AO18" i="26"/>
  <c r="AM18" i="26"/>
  <c r="AI18" i="26"/>
  <c r="AH18" i="26"/>
  <c r="AW17" i="26"/>
  <c r="AR17" i="26"/>
  <c r="AQ17" i="26"/>
  <c r="AO17" i="26"/>
  <c r="AI17" i="26"/>
  <c r="AH17" i="26"/>
  <c r="AS16" i="26"/>
  <c r="AQ16" i="26"/>
  <c r="AN16" i="26"/>
  <c r="AI16" i="26"/>
  <c r="AH16" i="26"/>
  <c r="AI15" i="26"/>
  <c r="AH15" i="26"/>
  <c r="AI14" i="26"/>
  <c r="AH14" i="26"/>
  <c r="AI13" i="26"/>
  <c r="AH13" i="26"/>
  <c r="AL12" i="26"/>
  <c r="AI12" i="26"/>
  <c r="AH12" i="26"/>
  <c r="AI11" i="26"/>
  <c r="AH11" i="26"/>
  <c r="AE5" i="26"/>
  <c r="AD5" i="26"/>
  <c r="AB5" i="26"/>
  <c r="AA5" i="26"/>
  <c r="Y5" i="26"/>
  <c r="AG4" i="26"/>
  <c r="K4" i="26"/>
  <c r="E4" i="26"/>
  <c r="H4" i="26" s="1"/>
  <c r="B4" i="26"/>
  <c r="D258" i="26" s="1"/>
  <c r="AG3" i="26"/>
  <c r="AG2" i="26"/>
  <c r="N246" i="28" l="1"/>
  <c r="M118" i="28"/>
  <c r="M252" i="28"/>
  <c r="I252" i="27"/>
  <c r="I118" i="27"/>
  <c r="J246" i="27"/>
  <c r="Z107" i="26"/>
  <c r="Z108" i="26" s="1"/>
  <c r="Y107" i="26"/>
  <c r="Y97" i="26"/>
  <c r="Y99" i="26" s="1"/>
  <c r="Y100" i="26" s="1"/>
  <c r="Y7" i="26" s="1"/>
  <c r="X107" i="26"/>
  <c r="X97" i="26"/>
  <c r="X99" i="26" s="1"/>
  <c r="X100" i="26" s="1"/>
  <c r="X7" i="26" s="1"/>
  <c r="W107" i="26"/>
  <c r="W97" i="26"/>
  <c r="W99" i="26" s="1"/>
  <c r="W100" i="26" s="1"/>
  <c r="W7" i="26" s="1"/>
  <c r="V107" i="26"/>
  <c r="U107" i="26"/>
  <c r="T107" i="26"/>
  <c r="T108" i="26" s="1"/>
  <c r="S5" i="26"/>
  <c r="T97" i="26"/>
  <c r="T99" i="26" s="1"/>
  <c r="T100" i="26" s="1"/>
  <c r="T7" i="26" s="1"/>
  <c r="S107" i="26"/>
  <c r="S97" i="26"/>
  <c r="S99" i="26" s="1"/>
  <c r="Q5" i="26"/>
  <c r="R107" i="26"/>
  <c r="R108" i="26" s="1"/>
  <c r="Q107" i="26"/>
  <c r="Q97" i="26"/>
  <c r="Q99" i="26" s="1"/>
  <c r="Q100" i="26" s="1"/>
  <c r="Q7" i="26" s="1"/>
  <c r="P107" i="26"/>
  <c r="AX23" i="26" s="1"/>
  <c r="P97" i="26"/>
  <c r="P99" i="26" s="1"/>
  <c r="O107" i="26"/>
  <c r="AW23" i="26" s="1"/>
  <c r="N5" i="26"/>
  <c r="O108" i="26"/>
  <c r="N107" i="26"/>
  <c r="AV23" i="26" s="1"/>
  <c r="AV22" i="26"/>
  <c r="AV24" i="26" s="1"/>
  <c r="AU19" i="26"/>
  <c r="M107" i="26"/>
  <c r="AU23" i="26" s="1"/>
  <c r="AU22" i="26"/>
  <c r="AU24" i="26" s="1"/>
  <c r="L107" i="26"/>
  <c r="L108" i="26" s="1"/>
  <c r="K5" i="26"/>
  <c r="L97" i="26"/>
  <c r="L99" i="26" s="1"/>
  <c r="AT19" i="26"/>
  <c r="K107" i="26"/>
  <c r="AT23" i="26" s="1"/>
  <c r="AT22" i="26"/>
  <c r="J107" i="26"/>
  <c r="J108" i="26" s="1"/>
  <c r="AI101" i="26"/>
  <c r="AS19" i="26"/>
  <c r="I107" i="26"/>
  <c r="AS23" i="26" s="1"/>
  <c r="I97" i="26"/>
  <c r="I99" i="26" s="1"/>
  <c r="I100" i="26" s="1"/>
  <c r="I7" i="26" s="1"/>
  <c r="H107" i="26"/>
  <c r="H108" i="26" s="1"/>
  <c r="H97" i="26"/>
  <c r="H99" i="26" s="1"/>
  <c r="H100" i="26" s="1"/>
  <c r="H7" i="26" s="1"/>
  <c r="G107" i="26"/>
  <c r="AR23" i="26" s="1"/>
  <c r="F5" i="26"/>
  <c r="G97" i="26"/>
  <c r="G99" i="26" s="1"/>
  <c r="G100" i="26" s="1"/>
  <c r="G7" i="26" s="1"/>
  <c r="AI80" i="26"/>
  <c r="AH104" i="26"/>
  <c r="F107" i="26"/>
  <c r="AQ23" i="26" s="1"/>
  <c r="AP19" i="26"/>
  <c r="E107" i="26"/>
  <c r="AP23" i="26" s="1"/>
  <c r="AI103" i="26"/>
  <c r="AO19" i="26"/>
  <c r="D107" i="26"/>
  <c r="AO23" i="26" s="1"/>
  <c r="C107" i="26"/>
  <c r="AN23" i="26" s="1"/>
  <c r="AN19" i="26"/>
  <c r="AI102" i="26"/>
  <c r="AI62" i="26"/>
  <c r="AM19" i="26"/>
  <c r="AM17" i="26"/>
  <c r="AM22" i="26"/>
  <c r="AQ22" i="26"/>
  <c r="AQ24" i="26" s="1"/>
  <c r="AL13" i="26"/>
  <c r="B97" i="26"/>
  <c r="AI58" i="26"/>
  <c r="J97" i="26"/>
  <c r="J99" i="26" s="1"/>
  <c r="J100" i="26" s="1"/>
  <c r="J7" i="26" s="1"/>
  <c r="R97" i="26"/>
  <c r="R99" i="26" s="1"/>
  <c r="R100" i="26" s="1"/>
  <c r="R7" i="26" s="1"/>
  <c r="Z97" i="26"/>
  <c r="Z99" i="26" s="1"/>
  <c r="Z100" i="26" s="1"/>
  <c r="Z7" i="26" s="1"/>
  <c r="AH58" i="26"/>
  <c r="AN18" i="26"/>
  <c r="AN22" i="26" s="1"/>
  <c r="AN24" i="26" s="1"/>
  <c r="C97" i="26"/>
  <c r="C99" i="26" s="1"/>
  <c r="C100" i="26" s="1"/>
  <c r="C7" i="26" s="1"/>
  <c r="S100" i="26"/>
  <c r="S7" i="26" s="1"/>
  <c r="AG97" i="26"/>
  <c r="AP22" i="26"/>
  <c r="K97" i="26"/>
  <c r="K99" i="26" s="1"/>
  <c r="K100" i="26" s="1"/>
  <c r="K7" i="26" s="1"/>
  <c r="AA97" i="26"/>
  <c r="AA99" i="26" s="1"/>
  <c r="AA100" i="26" s="1"/>
  <c r="AA7" i="26" s="1"/>
  <c r="D97" i="26"/>
  <c r="D99" i="26" s="1"/>
  <c r="D100" i="26" s="1"/>
  <c r="D7" i="26" s="1"/>
  <c r="AO16" i="26"/>
  <c r="AO22" i="26" s="1"/>
  <c r="AO24" i="26" s="1"/>
  <c r="AS22" i="26"/>
  <c r="AS24" i="26" s="1"/>
  <c r="E97" i="26"/>
  <c r="E99" i="26" s="1"/>
  <c r="E100" i="26" s="1"/>
  <c r="E7" i="26" s="1"/>
  <c r="M97" i="26"/>
  <c r="M99" i="26" s="1"/>
  <c r="M100" i="26" s="1"/>
  <c r="M7" i="26" s="1"/>
  <c r="U97" i="26"/>
  <c r="U99" i="26" s="1"/>
  <c r="U100" i="26" s="1"/>
  <c r="U7" i="26" s="1"/>
  <c r="AC7" i="26"/>
  <c r="BG84" i="26" a="1"/>
  <c r="AZ75" i="26"/>
  <c r="AG6" i="26"/>
  <c r="AR22" i="26"/>
  <c r="AR24" i="26" s="1"/>
  <c r="O97" i="26"/>
  <c r="O99" i="26" s="1"/>
  <c r="O100" i="26" s="1"/>
  <c r="O7" i="26" s="1"/>
  <c r="AE7" i="26"/>
  <c r="E5" i="26"/>
  <c r="M5" i="26"/>
  <c r="N108" i="26"/>
  <c r="U5" i="26"/>
  <c r="V108" i="26"/>
  <c r="AC5" i="26"/>
  <c r="AI76" i="26"/>
  <c r="AI105" i="26"/>
  <c r="AX16" i="26"/>
  <c r="AH62" i="26"/>
  <c r="AH76" i="26"/>
  <c r="X108" i="26"/>
  <c r="D252" i="26"/>
  <c r="D118" i="26"/>
  <c r="E246" i="26"/>
  <c r="AX19" i="26"/>
  <c r="E108" i="26"/>
  <c r="M108" i="26"/>
  <c r="U108" i="26"/>
  <c r="G108" i="26"/>
  <c r="W108" i="26"/>
  <c r="AH102" i="26"/>
  <c r="AH80" i="26"/>
  <c r="B107" i="26"/>
  <c r="AH101" i="26"/>
  <c r="AH103" i="26"/>
  <c r="AI104" i="26"/>
  <c r="AH105" i="26"/>
  <c r="I108" i="26"/>
  <c r="Q108" i="26"/>
  <c r="Y108" i="26"/>
  <c r="AW16" i="26"/>
  <c r="AW22" i="26" s="1"/>
  <c r="AW24" i="26" s="1"/>
  <c r="F97" i="26"/>
  <c r="F99" i="26" s="1"/>
  <c r="F100" i="26" s="1"/>
  <c r="F7" i="26" s="1"/>
  <c r="N97" i="26"/>
  <c r="N99" i="26" s="1"/>
  <c r="N100" i="26" s="1"/>
  <c r="N7" i="26" s="1"/>
  <c r="V97" i="26"/>
  <c r="V99" i="26" s="1"/>
  <c r="V100" i="26" s="1"/>
  <c r="V7" i="26" s="1"/>
  <c r="AD7" i="26"/>
  <c r="AI92" i="26"/>
  <c r="AH92" i="26"/>
  <c r="C108" i="26"/>
  <c r="S108" i="26"/>
  <c r="AA108" i="26"/>
  <c r="O246" i="28" l="1"/>
  <c r="N252" i="28"/>
  <c r="N118" i="28"/>
  <c r="J252" i="27"/>
  <c r="J118" i="27"/>
  <c r="K246" i="27"/>
  <c r="P108" i="26"/>
  <c r="P100" i="26"/>
  <c r="P7" i="26" s="1"/>
  <c r="AX22" i="26"/>
  <c r="AX24" i="26" s="1"/>
  <c r="L100" i="26"/>
  <c r="L7" i="26" s="1"/>
  <c r="K108" i="26"/>
  <c r="AT24" i="26"/>
  <c r="F108" i="26"/>
  <c r="AP24" i="26"/>
  <c r="D108" i="26"/>
  <c r="AI107" i="26"/>
  <c r="AM23" i="26"/>
  <c r="AM24" i="26" s="1"/>
  <c r="AT9" i="26" s="1"/>
  <c r="AH107" i="26"/>
  <c r="B108" i="26"/>
  <c r="F246" i="26"/>
  <c r="E252" i="26"/>
  <c r="E118" i="26"/>
  <c r="B99" i="26"/>
  <c r="AH97" i="26"/>
  <c r="AI97" i="26"/>
  <c r="BJ107" i="26"/>
  <c r="BH106" i="26"/>
  <c r="BL104" i="26"/>
  <c r="BJ103" i="26"/>
  <c r="BH102" i="26"/>
  <c r="BL100" i="26"/>
  <c r="BJ99" i="26"/>
  <c r="BH98" i="26"/>
  <c r="BL96" i="26"/>
  <c r="BJ95" i="26"/>
  <c r="BH107" i="26"/>
  <c r="BL105" i="26"/>
  <c r="BJ104" i="26"/>
  <c r="BH103" i="26"/>
  <c r="BL101" i="26"/>
  <c r="BJ100" i="26"/>
  <c r="BH99" i="26"/>
  <c r="BL97" i="26"/>
  <c r="BJ96" i="26"/>
  <c r="BH95" i="26"/>
  <c r="BL93" i="26"/>
  <c r="BJ92" i="26"/>
  <c r="BH91" i="26"/>
  <c r="BL89" i="26"/>
  <c r="BJ88" i="26"/>
  <c r="BH87" i="26"/>
  <c r="BL85" i="26"/>
  <c r="BJ84" i="26"/>
  <c r="BL106" i="26"/>
  <c r="BJ105" i="26"/>
  <c r="BH104" i="26"/>
  <c r="BL102" i="26"/>
  <c r="BJ101" i="26"/>
  <c r="BL107" i="26"/>
  <c r="BJ106" i="26"/>
  <c r="BH105" i="26"/>
  <c r="BL103" i="26"/>
  <c r="BJ102" i="26"/>
  <c r="BH101" i="26"/>
  <c r="BL99" i="26"/>
  <c r="BJ98" i="26"/>
  <c r="BH97" i="26"/>
  <c r="BL95" i="26"/>
  <c r="BJ94" i="26"/>
  <c r="BH93" i="26"/>
  <c r="BL91" i="26"/>
  <c r="BJ90" i="26"/>
  <c r="BH89" i="26"/>
  <c r="BL87" i="26"/>
  <c r="BJ86" i="26"/>
  <c r="BH85" i="26"/>
  <c r="BK107" i="26"/>
  <c r="BG105" i="26"/>
  <c r="BI102" i="26"/>
  <c r="BG100" i="26"/>
  <c r="BK97" i="26"/>
  <c r="BK95" i="26"/>
  <c r="BK93" i="26"/>
  <c r="BG92" i="26"/>
  <c r="BH90" i="26"/>
  <c r="BI88" i="26"/>
  <c r="BK86" i="26"/>
  <c r="BL84" i="26"/>
  <c r="BI107" i="26"/>
  <c r="BK104" i="26"/>
  <c r="BG102" i="26"/>
  <c r="BK99" i="26"/>
  <c r="BJ97" i="26"/>
  <c r="BI95" i="26"/>
  <c r="BJ93" i="26"/>
  <c r="BK91" i="26"/>
  <c r="BG90" i="26"/>
  <c r="BH88" i="26"/>
  <c r="BI86" i="26"/>
  <c r="BK84" i="26"/>
  <c r="BG107" i="26"/>
  <c r="BI104" i="26"/>
  <c r="BK101" i="26"/>
  <c r="BI99" i="26"/>
  <c r="BI97" i="26"/>
  <c r="BG95" i="26"/>
  <c r="BI93" i="26"/>
  <c r="BJ91" i="26"/>
  <c r="BK89" i="26"/>
  <c r="BG88" i="26"/>
  <c r="BH86" i="26"/>
  <c r="BI84" i="26"/>
  <c r="BK106" i="26"/>
  <c r="BG104" i="26"/>
  <c r="BI101" i="26"/>
  <c r="BG99" i="26"/>
  <c r="BG97" i="26"/>
  <c r="BL94" i="26"/>
  <c r="BG93" i="26"/>
  <c r="BI91" i="26"/>
  <c r="BJ89" i="26"/>
  <c r="BK87" i="26"/>
  <c r="BG86" i="26"/>
  <c r="BH84" i="26"/>
  <c r="BI106" i="26"/>
  <c r="BK103" i="26"/>
  <c r="BG101" i="26"/>
  <c r="BL98" i="26"/>
  <c r="BK96" i="26"/>
  <c r="BK94" i="26"/>
  <c r="BL92" i="26"/>
  <c r="BG91" i="26"/>
  <c r="BI89" i="26"/>
  <c r="BJ87" i="26"/>
  <c r="BK85" i="26"/>
  <c r="BG84" i="26"/>
  <c r="BK105" i="26"/>
  <c r="BG103" i="26"/>
  <c r="BI100" i="26"/>
  <c r="BI98" i="26"/>
  <c r="BH96" i="26"/>
  <c r="BH94" i="26"/>
  <c r="BI92" i="26"/>
  <c r="BK90" i="26"/>
  <c r="BL88" i="26"/>
  <c r="BG87" i="26"/>
  <c r="BI85" i="26"/>
  <c r="BI105" i="26"/>
  <c r="BK102" i="26"/>
  <c r="BH100" i="26"/>
  <c r="BG98" i="26"/>
  <c r="BG96" i="26"/>
  <c r="BG94" i="26"/>
  <c r="BH92" i="26"/>
  <c r="BI90" i="26"/>
  <c r="BK88" i="26"/>
  <c r="BL86" i="26"/>
  <c r="BG85" i="26"/>
  <c r="BK98" i="26"/>
  <c r="BI96" i="26"/>
  <c r="BI94" i="26"/>
  <c r="BG106" i="26"/>
  <c r="BG89" i="26"/>
  <c r="BK92" i="26"/>
  <c r="BL90" i="26"/>
  <c r="BI103" i="26"/>
  <c r="BI87" i="26"/>
  <c r="BK100" i="26"/>
  <c r="BJ85" i="26"/>
  <c r="B256" i="26"/>
  <c r="AT8" i="26"/>
  <c r="C256" i="26"/>
  <c r="P246" i="28" l="1"/>
  <c r="O252" i="28"/>
  <c r="O118" i="28"/>
  <c r="K252" i="27"/>
  <c r="K118" i="27"/>
  <c r="L246" i="27"/>
  <c r="G246" i="26"/>
  <c r="F252" i="26"/>
  <c r="F118" i="26"/>
  <c r="AH108" i="26"/>
  <c r="AI108" i="26"/>
  <c r="AH99" i="26"/>
  <c r="B100" i="26"/>
  <c r="AI99" i="26"/>
  <c r="K6" i="26"/>
  <c r="Q246" i="28" l="1"/>
  <c r="P252" i="28"/>
  <c r="L252" i="27"/>
  <c r="L118" i="27"/>
  <c r="M246" i="27"/>
  <c r="AI100" i="26"/>
  <c r="B7" i="26"/>
  <c r="A7" i="26" s="1"/>
  <c r="AH100" i="26"/>
  <c r="H246" i="26"/>
  <c r="G252" i="26"/>
  <c r="G118" i="26"/>
  <c r="Q252" i="28" l="1"/>
  <c r="Q118" i="28"/>
  <c r="R246" i="28"/>
  <c r="N246" i="27"/>
  <c r="M252" i="27"/>
  <c r="M118" i="27"/>
  <c r="I246" i="26"/>
  <c r="H252" i="26"/>
  <c r="H118" i="26"/>
  <c r="R252" i="28" l="1"/>
  <c r="R118" i="28"/>
  <c r="S246" i="28"/>
  <c r="O246" i="27"/>
  <c r="N252" i="27"/>
  <c r="N118" i="27"/>
  <c r="I252" i="26"/>
  <c r="I118" i="26"/>
  <c r="J246" i="26"/>
  <c r="R57" i="25"/>
  <c r="Q57" i="25"/>
  <c r="P121" i="25"/>
  <c r="P57" i="25"/>
  <c r="O57" i="25"/>
  <c r="N57" i="25"/>
  <c r="M57" i="25"/>
  <c r="AH125" i="25"/>
  <c r="AI125" i="25"/>
  <c r="AH124" i="25"/>
  <c r="AI124" i="25"/>
  <c r="AG252" i="25"/>
  <c r="C252" i="25"/>
  <c r="D251" i="25"/>
  <c r="E251" i="25" s="1"/>
  <c r="F251" i="25" s="1"/>
  <c r="G251" i="25" s="1"/>
  <c r="H251" i="25" s="1"/>
  <c r="I251" i="25" s="1"/>
  <c r="J251" i="25" s="1"/>
  <c r="K251" i="25" s="1"/>
  <c r="L251" i="25" s="1"/>
  <c r="M251" i="25" s="1"/>
  <c r="N251" i="25" s="1"/>
  <c r="O251" i="25" s="1"/>
  <c r="P251" i="25" s="1"/>
  <c r="Q251" i="25" s="1"/>
  <c r="R251" i="25" s="1"/>
  <c r="S251" i="25" s="1"/>
  <c r="T251" i="25" s="1"/>
  <c r="U251" i="25" s="1"/>
  <c r="V251" i="25" s="1"/>
  <c r="W251" i="25" s="1"/>
  <c r="X251" i="25" s="1"/>
  <c r="Y251" i="25" s="1"/>
  <c r="Z251" i="25" s="1"/>
  <c r="AA251" i="25" s="1"/>
  <c r="AB251" i="25" s="1"/>
  <c r="AC251" i="25" s="1"/>
  <c r="AD251" i="25" s="1"/>
  <c r="AE251" i="25" s="1"/>
  <c r="AF251" i="25" s="1"/>
  <c r="B251" i="25" s="1"/>
  <c r="J250" i="25"/>
  <c r="K250" i="25" s="1"/>
  <c r="L250" i="25" s="1"/>
  <c r="M250" i="25" s="1"/>
  <c r="N250" i="25" s="1"/>
  <c r="O250" i="25" s="1"/>
  <c r="P250" i="25" s="1"/>
  <c r="Q250" i="25" s="1"/>
  <c r="R250" i="25" s="1"/>
  <c r="S250" i="25" s="1"/>
  <c r="T250" i="25" s="1"/>
  <c r="U250" i="25" s="1"/>
  <c r="V250" i="25" s="1"/>
  <c r="W250" i="25" s="1"/>
  <c r="X250" i="25" s="1"/>
  <c r="Y250" i="25" s="1"/>
  <c r="Z250" i="25" s="1"/>
  <c r="AA250" i="25" s="1"/>
  <c r="AB250" i="25" s="1"/>
  <c r="AC250" i="25" s="1"/>
  <c r="AD250" i="25" s="1"/>
  <c r="AE250" i="25" s="1"/>
  <c r="AF250" i="25" s="1"/>
  <c r="B250" i="25" s="1"/>
  <c r="G250" i="25"/>
  <c r="H250" i="25" s="1"/>
  <c r="I250" i="25" s="1"/>
  <c r="E250" i="25"/>
  <c r="F250" i="25" s="1"/>
  <c r="D250" i="25"/>
  <c r="J249" i="25"/>
  <c r="K249" i="25" s="1"/>
  <c r="L249" i="25" s="1"/>
  <c r="M249" i="25" s="1"/>
  <c r="N249" i="25" s="1"/>
  <c r="O249" i="25" s="1"/>
  <c r="P249" i="25" s="1"/>
  <c r="Q249" i="25" s="1"/>
  <c r="R249" i="25" s="1"/>
  <c r="S249" i="25" s="1"/>
  <c r="T249" i="25" s="1"/>
  <c r="U249" i="25" s="1"/>
  <c r="V249" i="25" s="1"/>
  <c r="W249" i="25" s="1"/>
  <c r="X249" i="25" s="1"/>
  <c r="Y249" i="25" s="1"/>
  <c r="Z249" i="25" s="1"/>
  <c r="AA249" i="25" s="1"/>
  <c r="AB249" i="25" s="1"/>
  <c r="AC249" i="25" s="1"/>
  <c r="AD249" i="25" s="1"/>
  <c r="AE249" i="25" s="1"/>
  <c r="AF249" i="25" s="1"/>
  <c r="B249" i="25" s="1"/>
  <c r="E249" i="25"/>
  <c r="F249" i="25" s="1"/>
  <c r="G249" i="25" s="1"/>
  <c r="H249" i="25" s="1"/>
  <c r="I249" i="25" s="1"/>
  <c r="D249" i="25"/>
  <c r="F248" i="25"/>
  <c r="G248" i="25" s="1"/>
  <c r="H248" i="25" s="1"/>
  <c r="I248" i="25" s="1"/>
  <c r="J248" i="25" s="1"/>
  <c r="K248" i="25" s="1"/>
  <c r="L248" i="25" s="1"/>
  <c r="M248" i="25" s="1"/>
  <c r="N248" i="25" s="1"/>
  <c r="O248" i="25" s="1"/>
  <c r="P248" i="25" s="1"/>
  <c r="Q248" i="25" s="1"/>
  <c r="R248" i="25" s="1"/>
  <c r="S248" i="25" s="1"/>
  <c r="T248" i="25" s="1"/>
  <c r="U248" i="25" s="1"/>
  <c r="V248" i="25" s="1"/>
  <c r="W248" i="25" s="1"/>
  <c r="X248" i="25" s="1"/>
  <c r="Y248" i="25" s="1"/>
  <c r="Z248" i="25" s="1"/>
  <c r="AA248" i="25" s="1"/>
  <c r="AB248" i="25" s="1"/>
  <c r="AC248" i="25" s="1"/>
  <c r="AD248" i="25" s="1"/>
  <c r="AE248" i="25" s="1"/>
  <c r="AF248" i="25" s="1"/>
  <c r="B248" i="25" s="1"/>
  <c r="D248" i="25"/>
  <c r="E248" i="25" s="1"/>
  <c r="D247" i="25"/>
  <c r="E247" i="25" s="1"/>
  <c r="F247" i="25" s="1"/>
  <c r="G247" i="25" s="1"/>
  <c r="H247" i="25" s="1"/>
  <c r="I247" i="25" s="1"/>
  <c r="J247" i="25" s="1"/>
  <c r="K247" i="25" s="1"/>
  <c r="L247" i="25" s="1"/>
  <c r="M247" i="25" s="1"/>
  <c r="N247" i="25" s="1"/>
  <c r="O247" i="25" s="1"/>
  <c r="P247" i="25" s="1"/>
  <c r="Q247" i="25" s="1"/>
  <c r="R247" i="25" s="1"/>
  <c r="S247" i="25" s="1"/>
  <c r="T247" i="25" s="1"/>
  <c r="U247" i="25" s="1"/>
  <c r="V247" i="25" s="1"/>
  <c r="W247" i="25" s="1"/>
  <c r="X247" i="25" s="1"/>
  <c r="Y247" i="25" s="1"/>
  <c r="Z247" i="25" s="1"/>
  <c r="AA247" i="25" s="1"/>
  <c r="AB247" i="25" s="1"/>
  <c r="AC247" i="25" s="1"/>
  <c r="AD247" i="25" s="1"/>
  <c r="AE247" i="25" s="1"/>
  <c r="AF247" i="25" s="1"/>
  <c r="B247" i="25" s="1"/>
  <c r="D246" i="25"/>
  <c r="AG244" i="25"/>
  <c r="AF244" i="25"/>
  <c r="AE244" i="25"/>
  <c r="AD244" i="25"/>
  <c r="AC244" i="25"/>
  <c r="AB244" i="25"/>
  <c r="AA244" i="25"/>
  <c r="Z244" i="25"/>
  <c r="Y244" i="25"/>
  <c r="X244" i="25"/>
  <c r="W244" i="25"/>
  <c r="V244" i="25"/>
  <c r="U244" i="25"/>
  <c r="T244" i="25"/>
  <c r="S244" i="25"/>
  <c r="R244" i="25"/>
  <c r="Q244" i="25"/>
  <c r="P244" i="25"/>
  <c r="O244" i="25"/>
  <c r="N244" i="25"/>
  <c r="M244" i="25"/>
  <c r="L244" i="25"/>
  <c r="K244" i="25"/>
  <c r="J244" i="25"/>
  <c r="I244" i="25"/>
  <c r="H244" i="25"/>
  <c r="G244" i="25"/>
  <c r="F244" i="25"/>
  <c r="E244" i="25"/>
  <c r="D244" i="25"/>
  <c r="C244" i="25"/>
  <c r="B244" i="25"/>
  <c r="AI130" i="25"/>
  <c r="AH130" i="25"/>
  <c r="AI129" i="25"/>
  <c r="AH129" i="25"/>
  <c r="AI128" i="25"/>
  <c r="AH128" i="25"/>
  <c r="AI127" i="25"/>
  <c r="AH127" i="25"/>
  <c r="AI126" i="25"/>
  <c r="AH126" i="25"/>
  <c r="AI123" i="25"/>
  <c r="AH123" i="25"/>
  <c r="AI122" i="25"/>
  <c r="AH122" i="25"/>
  <c r="AI121" i="25"/>
  <c r="AH121" i="25"/>
  <c r="AI120" i="25"/>
  <c r="AH120" i="25"/>
  <c r="AI119" i="25"/>
  <c r="AH119" i="25"/>
  <c r="Z118" i="25"/>
  <c r="Y118" i="25"/>
  <c r="C118" i="25"/>
  <c r="AI117" i="25"/>
  <c r="AH117" i="25"/>
  <c r="AI116" i="25"/>
  <c r="AH116" i="25"/>
  <c r="AI115" i="25"/>
  <c r="AH115" i="25"/>
  <c r="AI114" i="25"/>
  <c r="AH114" i="25"/>
  <c r="AI113" i="25"/>
  <c r="AH113" i="25"/>
  <c r="AI112" i="25"/>
  <c r="AH112" i="25"/>
  <c r="AI111" i="25"/>
  <c r="AH111" i="25"/>
  <c r="AI110" i="25"/>
  <c r="AH110" i="25"/>
  <c r="AI109" i="25"/>
  <c r="AH109" i="25"/>
  <c r="T107" i="25"/>
  <c r="AI106" i="25"/>
  <c r="AH106" i="25"/>
  <c r="AF105" i="25"/>
  <c r="AE105" i="25"/>
  <c r="AD105" i="25"/>
  <c r="AC105" i="25"/>
  <c r="AB105" i="25"/>
  <c r="AA105" i="25"/>
  <c r="Z105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AF103" i="25"/>
  <c r="AE103" i="25"/>
  <c r="AD103" i="25"/>
  <c r="AC103" i="25"/>
  <c r="AB103" i="25"/>
  <c r="AA103" i="25"/>
  <c r="Z103" i="25"/>
  <c r="Y103" i="25"/>
  <c r="X103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AF102" i="25"/>
  <c r="AE102" i="25"/>
  <c r="AD102" i="25"/>
  <c r="AC102" i="25"/>
  <c r="AB102" i="25"/>
  <c r="AA102" i="25"/>
  <c r="Z102" i="25"/>
  <c r="Y102" i="25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I107" i="25" s="1"/>
  <c r="AS23" i="25" s="1"/>
  <c r="H102" i="25"/>
  <c r="G102" i="25"/>
  <c r="F102" i="25"/>
  <c r="E102" i="25"/>
  <c r="D102" i="25"/>
  <c r="C102" i="25"/>
  <c r="B102" i="25"/>
  <c r="AF101" i="25"/>
  <c r="AE101" i="25"/>
  <c r="AD101" i="25"/>
  <c r="AC101" i="25"/>
  <c r="AB101" i="25"/>
  <c r="AA101" i="25"/>
  <c r="Z101" i="25"/>
  <c r="Y101" i="25"/>
  <c r="X101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AI98" i="25"/>
  <c r="AH98" i="25"/>
  <c r="AI96" i="25"/>
  <c r="AH96" i="25"/>
  <c r="AG96" i="25"/>
  <c r="AI95" i="25"/>
  <c r="AH95" i="25"/>
  <c r="AI94" i="25"/>
  <c r="AH94" i="25"/>
  <c r="AI93" i="25"/>
  <c r="AH93" i="25"/>
  <c r="AG92" i="25"/>
  <c r="AF92" i="25"/>
  <c r="AE5" i="25" s="1"/>
  <c r="AE92" i="25"/>
  <c r="AD5" i="25" s="1"/>
  <c r="AD92" i="25"/>
  <c r="AC5" i="25" s="1"/>
  <c r="AC92" i="25"/>
  <c r="AB5" i="25" s="1"/>
  <c r="AB92" i="25"/>
  <c r="AA5" i="25" s="1"/>
  <c r="AA92" i="25"/>
  <c r="Z5" i="25" s="1"/>
  <c r="Z92" i="25"/>
  <c r="Y5" i="25" s="1"/>
  <c r="Y92" i="25"/>
  <c r="X92" i="25"/>
  <c r="W5" i="25" s="1"/>
  <c r="W92" i="25"/>
  <c r="V5" i="25" s="1"/>
  <c r="V92" i="25"/>
  <c r="U5" i="25" s="1"/>
  <c r="U92" i="25"/>
  <c r="T92" i="25"/>
  <c r="S5" i="25" s="1"/>
  <c r="S92" i="25"/>
  <c r="R92" i="25"/>
  <c r="Q92" i="25"/>
  <c r="P92" i="25"/>
  <c r="AX19" i="25" s="1"/>
  <c r="O92" i="25"/>
  <c r="N5" i="25" s="1"/>
  <c r="N92" i="25"/>
  <c r="AV19" i="25" s="1"/>
  <c r="M92" i="25"/>
  <c r="L5" i="25" s="1"/>
  <c r="L92" i="25"/>
  <c r="K5" i="25" s="1"/>
  <c r="K92" i="25"/>
  <c r="AT19" i="25" s="1"/>
  <c r="J92" i="25"/>
  <c r="I5" i="25" s="1"/>
  <c r="I92" i="25"/>
  <c r="AS19" i="25" s="1"/>
  <c r="H92" i="25"/>
  <c r="G5" i="25" s="1"/>
  <c r="G92" i="25"/>
  <c r="AR19" i="25" s="1"/>
  <c r="F92" i="25"/>
  <c r="E5" i="25" s="1"/>
  <c r="E92" i="25"/>
  <c r="D92" i="25"/>
  <c r="C5" i="25" s="1"/>
  <c r="C92" i="25"/>
  <c r="AN19" i="25" s="1"/>
  <c r="B92" i="25"/>
  <c r="AF5" i="25" s="1"/>
  <c r="AI91" i="25"/>
  <c r="AH91" i="25"/>
  <c r="AI90" i="25"/>
  <c r="AH90" i="25"/>
  <c r="AI89" i="25"/>
  <c r="AH89" i="25"/>
  <c r="AI88" i="25"/>
  <c r="AH88" i="25"/>
  <c r="AI87" i="25"/>
  <c r="AH87" i="25"/>
  <c r="AI86" i="25"/>
  <c r="AH86" i="25"/>
  <c r="AI85" i="25"/>
  <c r="AH85" i="25"/>
  <c r="AI84" i="25"/>
  <c r="AH84" i="25"/>
  <c r="AI83" i="25"/>
  <c r="AH83" i="25"/>
  <c r="AI82" i="25"/>
  <c r="AH82" i="25"/>
  <c r="AI81" i="25"/>
  <c r="AH81" i="25"/>
  <c r="BW80" i="25"/>
  <c r="BH80" i="25"/>
  <c r="AG80" i="25"/>
  <c r="AF80" i="25"/>
  <c r="AE80" i="25"/>
  <c r="AD80" i="25"/>
  <c r="AC80" i="25"/>
  <c r="AB80" i="25"/>
  <c r="AA80" i="25"/>
  <c r="Z80" i="25"/>
  <c r="Y80" i="25"/>
  <c r="X80" i="25"/>
  <c r="W80" i="25"/>
  <c r="V80" i="25"/>
  <c r="U80" i="25"/>
  <c r="T80" i="25"/>
  <c r="S80" i="25"/>
  <c r="R80" i="25"/>
  <c r="Q80" i="25"/>
  <c r="P80" i="25"/>
  <c r="AX20" i="25" s="1"/>
  <c r="O80" i="25"/>
  <c r="N80" i="25"/>
  <c r="M80" i="25"/>
  <c r="AU20" i="25" s="1"/>
  <c r="L80" i="25"/>
  <c r="K80" i="25"/>
  <c r="AT20" i="25" s="1"/>
  <c r="J80" i="25"/>
  <c r="I80" i="25"/>
  <c r="AS20" i="25" s="1"/>
  <c r="H80" i="25"/>
  <c r="G80" i="25"/>
  <c r="AR20" i="25" s="1"/>
  <c r="F80" i="25"/>
  <c r="AQ20" i="25" s="1"/>
  <c r="E80" i="25"/>
  <c r="AP20" i="25" s="1"/>
  <c r="D80" i="25"/>
  <c r="AO20" i="25" s="1"/>
  <c r="C80" i="25"/>
  <c r="AN20" i="25" s="1"/>
  <c r="B80" i="25"/>
  <c r="AM20" i="25" s="1"/>
  <c r="BR79" i="25"/>
  <c r="BJ79" i="25"/>
  <c r="AI79" i="25"/>
  <c r="AH79" i="25"/>
  <c r="BV78" i="25"/>
  <c r="BE78" i="25"/>
  <c r="BC78" i="25"/>
  <c r="AI78" i="25"/>
  <c r="AH78" i="25"/>
  <c r="BV77" i="25"/>
  <c r="BF77" i="25"/>
  <c r="AI77" i="25"/>
  <c r="AH77" i="25"/>
  <c r="BU76" i="25"/>
  <c r="BQ76" i="25"/>
  <c r="BP76" i="25"/>
  <c r="BN76" i="25"/>
  <c r="BJ76" i="25"/>
  <c r="BF76" i="25"/>
  <c r="AF76" i="25"/>
  <c r="AE76" i="25"/>
  <c r="AD76" i="25"/>
  <c r="AC76" i="25"/>
  <c r="AB76" i="25"/>
  <c r="AA76" i="25"/>
  <c r="Z76" i="25"/>
  <c r="Y76" i="25"/>
  <c r="X76" i="25"/>
  <c r="W76" i="25"/>
  <c r="V76" i="25"/>
  <c r="U76" i="25"/>
  <c r="T76" i="25"/>
  <c r="S76" i="25"/>
  <c r="R76" i="25"/>
  <c r="Q76" i="25"/>
  <c r="P76" i="25"/>
  <c r="O76" i="25"/>
  <c r="AW18" i="25" s="1"/>
  <c r="N76" i="25"/>
  <c r="AV18" i="25" s="1"/>
  <c r="M76" i="25"/>
  <c r="AU18" i="25" s="1"/>
  <c r="L76" i="25"/>
  <c r="K76" i="25"/>
  <c r="AT18" i="25" s="1"/>
  <c r="J76" i="25"/>
  <c r="I76" i="25"/>
  <c r="AS18" i="25" s="1"/>
  <c r="H76" i="25"/>
  <c r="G76" i="25"/>
  <c r="AR18" i="25" s="1"/>
  <c r="F76" i="25"/>
  <c r="AQ18" i="25" s="1"/>
  <c r="E76" i="25"/>
  <c r="D76" i="25"/>
  <c r="AO18" i="25" s="1"/>
  <c r="C76" i="25"/>
  <c r="AN18" i="25" s="1"/>
  <c r="B76" i="25"/>
  <c r="BS75" i="25"/>
  <c r="AI75" i="25"/>
  <c r="AH75" i="25"/>
  <c r="AG75" i="25"/>
  <c r="AG76" i="25" s="1"/>
  <c r="AG3" i="25" s="1"/>
  <c r="AI74" i="25"/>
  <c r="AH74" i="25"/>
  <c r="BW73" i="25"/>
  <c r="BV73" i="25"/>
  <c r="BV80" i="25" s="1"/>
  <c r="BU73" i="25"/>
  <c r="BU80" i="25" s="1"/>
  <c r="BT73" i="25"/>
  <c r="BT80" i="25" s="1"/>
  <c r="BS73" i="25"/>
  <c r="BS80" i="25" s="1"/>
  <c r="BR73" i="25"/>
  <c r="BR80" i="25" s="1"/>
  <c r="BQ73" i="25"/>
  <c r="BQ80" i="25" s="1"/>
  <c r="BP73" i="25"/>
  <c r="BP80" i="25" s="1"/>
  <c r="BO73" i="25"/>
  <c r="BO80" i="25" s="1"/>
  <c r="BN73" i="25"/>
  <c r="BN80" i="25" s="1"/>
  <c r="BM73" i="25"/>
  <c r="BM80" i="25" s="1"/>
  <c r="BL73" i="25"/>
  <c r="BL80" i="25" s="1"/>
  <c r="BK73" i="25"/>
  <c r="BK80" i="25" s="1"/>
  <c r="BJ73" i="25"/>
  <c r="BJ80" i="25" s="1"/>
  <c r="BI73" i="25"/>
  <c r="BI80" i="25" s="1"/>
  <c r="BH73" i="25"/>
  <c r="BG73" i="25"/>
  <c r="BG80" i="25" s="1"/>
  <c r="BF73" i="25"/>
  <c r="BF80" i="25" s="1"/>
  <c r="BE73" i="25"/>
  <c r="BE80" i="25" s="1"/>
  <c r="BD73" i="25"/>
  <c r="BD80" i="25" s="1"/>
  <c r="BC73" i="25"/>
  <c r="BC80" i="25" s="1"/>
  <c r="BB73" i="25"/>
  <c r="BB80" i="25" s="1"/>
  <c r="BA73" i="25"/>
  <c r="BA80" i="25" s="1"/>
  <c r="AZ73" i="25"/>
  <c r="AZ80" i="25" s="1"/>
  <c r="AI73" i="25"/>
  <c r="AH73" i="25"/>
  <c r="BW72" i="25"/>
  <c r="BW79" i="25" s="1"/>
  <c r="BV72" i="25"/>
  <c r="BV79" i="25" s="1"/>
  <c r="BU72" i="25"/>
  <c r="BU79" i="25" s="1"/>
  <c r="BT72" i="25"/>
  <c r="BT79" i="25" s="1"/>
  <c r="BS72" i="25"/>
  <c r="BS79" i="25" s="1"/>
  <c r="BR72" i="25"/>
  <c r="BQ72" i="25"/>
  <c r="BQ79" i="25" s="1"/>
  <c r="BP72" i="25"/>
  <c r="BP79" i="25" s="1"/>
  <c r="BO72" i="25"/>
  <c r="BO79" i="25" s="1"/>
  <c r="BN72" i="25"/>
  <c r="BN79" i="25" s="1"/>
  <c r="BM72" i="25"/>
  <c r="BM79" i="25" s="1"/>
  <c r="BL72" i="25"/>
  <c r="BL79" i="25" s="1"/>
  <c r="BK72" i="25"/>
  <c r="BK79" i="25" s="1"/>
  <c r="BJ72" i="25"/>
  <c r="BI72" i="25"/>
  <c r="BI79" i="25" s="1"/>
  <c r="BH72" i="25"/>
  <c r="BH79" i="25" s="1"/>
  <c r="BG72" i="25"/>
  <c r="BG79" i="25" s="1"/>
  <c r="BF72" i="25"/>
  <c r="BF79" i="25" s="1"/>
  <c r="BE72" i="25"/>
  <c r="BE79" i="25" s="1"/>
  <c r="BD72" i="25"/>
  <c r="BD79" i="25" s="1"/>
  <c r="BC72" i="25"/>
  <c r="BC79" i="25" s="1"/>
  <c r="BB72" i="25"/>
  <c r="BB79" i="25" s="1"/>
  <c r="BA72" i="25"/>
  <c r="BA79" i="25" s="1"/>
  <c r="AZ72" i="25"/>
  <c r="AZ79" i="25" s="1"/>
  <c r="AI72" i="25"/>
  <c r="AH72" i="25"/>
  <c r="BW71" i="25"/>
  <c r="BW78" i="25" s="1"/>
  <c r="BV71" i="25"/>
  <c r="BU71" i="25"/>
  <c r="BU78" i="25" s="1"/>
  <c r="BT71" i="25"/>
  <c r="BT78" i="25" s="1"/>
  <c r="BS71" i="25"/>
  <c r="BS78" i="25" s="1"/>
  <c r="BR71" i="25"/>
  <c r="BR78" i="25" s="1"/>
  <c r="BQ71" i="25"/>
  <c r="BQ78" i="25" s="1"/>
  <c r="BP71" i="25"/>
  <c r="BP78" i="25" s="1"/>
  <c r="BO71" i="25"/>
  <c r="BO78" i="25" s="1"/>
  <c r="BN71" i="25"/>
  <c r="BN78" i="25" s="1"/>
  <c r="BM71" i="25"/>
  <c r="BM78" i="25" s="1"/>
  <c r="BL71" i="25"/>
  <c r="BL78" i="25" s="1"/>
  <c r="BK71" i="25"/>
  <c r="BK78" i="25" s="1"/>
  <c r="BJ71" i="25"/>
  <c r="BJ78" i="25" s="1"/>
  <c r="BI71" i="25"/>
  <c r="BI78" i="25" s="1"/>
  <c r="BH71" i="25"/>
  <c r="BH78" i="25" s="1"/>
  <c r="BG71" i="25"/>
  <c r="BG78" i="25" s="1"/>
  <c r="BF71" i="25"/>
  <c r="BF78" i="25" s="1"/>
  <c r="BE71" i="25"/>
  <c r="BD71" i="25"/>
  <c r="BD78" i="25" s="1"/>
  <c r="BC71" i="25"/>
  <c r="BB71" i="25"/>
  <c r="BB78" i="25" s="1"/>
  <c r="BA71" i="25"/>
  <c r="BA78" i="25" s="1"/>
  <c r="AZ71" i="25"/>
  <c r="AZ78" i="25" s="1"/>
  <c r="AI71" i="25"/>
  <c r="AH71" i="25"/>
  <c r="BW70" i="25"/>
  <c r="BW77" i="25" s="1"/>
  <c r="BV70" i="25"/>
  <c r="BU70" i="25"/>
  <c r="BU77" i="25" s="1"/>
  <c r="BT70" i="25"/>
  <c r="BT77" i="25" s="1"/>
  <c r="BS70" i="25"/>
  <c r="BS77" i="25" s="1"/>
  <c r="BR70" i="25"/>
  <c r="BR77" i="25" s="1"/>
  <c r="BQ70" i="25"/>
  <c r="BQ77" i="25" s="1"/>
  <c r="BP70" i="25"/>
  <c r="BP77" i="25" s="1"/>
  <c r="BO70" i="25"/>
  <c r="BO77" i="25" s="1"/>
  <c r="BN70" i="25"/>
  <c r="BN77" i="25" s="1"/>
  <c r="BM70" i="25"/>
  <c r="BM77" i="25" s="1"/>
  <c r="BL70" i="25"/>
  <c r="BL77" i="25" s="1"/>
  <c r="BK70" i="25"/>
  <c r="BK77" i="25" s="1"/>
  <c r="BJ70" i="25"/>
  <c r="BJ77" i="25" s="1"/>
  <c r="BI70" i="25"/>
  <c r="BI77" i="25" s="1"/>
  <c r="BH70" i="25"/>
  <c r="BH77" i="25" s="1"/>
  <c r="BG70" i="25"/>
  <c r="BG77" i="25" s="1"/>
  <c r="BF70" i="25"/>
  <c r="BE70" i="25"/>
  <c r="BE77" i="25" s="1"/>
  <c r="BD70" i="25"/>
  <c r="BD77" i="25" s="1"/>
  <c r="BC70" i="25"/>
  <c r="BC77" i="25" s="1"/>
  <c r="BB70" i="25"/>
  <c r="BB77" i="25" s="1"/>
  <c r="BA70" i="25"/>
  <c r="BA77" i="25" s="1"/>
  <c r="AZ70" i="25"/>
  <c r="AZ77" i="25" s="1"/>
  <c r="AI70" i="25"/>
  <c r="AH70" i="25"/>
  <c r="BW69" i="25"/>
  <c r="BW76" i="25" s="1"/>
  <c r="BV69" i="25"/>
  <c r="BV76" i="25" s="1"/>
  <c r="BU69" i="25"/>
  <c r="BT69" i="25"/>
  <c r="BT76" i="25" s="1"/>
  <c r="BS69" i="25"/>
  <c r="BS76" i="25" s="1"/>
  <c r="BR69" i="25"/>
  <c r="BR76" i="25" s="1"/>
  <c r="BQ69" i="25"/>
  <c r="BP69" i="25"/>
  <c r="BO69" i="25"/>
  <c r="BO76" i="25" s="1"/>
  <c r="BN69" i="25"/>
  <c r="BM69" i="25"/>
  <c r="BM76" i="25" s="1"/>
  <c r="BL69" i="25"/>
  <c r="BL76" i="25" s="1"/>
  <c r="BK69" i="25"/>
  <c r="BK76" i="25" s="1"/>
  <c r="BJ69" i="25"/>
  <c r="BI69" i="25"/>
  <c r="BI76" i="25" s="1"/>
  <c r="BH69" i="25"/>
  <c r="BH76" i="25" s="1"/>
  <c r="BG69" i="25"/>
  <c r="BG76" i="25" s="1"/>
  <c r="BF69" i="25"/>
  <c r="BE69" i="25"/>
  <c r="BE76" i="25" s="1"/>
  <c r="BD69" i="25"/>
  <c r="BD76" i="25" s="1"/>
  <c r="BC69" i="25"/>
  <c r="BC76" i="25" s="1"/>
  <c r="BB69" i="25"/>
  <c r="BB76" i="25" s="1"/>
  <c r="BA69" i="25"/>
  <c r="BA76" i="25" s="1"/>
  <c r="AZ69" i="25"/>
  <c r="AZ76" i="25" s="1"/>
  <c r="AI69" i="25"/>
  <c r="AH69" i="25"/>
  <c r="BW68" i="25"/>
  <c r="BW75" i="25" s="1"/>
  <c r="BV68" i="25"/>
  <c r="BV75" i="25" s="1"/>
  <c r="BU68" i="25"/>
  <c r="BU75" i="25" s="1"/>
  <c r="BT68" i="25"/>
  <c r="BT75" i="25" s="1"/>
  <c r="BS68" i="25"/>
  <c r="BR68" i="25"/>
  <c r="BR75" i="25" s="1"/>
  <c r="BQ68" i="25"/>
  <c r="BQ75" i="25" s="1"/>
  <c r="BP68" i="25"/>
  <c r="BP75" i="25" s="1"/>
  <c r="BO68" i="25"/>
  <c r="BO75" i="25" s="1"/>
  <c r="BN68" i="25"/>
  <c r="BN75" i="25" s="1"/>
  <c r="BM68" i="25"/>
  <c r="BM75" i="25" s="1"/>
  <c r="BL68" i="25"/>
  <c r="BL75" i="25" s="1"/>
  <c r="BK68" i="25"/>
  <c r="BK75" i="25" s="1"/>
  <c r="BJ68" i="25"/>
  <c r="BJ75" i="25" s="1"/>
  <c r="BI68" i="25"/>
  <c r="BI75" i="25" s="1"/>
  <c r="BH68" i="25"/>
  <c r="BH75" i="25" s="1"/>
  <c r="BG68" i="25"/>
  <c r="BG75" i="25" s="1"/>
  <c r="BF68" i="25"/>
  <c r="BF75" i="25" s="1"/>
  <c r="BE68" i="25"/>
  <c r="BE75" i="25" s="1"/>
  <c r="BD68" i="25"/>
  <c r="BD75" i="25" s="1"/>
  <c r="BC68" i="25"/>
  <c r="BC75" i="25" s="1"/>
  <c r="BB68" i="25"/>
  <c r="BB75" i="25" s="1"/>
  <c r="BA68" i="25"/>
  <c r="BA75" i="25" s="1"/>
  <c r="AZ68" i="25"/>
  <c r="AZ75" i="25" s="1"/>
  <c r="AI68" i="25"/>
  <c r="AH68" i="25"/>
  <c r="AI67" i="25"/>
  <c r="AH67" i="25"/>
  <c r="AI66" i="25"/>
  <c r="AH66" i="25"/>
  <c r="AI65" i="25"/>
  <c r="AH65" i="25"/>
  <c r="AI64" i="25"/>
  <c r="AH64" i="25"/>
  <c r="AI63" i="25"/>
  <c r="AH63" i="25"/>
  <c r="AG62" i="25"/>
  <c r="AF62" i="25"/>
  <c r="AE62" i="25"/>
  <c r="AD62" i="25"/>
  <c r="AC62" i="25"/>
  <c r="AB62" i="25"/>
  <c r="AA62" i="25"/>
  <c r="Z62" i="25"/>
  <c r="Y62" i="25"/>
  <c r="X62" i="25"/>
  <c r="W62" i="25"/>
  <c r="V62" i="25"/>
  <c r="U62" i="25"/>
  <c r="T62" i="25"/>
  <c r="S62" i="25"/>
  <c r="R62" i="25"/>
  <c r="Q62" i="25"/>
  <c r="P62" i="25"/>
  <c r="AX17" i="25" s="1"/>
  <c r="O62" i="25"/>
  <c r="AW17" i="25" s="1"/>
  <c r="N62" i="25"/>
  <c r="AV17" i="25" s="1"/>
  <c r="M62" i="25"/>
  <c r="AU17" i="25" s="1"/>
  <c r="L62" i="25"/>
  <c r="K62" i="25"/>
  <c r="AT17" i="25" s="1"/>
  <c r="J62" i="25"/>
  <c r="I62" i="25"/>
  <c r="AS17" i="25" s="1"/>
  <c r="H62" i="25"/>
  <c r="G62" i="25"/>
  <c r="AR17" i="25" s="1"/>
  <c r="F62" i="25"/>
  <c r="AQ17" i="25" s="1"/>
  <c r="E62" i="25"/>
  <c r="AP17" i="25" s="1"/>
  <c r="D62" i="25"/>
  <c r="AO17" i="25" s="1"/>
  <c r="C62" i="25"/>
  <c r="AN17" i="25" s="1"/>
  <c r="B62" i="25"/>
  <c r="AM17" i="25" s="1"/>
  <c r="AI61" i="25"/>
  <c r="AH61" i="25"/>
  <c r="AI60" i="25"/>
  <c r="AH60" i="25"/>
  <c r="AI59" i="25"/>
  <c r="AH59" i="25"/>
  <c r="AG58" i="25"/>
  <c r="AF58" i="25"/>
  <c r="AE58" i="25"/>
  <c r="AD58" i="25"/>
  <c r="AC58" i="25"/>
  <c r="AB58" i="25"/>
  <c r="AA58" i="25"/>
  <c r="Z58" i="25"/>
  <c r="Y58" i="25"/>
  <c r="X58" i="25"/>
  <c r="W58" i="25"/>
  <c r="V58" i="25"/>
  <c r="U58" i="25"/>
  <c r="T58" i="25"/>
  <c r="S58" i="25"/>
  <c r="R58" i="25"/>
  <c r="Q58" i="25"/>
  <c r="P58" i="25"/>
  <c r="AX16" i="25" s="1"/>
  <c r="O58" i="25"/>
  <c r="N58" i="25"/>
  <c r="M58" i="25"/>
  <c r="L58" i="25"/>
  <c r="K58" i="25"/>
  <c r="AT16" i="25" s="1"/>
  <c r="J58" i="25"/>
  <c r="I58" i="25"/>
  <c r="AS16" i="25" s="1"/>
  <c r="H58" i="25"/>
  <c r="G58" i="25"/>
  <c r="AR16" i="25" s="1"/>
  <c r="F58" i="25"/>
  <c r="E58" i="25"/>
  <c r="AP16" i="25" s="1"/>
  <c r="D58" i="25"/>
  <c r="AO16" i="25" s="1"/>
  <c r="C58" i="25"/>
  <c r="AN16" i="25" s="1"/>
  <c r="B58" i="25"/>
  <c r="AI57" i="25"/>
  <c r="AH57" i="25"/>
  <c r="AI56" i="25"/>
  <c r="AH56" i="25"/>
  <c r="AI55" i="25"/>
  <c r="AH55" i="25"/>
  <c r="AI54" i="25"/>
  <c r="AH54" i="25"/>
  <c r="AI53" i="25"/>
  <c r="AH53" i="25"/>
  <c r="AI52" i="25"/>
  <c r="AH52" i="25"/>
  <c r="AI51" i="25"/>
  <c r="AH51" i="25"/>
  <c r="AI50" i="25"/>
  <c r="AH50" i="25"/>
  <c r="AI49" i="25"/>
  <c r="AH49" i="25"/>
  <c r="AI48" i="25"/>
  <c r="AH48" i="25"/>
  <c r="AI47" i="25"/>
  <c r="AH47" i="25"/>
  <c r="AI46" i="25"/>
  <c r="AH46" i="25"/>
  <c r="AI45" i="25"/>
  <c r="AH45" i="25"/>
  <c r="AI44" i="25"/>
  <c r="AH44" i="25"/>
  <c r="AI43" i="25"/>
  <c r="AH43" i="25"/>
  <c r="AI42" i="25"/>
  <c r="AH42" i="25"/>
  <c r="AI41" i="25"/>
  <c r="AH41" i="25"/>
  <c r="AI40" i="25"/>
  <c r="AH40" i="25"/>
  <c r="AI39" i="25"/>
  <c r="AH39" i="25"/>
  <c r="AI38" i="25"/>
  <c r="AH38" i="25"/>
  <c r="AI37" i="25"/>
  <c r="AH37" i="25"/>
  <c r="AI36" i="25"/>
  <c r="AH36" i="25"/>
  <c r="AI35" i="25"/>
  <c r="AH35" i="25"/>
  <c r="AI34" i="25"/>
  <c r="AH34" i="25"/>
  <c r="AI33" i="25"/>
  <c r="AH33" i="25"/>
  <c r="AI32" i="25"/>
  <c r="AH32" i="25"/>
  <c r="AI31" i="25"/>
  <c r="AH31" i="25"/>
  <c r="AI30" i="25"/>
  <c r="AH30" i="25"/>
  <c r="AI29" i="25"/>
  <c r="AH29" i="25"/>
  <c r="AI28" i="25"/>
  <c r="AH28" i="25"/>
  <c r="AI27" i="25"/>
  <c r="AH27" i="25"/>
  <c r="AI26" i="25"/>
  <c r="AH26" i="25"/>
  <c r="AI25" i="25"/>
  <c r="AH25" i="25"/>
  <c r="AI24" i="25"/>
  <c r="AH24" i="25"/>
  <c r="AI23" i="25"/>
  <c r="AH23" i="25"/>
  <c r="AI22" i="25"/>
  <c r="AH22" i="25"/>
  <c r="AX21" i="25"/>
  <c r="AW21" i="25"/>
  <c r="AV21" i="25"/>
  <c r="AU21" i="25"/>
  <c r="AT21" i="25"/>
  <c r="AS21" i="25"/>
  <c r="AR21" i="25"/>
  <c r="AQ21" i="25"/>
  <c r="AP21" i="25"/>
  <c r="AO21" i="25"/>
  <c r="AN21" i="25"/>
  <c r="AM21" i="25"/>
  <c r="AI21" i="25"/>
  <c r="AH21" i="25"/>
  <c r="AW20" i="25"/>
  <c r="AV20" i="25"/>
  <c r="AI20" i="25"/>
  <c r="AH20" i="25"/>
  <c r="AI19" i="25"/>
  <c r="AH19" i="25"/>
  <c r="AX18" i="25"/>
  <c r="AP18" i="25"/>
  <c r="AI18" i="25"/>
  <c r="AH18" i="25"/>
  <c r="AI17" i="25"/>
  <c r="AH17" i="25"/>
  <c r="AW16" i="25"/>
  <c r="AI16" i="25"/>
  <c r="AH16" i="25"/>
  <c r="AI15" i="25"/>
  <c r="AH15" i="25"/>
  <c r="AI14" i="25"/>
  <c r="AH14" i="25"/>
  <c r="AI13" i="25"/>
  <c r="AH13" i="25"/>
  <c r="AL12" i="25"/>
  <c r="AI12" i="25"/>
  <c r="AH12" i="25"/>
  <c r="AI11" i="25"/>
  <c r="AH11" i="25"/>
  <c r="R5" i="25"/>
  <c r="AG4" i="25"/>
  <c r="K4" i="25"/>
  <c r="E4" i="25"/>
  <c r="H4" i="25" s="1"/>
  <c r="B4" i="25"/>
  <c r="S252" i="28" l="1"/>
  <c r="S118" i="28"/>
  <c r="T246" i="28"/>
  <c r="P246" i="27"/>
  <c r="O252" i="27"/>
  <c r="O118" i="27"/>
  <c r="J252" i="26"/>
  <c r="J118" i="26"/>
  <c r="K246" i="26"/>
  <c r="AE107" i="25"/>
  <c r="AD107" i="25"/>
  <c r="AD108" i="25" s="1"/>
  <c r="AA107" i="25"/>
  <c r="AA108" i="25" s="1"/>
  <c r="Z97" i="25"/>
  <c r="Z99" i="25" s="1"/>
  <c r="Y107" i="25"/>
  <c r="Y108" i="25"/>
  <c r="X5" i="25"/>
  <c r="Y97" i="25"/>
  <c r="Y99" i="25" s="1"/>
  <c r="Y100" i="25" s="1"/>
  <c r="Y7" i="25" s="1"/>
  <c r="W107" i="25"/>
  <c r="W97" i="25"/>
  <c r="W99" i="25" s="1"/>
  <c r="V107" i="25"/>
  <c r="V108" i="25" s="1"/>
  <c r="T97" i="25"/>
  <c r="T99" i="25" s="1"/>
  <c r="T100" i="25" s="1"/>
  <c r="T7" i="25" s="1"/>
  <c r="S107" i="25"/>
  <c r="S108" i="25"/>
  <c r="R97" i="25"/>
  <c r="R99" i="25" s="1"/>
  <c r="Q107" i="25"/>
  <c r="Q108" i="25"/>
  <c r="P5" i="25"/>
  <c r="O5" i="25"/>
  <c r="O107" i="25"/>
  <c r="AW23" i="25" s="1"/>
  <c r="O97" i="25"/>
  <c r="O99" i="25" s="1"/>
  <c r="N107" i="25"/>
  <c r="M5" i="25"/>
  <c r="AU19" i="25"/>
  <c r="L107" i="25"/>
  <c r="J5" i="25"/>
  <c r="J97" i="25"/>
  <c r="J99" i="25" s="1"/>
  <c r="H5" i="25"/>
  <c r="I108" i="25"/>
  <c r="G107" i="25"/>
  <c r="AR23" i="25" s="1"/>
  <c r="F5" i="25"/>
  <c r="AQ19" i="25"/>
  <c r="F107" i="25"/>
  <c r="F108" i="25" s="1"/>
  <c r="AH105" i="25"/>
  <c r="AS22" i="25"/>
  <c r="AS24" i="25" s="1"/>
  <c r="AT22" i="25"/>
  <c r="D107" i="25"/>
  <c r="AO23" i="25" s="1"/>
  <c r="B5" i="25"/>
  <c r="AN22" i="25"/>
  <c r="AH102" i="25"/>
  <c r="AI105" i="25"/>
  <c r="AX22" i="25"/>
  <c r="N108" i="25"/>
  <c r="AV23" i="25"/>
  <c r="AG99" i="25"/>
  <c r="E107" i="25"/>
  <c r="AP23" i="25" s="1"/>
  <c r="AI101" i="25"/>
  <c r="M107" i="25"/>
  <c r="AU23" i="25" s="1"/>
  <c r="U107" i="25"/>
  <c r="U108" i="25" s="1"/>
  <c r="AC107" i="25"/>
  <c r="AC108" i="25" s="1"/>
  <c r="N97" i="25"/>
  <c r="N99" i="25" s="1"/>
  <c r="N100" i="25" s="1"/>
  <c r="N7" i="25" s="1"/>
  <c r="AV16" i="25"/>
  <c r="AV22" i="25" s="1"/>
  <c r="D97" i="25"/>
  <c r="D99" i="25" s="1"/>
  <c r="D100" i="25" s="1"/>
  <c r="D7" i="25" s="1"/>
  <c r="BG84" i="25" a="1"/>
  <c r="M97" i="25"/>
  <c r="M99" i="25" s="1"/>
  <c r="M100" i="25" s="1"/>
  <c r="M7" i="25" s="1"/>
  <c r="U97" i="25"/>
  <c r="U99" i="25" s="1"/>
  <c r="AC97" i="25"/>
  <c r="AC99" i="25" s="1"/>
  <c r="AI92" i="25"/>
  <c r="AH92" i="25"/>
  <c r="AM19" i="25"/>
  <c r="D258" i="25"/>
  <c r="AL13" i="25"/>
  <c r="F97" i="25"/>
  <c r="F99" i="25" s="1"/>
  <c r="AQ16" i="25"/>
  <c r="V97" i="25"/>
  <c r="V99" i="25" s="1"/>
  <c r="V100" i="25" s="1"/>
  <c r="V7" i="25" s="1"/>
  <c r="AD97" i="25"/>
  <c r="AD99" i="25" s="1"/>
  <c r="AD100" i="25" s="1"/>
  <c r="AD7" i="25" s="1"/>
  <c r="Q5" i="25"/>
  <c r="AU16" i="25"/>
  <c r="AU22" i="25" s="1"/>
  <c r="AU24" i="25" s="1"/>
  <c r="G97" i="25"/>
  <c r="G99" i="25" s="1"/>
  <c r="AE97" i="25"/>
  <c r="AE99" i="25" s="1"/>
  <c r="AE100" i="25" s="1"/>
  <c r="AE7" i="25" s="1"/>
  <c r="AM18" i="25"/>
  <c r="AI76" i="25"/>
  <c r="AH76" i="25"/>
  <c r="E97" i="25"/>
  <c r="E99" i="25" s="1"/>
  <c r="AR22" i="25"/>
  <c r="AR24" i="25" s="1"/>
  <c r="AO22" i="25"/>
  <c r="AO24" i="25" s="1"/>
  <c r="L97" i="25"/>
  <c r="L99" i="25" s="1"/>
  <c r="L100" i="25" s="1"/>
  <c r="L7" i="25" s="1"/>
  <c r="AB97" i="25"/>
  <c r="AB99" i="25" s="1"/>
  <c r="AI62" i="25"/>
  <c r="AG97" i="25"/>
  <c r="AH104" i="25"/>
  <c r="AI104" i="25"/>
  <c r="I97" i="25"/>
  <c r="I99" i="25" s="1"/>
  <c r="I100" i="25" s="1"/>
  <c r="I7" i="25" s="1"/>
  <c r="Q97" i="25"/>
  <c r="Q99" i="25" s="1"/>
  <c r="Q100" i="25" s="1"/>
  <c r="Q7" i="25" s="1"/>
  <c r="AP19" i="25"/>
  <c r="AP22" i="25" s="1"/>
  <c r="AP24" i="25" s="1"/>
  <c r="E108" i="25"/>
  <c r="AI102" i="25"/>
  <c r="AI103" i="25"/>
  <c r="D252" i="25"/>
  <c r="D118" i="25"/>
  <c r="AG2" i="25"/>
  <c r="AG6" i="25" s="1"/>
  <c r="D5" i="25"/>
  <c r="T5" i="25"/>
  <c r="B97" i="25"/>
  <c r="AM16" i="25"/>
  <c r="AH58" i="25"/>
  <c r="AH62" i="25"/>
  <c r="AI80" i="25"/>
  <c r="C107" i="25"/>
  <c r="K107" i="25"/>
  <c r="AH103" i="25"/>
  <c r="E246" i="25"/>
  <c r="C97" i="25"/>
  <c r="C99" i="25" s="1"/>
  <c r="K97" i="25"/>
  <c r="K99" i="25" s="1"/>
  <c r="K100" i="25" s="1"/>
  <c r="K7" i="25" s="1"/>
  <c r="S97" i="25"/>
  <c r="S99" i="25" s="1"/>
  <c r="S100" i="25" s="1"/>
  <c r="S7" i="25" s="1"/>
  <c r="AA97" i="25"/>
  <c r="AA99" i="25" s="1"/>
  <c r="AA100" i="25" s="1"/>
  <c r="AA7" i="25" s="1"/>
  <c r="AI58" i="25"/>
  <c r="G108" i="25"/>
  <c r="O108" i="25"/>
  <c r="AW19" i="25"/>
  <c r="AW22" i="25" s="1"/>
  <c r="AW24" i="25" s="1"/>
  <c r="W108" i="25"/>
  <c r="AE108" i="25"/>
  <c r="AB107" i="25"/>
  <c r="AB108" i="25" s="1"/>
  <c r="H107" i="25"/>
  <c r="H108" i="25" s="1"/>
  <c r="P107" i="25"/>
  <c r="X107" i="25"/>
  <c r="X108" i="25" s="1"/>
  <c r="AF107" i="25"/>
  <c r="AF108" i="25" s="1"/>
  <c r="AO19" i="25"/>
  <c r="L108" i="25"/>
  <c r="T108" i="25"/>
  <c r="B107" i="25"/>
  <c r="B108" i="25" s="1"/>
  <c r="AH101" i="25"/>
  <c r="J107" i="25"/>
  <c r="J108" i="25" s="1"/>
  <c r="R107" i="25"/>
  <c r="R100" i="25" s="1"/>
  <c r="R7" i="25" s="1"/>
  <c r="Z107" i="25"/>
  <c r="Z108" i="25" s="1"/>
  <c r="H97" i="25"/>
  <c r="H99" i="25" s="1"/>
  <c r="P97" i="25"/>
  <c r="P99" i="25" s="1"/>
  <c r="X97" i="25"/>
  <c r="X99" i="25" s="1"/>
  <c r="AF97" i="25"/>
  <c r="AF99" i="25" s="1"/>
  <c r="AF100" i="25" s="1"/>
  <c r="AF7" i="25" s="1"/>
  <c r="AH80" i="25"/>
  <c r="AC57" i="24"/>
  <c r="AD57" i="24"/>
  <c r="AE57" i="24"/>
  <c r="AF57" i="24"/>
  <c r="AB57" i="24"/>
  <c r="Y57" i="24"/>
  <c r="T252" i="28" l="1"/>
  <c r="T118" i="28"/>
  <c r="U246" i="28"/>
  <c r="Q246" i="27"/>
  <c r="P252" i="27"/>
  <c r="K252" i="26"/>
  <c r="K118" i="26"/>
  <c r="L246" i="26"/>
  <c r="AC100" i="25"/>
  <c r="AC7" i="25" s="1"/>
  <c r="X100" i="25"/>
  <c r="X7" i="25" s="1"/>
  <c r="W100" i="25"/>
  <c r="W7" i="25" s="1"/>
  <c r="U100" i="25"/>
  <c r="U7" i="25" s="1"/>
  <c r="R108" i="25"/>
  <c r="O100" i="25"/>
  <c r="O7" i="25" s="1"/>
  <c r="M108" i="25"/>
  <c r="AQ22" i="25"/>
  <c r="F100" i="25"/>
  <c r="F7" i="25" s="1"/>
  <c r="AQ23" i="25"/>
  <c r="E100" i="25"/>
  <c r="E7" i="25" s="1"/>
  <c r="D108" i="25"/>
  <c r="BJ107" i="25"/>
  <c r="BH106" i="25"/>
  <c r="BL104" i="25"/>
  <c r="BJ103" i="25"/>
  <c r="BH102" i="25"/>
  <c r="BL100" i="25"/>
  <c r="BJ99" i="25"/>
  <c r="BH98" i="25"/>
  <c r="BL96" i="25"/>
  <c r="BJ95" i="25"/>
  <c r="BH94" i="25"/>
  <c r="BL92" i="25"/>
  <c r="BJ91" i="25"/>
  <c r="BH90" i="25"/>
  <c r="BL88" i="25"/>
  <c r="BJ87" i="25"/>
  <c r="BH86" i="25"/>
  <c r="BL84" i="25"/>
  <c r="BG107" i="25"/>
  <c r="BK105" i="25"/>
  <c r="BI104" i="25"/>
  <c r="BG103" i="25"/>
  <c r="BK101" i="25"/>
  <c r="BI100" i="25"/>
  <c r="BG99" i="25"/>
  <c r="BK97" i="25"/>
  <c r="BI96" i="25"/>
  <c r="BG95" i="25"/>
  <c r="BK93" i="25"/>
  <c r="BI92" i="25"/>
  <c r="BG91" i="25"/>
  <c r="BK89" i="25"/>
  <c r="BI88" i="25"/>
  <c r="BG87" i="25"/>
  <c r="BK85" i="25"/>
  <c r="BI84" i="25"/>
  <c r="BL107" i="25"/>
  <c r="BJ106" i="25"/>
  <c r="BH105" i="25"/>
  <c r="BL103" i="25"/>
  <c r="BL106" i="25"/>
  <c r="BK104" i="25"/>
  <c r="BK102" i="25"/>
  <c r="BG101" i="25"/>
  <c r="BH99" i="25"/>
  <c r="BI97" i="25"/>
  <c r="BK95" i="25"/>
  <c r="BL93" i="25"/>
  <c r="BG92" i="25"/>
  <c r="BI90" i="25"/>
  <c r="BJ88" i="25"/>
  <c r="BK86" i="25"/>
  <c r="BG85" i="25"/>
  <c r="BJ105" i="25"/>
  <c r="BH103" i="25"/>
  <c r="BH101" i="25"/>
  <c r="BL98" i="25"/>
  <c r="BG97" i="25"/>
  <c r="BL94" i="25"/>
  <c r="BG93" i="25"/>
  <c r="BL90" i="25"/>
  <c r="BG89" i="25"/>
  <c r="BL86" i="25"/>
  <c r="BK84" i="25"/>
  <c r="BI106" i="25"/>
  <c r="BK103" i="25"/>
  <c r="BI101" i="25"/>
  <c r="BK98" i="25"/>
  <c r="BJ96" i="25"/>
  <c r="BI94" i="25"/>
  <c r="BL91" i="25"/>
  <c r="BJ89" i="25"/>
  <c r="BI87" i="25"/>
  <c r="BH85" i="25"/>
  <c r="BG106" i="25"/>
  <c r="BI103" i="25"/>
  <c r="BK100" i="25"/>
  <c r="BJ98" i="25"/>
  <c r="BH96" i="25"/>
  <c r="BG94" i="25"/>
  <c r="BK91" i="25"/>
  <c r="BI89" i="25"/>
  <c r="BH87" i="25"/>
  <c r="BJ84" i="25"/>
  <c r="BL105" i="25"/>
  <c r="BL102" i="25"/>
  <c r="BJ100" i="25"/>
  <c r="BI98" i="25"/>
  <c r="BG96" i="25"/>
  <c r="BJ93" i="25"/>
  <c r="BI91" i="25"/>
  <c r="BH89" i="25"/>
  <c r="BJ86" i="25"/>
  <c r="BH84" i="25"/>
  <c r="BG105" i="25"/>
  <c r="BJ101" i="25"/>
  <c r="BJ97" i="25"/>
  <c r="BI93" i="25"/>
  <c r="BG90" i="25"/>
  <c r="BG86" i="25"/>
  <c r="BJ104" i="25"/>
  <c r="BH100" i="25"/>
  <c r="BH97" i="25"/>
  <c r="BH93" i="25"/>
  <c r="BL89" i="25"/>
  <c r="BL85" i="25"/>
  <c r="BL87" i="25"/>
  <c r="BH104" i="25"/>
  <c r="BG100" i="25"/>
  <c r="BK96" i="25"/>
  <c r="BK92" i="25"/>
  <c r="BK88" i="25"/>
  <c r="BJ85" i="25"/>
  <c r="BI107" i="25"/>
  <c r="BJ102" i="25"/>
  <c r="BK99" i="25"/>
  <c r="BI95" i="25"/>
  <c r="BH92" i="25"/>
  <c r="BG88" i="25"/>
  <c r="BG84" i="25"/>
  <c r="BH107" i="25"/>
  <c r="BI102" i="25"/>
  <c r="BI99" i="25"/>
  <c r="BH95" i="25"/>
  <c r="BH91" i="25"/>
  <c r="BI105" i="25"/>
  <c r="BL97" i="25"/>
  <c r="BJ90" i="25"/>
  <c r="BK107" i="25"/>
  <c r="BG104" i="25"/>
  <c r="BL99" i="25"/>
  <c r="BL95" i="25"/>
  <c r="BJ92" i="25"/>
  <c r="BH88" i="25"/>
  <c r="BI85" i="25"/>
  <c r="BK106" i="25"/>
  <c r="BG102" i="25"/>
  <c r="BG98" i="25"/>
  <c r="BK94" i="25"/>
  <c r="BK90" i="25"/>
  <c r="BK87" i="25"/>
  <c r="BL101" i="25"/>
  <c r="BJ94" i="25"/>
  <c r="BI86" i="25"/>
  <c r="P108" i="25"/>
  <c r="AX23" i="25"/>
  <c r="AX24" i="25" s="1"/>
  <c r="P100" i="25"/>
  <c r="P7" i="25" s="1"/>
  <c r="C100" i="25"/>
  <c r="C7" i="25" s="1"/>
  <c r="AM22" i="25"/>
  <c r="F246" i="25"/>
  <c r="E252" i="25"/>
  <c r="E118" i="25"/>
  <c r="B99" i="25"/>
  <c r="AI97" i="25"/>
  <c r="AH97" i="25"/>
  <c r="J100" i="25"/>
  <c r="J7" i="25" s="1"/>
  <c r="AI107" i="25"/>
  <c r="AM23" i="25"/>
  <c r="AH107" i="25"/>
  <c r="C108" i="25"/>
  <c r="AN23" i="25"/>
  <c r="AN24" i="25" s="1"/>
  <c r="H100" i="25"/>
  <c r="H7" i="25" s="1"/>
  <c r="Z100" i="25"/>
  <c r="Z7" i="25" s="1"/>
  <c r="B256" i="25"/>
  <c r="C256" i="25"/>
  <c r="G100" i="25"/>
  <c r="G7" i="25" s="1"/>
  <c r="AT23" i="25"/>
  <c r="AT24" i="25" s="1"/>
  <c r="K108" i="25"/>
  <c r="AB100" i="25"/>
  <c r="AB7" i="25" s="1"/>
  <c r="AQ24" i="25"/>
  <c r="AV24" i="25"/>
  <c r="X57" i="24"/>
  <c r="W57" i="24"/>
  <c r="V57" i="24"/>
  <c r="U118" i="28" l="1"/>
  <c r="V246" i="28"/>
  <c r="U252" i="28"/>
  <c r="Q252" i="27"/>
  <c r="R246" i="27"/>
  <c r="Q118" i="27"/>
  <c r="L252" i="26"/>
  <c r="L118" i="26"/>
  <c r="M246" i="26"/>
  <c r="AH108" i="25"/>
  <c r="AH99" i="25"/>
  <c r="B100" i="25"/>
  <c r="AI99" i="25"/>
  <c r="AI108" i="25"/>
  <c r="AT8" i="25"/>
  <c r="AM24" i="25"/>
  <c r="AT9" i="25" s="1"/>
  <c r="K6" i="25"/>
  <c r="F252" i="25"/>
  <c r="F118" i="25"/>
  <c r="G246" i="25"/>
  <c r="U121" i="24"/>
  <c r="T57" i="24"/>
  <c r="U57" i="24"/>
  <c r="W246" i="28" l="1"/>
  <c r="V252" i="28"/>
  <c r="V118" i="28"/>
  <c r="R252" i="27"/>
  <c r="R118" i="27"/>
  <c r="S246" i="27"/>
  <c r="N246" i="26"/>
  <c r="M252" i="26"/>
  <c r="M118" i="26"/>
  <c r="G252" i="25"/>
  <c r="H246" i="25"/>
  <c r="G118" i="25"/>
  <c r="AI100" i="25"/>
  <c r="B7" i="25"/>
  <c r="A7" i="25" s="1"/>
  <c r="AH100" i="25"/>
  <c r="X246" i="28" l="1"/>
  <c r="W252" i="28"/>
  <c r="W118" i="28"/>
  <c r="S252" i="27"/>
  <c r="S118" i="27"/>
  <c r="T246" i="27"/>
  <c r="O246" i="26"/>
  <c r="N252" i="26"/>
  <c r="N118" i="26"/>
  <c r="I246" i="25"/>
  <c r="H118" i="25"/>
  <c r="H252" i="25"/>
  <c r="Y246" i="28" l="1"/>
  <c r="X252" i="28"/>
  <c r="X118" i="28"/>
  <c r="T252" i="27"/>
  <c r="T118" i="27"/>
  <c r="U246" i="27"/>
  <c r="P246" i="26"/>
  <c r="O118" i="26"/>
  <c r="O252" i="26"/>
  <c r="I252" i="25"/>
  <c r="I118" i="25"/>
  <c r="J246" i="25"/>
  <c r="S57" i="24"/>
  <c r="BG84" i="2"/>
  <c r="BH84" i="2"/>
  <c r="BI84" i="2"/>
  <c r="BJ84" i="2"/>
  <c r="BK84" i="2"/>
  <c r="BL84" i="2"/>
  <c r="BG85" i="2"/>
  <c r="BH85" i="2"/>
  <c r="BI85" i="2"/>
  <c r="BJ85" i="2"/>
  <c r="BK85" i="2"/>
  <c r="BL85" i="2"/>
  <c r="BG86" i="2"/>
  <c r="BH86" i="2"/>
  <c r="BI86" i="2"/>
  <c r="BJ86" i="2"/>
  <c r="BK86" i="2"/>
  <c r="BL86" i="2"/>
  <c r="BG87" i="2"/>
  <c r="BH87" i="2"/>
  <c r="BI87" i="2"/>
  <c r="BJ87" i="2"/>
  <c r="BK87" i="2"/>
  <c r="BL87" i="2"/>
  <c r="BG88" i="2"/>
  <c r="BH88" i="2"/>
  <c r="BI88" i="2"/>
  <c r="BJ88" i="2"/>
  <c r="BK88" i="2"/>
  <c r="BL88" i="2"/>
  <c r="BG89" i="2"/>
  <c r="BH89" i="2"/>
  <c r="BI89" i="2"/>
  <c r="BJ89" i="2"/>
  <c r="BK89" i="2"/>
  <c r="BL89" i="2"/>
  <c r="BG90" i="2"/>
  <c r="BH90" i="2"/>
  <c r="BI90" i="2"/>
  <c r="BJ90" i="2"/>
  <c r="BK90" i="2"/>
  <c r="BL90" i="2"/>
  <c r="BG91" i="2"/>
  <c r="BH91" i="2"/>
  <c r="BI91" i="2"/>
  <c r="BJ91" i="2"/>
  <c r="BK91" i="2"/>
  <c r="BL91" i="2"/>
  <c r="BG92" i="2"/>
  <c r="BH92" i="2"/>
  <c r="BI92" i="2"/>
  <c r="BJ92" i="2"/>
  <c r="BK92" i="2"/>
  <c r="BL92" i="2"/>
  <c r="BG93" i="2"/>
  <c r="BH93" i="2"/>
  <c r="BI93" i="2"/>
  <c r="BJ93" i="2"/>
  <c r="BK93" i="2"/>
  <c r="BL93" i="2"/>
  <c r="BG94" i="2"/>
  <c r="BH94" i="2"/>
  <c r="BI94" i="2"/>
  <c r="BJ94" i="2"/>
  <c r="BK94" i="2"/>
  <c r="BL94" i="2"/>
  <c r="BG95" i="2"/>
  <c r="BH95" i="2"/>
  <c r="BI95" i="2"/>
  <c r="BJ95" i="2"/>
  <c r="BK95" i="2"/>
  <c r="BL95" i="2"/>
  <c r="BG96" i="2"/>
  <c r="BH96" i="2"/>
  <c r="BI96" i="2"/>
  <c r="BJ96" i="2"/>
  <c r="BK96" i="2"/>
  <c r="BL96" i="2"/>
  <c r="BG97" i="2"/>
  <c r="BH97" i="2"/>
  <c r="BI97" i="2"/>
  <c r="BJ97" i="2"/>
  <c r="BK97" i="2"/>
  <c r="BL97" i="2"/>
  <c r="BG98" i="2"/>
  <c r="BH98" i="2"/>
  <c r="BI98" i="2"/>
  <c r="BJ98" i="2"/>
  <c r="BK98" i="2"/>
  <c r="BL98" i="2"/>
  <c r="BG99" i="2"/>
  <c r="BH99" i="2"/>
  <c r="BI99" i="2"/>
  <c r="BJ99" i="2"/>
  <c r="BK99" i="2"/>
  <c r="BL99" i="2"/>
  <c r="BG100" i="2"/>
  <c r="BH100" i="2"/>
  <c r="BI100" i="2"/>
  <c r="BJ100" i="2"/>
  <c r="BK100" i="2"/>
  <c r="BL100" i="2"/>
  <c r="BG101" i="2"/>
  <c r="BH101" i="2"/>
  <c r="BI101" i="2"/>
  <c r="BJ101" i="2"/>
  <c r="BK101" i="2"/>
  <c r="BL101" i="2"/>
  <c r="BG102" i="2"/>
  <c r="BH102" i="2"/>
  <c r="BI102" i="2"/>
  <c r="BJ102" i="2"/>
  <c r="BK102" i="2"/>
  <c r="BL102" i="2"/>
  <c r="BG103" i="2"/>
  <c r="BH103" i="2"/>
  <c r="BI103" i="2"/>
  <c r="BJ103" i="2"/>
  <c r="BK103" i="2"/>
  <c r="BL103" i="2"/>
  <c r="BG104" i="2"/>
  <c r="BH104" i="2"/>
  <c r="BI104" i="2"/>
  <c r="BJ104" i="2"/>
  <c r="BK104" i="2"/>
  <c r="BL104" i="2"/>
  <c r="BG105" i="2"/>
  <c r="BH105" i="2"/>
  <c r="BI105" i="2"/>
  <c r="BJ105" i="2"/>
  <c r="BK105" i="2"/>
  <c r="BL105" i="2"/>
  <c r="BG106" i="2"/>
  <c r="BH106" i="2"/>
  <c r="BI106" i="2"/>
  <c r="BJ106" i="2"/>
  <c r="BK106" i="2"/>
  <c r="BL106" i="2"/>
  <c r="BG107" i="2"/>
  <c r="BH107" i="2"/>
  <c r="BI107" i="2"/>
  <c r="BJ107" i="2"/>
  <c r="BK107" i="2"/>
  <c r="BG84" i="2" a="1"/>
  <c r="BL107" i="2"/>
  <c r="Y252" i="28" l="1"/>
  <c r="Z246" i="28"/>
  <c r="U118" i="27"/>
  <c r="V246" i="27"/>
  <c r="U252" i="27"/>
  <c r="Q246" i="26"/>
  <c r="P252" i="26"/>
  <c r="K246" i="25"/>
  <c r="J118" i="25"/>
  <c r="J252" i="25"/>
  <c r="R58" i="24"/>
  <c r="R62" i="24"/>
  <c r="R76" i="24"/>
  <c r="R80" i="24"/>
  <c r="R92" i="24"/>
  <c r="R101" i="24"/>
  <c r="R102" i="24"/>
  <c r="R103" i="24"/>
  <c r="R104" i="24"/>
  <c r="R105" i="24"/>
  <c r="Z252" i="28" l="1"/>
  <c r="AA246" i="28"/>
  <c r="W246" i="27"/>
  <c r="V252" i="27"/>
  <c r="V118" i="27"/>
  <c r="Q252" i="26"/>
  <c r="Q118" i="26"/>
  <c r="R246" i="26"/>
  <c r="K252" i="25"/>
  <c r="L246" i="25"/>
  <c r="K118" i="25"/>
  <c r="R97" i="24"/>
  <c r="R99" i="24" s="1"/>
  <c r="R107" i="24"/>
  <c r="R108" i="24" s="1"/>
  <c r="AA252" i="28" l="1"/>
  <c r="AA118" i="28"/>
  <c r="AB246" i="28"/>
  <c r="X246" i="27"/>
  <c r="W118" i="27"/>
  <c r="W252" i="27"/>
  <c r="R252" i="26"/>
  <c r="R118" i="26"/>
  <c r="S246" i="26"/>
  <c r="L252" i="25"/>
  <c r="L118" i="25"/>
  <c r="M246" i="25"/>
  <c r="R100" i="24"/>
  <c r="Q58" i="24"/>
  <c r="Q62" i="24"/>
  <c r="Q76" i="24"/>
  <c r="Q80" i="24"/>
  <c r="Q92" i="24"/>
  <c r="Q101" i="24"/>
  <c r="Q107" i="24" s="1"/>
  <c r="Q102" i="24"/>
  <c r="Q103" i="24"/>
  <c r="Q104" i="24"/>
  <c r="Q105" i="24"/>
  <c r="P58" i="24"/>
  <c r="P62" i="24"/>
  <c r="P76" i="24"/>
  <c r="P80" i="24"/>
  <c r="P92" i="24"/>
  <c r="P101" i="24"/>
  <c r="P102" i="24"/>
  <c r="P103" i="24"/>
  <c r="P104" i="24"/>
  <c r="P105" i="24"/>
  <c r="O58" i="24"/>
  <c r="O62" i="24"/>
  <c r="O76" i="24"/>
  <c r="O80" i="24"/>
  <c r="O92" i="24"/>
  <c r="O101" i="24"/>
  <c r="O102" i="24"/>
  <c r="O103" i="24"/>
  <c r="O104" i="24"/>
  <c r="O105" i="24"/>
  <c r="N58" i="24"/>
  <c r="N62" i="24"/>
  <c r="N76" i="24"/>
  <c r="N80" i="24"/>
  <c r="N92" i="24"/>
  <c r="N101" i="24"/>
  <c r="N102" i="24"/>
  <c r="N103" i="24"/>
  <c r="N104" i="24"/>
  <c r="N105" i="24"/>
  <c r="AB252" i="28" l="1"/>
  <c r="AB118" i="28"/>
  <c r="AC246" i="28"/>
  <c r="Y246" i="27"/>
  <c r="X252" i="27"/>
  <c r="X118" i="27"/>
  <c r="S252" i="26"/>
  <c r="S118" i="26"/>
  <c r="T246" i="26"/>
  <c r="N246" i="25"/>
  <c r="M252" i="25"/>
  <c r="M118" i="25"/>
  <c r="P107" i="24"/>
  <c r="Q97" i="24"/>
  <c r="Q99" i="24" s="1"/>
  <c r="Q100" i="24" s="1"/>
  <c r="Q108" i="24"/>
  <c r="P108" i="24"/>
  <c r="P97" i="24"/>
  <c r="P99" i="24" s="1"/>
  <c r="P100" i="24" s="1"/>
  <c r="O107" i="24"/>
  <c r="O108" i="24" s="1"/>
  <c r="O97" i="24"/>
  <c r="O99" i="24" s="1"/>
  <c r="N97" i="24"/>
  <c r="N99" i="24" s="1"/>
  <c r="N107" i="24"/>
  <c r="AD246" i="28" l="1"/>
  <c r="AC252" i="28"/>
  <c r="Y252" i="27"/>
  <c r="Z246" i="27"/>
  <c r="T252" i="26"/>
  <c r="T118" i="26"/>
  <c r="U246" i="26"/>
  <c r="N252" i="25"/>
  <c r="N118" i="25"/>
  <c r="O246" i="25"/>
  <c r="O100" i="24"/>
  <c r="N100" i="24"/>
  <c r="N108" i="24"/>
  <c r="AH125" i="24"/>
  <c r="AI125" i="24"/>
  <c r="AH124" i="24"/>
  <c r="AI124" i="24"/>
  <c r="B105" i="24"/>
  <c r="B107" i="24" s="1"/>
  <c r="B104" i="24"/>
  <c r="B103" i="24"/>
  <c r="B102" i="24"/>
  <c r="B101" i="24"/>
  <c r="B92" i="24"/>
  <c r="B80" i="24"/>
  <c r="AM20" i="24" s="1"/>
  <c r="B76" i="24"/>
  <c r="B62" i="24"/>
  <c r="AM17" i="24" s="1"/>
  <c r="B58" i="24"/>
  <c r="AG252" i="24"/>
  <c r="C252" i="24"/>
  <c r="F251" i="24"/>
  <c r="G251" i="24" s="1"/>
  <c r="H251" i="24" s="1"/>
  <c r="I251" i="24" s="1"/>
  <c r="J251" i="24" s="1"/>
  <c r="K251" i="24" s="1"/>
  <c r="L251" i="24" s="1"/>
  <c r="M251" i="24" s="1"/>
  <c r="N251" i="24" s="1"/>
  <c r="O251" i="24" s="1"/>
  <c r="P251" i="24" s="1"/>
  <c r="Q251" i="24" s="1"/>
  <c r="R251" i="24" s="1"/>
  <c r="S251" i="24" s="1"/>
  <c r="T251" i="24" s="1"/>
  <c r="U251" i="24" s="1"/>
  <c r="V251" i="24" s="1"/>
  <c r="W251" i="24" s="1"/>
  <c r="X251" i="24" s="1"/>
  <c r="Y251" i="24" s="1"/>
  <c r="Z251" i="24" s="1"/>
  <c r="AA251" i="24" s="1"/>
  <c r="AB251" i="24" s="1"/>
  <c r="AC251" i="24" s="1"/>
  <c r="AD251" i="24" s="1"/>
  <c r="AE251" i="24" s="1"/>
  <c r="AF251" i="24" s="1"/>
  <c r="B251" i="24" s="1"/>
  <c r="D251" i="24"/>
  <c r="E251" i="24" s="1"/>
  <c r="D250" i="24"/>
  <c r="E250" i="24" s="1"/>
  <c r="F250" i="24" s="1"/>
  <c r="G250" i="24" s="1"/>
  <c r="H250" i="24" s="1"/>
  <c r="I250" i="24" s="1"/>
  <c r="J250" i="24" s="1"/>
  <c r="K250" i="24" s="1"/>
  <c r="L250" i="24" s="1"/>
  <c r="M250" i="24" s="1"/>
  <c r="N250" i="24" s="1"/>
  <c r="O250" i="24" s="1"/>
  <c r="P250" i="24" s="1"/>
  <c r="Q250" i="24" s="1"/>
  <c r="R250" i="24" s="1"/>
  <c r="S250" i="24" s="1"/>
  <c r="T250" i="24" s="1"/>
  <c r="U250" i="24" s="1"/>
  <c r="V250" i="24" s="1"/>
  <c r="W250" i="24" s="1"/>
  <c r="X250" i="24" s="1"/>
  <c r="Y250" i="24" s="1"/>
  <c r="Z250" i="24" s="1"/>
  <c r="AA250" i="24" s="1"/>
  <c r="AB250" i="24" s="1"/>
  <c r="AC250" i="24" s="1"/>
  <c r="AD250" i="24" s="1"/>
  <c r="AE250" i="24" s="1"/>
  <c r="AF250" i="24" s="1"/>
  <c r="B250" i="24" s="1"/>
  <c r="D249" i="24"/>
  <c r="E249" i="24" s="1"/>
  <c r="F249" i="24" s="1"/>
  <c r="G249" i="24" s="1"/>
  <c r="H249" i="24" s="1"/>
  <c r="I249" i="24" s="1"/>
  <c r="J249" i="24" s="1"/>
  <c r="K249" i="24" s="1"/>
  <c r="L249" i="24" s="1"/>
  <c r="M249" i="24" s="1"/>
  <c r="N249" i="24" s="1"/>
  <c r="O249" i="24" s="1"/>
  <c r="P249" i="24" s="1"/>
  <c r="Q249" i="24" s="1"/>
  <c r="R249" i="24" s="1"/>
  <c r="S249" i="24" s="1"/>
  <c r="T249" i="24" s="1"/>
  <c r="U249" i="24" s="1"/>
  <c r="V249" i="24" s="1"/>
  <c r="W249" i="24" s="1"/>
  <c r="X249" i="24" s="1"/>
  <c r="Y249" i="24" s="1"/>
  <c r="Z249" i="24" s="1"/>
  <c r="AA249" i="24" s="1"/>
  <c r="AB249" i="24" s="1"/>
  <c r="AC249" i="24" s="1"/>
  <c r="AD249" i="24" s="1"/>
  <c r="AE249" i="24" s="1"/>
  <c r="AF249" i="24" s="1"/>
  <c r="B249" i="24" s="1"/>
  <c r="F248" i="24"/>
  <c r="G248" i="24" s="1"/>
  <c r="H248" i="24" s="1"/>
  <c r="I248" i="24" s="1"/>
  <c r="J248" i="24" s="1"/>
  <c r="K248" i="24" s="1"/>
  <c r="L248" i="24" s="1"/>
  <c r="M248" i="24" s="1"/>
  <c r="N248" i="24" s="1"/>
  <c r="O248" i="24" s="1"/>
  <c r="P248" i="24" s="1"/>
  <c r="Q248" i="24" s="1"/>
  <c r="R248" i="24" s="1"/>
  <c r="S248" i="24" s="1"/>
  <c r="T248" i="24" s="1"/>
  <c r="U248" i="24" s="1"/>
  <c r="V248" i="24" s="1"/>
  <c r="W248" i="24" s="1"/>
  <c r="X248" i="24" s="1"/>
  <c r="Y248" i="24" s="1"/>
  <c r="Z248" i="24" s="1"/>
  <c r="AA248" i="24" s="1"/>
  <c r="AB248" i="24" s="1"/>
  <c r="AC248" i="24" s="1"/>
  <c r="AD248" i="24" s="1"/>
  <c r="AE248" i="24" s="1"/>
  <c r="AF248" i="24" s="1"/>
  <c r="B248" i="24" s="1"/>
  <c r="D248" i="24"/>
  <c r="E248" i="24" s="1"/>
  <c r="D247" i="24"/>
  <c r="E247" i="24" s="1"/>
  <c r="F247" i="24" s="1"/>
  <c r="G247" i="24" s="1"/>
  <c r="H247" i="24" s="1"/>
  <c r="I247" i="24" s="1"/>
  <c r="J247" i="24" s="1"/>
  <c r="K247" i="24" s="1"/>
  <c r="L247" i="24" s="1"/>
  <c r="M247" i="24" s="1"/>
  <c r="N247" i="24" s="1"/>
  <c r="O247" i="24" s="1"/>
  <c r="P247" i="24" s="1"/>
  <c r="Q247" i="24" s="1"/>
  <c r="R247" i="24" s="1"/>
  <c r="S247" i="24" s="1"/>
  <c r="T247" i="24" s="1"/>
  <c r="U247" i="24" s="1"/>
  <c r="V247" i="24" s="1"/>
  <c r="W247" i="24" s="1"/>
  <c r="X247" i="24" s="1"/>
  <c r="Y247" i="24" s="1"/>
  <c r="Z247" i="24" s="1"/>
  <c r="AA247" i="24" s="1"/>
  <c r="AB247" i="24" s="1"/>
  <c r="AC247" i="24" s="1"/>
  <c r="AD247" i="24" s="1"/>
  <c r="AE247" i="24" s="1"/>
  <c r="AF247" i="24" s="1"/>
  <c r="B247" i="24" s="1"/>
  <c r="D246" i="24"/>
  <c r="AG244" i="24"/>
  <c r="AF244" i="24"/>
  <c r="AE244" i="24"/>
  <c r="AD244" i="24"/>
  <c r="AC244" i="24"/>
  <c r="AB244" i="24"/>
  <c r="AA244" i="24"/>
  <c r="Z244" i="24"/>
  <c r="Y244" i="24"/>
  <c r="Y118" i="24" s="1"/>
  <c r="X244" i="24"/>
  <c r="W244" i="24"/>
  <c r="V244" i="24"/>
  <c r="U244" i="24"/>
  <c r="T244" i="24"/>
  <c r="S244" i="24"/>
  <c r="R244" i="24"/>
  <c r="Q244" i="24"/>
  <c r="P244" i="24"/>
  <c r="O244" i="24"/>
  <c r="N244" i="24"/>
  <c r="M244" i="24"/>
  <c r="L244" i="24"/>
  <c r="K244" i="24"/>
  <c r="J244" i="24"/>
  <c r="I244" i="24"/>
  <c r="H244" i="24"/>
  <c r="G244" i="24"/>
  <c r="F244" i="24"/>
  <c r="E244" i="24"/>
  <c r="D244" i="24"/>
  <c r="C244" i="24"/>
  <c r="B244" i="24"/>
  <c r="AI130" i="24"/>
  <c r="AH130" i="24"/>
  <c r="AI129" i="24"/>
  <c r="AH129" i="24"/>
  <c r="AI128" i="24"/>
  <c r="AH128" i="24"/>
  <c r="AI127" i="24"/>
  <c r="AH127" i="24"/>
  <c r="AI126" i="24"/>
  <c r="AH126" i="24"/>
  <c r="AI123" i="24"/>
  <c r="AH123" i="24"/>
  <c r="AI122" i="24"/>
  <c r="AH122" i="24"/>
  <c r="AI121" i="24"/>
  <c r="AH121" i="24"/>
  <c r="AI120" i="24"/>
  <c r="AH120" i="24"/>
  <c r="AI119" i="24"/>
  <c r="AH119" i="24"/>
  <c r="Z118" i="24"/>
  <c r="C118" i="24"/>
  <c r="AI117" i="24"/>
  <c r="AH117" i="24"/>
  <c r="AI116" i="24"/>
  <c r="AH116" i="24"/>
  <c r="AI115" i="24"/>
  <c r="AH115" i="24"/>
  <c r="AI114" i="24"/>
  <c r="AH114" i="24"/>
  <c r="AI113" i="24"/>
  <c r="AH113" i="24"/>
  <c r="AI112" i="24"/>
  <c r="AH112" i="24"/>
  <c r="AI111" i="24"/>
  <c r="AH111" i="24"/>
  <c r="AI110" i="24"/>
  <c r="AH110" i="24"/>
  <c r="AI109" i="24"/>
  <c r="AH109" i="24"/>
  <c r="AI106" i="24"/>
  <c r="AH106" i="24"/>
  <c r="AF105" i="24"/>
  <c r="AE105" i="24"/>
  <c r="AD105" i="24"/>
  <c r="AC105" i="24"/>
  <c r="AB105" i="24"/>
  <c r="AA105" i="24"/>
  <c r="Z105" i="24"/>
  <c r="Y105" i="24"/>
  <c r="X105" i="24"/>
  <c r="W105" i="24"/>
  <c r="V105" i="24"/>
  <c r="U105" i="24"/>
  <c r="T105" i="24"/>
  <c r="S105" i="24"/>
  <c r="M105" i="24"/>
  <c r="L105" i="24"/>
  <c r="K105" i="24"/>
  <c r="J105" i="24"/>
  <c r="I105" i="24"/>
  <c r="H105" i="24"/>
  <c r="G105" i="24"/>
  <c r="F105" i="24"/>
  <c r="E105" i="24"/>
  <c r="D105" i="24"/>
  <c r="C105" i="24"/>
  <c r="AF104" i="24"/>
  <c r="AE104" i="24"/>
  <c r="AD104" i="24"/>
  <c r="AC104" i="24"/>
  <c r="AB104" i="24"/>
  <c r="AA104" i="24"/>
  <c r="Z104" i="24"/>
  <c r="Y104" i="24"/>
  <c r="X104" i="24"/>
  <c r="W104" i="24"/>
  <c r="V104" i="24"/>
  <c r="U104" i="24"/>
  <c r="T104" i="24"/>
  <c r="S104" i="24"/>
  <c r="M104" i="24"/>
  <c r="L104" i="24"/>
  <c r="K104" i="24"/>
  <c r="J104" i="24"/>
  <c r="I104" i="24"/>
  <c r="H104" i="24"/>
  <c r="G104" i="24"/>
  <c r="F104" i="24"/>
  <c r="E104" i="24"/>
  <c r="D104" i="24"/>
  <c r="C104" i="24"/>
  <c r="AF103" i="24"/>
  <c r="AE103" i="24"/>
  <c r="AD103" i="24"/>
  <c r="AC103" i="24"/>
  <c r="AB103" i="24"/>
  <c r="AA103" i="24"/>
  <c r="Z103" i="24"/>
  <c r="Y103" i="24"/>
  <c r="X103" i="24"/>
  <c r="W103" i="24"/>
  <c r="V103" i="24"/>
  <c r="U103" i="24"/>
  <c r="T103" i="24"/>
  <c r="S103" i="24"/>
  <c r="M103" i="24"/>
  <c r="L103" i="24"/>
  <c r="K103" i="24"/>
  <c r="J103" i="24"/>
  <c r="I103" i="24"/>
  <c r="H103" i="24"/>
  <c r="G103" i="24"/>
  <c r="F103" i="24"/>
  <c r="E103" i="24"/>
  <c r="D103" i="24"/>
  <c r="C103" i="24"/>
  <c r="AF102" i="24"/>
  <c r="AE102" i="24"/>
  <c r="AD102" i="24"/>
  <c r="AC102" i="24"/>
  <c r="AB102" i="24"/>
  <c r="AA102" i="24"/>
  <c r="Z102" i="24"/>
  <c r="Y102" i="24"/>
  <c r="X102" i="24"/>
  <c r="W102" i="24"/>
  <c r="V102" i="24"/>
  <c r="U102" i="24"/>
  <c r="T102" i="24"/>
  <c r="S102" i="24"/>
  <c r="M102" i="24"/>
  <c r="L102" i="24"/>
  <c r="K102" i="24"/>
  <c r="J102" i="24"/>
  <c r="I102" i="24"/>
  <c r="H102" i="24"/>
  <c r="G102" i="24"/>
  <c r="F102" i="24"/>
  <c r="E102" i="24"/>
  <c r="D102" i="24"/>
  <c r="C102" i="24"/>
  <c r="AF101" i="24"/>
  <c r="AE101" i="24"/>
  <c r="AD101" i="24"/>
  <c r="AC101" i="24"/>
  <c r="AB101" i="24"/>
  <c r="AA101" i="24"/>
  <c r="Z101" i="24"/>
  <c r="Y101" i="24"/>
  <c r="X101" i="24"/>
  <c r="W101" i="24"/>
  <c r="V101" i="24"/>
  <c r="U101" i="24"/>
  <c r="T101" i="24"/>
  <c r="T107" i="24" s="1"/>
  <c r="S101" i="24"/>
  <c r="M101" i="24"/>
  <c r="L101" i="24"/>
  <c r="K101" i="24"/>
  <c r="J101" i="24"/>
  <c r="I101" i="24"/>
  <c r="H101" i="24"/>
  <c r="G101" i="24"/>
  <c r="F101" i="24"/>
  <c r="E101" i="24"/>
  <c r="D101" i="24"/>
  <c r="C101" i="24"/>
  <c r="AI98" i="24"/>
  <c r="AH98" i="24"/>
  <c r="AI96" i="24"/>
  <c r="AH96" i="24"/>
  <c r="AG96" i="24"/>
  <c r="AG99" i="24" s="1"/>
  <c r="AI95" i="24"/>
  <c r="AH95" i="24"/>
  <c r="AI94" i="24"/>
  <c r="AH94" i="24"/>
  <c r="AI93" i="24"/>
  <c r="AH93" i="24"/>
  <c r="AG92" i="24"/>
  <c r="AF92" i="24"/>
  <c r="AE5" i="24" s="1"/>
  <c r="AE92" i="24"/>
  <c r="AD5" i="24" s="1"/>
  <c r="AD92" i="24"/>
  <c r="AC5" i="24" s="1"/>
  <c r="AC92" i="24"/>
  <c r="AB5" i="24" s="1"/>
  <c r="AB92" i="24"/>
  <c r="AA5" i="24" s="1"/>
  <c r="AA92" i="24"/>
  <c r="Z92" i="24"/>
  <c r="Y5" i="24" s="1"/>
  <c r="Y92" i="24"/>
  <c r="X5" i="24" s="1"/>
  <c r="X92" i="24"/>
  <c r="W5" i="24" s="1"/>
  <c r="W92" i="24"/>
  <c r="V5" i="24" s="1"/>
  <c r="V92" i="24"/>
  <c r="U5" i="24" s="1"/>
  <c r="U92" i="24"/>
  <c r="T5" i="24" s="1"/>
  <c r="T92" i="24"/>
  <c r="S5" i="24" s="1"/>
  <c r="S92" i="24"/>
  <c r="M92" i="24"/>
  <c r="L5" i="24" s="1"/>
  <c r="L92" i="24"/>
  <c r="K5" i="24" s="1"/>
  <c r="K92" i="24"/>
  <c r="J92" i="24"/>
  <c r="I92" i="24"/>
  <c r="AS19" i="24" s="1"/>
  <c r="H92" i="24"/>
  <c r="G92" i="24"/>
  <c r="F5" i="24" s="1"/>
  <c r="F92" i="24"/>
  <c r="E5" i="24" s="1"/>
  <c r="E92" i="24"/>
  <c r="AP19" i="24" s="1"/>
  <c r="D92" i="24"/>
  <c r="AO19" i="24" s="1"/>
  <c r="C92" i="24"/>
  <c r="AI91" i="24"/>
  <c r="AH91" i="24"/>
  <c r="AI90" i="24"/>
  <c r="AH90" i="24"/>
  <c r="AI89" i="24"/>
  <c r="AH89" i="24"/>
  <c r="AI88" i="24"/>
  <c r="AH88" i="24"/>
  <c r="AI87" i="24"/>
  <c r="AH87" i="24"/>
  <c r="AI86" i="24"/>
  <c r="AH86" i="24"/>
  <c r="AI85" i="24"/>
  <c r="AH85" i="24"/>
  <c r="AI84" i="24"/>
  <c r="AH84" i="24"/>
  <c r="AI83" i="24"/>
  <c r="AH83" i="24"/>
  <c r="AI82" i="24"/>
  <c r="AH82" i="24"/>
  <c r="AI81" i="24"/>
  <c r="AH81" i="24"/>
  <c r="BM80" i="24"/>
  <c r="AG80" i="24"/>
  <c r="AF80" i="24"/>
  <c r="AE80" i="24"/>
  <c r="AD80" i="24"/>
  <c r="AC80" i="24"/>
  <c r="AB80" i="24"/>
  <c r="AA80" i="24"/>
  <c r="Z80" i="24"/>
  <c r="Y80" i="24"/>
  <c r="X80" i="24"/>
  <c r="W80" i="24"/>
  <c r="V80" i="24"/>
  <c r="U80" i="24"/>
  <c r="T80" i="24"/>
  <c r="S80" i="24"/>
  <c r="AV20" i="24"/>
  <c r="M80" i="24"/>
  <c r="L80" i="24"/>
  <c r="K80" i="24"/>
  <c r="J80" i="24"/>
  <c r="I80" i="24"/>
  <c r="H80" i="24"/>
  <c r="G80" i="24"/>
  <c r="F80" i="24"/>
  <c r="AQ20" i="24" s="1"/>
  <c r="E80" i="24"/>
  <c r="D80" i="24"/>
  <c r="AO20" i="24" s="1"/>
  <c r="C80" i="24"/>
  <c r="AN20" i="24" s="1"/>
  <c r="AI79" i="24"/>
  <c r="AH79" i="24"/>
  <c r="AI78" i="24"/>
  <c r="AH78" i="24"/>
  <c r="AI77" i="24"/>
  <c r="AH77" i="24"/>
  <c r="BW76" i="24"/>
  <c r="BP76" i="24"/>
  <c r="BM76" i="24"/>
  <c r="BG76" i="24"/>
  <c r="AF76" i="24"/>
  <c r="AE76" i="24"/>
  <c r="AD76" i="24"/>
  <c r="AC76" i="24"/>
  <c r="AB76" i="24"/>
  <c r="AA76" i="24"/>
  <c r="Z76" i="24"/>
  <c r="Y76" i="24"/>
  <c r="X76" i="24"/>
  <c r="W76" i="24"/>
  <c r="V76" i="24"/>
  <c r="U76" i="24"/>
  <c r="T76" i="24"/>
  <c r="S76" i="24"/>
  <c r="M76" i="24"/>
  <c r="L76" i="24"/>
  <c r="K76" i="24"/>
  <c r="AT18" i="24" s="1"/>
  <c r="J76" i="24"/>
  <c r="I76" i="24"/>
  <c r="AS18" i="24" s="1"/>
  <c r="H76" i="24"/>
  <c r="G76" i="24"/>
  <c r="F76" i="24"/>
  <c r="AQ18" i="24" s="1"/>
  <c r="E76" i="24"/>
  <c r="AP18" i="24" s="1"/>
  <c r="D76" i="24"/>
  <c r="C76" i="24"/>
  <c r="AN18" i="24" s="1"/>
  <c r="BQ75" i="24"/>
  <c r="AI75" i="24"/>
  <c r="AH75" i="24"/>
  <c r="AG75" i="24"/>
  <c r="AG76" i="24" s="1"/>
  <c r="AG3" i="24" s="1"/>
  <c r="AI74" i="24"/>
  <c r="AH74" i="24"/>
  <c r="BW73" i="24"/>
  <c r="BW80" i="24" s="1"/>
  <c r="BV73" i="24"/>
  <c r="BV80" i="24" s="1"/>
  <c r="BU73" i="24"/>
  <c r="BU80" i="24" s="1"/>
  <c r="BT73" i="24"/>
  <c r="BT80" i="24" s="1"/>
  <c r="BS73" i="24"/>
  <c r="BS80" i="24" s="1"/>
  <c r="BR73" i="24"/>
  <c r="BR80" i="24" s="1"/>
  <c r="BQ73" i="24"/>
  <c r="BQ80" i="24" s="1"/>
  <c r="BP73" i="24"/>
  <c r="BP80" i="24" s="1"/>
  <c r="BO73" i="24"/>
  <c r="BO80" i="24" s="1"/>
  <c r="BN73" i="24"/>
  <c r="BN80" i="24" s="1"/>
  <c r="BM73" i="24"/>
  <c r="BL73" i="24"/>
  <c r="BL80" i="24" s="1"/>
  <c r="BK73" i="24"/>
  <c r="BK80" i="24" s="1"/>
  <c r="BJ73" i="24"/>
  <c r="BJ80" i="24" s="1"/>
  <c r="BI73" i="24"/>
  <c r="BI80" i="24" s="1"/>
  <c r="BH73" i="24"/>
  <c r="BH80" i="24" s="1"/>
  <c r="BG73" i="24"/>
  <c r="BG80" i="24" s="1"/>
  <c r="BF73" i="24"/>
  <c r="BF80" i="24" s="1"/>
  <c r="BE73" i="24"/>
  <c r="BE80" i="24" s="1"/>
  <c r="BD73" i="24"/>
  <c r="BD80" i="24" s="1"/>
  <c r="BC73" i="24"/>
  <c r="BC80" i="24" s="1"/>
  <c r="BB73" i="24"/>
  <c r="BB80" i="24" s="1"/>
  <c r="BA73" i="24"/>
  <c r="BA80" i="24" s="1"/>
  <c r="AZ73" i="24"/>
  <c r="AZ80" i="24" s="1"/>
  <c r="AI73" i="24"/>
  <c r="AH73" i="24"/>
  <c r="BW72" i="24"/>
  <c r="BW79" i="24" s="1"/>
  <c r="BV72" i="24"/>
  <c r="BV79" i="24" s="1"/>
  <c r="BU72" i="24"/>
  <c r="BU79" i="24" s="1"/>
  <c r="BT72" i="24"/>
  <c r="BT79" i="24" s="1"/>
  <c r="BS72" i="24"/>
  <c r="BS79" i="24" s="1"/>
  <c r="BR72" i="24"/>
  <c r="BR79" i="24" s="1"/>
  <c r="BQ72" i="24"/>
  <c r="BQ79" i="24" s="1"/>
  <c r="BP72" i="24"/>
  <c r="BP79" i="24" s="1"/>
  <c r="BO72" i="24"/>
  <c r="BO79" i="24" s="1"/>
  <c r="BN72" i="24"/>
  <c r="BN79" i="24" s="1"/>
  <c r="BM72" i="24"/>
  <c r="BM79" i="24" s="1"/>
  <c r="BL72" i="24"/>
  <c r="BL79" i="24" s="1"/>
  <c r="BK72" i="24"/>
  <c r="BK79" i="24" s="1"/>
  <c r="BJ72" i="24"/>
  <c r="BJ79" i="24" s="1"/>
  <c r="BI72" i="24"/>
  <c r="BI79" i="24" s="1"/>
  <c r="BH72" i="24"/>
  <c r="BH79" i="24" s="1"/>
  <c r="BG72" i="24"/>
  <c r="BG79" i="24" s="1"/>
  <c r="BF72" i="24"/>
  <c r="BF79" i="24" s="1"/>
  <c r="BE72" i="24"/>
  <c r="BE79" i="24" s="1"/>
  <c r="BD72" i="24"/>
  <c r="BD79" i="24" s="1"/>
  <c r="BC72" i="24"/>
  <c r="BC79" i="24" s="1"/>
  <c r="BB72" i="24"/>
  <c r="BB79" i="24" s="1"/>
  <c r="BA72" i="24"/>
  <c r="BA79" i="24" s="1"/>
  <c r="AZ72" i="24"/>
  <c r="AZ79" i="24" s="1"/>
  <c r="AI72" i="24"/>
  <c r="AH72" i="24"/>
  <c r="BW71" i="24"/>
  <c r="BW78" i="24" s="1"/>
  <c r="BV71" i="24"/>
  <c r="BV78" i="24" s="1"/>
  <c r="BU71" i="24"/>
  <c r="BU78" i="24" s="1"/>
  <c r="BT71" i="24"/>
  <c r="BT78" i="24" s="1"/>
  <c r="BS71" i="24"/>
  <c r="BS78" i="24" s="1"/>
  <c r="BR71" i="24"/>
  <c r="BR78" i="24" s="1"/>
  <c r="BQ71" i="24"/>
  <c r="BQ78" i="24" s="1"/>
  <c r="BP71" i="24"/>
  <c r="BP78" i="24" s="1"/>
  <c r="BO71" i="24"/>
  <c r="BO78" i="24" s="1"/>
  <c r="BN71" i="24"/>
  <c r="BN78" i="24" s="1"/>
  <c r="BM71" i="24"/>
  <c r="BM78" i="24" s="1"/>
  <c r="BL71" i="24"/>
  <c r="BL78" i="24" s="1"/>
  <c r="BK71" i="24"/>
  <c r="BK78" i="24" s="1"/>
  <c r="BJ71" i="24"/>
  <c r="BJ78" i="24" s="1"/>
  <c r="BI71" i="24"/>
  <c r="BI78" i="24" s="1"/>
  <c r="BH71" i="24"/>
  <c r="BH78" i="24" s="1"/>
  <c r="BG71" i="24"/>
  <c r="BG78" i="24" s="1"/>
  <c r="BF71" i="24"/>
  <c r="BF78" i="24" s="1"/>
  <c r="BE71" i="24"/>
  <c r="BE78" i="24" s="1"/>
  <c r="BD71" i="24"/>
  <c r="BD78" i="24" s="1"/>
  <c r="BC71" i="24"/>
  <c r="BC78" i="24" s="1"/>
  <c r="BB71" i="24"/>
  <c r="BB78" i="24" s="1"/>
  <c r="BA71" i="24"/>
  <c r="BA78" i="24" s="1"/>
  <c r="AZ71" i="24"/>
  <c r="AZ78" i="24" s="1"/>
  <c r="AI71" i="24"/>
  <c r="AH71" i="24"/>
  <c r="BW70" i="24"/>
  <c r="BW77" i="24" s="1"/>
  <c r="BV70" i="24"/>
  <c r="BV77" i="24" s="1"/>
  <c r="BU70" i="24"/>
  <c r="BU77" i="24" s="1"/>
  <c r="BT70" i="24"/>
  <c r="BT77" i="24" s="1"/>
  <c r="BS70" i="24"/>
  <c r="BS77" i="24" s="1"/>
  <c r="BR70" i="24"/>
  <c r="BR77" i="24" s="1"/>
  <c r="BQ70" i="24"/>
  <c r="BQ77" i="24" s="1"/>
  <c r="BP70" i="24"/>
  <c r="BP77" i="24" s="1"/>
  <c r="BO70" i="24"/>
  <c r="BO77" i="24" s="1"/>
  <c r="BN70" i="24"/>
  <c r="BN77" i="24" s="1"/>
  <c r="BM70" i="24"/>
  <c r="BM77" i="24" s="1"/>
  <c r="BL70" i="24"/>
  <c r="BL77" i="24" s="1"/>
  <c r="BK70" i="24"/>
  <c r="BK77" i="24" s="1"/>
  <c r="BJ70" i="24"/>
  <c r="BJ77" i="24" s="1"/>
  <c r="BI70" i="24"/>
  <c r="BI77" i="24" s="1"/>
  <c r="BH70" i="24"/>
  <c r="BH77" i="24" s="1"/>
  <c r="BG70" i="24"/>
  <c r="BG77" i="24" s="1"/>
  <c r="BF70" i="24"/>
  <c r="BF77" i="24" s="1"/>
  <c r="BE70" i="24"/>
  <c r="BE77" i="24" s="1"/>
  <c r="BD70" i="24"/>
  <c r="BD77" i="24" s="1"/>
  <c r="BC70" i="24"/>
  <c r="BC77" i="24" s="1"/>
  <c r="BB70" i="24"/>
  <c r="BB77" i="24" s="1"/>
  <c r="BA70" i="24"/>
  <c r="BA77" i="24" s="1"/>
  <c r="AZ70" i="24"/>
  <c r="AZ77" i="24" s="1"/>
  <c r="AI70" i="24"/>
  <c r="AH70" i="24"/>
  <c r="BW69" i="24"/>
  <c r="BV69" i="24"/>
  <c r="BV76" i="24" s="1"/>
  <c r="BU69" i="24"/>
  <c r="BU76" i="24" s="1"/>
  <c r="BT69" i="24"/>
  <c r="BT76" i="24" s="1"/>
  <c r="BS69" i="24"/>
  <c r="BS76" i="24" s="1"/>
  <c r="BR69" i="24"/>
  <c r="BR76" i="24" s="1"/>
  <c r="BQ69" i="24"/>
  <c r="BQ76" i="24" s="1"/>
  <c r="BP69" i="24"/>
  <c r="BO69" i="24"/>
  <c r="BO76" i="24" s="1"/>
  <c r="BN69" i="24"/>
  <c r="BN76" i="24" s="1"/>
  <c r="BM69" i="24"/>
  <c r="BL69" i="24"/>
  <c r="BL76" i="24" s="1"/>
  <c r="BK69" i="24"/>
  <c r="BK76" i="24" s="1"/>
  <c r="BJ69" i="24"/>
  <c r="BJ76" i="24" s="1"/>
  <c r="BI69" i="24"/>
  <c r="BI76" i="24" s="1"/>
  <c r="BH69" i="24"/>
  <c r="BH76" i="24" s="1"/>
  <c r="BG69" i="24"/>
  <c r="BF69" i="24"/>
  <c r="BF76" i="24" s="1"/>
  <c r="BE69" i="24"/>
  <c r="BE76" i="24" s="1"/>
  <c r="BD69" i="24"/>
  <c r="BD76" i="24" s="1"/>
  <c r="BC69" i="24"/>
  <c r="BC76" i="24" s="1"/>
  <c r="BB69" i="24"/>
  <c r="BB76" i="24" s="1"/>
  <c r="BA69" i="24"/>
  <c r="BA76" i="24" s="1"/>
  <c r="AZ69" i="24"/>
  <c r="AZ76" i="24" s="1"/>
  <c r="AI69" i="24"/>
  <c r="AH69" i="24"/>
  <c r="BW68" i="24"/>
  <c r="BW75" i="24" s="1"/>
  <c r="BV68" i="24"/>
  <c r="BV75" i="24" s="1"/>
  <c r="BU68" i="24"/>
  <c r="BU75" i="24" s="1"/>
  <c r="BT68" i="24"/>
  <c r="BT75" i="24" s="1"/>
  <c r="BS68" i="24"/>
  <c r="BS75" i="24" s="1"/>
  <c r="BR68" i="24"/>
  <c r="BR75" i="24" s="1"/>
  <c r="BQ68" i="24"/>
  <c r="BP68" i="24"/>
  <c r="BP75" i="24" s="1"/>
  <c r="BO68" i="24"/>
  <c r="BO75" i="24" s="1"/>
  <c r="BN68" i="24"/>
  <c r="BN75" i="24" s="1"/>
  <c r="BM68" i="24"/>
  <c r="BM75" i="24" s="1"/>
  <c r="BL68" i="24"/>
  <c r="BL75" i="24" s="1"/>
  <c r="BK68" i="24"/>
  <c r="BK75" i="24" s="1"/>
  <c r="BJ68" i="24"/>
  <c r="BJ75" i="24" s="1"/>
  <c r="BI68" i="24"/>
  <c r="BI75" i="24" s="1"/>
  <c r="BH68" i="24"/>
  <c r="BH75" i="24" s="1"/>
  <c r="BG68" i="24"/>
  <c r="BG75" i="24" s="1"/>
  <c r="BF68" i="24"/>
  <c r="BF75" i="24" s="1"/>
  <c r="BE68" i="24"/>
  <c r="BE75" i="24" s="1"/>
  <c r="BD68" i="24"/>
  <c r="BD75" i="24" s="1"/>
  <c r="BC68" i="24"/>
  <c r="BC75" i="24" s="1"/>
  <c r="BB68" i="24"/>
  <c r="BB75" i="24" s="1"/>
  <c r="BA68" i="24"/>
  <c r="BA75" i="24" s="1"/>
  <c r="AZ68" i="24"/>
  <c r="AI68" i="24"/>
  <c r="AH68" i="24"/>
  <c r="AI67" i="24"/>
  <c r="AH67" i="24"/>
  <c r="AI66" i="24"/>
  <c r="AH66" i="24"/>
  <c r="AI65" i="24"/>
  <c r="AH65" i="24"/>
  <c r="AI64" i="24"/>
  <c r="AH64" i="24"/>
  <c r="AI63" i="24"/>
  <c r="AH63" i="24"/>
  <c r="AG62" i="24"/>
  <c r="AF62" i="24"/>
  <c r="AE62" i="24"/>
  <c r="AD62" i="24"/>
  <c r="AC62" i="24"/>
  <c r="AB62" i="24"/>
  <c r="AA62" i="24"/>
  <c r="Z62" i="24"/>
  <c r="Y62" i="24"/>
  <c r="X62" i="24"/>
  <c r="W62" i="24"/>
  <c r="V62" i="24"/>
  <c r="U62" i="24"/>
  <c r="T62" i="24"/>
  <c r="S62" i="24"/>
  <c r="AX17" i="24"/>
  <c r="AV17" i="24"/>
  <c r="M62" i="24"/>
  <c r="AU17" i="24" s="1"/>
  <c r="L62" i="24"/>
  <c r="K62" i="24"/>
  <c r="J62" i="24"/>
  <c r="I62" i="24"/>
  <c r="AS17" i="24" s="1"/>
  <c r="H62" i="24"/>
  <c r="G62" i="24"/>
  <c r="AR17" i="24" s="1"/>
  <c r="F62" i="24"/>
  <c r="E62" i="24"/>
  <c r="D62" i="24"/>
  <c r="AO17" i="24" s="1"/>
  <c r="C62" i="24"/>
  <c r="AN17" i="24" s="1"/>
  <c r="AI61" i="24"/>
  <c r="AH61" i="24"/>
  <c r="AI60" i="24"/>
  <c r="AH60" i="24"/>
  <c r="AI59" i="24"/>
  <c r="AH59" i="24"/>
  <c r="AG58" i="24"/>
  <c r="AF58" i="24"/>
  <c r="AE58" i="24"/>
  <c r="AD58" i="24"/>
  <c r="AC58" i="24"/>
  <c r="AB58" i="24"/>
  <c r="AA58" i="24"/>
  <c r="Z58" i="24"/>
  <c r="Y58" i="24"/>
  <c r="X58" i="24"/>
  <c r="W58" i="24"/>
  <c r="V58" i="24"/>
  <c r="U58" i="24"/>
  <c r="T58" i="24"/>
  <c r="S58" i="24"/>
  <c r="Q7" i="24"/>
  <c r="P7" i="24"/>
  <c r="M58" i="24"/>
  <c r="L58" i="24"/>
  <c r="K58" i="24"/>
  <c r="J58" i="24"/>
  <c r="I58" i="24"/>
  <c r="AS16" i="24" s="1"/>
  <c r="H58" i="24"/>
  <c r="G58" i="24"/>
  <c r="F58" i="24"/>
  <c r="E58" i="24"/>
  <c r="D58" i="24"/>
  <c r="C58" i="24"/>
  <c r="AN16" i="24" s="1"/>
  <c r="AI57" i="24"/>
  <c r="AH57" i="24"/>
  <c r="AI56" i="24"/>
  <c r="AH56" i="24"/>
  <c r="AI55" i="24"/>
  <c r="AH55" i="24"/>
  <c r="AI54" i="24"/>
  <c r="AH54" i="24"/>
  <c r="AI53" i="24"/>
  <c r="AH53" i="24"/>
  <c r="AI52" i="24"/>
  <c r="AH52" i="24"/>
  <c r="AI51" i="24"/>
  <c r="AH51" i="24"/>
  <c r="AI50" i="24"/>
  <c r="AH50" i="24"/>
  <c r="AI49" i="24"/>
  <c r="AH49" i="24"/>
  <c r="AI48" i="24"/>
  <c r="AH48" i="24"/>
  <c r="AI47" i="24"/>
  <c r="AH47" i="24"/>
  <c r="AI46" i="24"/>
  <c r="AH46" i="24"/>
  <c r="AI45" i="24"/>
  <c r="AH45" i="24"/>
  <c r="AI44" i="24"/>
  <c r="AH44" i="24"/>
  <c r="AI43" i="24"/>
  <c r="AH43" i="24"/>
  <c r="AI42" i="24"/>
  <c r="AH42" i="24"/>
  <c r="AI41" i="24"/>
  <c r="AH41" i="24"/>
  <c r="AI40" i="24"/>
  <c r="AH40" i="24"/>
  <c r="AI39" i="24"/>
  <c r="AH39" i="24"/>
  <c r="AI38" i="24"/>
  <c r="AH38" i="24"/>
  <c r="AI37" i="24"/>
  <c r="AH37" i="24"/>
  <c r="AI36" i="24"/>
  <c r="AH36" i="24"/>
  <c r="AI35" i="24"/>
  <c r="AH35" i="24"/>
  <c r="AI34" i="24"/>
  <c r="AH34" i="24"/>
  <c r="AI33" i="24"/>
  <c r="AH33" i="24"/>
  <c r="AI32" i="24"/>
  <c r="AH32" i="24"/>
  <c r="AI31" i="24"/>
  <c r="AH31" i="24"/>
  <c r="AI30" i="24"/>
  <c r="AH30" i="24"/>
  <c r="AI29" i="24"/>
  <c r="AH29" i="24"/>
  <c r="AI28" i="24"/>
  <c r="AH28" i="24"/>
  <c r="AI27" i="24"/>
  <c r="AH27" i="24"/>
  <c r="AI26" i="24"/>
  <c r="AH26" i="24"/>
  <c r="AI25" i="24"/>
  <c r="AH25" i="24"/>
  <c r="AI24" i="24"/>
  <c r="AH24" i="24"/>
  <c r="AX23" i="24"/>
  <c r="AI23" i="24"/>
  <c r="AH23" i="24"/>
  <c r="AI22" i="24"/>
  <c r="AH22" i="24"/>
  <c r="AX21" i="24"/>
  <c r="AW21" i="24"/>
  <c r="AV21" i="24"/>
  <c r="AU21" i="24"/>
  <c r="AT21" i="24"/>
  <c r="AS21" i="24"/>
  <c r="AR21" i="24"/>
  <c r="AQ21" i="24"/>
  <c r="AP21" i="24"/>
  <c r="AO21" i="24"/>
  <c r="AN21" i="24"/>
  <c r="AM21" i="24"/>
  <c r="AI21" i="24"/>
  <c r="AH21" i="24"/>
  <c r="AX20" i="24"/>
  <c r="AW20" i="24"/>
  <c r="AU20" i="24"/>
  <c r="AT20" i="24"/>
  <c r="AS20" i="24"/>
  <c r="AR20" i="24"/>
  <c r="AP20" i="24"/>
  <c r="AI20" i="24"/>
  <c r="AH20" i="24"/>
  <c r="AX19" i="24"/>
  <c r="AW19" i="24"/>
  <c r="AV19" i="24"/>
  <c r="AI19" i="24"/>
  <c r="AH19" i="24"/>
  <c r="AX18" i="24"/>
  <c r="AW18" i="24"/>
  <c r="AV18" i="24"/>
  <c r="AU18" i="24"/>
  <c r="AR18" i="24"/>
  <c r="AO18" i="24"/>
  <c r="AM18" i="24"/>
  <c r="AI18" i="24"/>
  <c r="AH18" i="24"/>
  <c r="AW17" i="24"/>
  <c r="AT17" i="24"/>
  <c r="AQ17" i="24"/>
  <c r="AP17" i="24"/>
  <c r="AI17" i="24"/>
  <c r="AH17" i="24"/>
  <c r="AW16" i="24"/>
  <c r="AT16" i="24"/>
  <c r="AR16" i="24"/>
  <c r="AQ16" i="24"/>
  <c r="AO16" i="24"/>
  <c r="AM16" i="24"/>
  <c r="AI16" i="24"/>
  <c r="AH16" i="24"/>
  <c r="AI15" i="24"/>
  <c r="AH15" i="24"/>
  <c r="AI14" i="24"/>
  <c r="AH14" i="24"/>
  <c r="AI13" i="24"/>
  <c r="AH13" i="24"/>
  <c r="AL12" i="24"/>
  <c r="AI12" i="24"/>
  <c r="AH12" i="24"/>
  <c r="AI11" i="24"/>
  <c r="AH11" i="24"/>
  <c r="R5" i="24"/>
  <c r="Q5" i="24"/>
  <c r="P5" i="24"/>
  <c r="O5" i="24"/>
  <c r="N5" i="24"/>
  <c r="M5" i="24"/>
  <c r="D5" i="24"/>
  <c r="B5" i="24"/>
  <c r="AG4" i="24"/>
  <c r="K4" i="24"/>
  <c r="E4" i="24"/>
  <c r="H4" i="24" s="1"/>
  <c r="B4" i="24"/>
  <c r="D258" i="24" s="1"/>
  <c r="AG2" i="24"/>
  <c r="AE246" i="28" l="1"/>
  <c r="AD252" i="28"/>
  <c r="Z252" i="27"/>
  <c r="AA246" i="27"/>
  <c r="U118" i="26"/>
  <c r="V246" i="26"/>
  <c r="U252" i="26"/>
  <c r="O252" i="25"/>
  <c r="O118" i="25"/>
  <c r="P246" i="25"/>
  <c r="AD97" i="24"/>
  <c r="AD99" i="24" s="1"/>
  <c r="AC97" i="24"/>
  <c r="AC99" i="24" s="1"/>
  <c r="AB107" i="24"/>
  <c r="AA107" i="24"/>
  <c r="W97" i="24"/>
  <c r="W99" i="24" s="1"/>
  <c r="V97" i="24"/>
  <c r="V99" i="24" s="1"/>
  <c r="U97" i="24"/>
  <c r="U99" i="24" s="1"/>
  <c r="J107" i="24"/>
  <c r="X107" i="24"/>
  <c r="X108" i="24" s="1"/>
  <c r="AF107" i="24"/>
  <c r="AF108" i="24" s="1"/>
  <c r="Y97" i="24"/>
  <c r="Y99" i="24" s="1"/>
  <c r="Y100" i="24" s="1"/>
  <c r="Y7" i="24" s="1"/>
  <c r="AG97" i="24"/>
  <c r="AG6" i="24"/>
  <c r="Z97" i="24"/>
  <c r="Z99" i="24" s="1"/>
  <c r="Z107" i="24"/>
  <c r="Z108" i="24" s="1"/>
  <c r="Y107" i="24"/>
  <c r="AA108" i="24"/>
  <c r="AE97" i="24"/>
  <c r="AE99" i="24" s="1"/>
  <c r="AF97" i="24"/>
  <c r="AF99" i="24" s="1"/>
  <c r="AF100" i="24" s="1"/>
  <c r="AF7" i="24" s="1"/>
  <c r="S107" i="24"/>
  <c r="S108" i="24" s="1"/>
  <c r="Z5" i="24"/>
  <c r="AW22" i="24"/>
  <c r="AU19" i="24"/>
  <c r="L107" i="24"/>
  <c r="M97" i="24"/>
  <c r="M99" i="24" s="1"/>
  <c r="AU16" i="24"/>
  <c r="K107" i="24"/>
  <c r="AT23" i="24" s="1"/>
  <c r="J5" i="24"/>
  <c r="AT19" i="24"/>
  <c r="J108" i="24"/>
  <c r="I5" i="24"/>
  <c r="J97" i="24"/>
  <c r="J99" i="24" s="1"/>
  <c r="J100" i="24" s="1"/>
  <c r="J7" i="24" s="1"/>
  <c r="AH103" i="24"/>
  <c r="I107" i="24"/>
  <c r="AS23" i="24" s="1"/>
  <c r="H5" i="24"/>
  <c r="I97" i="24"/>
  <c r="I99" i="24" s="1"/>
  <c r="AS22" i="24"/>
  <c r="H107" i="24"/>
  <c r="H108" i="24" s="1"/>
  <c r="G5" i="24"/>
  <c r="H97" i="24"/>
  <c r="H99" i="24" s="1"/>
  <c r="G97" i="24"/>
  <c r="G99" i="24" s="1"/>
  <c r="AR19" i="24"/>
  <c r="AR22" i="24" s="1"/>
  <c r="AI102" i="24"/>
  <c r="AQ19" i="24"/>
  <c r="E97" i="24"/>
  <c r="E99" i="24" s="1"/>
  <c r="C5" i="24"/>
  <c r="D107" i="24"/>
  <c r="AO23" i="24" s="1"/>
  <c r="AI62" i="24"/>
  <c r="AI103" i="24"/>
  <c r="BG84" i="24" a="1"/>
  <c r="BH102" i="24" s="1"/>
  <c r="C107" i="24"/>
  <c r="AN23" i="24" s="1"/>
  <c r="AH102" i="24"/>
  <c r="AI92" i="24"/>
  <c r="AN19" i="24"/>
  <c r="AN22" i="24" s="1"/>
  <c r="AN24" i="24" s="1"/>
  <c r="AH76" i="24"/>
  <c r="AI76" i="24"/>
  <c r="B108" i="24"/>
  <c r="AF5" i="24"/>
  <c r="AM19" i="24"/>
  <c r="AM22" i="24" s="1"/>
  <c r="B97" i="24"/>
  <c r="B99" i="24" s="1"/>
  <c r="B100" i="24" s="1"/>
  <c r="AO22" i="24"/>
  <c r="AO24" i="24" s="1"/>
  <c r="AQ22" i="24"/>
  <c r="AT22" i="24"/>
  <c r="AT24" i="24" s="1"/>
  <c r="F97" i="24"/>
  <c r="F99" i="24" s="1"/>
  <c r="AH101" i="24"/>
  <c r="AH104" i="24"/>
  <c r="D252" i="24"/>
  <c r="D118" i="24"/>
  <c r="E246" i="24"/>
  <c r="AP16" i="24"/>
  <c r="AP22" i="24" s="1"/>
  <c r="AX16" i="24"/>
  <c r="AX22" i="24" s="1"/>
  <c r="AX24" i="24" s="1"/>
  <c r="AZ75" i="24"/>
  <c r="L108" i="24"/>
  <c r="T108" i="24"/>
  <c r="AB108" i="24"/>
  <c r="E107" i="24"/>
  <c r="AP23" i="24" s="1"/>
  <c r="M107" i="24"/>
  <c r="AU23" i="24" s="1"/>
  <c r="U107" i="24"/>
  <c r="U100" i="24" s="1"/>
  <c r="U7" i="24" s="1"/>
  <c r="AC107" i="24"/>
  <c r="AC108" i="24" s="1"/>
  <c r="X97" i="24"/>
  <c r="X99" i="24" s="1"/>
  <c r="X100" i="24" s="1"/>
  <c r="X7" i="24" s="1"/>
  <c r="R7" i="24"/>
  <c r="Z100" i="24"/>
  <c r="Z7" i="24" s="1"/>
  <c r="AH58" i="24"/>
  <c r="AH62" i="24"/>
  <c r="F107" i="24"/>
  <c r="V107" i="24"/>
  <c r="V108" i="24" s="1"/>
  <c r="AD107" i="24"/>
  <c r="AD108" i="24" s="1"/>
  <c r="C97" i="24"/>
  <c r="C99" i="24" s="1"/>
  <c r="C100" i="24" s="1"/>
  <c r="C7" i="24" s="1"/>
  <c r="K97" i="24"/>
  <c r="K99" i="24" s="1"/>
  <c r="S97" i="24"/>
  <c r="S99" i="24" s="1"/>
  <c r="S100" i="24" s="1"/>
  <c r="S7" i="24" s="1"/>
  <c r="AA97" i="24"/>
  <c r="AA99" i="24" s="1"/>
  <c r="AA100" i="24" s="1"/>
  <c r="AA7" i="24" s="1"/>
  <c r="AI58" i="24"/>
  <c r="G107" i="24"/>
  <c r="AR23" i="24" s="1"/>
  <c r="AW23" i="24"/>
  <c r="AW24" i="24" s="1"/>
  <c r="W107" i="24"/>
  <c r="W100" i="24" s="1"/>
  <c r="W7" i="24" s="1"/>
  <c r="AE107" i="24"/>
  <c r="AE108" i="24" s="1"/>
  <c r="D97" i="24"/>
  <c r="D99" i="24" s="1"/>
  <c r="L97" i="24"/>
  <c r="L99" i="24" s="1"/>
  <c r="L100" i="24" s="1"/>
  <c r="L7" i="24" s="1"/>
  <c r="T97" i="24"/>
  <c r="T99" i="24" s="1"/>
  <c r="T100" i="24" s="1"/>
  <c r="T7" i="24" s="1"/>
  <c r="AB97" i="24"/>
  <c r="AB99" i="24" s="1"/>
  <c r="AB100" i="24" s="1"/>
  <c r="AB7" i="24" s="1"/>
  <c r="AH80" i="24"/>
  <c r="AI80" i="24"/>
  <c r="Y108" i="24"/>
  <c r="AI105" i="24"/>
  <c r="AL13" i="24"/>
  <c r="AV16" i="24"/>
  <c r="AV22" i="24" s="1"/>
  <c r="AH92" i="24"/>
  <c r="AI101" i="24"/>
  <c r="AI104" i="24"/>
  <c r="AH105" i="24"/>
  <c r="AF58" i="23"/>
  <c r="AF62" i="23"/>
  <c r="AF76" i="23"/>
  <c r="AF80" i="23"/>
  <c r="AF92" i="23"/>
  <c r="AF101" i="23"/>
  <c r="AF107" i="23" s="1"/>
  <c r="AF102" i="23"/>
  <c r="AF103" i="23"/>
  <c r="AF104" i="23"/>
  <c r="AF105" i="23"/>
  <c r="AF118" i="23"/>
  <c r="AF246" i="28" l="1"/>
  <c r="AE252" i="28"/>
  <c r="AA252" i="27"/>
  <c r="AA118" i="27"/>
  <c r="AB246" i="27"/>
  <c r="W246" i="26"/>
  <c r="V252" i="26"/>
  <c r="V118" i="26"/>
  <c r="Q246" i="25"/>
  <c r="P252" i="25"/>
  <c r="AE100" i="24"/>
  <c r="AE7" i="24" s="1"/>
  <c r="AU22" i="24"/>
  <c r="D100" i="24"/>
  <c r="D7" i="24" s="1"/>
  <c r="K100" i="24"/>
  <c r="K7" i="24" s="1"/>
  <c r="C108" i="24"/>
  <c r="D108" i="24"/>
  <c r="I108" i="24"/>
  <c r="AD100" i="24"/>
  <c r="AD7" i="24" s="1"/>
  <c r="I100" i="24"/>
  <c r="I7" i="24" s="1"/>
  <c r="K108" i="24"/>
  <c r="AU24" i="24"/>
  <c r="M108" i="24"/>
  <c r="AS24" i="24"/>
  <c r="H100" i="24"/>
  <c r="H7" i="24" s="1"/>
  <c r="AR24" i="24"/>
  <c r="E108" i="24"/>
  <c r="E100" i="24"/>
  <c r="E7" i="24" s="1"/>
  <c r="BK90" i="24"/>
  <c r="BI89" i="24"/>
  <c r="BG93" i="24"/>
  <c r="BI86" i="24"/>
  <c r="BH97" i="24"/>
  <c r="BJ89" i="24"/>
  <c r="BG87" i="24"/>
  <c r="BJ84" i="24"/>
  <c r="BL92" i="24"/>
  <c r="BG96" i="24"/>
  <c r="BJ90" i="24"/>
  <c r="BH105" i="24"/>
  <c r="BG99" i="24"/>
  <c r="BJ96" i="24"/>
  <c r="BH94" i="24"/>
  <c r="BK100" i="24"/>
  <c r="BI98" i="24"/>
  <c r="BK98" i="24"/>
  <c r="BI99" i="24"/>
  <c r="BK91" i="24"/>
  <c r="BJ98" i="24"/>
  <c r="BI103" i="24"/>
  <c r="BI97" i="24"/>
  <c r="BJ106" i="24"/>
  <c r="BH92" i="24"/>
  <c r="BL102" i="24"/>
  <c r="BK89" i="24"/>
  <c r="BI100" i="24"/>
  <c r="BH87" i="24"/>
  <c r="BL97" i="24"/>
  <c r="BL84" i="24"/>
  <c r="BJ95" i="24"/>
  <c r="BH106" i="24"/>
  <c r="BI90" i="24"/>
  <c r="BI101" i="24"/>
  <c r="BJ102" i="24"/>
  <c r="BK85" i="24"/>
  <c r="BJ104" i="24"/>
  <c r="BG98" i="24"/>
  <c r="BK96" i="24"/>
  <c r="BL99" i="24"/>
  <c r="BJ101" i="24"/>
  <c r="BG102" i="24"/>
  <c r="BL107" i="24"/>
  <c r="BL96" i="24"/>
  <c r="BK92" i="24"/>
  <c r="BI106" i="24"/>
  <c r="BH88" i="24"/>
  <c r="BI96" i="24"/>
  <c r="BL93" i="24"/>
  <c r="BI93" i="24"/>
  <c r="BG92" i="24"/>
  <c r="BL105" i="24"/>
  <c r="BG104" i="24"/>
  <c r="BG101" i="24"/>
  <c r="BI102" i="24"/>
  <c r="BI94" i="24"/>
  <c r="BG105" i="24"/>
  <c r="BK106" i="24"/>
  <c r="BG100" i="24"/>
  <c r="BJ93" i="24"/>
  <c r="BH104" i="24"/>
  <c r="BG91" i="24"/>
  <c r="BK101" i="24"/>
  <c r="BJ88" i="24"/>
  <c r="BH99" i="24"/>
  <c r="BH86" i="24"/>
  <c r="BJ107" i="24"/>
  <c r="BK84" i="24"/>
  <c r="BK107" i="24"/>
  <c r="BK104" i="24"/>
  <c r="BI105" i="24"/>
  <c r="BG106" i="24"/>
  <c r="BG97" i="24"/>
  <c r="BJ86" i="24"/>
  <c r="BL95" i="24"/>
  <c r="BK103" i="24"/>
  <c r="BH84" i="24"/>
  <c r="BL94" i="24"/>
  <c r="BJ105" i="24"/>
  <c r="BI92" i="24"/>
  <c r="BG103" i="24"/>
  <c r="BL89" i="24"/>
  <c r="BJ100" i="24"/>
  <c r="BJ87" i="24"/>
  <c r="BH98" i="24"/>
  <c r="BJ99" i="24"/>
  <c r="BI91" i="24"/>
  <c r="BJ94" i="24"/>
  <c r="BL98" i="24"/>
  <c r="BG107" i="24"/>
  <c r="BJ91" i="24"/>
  <c r="BI95" i="24"/>
  <c r="BG94" i="24"/>
  <c r="BH85" i="24"/>
  <c r="BL103" i="24"/>
  <c r="BH100" i="24"/>
  <c r="BK97" i="24"/>
  <c r="BH95" i="24"/>
  <c r="BJ103" i="24"/>
  <c r="BK95" i="24"/>
  <c r="BG89" i="24"/>
  <c r="BK94" i="24"/>
  <c r="BL90" i="24"/>
  <c r="BI88" i="24"/>
  <c r="BL85" i="24"/>
  <c r="BH107" i="24"/>
  <c r="BL104" i="24"/>
  <c r="BI87" i="24"/>
  <c r="BG85" i="24"/>
  <c r="BI85" i="24"/>
  <c r="BG86" i="24"/>
  <c r="BL87" i="24"/>
  <c r="BK99" i="24"/>
  <c r="BH89" i="24"/>
  <c r="BG84" i="24"/>
  <c r="BI107" i="24"/>
  <c r="BJ85" i="24"/>
  <c r="BH96" i="24"/>
  <c r="BL106" i="24"/>
  <c r="BK93" i="24"/>
  <c r="BI104" i="24"/>
  <c r="BH91" i="24"/>
  <c r="BL101" i="24"/>
  <c r="BL88" i="24"/>
  <c r="BG90" i="24"/>
  <c r="BK87" i="24"/>
  <c r="BG88" i="24"/>
  <c r="BK88" i="24"/>
  <c r="BH93" i="24"/>
  <c r="BK102" i="24"/>
  <c r="BL91" i="24"/>
  <c r="BK86" i="24"/>
  <c r="BH101" i="24"/>
  <c r="BL86" i="24"/>
  <c r="BJ97" i="24"/>
  <c r="BI84" i="24"/>
  <c r="BG95" i="24"/>
  <c r="BK105" i="24"/>
  <c r="BJ92" i="24"/>
  <c r="BH103" i="24"/>
  <c r="BH90" i="24"/>
  <c r="BL100" i="24"/>
  <c r="AV23" i="24"/>
  <c r="AV24" i="24" s="1"/>
  <c r="F108" i="24"/>
  <c r="AQ23" i="24"/>
  <c r="AI107" i="24"/>
  <c r="AH107" i="24"/>
  <c r="AM23" i="24"/>
  <c r="AM24" i="24" s="1"/>
  <c r="O7" i="24"/>
  <c r="W108" i="24"/>
  <c r="AH97" i="24"/>
  <c r="B256" i="24"/>
  <c r="AP24" i="24"/>
  <c r="V100" i="24"/>
  <c r="V7" i="24" s="1"/>
  <c r="AC100" i="24"/>
  <c r="AC7" i="24" s="1"/>
  <c r="AT8" i="24"/>
  <c r="U108" i="24"/>
  <c r="AI97" i="24"/>
  <c r="C256" i="24"/>
  <c r="F246" i="24"/>
  <c r="E118" i="24"/>
  <c r="E252" i="24"/>
  <c r="N7" i="24"/>
  <c r="G108" i="24"/>
  <c r="AH99" i="24"/>
  <c r="AI99" i="24"/>
  <c r="F100" i="24"/>
  <c r="F7" i="24" s="1"/>
  <c r="AQ24" i="24"/>
  <c r="G100" i="24"/>
  <c r="G7" i="24" s="1"/>
  <c r="M100" i="24"/>
  <c r="M7" i="24" s="1"/>
  <c r="AF108" i="23"/>
  <c r="AF97" i="23"/>
  <c r="AF99" i="23" s="1"/>
  <c r="AF100" i="23" s="1"/>
  <c r="AF252" i="28" l="1"/>
  <c r="B246" i="28"/>
  <c r="AB252" i="27"/>
  <c r="AB118" i="27"/>
  <c r="AC246" i="27"/>
  <c r="X246" i="26"/>
  <c r="W118" i="26"/>
  <c r="W252" i="26"/>
  <c r="Q252" i="25"/>
  <c r="Q118" i="25"/>
  <c r="R246" i="25"/>
  <c r="AH108" i="24"/>
  <c r="G246" i="24"/>
  <c r="F252" i="24"/>
  <c r="F118" i="24"/>
  <c r="K6" i="24"/>
  <c r="AI108" i="24"/>
  <c r="AI100" i="24"/>
  <c r="AH100" i="24"/>
  <c r="B7" i="24"/>
  <c r="A7" i="24" s="1"/>
  <c r="AT9" i="24"/>
  <c r="B252" i="28" l="1"/>
  <c r="AC118" i="27"/>
  <c r="AD246" i="27"/>
  <c r="AC252" i="27"/>
  <c r="Y246" i="26"/>
  <c r="X252" i="26"/>
  <c r="X118" i="26"/>
  <c r="R118" i="25"/>
  <c r="S246" i="25"/>
  <c r="R252" i="25"/>
  <c r="H246" i="24"/>
  <c r="G118" i="24"/>
  <c r="G252" i="24"/>
  <c r="AI118" i="28" l="1"/>
  <c r="AH118" i="28"/>
  <c r="AE246" i="27"/>
  <c r="AD252" i="27"/>
  <c r="AD118" i="27"/>
  <c r="Y252" i="26"/>
  <c r="Z246" i="26"/>
  <c r="S252" i="25"/>
  <c r="S118" i="25"/>
  <c r="T246" i="25"/>
  <c r="I246" i="24"/>
  <c r="H252" i="24"/>
  <c r="H118" i="24"/>
  <c r="AF246" i="27" l="1"/>
  <c r="AE252" i="27"/>
  <c r="Z252" i="26"/>
  <c r="AA246" i="26"/>
  <c r="T252" i="25"/>
  <c r="U246" i="25"/>
  <c r="T118" i="25"/>
  <c r="I252" i="24"/>
  <c r="I118" i="24"/>
  <c r="J246" i="24"/>
  <c r="B246" i="27" l="1"/>
  <c r="B118" i="27" s="1"/>
  <c r="AF252" i="27"/>
  <c r="AF118" i="27"/>
  <c r="AA252" i="26"/>
  <c r="AA118" i="26"/>
  <c r="AB246" i="26"/>
  <c r="U118" i="25"/>
  <c r="V246" i="25"/>
  <c r="U252" i="25"/>
  <c r="J252" i="24"/>
  <c r="J118" i="24"/>
  <c r="K246" i="24"/>
  <c r="B252" i="27" l="1"/>
  <c r="AB252" i="26"/>
  <c r="AC246" i="26"/>
  <c r="V252" i="25"/>
  <c r="W246" i="25"/>
  <c r="V118" i="25"/>
  <c r="K252" i="24"/>
  <c r="K118" i="24"/>
  <c r="L246" i="24"/>
  <c r="L118" i="24" s="1"/>
  <c r="AI118" i="27" l="1"/>
  <c r="AH118" i="27"/>
  <c r="AD246" i="26"/>
  <c r="AC252" i="26"/>
  <c r="W118" i="25"/>
  <c r="W252" i="25"/>
  <c r="X246" i="25"/>
  <c r="L252" i="24"/>
  <c r="M246" i="24"/>
  <c r="AE246" i="26" l="1"/>
  <c r="AD252" i="26"/>
  <c r="Y246" i="25"/>
  <c r="X118" i="25"/>
  <c r="X252" i="25"/>
  <c r="N246" i="24"/>
  <c r="N118" i="24" s="1"/>
  <c r="M118" i="24"/>
  <c r="M252" i="24"/>
  <c r="AF246" i="26" l="1"/>
  <c r="AE252" i="26"/>
  <c r="Y252" i="25"/>
  <c r="Z246" i="25"/>
  <c r="O246" i="24"/>
  <c r="O118" i="24" s="1"/>
  <c r="N252" i="24"/>
  <c r="AF252" i="26" l="1"/>
  <c r="B246" i="26"/>
  <c r="AA246" i="25"/>
  <c r="Z252" i="25"/>
  <c r="P246" i="24"/>
  <c r="P118" i="24" s="1"/>
  <c r="O252" i="24"/>
  <c r="B252" i="26" l="1"/>
  <c r="B118" i="26"/>
  <c r="AA252" i="25"/>
  <c r="AB246" i="25"/>
  <c r="AA118" i="25"/>
  <c r="Q246" i="24"/>
  <c r="Q118" i="24" s="1"/>
  <c r="P252" i="24"/>
  <c r="AI118" i="26" l="1"/>
  <c r="AH118" i="26"/>
  <c r="AB252" i="25"/>
  <c r="AC246" i="25"/>
  <c r="AB118" i="25"/>
  <c r="Q252" i="24"/>
  <c r="R246" i="24"/>
  <c r="R118" i="24" s="1"/>
  <c r="AC118" i="25" l="1"/>
  <c r="AD246" i="25"/>
  <c r="AC252" i="25"/>
  <c r="R252" i="24"/>
  <c r="S246" i="24"/>
  <c r="AD252" i="25" l="1"/>
  <c r="AE246" i="25"/>
  <c r="AD118" i="25"/>
  <c r="S252" i="24"/>
  <c r="S118" i="24"/>
  <c r="T246" i="24"/>
  <c r="AE118" i="25" l="1"/>
  <c r="AE252" i="25"/>
  <c r="AF246" i="25"/>
  <c r="T252" i="24"/>
  <c r="T118" i="24"/>
  <c r="U246" i="24"/>
  <c r="B246" i="25" l="1"/>
  <c r="AF252" i="25"/>
  <c r="AF118" i="25"/>
  <c r="U118" i="24"/>
  <c r="V246" i="24"/>
  <c r="U252" i="24"/>
  <c r="U57" i="23"/>
  <c r="T57" i="23"/>
  <c r="S57" i="23"/>
  <c r="B118" i="25" l="1"/>
  <c r="B252" i="25"/>
  <c r="W246" i="24"/>
  <c r="V252" i="24"/>
  <c r="V118" i="24"/>
  <c r="AI118" i="25" l="1"/>
  <c r="AH118" i="25"/>
  <c r="X246" i="24"/>
  <c r="W118" i="24"/>
  <c r="W252" i="24"/>
  <c r="Y246" i="24" l="1"/>
  <c r="X252" i="24"/>
  <c r="X118" i="24"/>
  <c r="N58" i="23"/>
  <c r="N62" i="23"/>
  <c r="Y252" i="24" l="1"/>
  <c r="Z246" i="24"/>
  <c r="J121" i="23"/>
  <c r="K57" i="23"/>
  <c r="J57" i="23"/>
  <c r="Z252" i="24" l="1"/>
  <c r="AA246" i="24"/>
  <c r="AA252" i="24" l="1"/>
  <c r="AA118" i="24"/>
  <c r="AB246" i="24"/>
  <c r="AB252" i="24" l="1"/>
  <c r="AB118" i="24"/>
  <c r="AC246" i="24"/>
  <c r="I121" i="23"/>
  <c r="I57" i="23"/>
  <c r="H121" i="23"/>
  <c r="H57" i="23"/>
  <c r="G121" i="23"/>
  <c r="G57" i="23"/>
  <c r="F121" i="23"/>
  <c r="AH121" i="23" s="1"/>
  <c r="F57" i="23"/>
  <c r="E121" i="23"/>
  <c r="E57" i="23"/>
  <c r="D121" i="23"/>
  <c r="D57" i="23"/>
  <c r="D58" i="23"/>
  <c r="D62" i="23"/>
  <c r="AO17" i="23" s="1"/>
  <c r="AH125" i="23"/>
  <c r="AI125" i="23"/>
  <c r="AH124" i="23"/>
  <c r="AI124" i="23"/>
  <c r="C121" i="23"/>
  <c r="C57" i="23"/>
  <c r="C58" i="23"/>
  <c r="C62" i="23"/>
  <c r="AN17" i="23" s="1"/>
  <c r="C76" i="23"/>
  <c r="C80" i="23"/>
  <c r="C92" i="23"/>
  <c r="AN19" i="23" s="1"/>
  <c r="C101" i="23"/>
  <c r="C102" i="23"/>
  <c r="C103" i="23"/>
  <c r="C104" i="23"/>
  <c r="C105" i="23"/>
  <c r="B121" i="23"/>
  <c r="B57" i="23"/>
  <c r="B118" i="23"/>
  <c r="B105" i="23"/>
  <c r="B104" i="23"/>
  <c r="B103" i="23"/>
  <c r="B102" i="23"/>
  <c r="B101" i="23"/>
  <c r="B107" i="23" s="1"/>
  <c r="B92" i="23"/>
  <c r="B108" i="23" s="1"/>
  <c r="B80" i="23"/>
  <c r="AM20" i="23" s="1"/>
  <c r="B76" i="23"/>
  <c r="AM18" i="23" s="1"/>
  <c r="B62" i="23"/>
  <c r="AM17" i="23" s="1"/>
  <c r="B58" i="23"/>
  <c r="AG252" i="23"/>
  <c r="C252" i="23"/>
  <c r="G251" i="23"/>
  <c r="H251" i="23" s="1"/>
  <c r="I251" i="23" s="1"/>
  <c r="J251" i="23" s="1"/>
  <c r="K251" i="23" s="1"/>
  <c r="L251" i="23" s="1"/>
  <c r="M251" i="23" s="1"/>
  <c r="N251" i="23" s="1"/>
  <c r="O251" i="23" s="1"/>
  <c r="P251" i="23" s="1"/>
  <c r="Q251" i="23" s="1"/>
  <c r="R251" i="23" s="1"/>
  <c r="S251" i="23" s="1"/>
  <c r="T251" i="23" s="1"/>
  <c r="U251" i="23" s="1"/>
  <c r="V251" i="23" s="1"/>
  <c r="W251" i="23" s="1"/>
  <c r="X251" i="23" s="1"/>
  <c r="Y251" i="23" s="1"/>
  <c r="Z251" i="23" s="1"/>
  <c r="AA251" i="23" s="1"/>
  <c r="AB251" i="23" s="1"/>
  <c r="AC251" i="23" s="1"/>
  <c r="AD251" i="23" s="1"/>
  <c r="AE251" i="23" s="1"/>
  <c r="AF251" i="23" s="1"/>
  <c r="B251" i="23" s="1"/>
  <c r="D251" i="23"/>
  <c r="E251" i="23" s="1"/>
  <c r="F251" i="23" s="1"/>
  <c r="E250" i="23"/>
  <c r="F250" i="23" s="1"/>
  <c r="G250" i="23" s="1"/>
  <c r="H250" i="23" s="1"/>
  <c r="I250" i="23" s="1"/>
  <c r="J250" i="23" s="1"/>
  <c r="K250" i="23" s="1"/>
  <c r="L250" i="23" s="1"/>
  <c r="M250" i="23" s="1"/>
  <c r="N250" i="23" s="1"/>
  <c r="O250" i="23" s="1"/>
  <c r="P250" i="23" s="1"/>
  <c r="Q250" i="23" s="1"/>
  <c r="R250" i="23" s="1"/>
  <c r="S250" i="23" s="1"/>
  <c r="T250" i="23" s="1"/>
  <c r="U250" i="23" s="1"/>
  <c r="V250" i="23" s="1"/>
  <c r="W250" i="23" s="1"/>
  <c r="X250" i="23" s="1"/>
  <c r="Y250" i="23" s="1"/>
  <c r="Z250" i="23" s="1"/>
  <c r="AA250" i="23" s="1"/>
  <c r="AB250" i="23" s="1"/>
  <c r="AC250" i="23" s="1"/>
  <c r="AD250" i="23" s="1"/>
  <c r="AE250" i="23" s="1"/>
  <c r="AF250" i="23" s="1"/>
  <c r="B250" i="23" s="1"/>
  <c r="D250" i="23"/>
  <c r="H249" i="23"/>
  <c r="I249" i="23" s="1"/>
  <c r="J249" i="23" s="1"/>
  <c r="K249" i="23" s="1"/>
  <c r="L249" i="23" s="1"/>
  <c r="M249" i="23" s="1"/>
  <c r="N249" i="23" s="1"/>
  <c r="O249" i="23" s="1"/>
  <c r="P249" i="23" s="1"/>
  <c r="Q249" i="23" s="1"/>
  <c r="R249" i="23" s="1"/>
  <c r="S249" i="23" s="1"/>
  <c r="T249" i="23" s="1"/>
  <c r="U249" i="23" s="1"/>
  <c r="V249" i="23" s="1"/>
  <c r="W249" i="23" s="1"/>
  <c r="X249" i="23" s="1"/>
  <c r="Y249" i="23" s="1"/>
  <c r="Z249" i="23" s="1"/>
  <c r="AA249" i="23" s="1"/>
  <c r="AB249" i="23" s="1"/>
  <c r="AC249" i="23" s="1"/>
  <c r="AD249" i="23" s="1"/>
  <c r="AE249" i="23" s="1"/>
  <c r="AF249" i="23" s="1"/>
  <c r="B249" i="23" s="1"/>
  <c r="E249" i="23"/>
  <c r="F249" i="23" s="1"/>
  <c r="G249" i="23" s="1"/>
  <c r="D249" i="23"/>
  <c r="D248" i="23"/>
  <c r="E248" i="23" s="1"/>
  <c r="F248" i="23" s="1"/>
  <c r="G248" i="23" s="1"/>
  <c r="H248" i="23" s="1"/>
  <c r="I248" i="23" s="1"/>
  <c r="J248" i="23" s="1"/>
  <c r="K248" i="23" s="1"/>
  <c r="L248" i="23" s="1"/>
  <c r="M248" i="23" s="1"/>
  <c r="N248" i="23" s="1"/>
  <c r="O248" i="23" s="1"/>
  <c r="P248" i="23" s="1"/>
  <c r="Q248" i="23" s="1"/>
  <c r="R248" i="23" s="1"/>
  <c r="S248" i="23" s="1"/>
  <c r="T248" i="23" s="1"/>
  <c r="U248" i="23" s="1"/>
  <c r="V248" i="23" s="1"/>
  <c r="W248" i="23" s="1"/>
  <c r="X248" i="23" s="1"/>
  <c r="Y248" i="23" s="1"/>
  <c r="Z248" i="23" s="1"/>
  <c r="AA248" i="23" s="1"/>
  <c r="AB248" i="23" s="1"/>
  <c r="AC248" i="23" s="1"/>
  <c r="AD248" i="23" s="1"/>
  <c r="AE248" i="23" s="1"/>
  <c r="AF248" i="23" s="1"/>
  <c r="B248" i="23" s="1"/>
  <c r="D247" i="23"/>
  <c r="E247" i="23" s="1"/>
  <c r="F247" i="23" s="1"/>
  <c r="G247" i="23" s="1"/>
  <c r="H247" i="23" s="1"/>
  <c r="I247" i="23" s="1"/>
  <c r="J247" i="23" s="1"/>
  <c r="K247" i="23" s="1"/>
  <c r="L247" i="23" s="1"/>
  <c r="M247" i="23" s="1"/>
  <c r="N247" i="23" s="1"/>
  <c r="O247" i="23" s="1"/>
  <c r="P247" i="23" s="1"/>
  <c r="Q247" i="23" s="1"/>
  <c r="R247" i="23" s="1"/>
  <c r="S247" i="23" s="1"/>
  <c r="T247" i="23" s="1"/>
  <c r="U247" i="23" s="1"/>
  <c r="V247" i="23" s="1"/>
  <c r="W247" i="23" s="1"/>
  <c r="X247" i="23" s="1"/>
  <c r="Y247" i="23" s="1"/>
  <c r="Z247" i="23" s="1"/>
  <c r="AA247" i="23" s="1"/>
  <c r="AB247" i="23" s="1"/>
  <c r="AC247" i="23" s="1"/>
  <c r="AD247" i="23" s="1"/>
  <c r="AE247" i="23" s="1"/>
  <c r="AF247" i="23" s="1"/>
  <c r="B247" i="23" s="1"/>
  <c r="E246" i="23"/>
  <c r="F246" i="23" s="1"/>
  <c r="D246" i="23"/>
  <c r="D252" i="23" s="1"/>
  <c r="AG244" i="23"/>
  <c r="AF244" i="23"/>
  <c r="AE244" i="23"/>
  <c r="AD244" i="23"/>
  <c r="AC244" i="23"/>
  <c r="AB244" i="23"/>
  <c r="AA244" i="23"/>
  <c r="Z244" i="23"/>
  <c r="Z118" i="23" s="1"/>
  <c r="Y244" i="23"/>
  <c r="X244" i="23"/>
  <c r="W244" i="23"/>
  <c r="V244" i="23"/>
  <c r="U244" i="23"/>
  <c r="T244" i="23"/>
  <c r="S244" i="23"/>
  <c r="R244" i="23"/>
  <c r="Q244" i="23"/>
  <c r="P244" i="23"/>
  <c r="O244" i="23"/>
  <c r="N244" i="23"/>
  <c r="M244" i="23"/>
  <c r="L244" i="23"/>
  <c r="K244" i="23"/>
  <c r="J244" i="23"/>
  <c r="I244" i="23"/>
  <c r="H244" i="23"/>
  <c r="G244" i="23"/>
  <c r="F244" i="23"/>
  <c r="E244" i="23"/>
  <c r="D244" i="23"/>
  <c r="C244" i="23"/>
  <c r="B244" i="23"/>
  <c r="AI130" i="23"/>
  <c r="AH130" i="23"/>
  <c r="AI129" i="23"/>
  <c r="AH129" i="23"/>
  <c r="AI128" i="23"/>
  <c r="AH128" i="23"/>
  <c r="AI127" i="23"/>
  <c r="AH127" i="23"/>
  <c r="AI126" i="23"/>
  <c r="AH126" i="23"/>
  <c r="AI123" i="23"/>
  <c r="AH123" i="23"/>
  <c r="AI122" i="23"/>
  <c r="AH122" i="23"/>
  <c r="AI121" i="23"/>
  <c r="AI120" i="23"/>
  <c r="AH120" i="23"/>
  <c r="AI119" i="23"/>
  <c r="AH119" i="23"/>
  <c r="Y118" i="23"/>
  <c r="E118" i="23"/>
  <c r="C118" i="23"/>
  <c r="AI117" i="23"/>
  <c r="AH117" i="23"/>
  <c r="AI116" i="23"/>
  <c r="AH116" i="23"/>
  <c r="AI115" i="23"/>
  <c r="AH115" i="23"/>
  <c r="AI114" i="23"/>
  <c r="AH114" i="23"/>
  <c r="AI113" i="23"/>
  <c r="AH113" i="23"/>
  <c r="AI112" i="23"/>
  <c r="AH112" i="23"/>
  <c r="AI111" i="23"/>
  <c r="AH111" i="23"/>
  <c r="AI110" i="23"/>
  <c r="AH110" i="23"/>
  <c r="AI109" i="23"/>
  <c r="AH109" i="23"/>
  <c r="AI106" i="23"/>
  <c r="AH106" i="23"/>
  <c r="AE105" i="23"/>
  <c r="AC105" i="23"/>
  <c r="AB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AE104" i="23"/>
  <c r="AC104" i="23"/>
  <c r="AB104" i="23"/>
  <c r="AA104" i="23"/>
  <c r="Z104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AE103" i="23"/>
  <c r="AC103" i="23"/>
  <c r="AB103" i="23"/>
  <c r="AA103" i="23"/>
  <c r="Z103" i="23"/>
  <c r="Y103" i="23"/>
  <c r="X103" i="23"/>
  <c r="W103" i="23"/>
  <c r="V103" i="23"/>
  <c r="U103" i="23"/>
  <c r="T103" i="23"/>
  <c r="S103" i="23"/>
  <c r="R103" i="23"/>
  <c r="Q103" i="23"/>
  <c r="P103" i="23"/>
  <c r="O103" i="23"/>
  <c r="N103" i="23"/>
  <c r="M103" i="23"/>
  <c r="L103" i="23"/>
  <c r="K103" i="23"/>
  <c r="J103" i="23"/>
  <c r="I103" i="23"/>
  <c r="H103" i="23"/>
  <c r="G103" i="23"/>
  <c r="F103" i="23"/>
  <c r="E103" i="23"/>
  <c r="D103" i="23"/>
  <c r="AE102" i="23"/>
  <c r="AC102" i="23"/>
  <c r="AB102" i="23"/>
  <c r="AB107" i="23" s="1"/>
  <c r="AA102" i="23"/>
  <c r="Z102" i="23"/>
  <c r="Y102" i="23"/>
  <c r="X102" i="23"/>
  <c r="W102" i="23"/>
  <c r="V102" i="23"/>
  <c r="U102" i="23"/>
  <c r="T102" i="23"/>
  <c r="S102" i="23"/>
  <c r="R102" i="23"/>
  <c r="Q102" i="23"/>
  <c r="P102" i="23"/>
  <c r="O102" i="23"/>
  <c r="N102" i="23"/>
  <c r="M102" i="23"/>
  <c r="L102" i="23"/>
  <c r="K102" i="23"/>
  <c r="J102" i="23"/>
  <c r="I102" i="23"/>
  <c r="H102" i="23"/>
  <c r="G102" i="23"/>
  <c r="F102" i="23"/>
  <c r="E102" i="23"/>
  <c r="D102" i="23"/>
  <c r="D107" i="23" s="1"/>
  <c r="AO23" i="23" s="1"/>
  <c r="AE101" i="23"/>
  <c r="AC101" i="23"/>
  <c r="AC107" i="23" s="1"/>
  <c r="AB101" i="23"/>
  <c r="AA101" i="23"/>
  <c r="Z101" i="23"/>
  <c r="Y101" i="23"/>
  <c r="X101" i="23"/>
  <c r="W101" i="23"/>
  <c r="V101" i="23"/>
  <c r="U101" i="23"/>
  <c r="U107" i="23" s="1"/>
  <c r="T101" i="23"/>
  <c r="S101" i="23"/>
  <c r="R101" i="23"/>
  <c r="Q101" i="23"/>
  <c r="P101" i="23"/>
  <c r="O101" i="23"/>
  <c r="N101" i="23"/>
  <c r="M101" i="23"/>
  <c r="L101" i="23"/>
  <c r="K101" i="23"/>
  <c r="J101" i="23"/>
  <c r="J107" i="23" s="1"/>
  <c r="I101" i="23"/>
  <c r="H101" i="23"/>
  <c r="G101" i="23"/>
  <c r="F101" i="23"/>
  <c r="E101" i="23"/>
  <c r="D101" i="23"/>
  <c r="AI98" i="23"/>
  <c r="AH98" i="23"/>
  <c r="AI96" i="23"/>
  <c r="AH96" i="23"/>
  <c r="AG96" i="23"/>
  <c r="AI95" i="23"/>
  <c r="AH95" i="23"/>
  <c r="AI94" i="23"/>
  <c r="AH94" i="23"/>
  <c r="AI93" i="23"/>
  <c r="AH93" i="23"/>
  <c r="AG92" i="23"/>
  <c r="AE92" i="23"/>
  <c r="AD5" i="23" s="1"/>
  <c r="AC92" i="23"/>
  <c r="AC108" i="23" s="1"/>
  <c r="AB92" i="23"/>
  <c r="AA92" i="23"/>
  <c r="Z5" i="23" s="1"/>
  <c r="Z92" i="23"/>
  <c r="Y5" i="23" s="1"/>
  <c r="Y92" i="23"/>
  <c r="X5" i="23" s="1"/>
  <c r="X92" i="23"/>
  <c r="W5" i="23" s="1"/>
  <c r="W92" i="23"/>
  <c r="V5" i="23" s="1"/>
  <c r="V92" i="23"/>
  <c r="U5" i="23" s="1"/>
  <c r="U92" i="23"/>
  <c r="T92" i="23"/>
  <c r="S5" i="23" s="1"/>
  <c r="S92" i="23"/>
  <c r="R5" i="23" s="1"/>
  <c r="R92" i="23"/>
  <c r="Q5" i="23" s="1"/>
  <c r="Q92" i="23"/>
  <c r="P5" i="23" s="1"/>
  <c r="P92" i="23"/>
  <c r="AX19" i="23" s="1"/>
  <c r="O92" i="23"/>
  <c r="N5" i="23" s="1"/>
  <c r="N92" i="23"/>
  <c r="M5" i="23" s="1"/>
  <c r="M92" i="23"/>
  <c r="L92" i="23"/>
  <c r="K92" i="23"/>
  <c r="J92" i="23"/>
  <c r="J108" i="23" s="1"/>
  <c r="I92" i="23"/>
  <c r="AS19" i="23" s="1"/>
  <c r="H92" i="23"/>
  <c r="G5" i="23" s="1"/>
  <c r="G92" i="23"/>
  <c r="AR19" i="23" s="1"/>
  <c r="F92" i="23"/>
  <c r="AQ19" i="23" s="1"/>
  <c r="E92" i="23"/>
  <c r="D92" i="23"/>
  <c r="C5" i="23" s="1"/>
  <c r="AI91" i="23"/>
  <c r="AH91" i="23"/>
  <c r="AI90" i="23"/>
  <c r="AH90" i="23"/>
  <c r="AI89" i="23"/>
  <c r="AH89" i="23"/>
  <c r="AI88" i="23"/>
  <c r="AH88" i="23"/>
  <c r="AI87" i="23"/>
  <c r="AH87" i="23"/>
  <c r="AI86" i="23"/>
  <c r="AH86" i="23"/>
  <c r="AI85" i="23"/>
  <c r="AH85" i="23"/>
  <c r="AI84" i="23"/>
  <c r="AH84" i="23"/>
  <c r="AI83" i="23"/>
  <c r="AH83" i="23"/>
  <c r="AI82" i="23"/>
  <c r="AH82" i="23"/>
  <c r="AI81" i="23"/>
  <c r="AH81" i="23"/>
  <c r="AG80" i="23"/>
  <c r="AE80" i="23"/>
  <c r="AC80" i="23"/>
  <c r="AB80" i="23"/>
  <c r="AA80" i="23"/>
  <c r="Z80" i="23"/>
  <c r="Y80" i="23"/>
  <c r="X80" i="23"/>
  <c r="W80" i="23"/>
  <c r="V80" i="23"/>
  <c r="U80" i="23"/>
  <c r="T80" i="23"/>
  <c r="S80" i="23"/>
  <c r="R80" i="23"/>
  <c r="Q80" i="23"/>
  <c r="P80" i="23"/>
  <c r="O80" i="23"/>
  <c r="N80" i="23"/>
  <c r="M80" i="23"/>
  <c r="L80" i="23"/>
  <c r="K80" i="23"/>
  <c r="J80" i="23"/>
  <c r="I80" i="23"/>
  <c r="H80" i="23"/>
  <c r="G80" i="23"/>
  <c r="F80" i="23"/>
  <c r="E80" i="23"/>
  <c r="AI80" i="23" s="1"/>
  <c r="D80" i="23"/>
  <c r="BT79" i="23"/>
  <c r="AI79" i="23"/>
  <c r="AH79" i="23"/>
  <c r="BS78" i="23"/>
  <c r="BM78" i="23"/>
  <c r="AI78" i="23"/>
  <c r="AH78" i="23"/>
  <c r="AI77" i="23"/>
  <c r="AH77" i="23"/>
  <c r="BQ76" i="23"/>
  <c r="BJ76" i="23"/>
  <c r="BG76" i="23"/>
  <c r="AE76" i="23"/>
  <c r="AC76" i="23"/>
  <c r="AB76" i="23"/>
  <c r="AA76" i="23"/>
  <c r="Z76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AV18" i="23" s="1"/>
  <c r="M76" i="23"/>
  <c r="AU18" i="23" s="1"/>
  <c r="L76" i="23"/>
  <c r="K76" i="23"/>
  <c r="AT18" i="23" s="1"/>
  <c r="J76" i="23"/>
  <c r="I76" i="23"/>
  <c r="AS18" i="23" s="1"/>
  <c r="H76" i="23"/>
  <c r="G76" i="23"/>
  <c r="AR18" i="23" s="1"/>
  <c r="F76" i="23"/>
  <c r="AQ18" i="23" s="1"/>
  <c r="E76" i="23"/>
  <c r="D76" i="23"/>
  <c r="AO18" i="23" s="1"/>
  <c r="BU75" i="23"/>
  <c r="BS75" i="23"/>
  <c r="BC75" i="23"/>
  <c r="AI75" i="23"/>
  <c r="AH75" i="23"/>
  <c r="AG75" i="23"/>
  <c r="AG76" i="23" s="1"/>
  <c r="AG3" i="23" s="1"/>
  <c r="AI74" i="23"/>
  <c r="AH74" i="23"/>
  <c r="BW73" i="23"/>
  <c r="BW80" i="23" s="1"/>
  <c r="BV73" i="23"/>
  <c r="BV80" i="23" s="1"/>
  <c r="BU73" i="23"/>
  <c r="BU80" i="23" s="1"/>
  <c r="BT73" i="23"/>
  <c r="BT80" i="23" s="1"/>
  <c r="BS73" i="23"/>
  <c r="BS80" i="23" s="1"/>
  <c r="BR73" i="23"/>
  <c r="BR80" i="23" s="1"/>
  <c r="BQ73" i="23"/>
  <c r="BQ80" i="23" s="1"/>
  <c r="BP73" i="23"/>
  <c r="BP80" i="23" s="1"/>
  <c r="BO73" i="23"/>
  <c r="BO80" i="23" s="1"/>
  <c r="BN73" i="23"/>
  <c r="BN80" i="23" s="1"/>
  <c r="BM73" i="23"/>
  <c r="BM80" i="23" s="1"/>
  <c r="BL73" i="23"/>
  <c r="BL80" i="23" s="1"/>
  <c r="BK73" i="23"/>
  <c r="BK80" i="23" s="1"/>
  <c r="BJ73" i="23"/>
  <c r="BJ80" i="23" s="1"/>
  <c r="BI73" i="23"/>
  <c r="BI80" i="23" s="1"/>
  <c r="BH73" i="23"/>
  <c r="BH80" i="23" s="1"/>
  <c r="BG73" i="23"/>
  <c r="BG80" i="23" s="1"/>
  <c r="BF73" i="23"/>
  <c r="BF80" i="23" s="1"/>
  <c r="BE73" i="23"/>
  <c r="BE80" i="23" s="1"/>
  <c r="BD73" i="23"/>
  <c r="BD80" i="23" s="1"/>
  <c r="BC73" i="23"/>
  <c r="BC80" i="23" s="1"/>
  <c r="BB73" i="23"/>
  <c r="BB80" i="23" s="1"/>
  <c r="BA73" i="23"/>
  <c r="BA80" i="23" s="1"/>
  <c r="AZ73" i="23"/>
  <c r="AZ80" i="23" s="1"/>
  <c r="AI73" i="23"/>
  <c r="AH73" i="23"/>
  <c r="BW72" i="23"/>
  <c r="BW79" i="23" s="1"/>
  <c r="BV72" i="23"/>
  <c r="BV79" i="23" s="1"/>
  <c r="BU72" i="23"/>
  <c r="BU79" i="23" s="1"/>
  <c r="BT72" i="23"/>
  <c r="BS72" i="23"/>
  <c r="BS79" i="23" s="1"/>
  <c r="BR72" i="23"/>
  <c r="BR79" i="23" s="1"/>
  <c r="BQ72" i="23"/>
  <c r="BQ79" i="23" s="1"/>
  <c r="BP72" i="23"/>
  <c r="BP79" i="23" s="1"/>
  <c r="BO72" i="23"/>
  <c r="BO79" i="23" s="1"/>
  <c r="BN72" i="23"/>
  <c r="BN79" i="23" s="1"/>
  <c r="BM72" i="23"/>
  <c r="BM79" i="23" s="1"/>
  <c r="BL72" i="23"/>
  <c r="BL79" i="23" s="1"/>
  <c r="BK72" i="23"/>
  <c r="BK79" i="23" s="1"/>
  <c r="BJ72" i="23"/>
  <c r="BJ79" i="23" s="1"/>
  <c r="BI72" i="23"/>
  <c r="BI79" i="23" s="1"/>
  <c r="BH72" i="23"/>
  <c r="BH79" i="23" s="1"/>
  <c r="BG72" i="23"/>
  <c r="BG79" i="23" s="1"/>
  <c r="BF72" i="23"/>
  <c r="BF79" i="23" s="1"/>
  <c r="BE72" i="23"/>
  <c r="BE79" i="23" s="1"/>
  <c r="BD72" i="23"/>
  <c r="BD79" i="23" s="1"/>
  <c r="BC72" i="23"/>
  <c r="BC79" i="23" s="1"/>
  <c r="BB72" i="23"/>
  <c r="BB79" i="23" s="1"/>
  <c r="BA72" i="23"/>
  <c r="BA79" i="23" s="1"/>
  <c r="AZ72" i="23"/>
  <c r="AZ79" i="23" s="1"/>
  <c r="AI72" i="23"/>
  <c r="AH72" i="23"/>
  <c r="BW71" i="23"/>
  <c r="BW78" i="23" s="1"/>
  <c r="BV71" i="23"/>
  <c r="BV78" i="23" s="1"/>
  <c r="BU71" i="23"/>
  <c r="BU78" i="23" s="1"/>
  <c r="BT71" i="23"/>
  <c r="BT78" i="23" s="1"/>
  <c r="BS71" i="23"/>
  <c r="BR71" i="23"/>
  <c r="BR78" i="23" s="1"/>
  <c r="BQ71" i="23"/>
  <c r="BQ78" i="23" s="1"/>
  <c r="BP71" i="23"/>
  <c r="BP78" i="23" s="1"/>
  <c r="BO71" i="23"/>
  <c r="BO78" i="23" s="1"/>
  <c r="BN71" i="23"/>
  <c r="BN78" i="23" s="1"/>
  <c r="BM71" i="23"/>
  <c r="BL71" i="23"/>
  <c r="BL78" i="23" s="1"/>
  <c r="BK71" i="23"/>
  <c r="BK78" i="23" s="1"/>
  <c r="BJ71" i="23"/>
  <c r="BJ78" i="23" s="1"/>
  <c r="BI71" i="23"/>
  <c r="BI78" i="23" s="1"/>
  <c r="BH71" i="23"/>
  <c r="BH78" i="23" s="1"/>
  <c r="BG71" i="23"/>
  <c r="BG78" i="23" s="1"/>
  <c r="BF71" i="23"/>
  <c r="BF78" i="23" s="1"/>
  <c r="BE71" i="23"/>
  <c r="BE78" i="23" s="1"/>
  <c r="BD71" i="23"/>
  <c r="BD78" i="23" s="1"/>
  <c r="BC71" i="23"/>
  <c r="BC78" i="23" s="1"/>
  <c r="BB71" i="23"/>
  <c r="BB78" i="23" s="1"/>
  <c r="BA71" i="23"/>
  <c r="BA78" i="23" s="1"/>
  <c r="AZ71" i="23"/>
  <c r="AZ78" i="23" s="1"/>
  <c r="AI71" i="23"/>
  <c r="AH71" i="23"/>
  <c r="BW70" i="23"/>
  <c r="BW77" i="23" s="1"/>
  <c r="BV70" i="23"/>
  <c r="BV77" i="23" s="1"/>
  <c r="BU70" i="23"/>
  <c r="BU77" i="23" s="1"/>
  <c r="BT70" i="23"/>
  <c r="BT77" i="23" s="1"/>
  <c r="BS70" i="23"/>
  <c r="BS77" i="23" s="1"/>
  <c r="BR70" i="23"/>
  <c r="BR77" i="23" s="1"/>
  <c r="BQ70" i="23"/>
  <c r="BQ77" i="23" s="1"/>
  <c r="BP70" i="23"/>
  <c r="BP77" i="23" s="1"/>
  <c r="BO70" i="23"/>
  <c r="BO77" i="23" s="1"/>
  <c r="BN70" i="23"/>
  <c r="BN77" i="23" s="1"/>
  <c r="BM70" i="23"/>
  <c r="BM77" i="23" s="1"/>
  <c r="BL70" i="23"/>
  <c r="BL77" i="23" s="1"/>
  <c r="BK70" i="23"/>
  <c r="BK77" i="23" s="1"/>
  <c r="BJ70" i="23"/>
  <c r="BJ77" i="23" s="1"/>
  <c r="BI70" i="23"/>
  <c r="BI77" i="23" s="1"/>
  <c r="BH70" i="23"/>
  <c r="BH77" i="23" s="1"/>
  <c r="BG70" i="23"/>
  <c r="BG77" i="23" s="1"/>
  <c r="BF70" i="23"/>
  <c r="BF77" i="23" s="1"/>
  <c r="BE70" i="23"/>
  <c r="BE77" i="23" s="1"/>
  <c r="BD70" i="23"/>
  <c r="BD77" i="23" s="1"/>
  <c r="BC70" i="23"/>
  <c r="BC77" i="23" s="1"/>
  <c r="BB70" i="23"/>
  <c r="BB77" i="23" s="1"/>
  <c r="BA70" i="23"/>
  <c r="BA77" i="23" s="1"/>
  <c r="AZ70" i="23"/>
  <c r="AZ77" i="23" s="1"/>
  <c r="AI70" i="23"/>
  <c r="AH70" i="23"/>
  <c r="BW69" i="23"/>
  <c r="BW76" i="23" s="1"/>
  <c r="BV69" i="23"/>
  <c r="BV76" i="23" s="1"/>
  <c r="BU69" i="23"/>
  <c r="BU76" i="23" s="1"/>
  <c r="BT69" i="23"/>
  <c r="BT76" i="23" s="1"/>
  <c r="BS69" i="23"/>
  <c r="BS76" i="23" s="1"/>
  <c r="BR69" i="23"/>
  <c r="BR76" i="23" s="1"/>
  <c r="BQ69" i="23"/>
  <c r="BP69" i="23"/>
  <c r="BP76" i="23" s="1"/>
  <c r="BO69" i="23"/>
  <c r="BO76" i="23" s="1"/>
  <c r="BN69" i="23"/>
  <c r="BN76" i="23" s="1"/>
  <c r="BM69" i="23"/>
  <c r="BM76" i="23" s="1"/>
  <c r="BL69" i="23"/>
  <c r="BL76" i="23" s="1"/>
  <c r="BK69" i="23"/>
  <c r="BK76" i="23" s="1"/>
  <c r="BJ69" i="23"/>
  <c r="BI69" i="23"/>
  <c r="BI76" i="23" s="1"/>
  <c r="BH69" i="23"/>
  <c r="BH76" i="23" s="1"/>
  <c r="BG69" i="23"/>
  <c r="BF69" i="23"/>
  <c r="BF76" i="23" s="1"/>
  <c r="BE69" i="23"/>
  <c r="BE76" i="23" s="1"/>
  <c r="BD69" i="23"/>
  <c r="BD76" i="23" s="1"/>
  <c r="BC69" i="23"/>
  <c r="BC76" i="23" s="1"/>
  <c r="BB69" i="23"/>
  <c r="BB76" i="23" s="1"/>
  <c r="BA69" i="23"/>
  <c r="BA76" i="23" s="1"/>
  <c r="AZ69" i="23"/>
  <c r="AZ76" i="23" s="1"/>
  <c r="AI69" i="23"/>
  <c r="AH69" i="23"/>
  <c r="BW68" i="23"/>
  <c r="BW75" i="23" s="1"/>
  <c r="BV68" i="23"/>
  <c r="BV75" i="23" s="1"/>
  <c r="BU68" i="23"/>
  <c r="BT68" i="23"/>
  <c r="BT75" i="23" s="1"/>
  <c r="BS68" i="23"/>
  <c r="BR68" i="23"/>
  <c r="BR75" i="23" s="1"/>
  <c r="BQ68" i="23"/>
  <c r="BQ75" i="23" s="1"/>
  <c r="BP68" i="23"/>
  <c r="BP75" i="23" s="1"/>
  <c r="BO68" i="23"/>
  <c r="BO75" i="23" s="1"/>
  <c r="BN68" i="23"/>
  <c r="BN75" i="23" s="1"/>
  <c r="BM68" i="23"/>
  <c r="BM75" i="23" s="1"/>
  <c r="BL68" i="23"/>
  <c r="BL75" i="23" s="1"/>
  <c r="BK68" i="23"/>
  <c r="BK75" i="23" s="1"/>
  <c r="BJ68" i="23"/>
  <c r="BJ75" i="23" s="1"/>
  <c r="BI68" i="23"/>
  <c r="BI75" i="23" s="1"/>
  <c r="BH68" i="23"/>
  <c r="BH75" i="23" s="1"/>
  <c r="BG68" i="23"/>
  <c r="BG75" i="23" s="1"/>
  <c r="BF68" i="23"/>
  <c r="BF75" i="23" s="1"/>
  <c r="BE68" i="23"/>
  <c r="BE75" i="23" s="1"/>
  <c r="BD68" i="23"/>
  <c r="BD75" i="23" s="1"/>
  <c r="BC68" i="23"/>
  <c r="BB68" i="23"/>
  <c r="BB75" i="23" s="1"/>
  <c r="BA68" i="23"/>
  <c r="BA75" i="23" s="1"/>
  <c r="AZ68" i="23"/>
  <c r="AZ75" i="23" s="1"/>
  <c r="AI68" i="23"/>
  <c r="AH68" i="23"/>
  <c r="AI67" i="23"/>
  <c r="AH67" i="23"/>
  <c r="AI66" i="23"/>
  <c r="AH66" i="23"/>
  <c r="AI65" i="23"/>
  <c r="AH65" i="23"/>
  <c r="AI64" i="23"/>
  <c r="AH64" i="23"/>
  <c r="AI63" i="23"/>
  <c r="AH63" i="23"/>
  <c r="AG62" i="23"/>
  <c r="AE62" i="23"/>
  <c r="AC62" i="23"/>
  <c r="AB62" i="23"/>
  <c r="AA62" i="23"/>
  <c r="Z62" i="23"/>
  <c r="Y62" i="23"/>
  <c r="X62" i="23"/>
  <c r="W62" i="23"/>
  <c r="V62" i="23"/>
  <c r="U62" i="23"/>
  <c r="T62" i="23"/>
  <c r="S62" i="23"/>
  <c r="R62" i="23"/>
  <c r="Q62" i="23"/>
  <c r="P62" i="23"/>
  <c r="AX17" i="23" s="1"/>
  <c r="O62" i="23"/>
  <c r="M62" i="23"/>
  <c r="L62" i="23"/>
  <c r="K62" i="23"/>
  <c r="J62" i="23"/>
  <c r="I62" i="23"/>
  <c r="AS17" i="23" s="1"/>
  <c r="H62" i="23"/>
  <c r="G62" i="23"/>
  <c r="F62" i="23"/>
  <c r="AQ17" i="23" s="1"/>
  <c r="E62" i="23"/>
  <c r="AP17" i="23" s="1"/>
  <c r="AI61" i="23"/>
  <c r="AH61" i="23"/>
  <c r="AI60" i="23"/>
  <c r="AH60" i="23"/>
  <c r="AI59" i="23"/>
  <c r="AH59" i="23"/>
  <c r="AG58" i="23"/>
  <c r="AE58" i="23"/>
  <c r="AD7" i="23"/>
  <c r="AC58" i="23"/>
  <c r="AB58" i="23"/>
  <c r="AB97" i="23" s="1"/>
  <c r="AB99" i="23" s="1"/>
  <c r="AB100" i="23" s="1"/>
  <c r="AB7" i="23" s="1"/>
  <c r="AA58" i="23"/>
  <c r="AA97" i="23" s="1"/>
  <c r="AA99" i="23" s="1"/>
  <c r="Z58" i="23"/>
  <c r="Y58" i="23"/>
  <c r="X58" i="23"/>
  <c r="W58" i="23"/>
  <c r="V58" i="23"/>
  <c r="U58" i="23"/>
  <c r="T58" i="23"/>
  <c r="S58" i="23"/>
  <c r="R58" i="23"/>
  <c r="Q58" i="23"/>
  <c r="P58" i="23"/>
  <c r="AX16" i="23" s="1"/>
  <c r="O58" i="23"/>
  <c r="M58" i="23"/>
  <c r="AU16" i="23" s="1"/>
  <c r="L58" i="23"/>
  <c r="K58" i="23"/>
  <c r="J58" i="23"/>
  <c r="I58" i="23"/>
  <c r="H58" i="23"/>
  <c r="G58" i="23"/>
  <c r="F58" i="23"/>
  <c r="E58" i="23"/>
  <c r="AP16" i="23" s="1"/>
  <c r="AO16" i="23"/>
  <c r="AI57" i="23"/>
  <c r="AH57" i="23"/>
  <c r="AI56" i="23"/>
  <c r="AH56" i="23"/>
  <c r="AI55" i="23"/>
  <c r="AH55" i="23"/>
  <c r="AI54" i="23"/>
  <c r="AH54" i="23"/>
  <c r="AI53" i="23"/>
  <c r="AH53" i="23"/>
  <c r="AI52" i="23"/>
  <c r="AH52" i="23"/>
  <c r="AI51" i="23"/>
  <c r="AH51" i="23"/>
  <c r="AI50" i="23"/>
  <c r="AH50" i="23"/>
  <c r="AI49" i="23"/>
  <c r="AH49" i="23"/>
  <c r="AI48" i="23"/>
  <c r="AH48" i="23"/>
  <c r="AI47" i="23"/>
  <c r="AH47" i="23"/>
  <c r="AI46" i="23"/>
  <c r="AH46" i="23"/>
  <c r="AI45" i="23"/>
  <c r="AH45" i="23"/>
  <c r="AI44" i="23"/>
  <c r="AH44" i="23"/>
  <c r="AI43" i="23"/>
  <c r="AH43" i="23"/>
  <c r="AI42" i="23"/>
  <c r="AH42" i="23"/>
  <c r="AI41" i="23"/>
  <c r="AH41" i="23"/>
  <c r="AI40" i="23"/>
  <c r="AH40" i="23"/>
  <c r="AI39" i="23"/>
  <c r="AH39" i="23"/>
  <c r="AI38" i="23"/>
  <c r="AH38" i="23"/>
  <c r="AI37" i="23"/>
  <c r="AH37" i="23"/>
  <c r="AI36" i="23"/>
  <c r="AH36" i="23"/>
  <c r="AI35" i="23"/>
  <c r="AH35" i="23"/>
  <c r="AI34" i="23"/>
  <c r="AH34" i="23"/>
  <c r="AI33" i="23"/>
  <c r="AH33" i="23"/>
  <c r="AI32" i="23"/>
  <c r="AH32" i="23"/>
  <c r="AI31" i="23"/>
  <c r="AH31" i="23"/>
  <c r="AI30" i="23"/>
  <c r="AH30" i="23"/>
  <c r="AI29" i="23"/>
  <c r="AH29" i="23"/>
  <c r="AI28" i="23"/>
  <c r="AH28" i="23"/>
  <c r="AI27" i="23"/>
  <c r="AH27" i="23"/>
  <c r="AI26" i="23"/>
  <c r="AH26" i="23"/>
  <c r="AI25" i="23"/>
  <c r="AH25" i="23"/>
  <c r="AI24" i="23"/>
  <c r="AH24" i="23"/>
  <c r="AI23" i="23"/>
  <c r="AH23" i="23"/>
  <c r="AI22" i="23"/>
  <c r="AH22" i="23"/>
  <c r="AX21" i="23"/>
  <c r="AW21" i="23"/>
  <c r="AV21" i="23"/>
  <c r="AU21" i="23"/>
  <c r="AT21" i="23"/>
  <c r="AS21" i="23"/>
  <c r="AR21" i="23"/>
  <c r="AQ21" i="23"/>
  <c r="AP21" i="23"/>
  <c r="AO21" i="23"/>
  <c r="AN21" i="23"/>
  <c r="AM21" i="23"/>
  <c r="AI21" i="23"/>
  <c r="AH21" i="23"/>
  <c r="AX20" i="23"/>
  <c r="AW20" i="23"/>
  <c r="AV20" i="23"/>
  <c r="AU20" i="23"/>
  <c r="AT20" i="23"/>
  <c r="AS20" i="23"/>
  <c r="AR20" i="23"/>
  <c r="AQ20" i="23"/>
  <c r="AP20" i="23"/>
  <c r="AO20" i="23"/>
  <c r="AN20" i="23"/>
  <c r="AI20" i="23"/>
  <c r="AH20" i="23"/>
  <c r="AT19" i="23"/>
  <c r="AI19" i="23"/>
  <c r="AH19" i="23"/>
  <c r="AX18" i="23"/>
  <c r="AW18" i="23"/>
  <c r="AN18" i="23"/>
  <c r="AI18" i="23"/>
  <c r="AH18" i="23"/>
  <c r="AW17" i="23"/>
  <c r="AV17" i="23"/>
  <c r="AU17" i="23"/>
  <c r="AT17" i="23"/>
  <c r="AR17" i="23"/>
  <c r="AI17" i="23"/>
  <c r="AH17" i="23"/>
  <c r="AV16" i="23"/>
  <c r="AQ16" i="23"/>
  <c r="AN16" i="23"/>
  <c r="AI16" i="23"/>
  <c r="AH16" i="23"/>
  <c r="AI15" i="23"/>
  <c r="AH15" i="23"/>
  <c r="AI14" i="23"/>
  <c r="AH14" i="23"/>
  <c r="AI13" i="23"/>
  <c r="AH13" i="23"/>
  <c r="AL12" i="23"/>
  <c r="AI12" i="23"/>
  <c r="AH12" i="23"/>
  <c r="AI11" i="23"/>
  <c r="AH11" i="23"/>
  <c r="AE5" i="23"/>
  <c r="AC5" i="23"/>
  <c r="AB5" i="23"/>
  <c r="AA5" i="23"/>
  <c r="K5" i="23"/>
  <c r="J5" i="23"/>
  <c r="AG4" i="23"/>
  <c r="K4" i="23"/>
  <c r="E4" i="23"/>
  <c r="H4" i="23" s="1"/>
  <c r="B4" i="23"/>
  <c r="D258" i="23" s="1"/>
  <c r="AG2" i="23"/>
  <c r="AF121" i="21"/>
  <c r="AF57" i="21"/>
  <c r="AF58" i="21"/>
  <c r="AF62" i="21"/>
  <c r="AF76" i="21"/>
  <c r="AF80" i="21"/>
  <c r="AE121" i="21"/>
  <c r="AE57" i="21"/>
  <c r="AE58" i="21"/>
  <c r="AE62" i="21"/>
  <c r="AE76" i="21"/>
  <c r="AE80" i="21"/>
  <c r="AE92" i="21"/>
  <c r="AE101" i="21"/>
  <c r="AE102" i="21"/>
  <c r="AE103" i="21"/>
  <c r="AE104" i="21"/>
  <c r="AE105" i="21"/>
  <c r="AE118" i="21"/>
  <c r="AD121" i="21"/>
  <c r="AD57" i="21"/>
  <c r="AC118" i="24" l="1"/>
  <c r="AD246" i="24"/>
  <c r="AC252" i="24"/>
  <c r="Z107" i="23"/>
  <c r="Z108" i="23" s="1"/>
  <c r="Y107" i="23"/>
  <c r="Y97" i="23"/>
  <c r="Y99" i="23" s="1"/>
  <c r="Y100" i="23" s="1"/>
  <c r="Y7" i="23" s="1"/>
  <c r="X107" i="23"/>
  <c r="X108" i="23" s="1"/>
  <c r="V107" i="23"/>
  <c r="V97" i="23"/>
  <c r="V99" i="23" s="1"/>
  <c r="U108" i="23"/>
  <c r="T5" i="23"/>
  <c r="T107" i="23"/>
  <c r="T97" i="23"/>
  <c r="T99" i="23" s="1"/>
  <c r="T100" i="23" s="1"/>
  <c r="T7" i="23" s="1"/>
  <c r="S97" i="23"/>
  <c r="S99" i="23" s="1"/>
  <c r="R107" i="23"/>
  <c r="R108" i="23"/>
  <c r="Q107" i="23"/>
  <c r="Q97" i="23"/>
  <c r="Q99" i="23" s="1"/>
  <c r="Q100" i="23" s="1"/>
  <c r="Q7" i="23" s="1"/>
  <c r="P107" i="23"/>
  <c r="AX23" i="23" s="1"/>
  <c r="O5" i="23"/>
  <c r="AX22" i="23"/>
  <c r="AX24" i="23" s="1"/>
  <c r="AW19" i="23"/>
  <c r="N97" i="23"/>
  <c r="N99" i="23" s="1"/>
  <c r="AV19" i="23"/>
  <c r="N107" i="23"/>
  <c r="AV23" i="23" s="1"/>
  <c r="M107" i="23"/>
  <c r="AU23" i="23" s="1"/>
  <c r="L5" i="23"/>
  <c r="AU19" i="23"/>
  <c r="L107" i="23"/>
  <c r="L108" i="23" s="1"/>
  <c r="L97" i="23"/>
  <c r="L99" i="23" s="1"/>
  <c r="K97" i="23"/>
  <c r="K99" i="23" s="1"/>
  <c r="AT16" i="23"/>
  <c r="AT22" i="23" s="1"/>
  <c r="I5" i="23"/>
  <c r="H5" i="23"/>
  <c r="I107" i="23"/>
  <c r="AS23" i="23" s="1"/>
  <c r="I97" i="23"/>
  <c r="I99" i="23" s="1"/>
  <c r="AS16" i="23"/>
  <c r="AS22" i="23" s="1"/>
  <c r="H107" i="23"/>
  <c r="H108" i="23" s="1"/>
  <c r="F5" i="23"/>
  <c r="E5" i="23"/>
  <c r="F107" i="23"/>
  <c r="AQ23" i="23" s="1"/>
  <c r="F97" i="23"/>
  <c r="F99" i="23" s="1"/>
  <c r="AQ22" i="23"/>
  <c r="E107" i="23"/>
  <c r="AP23" i="23" s="1"/>
  <c r="AH104" i="23"/>
  <c r="AH102" i="23"/>
  <c r="AP19" i="23"/>
  <c r="AH105" i="23"/>
  <c r="D5" i="23"/>
  <c r="AI102" i="23"/>
  <c r="C107" i="23"/>
  <c r="C108" i="23" s="1"/>
  <c r="B5" i="23"/>
  <c r="C97" i="23"/>
  <c r="C99" i="23" s="1"/>
  <c r="AN22" i="23"/>
  <c r="B97" i="23"/>
  <c r="B99" i="23" s="1"/>
  <c r="B100" i="23" s="1"/>
  <c r="AM16" i="23"/>
  <c r="AH58" i="23"/>
  <c r="AI104" i="23"/>
  <c r="AU22" i="23"/>
  <c r="AU24" i="23" s="1"/>
  <c r="AR16" i="23"/>
  <c r="AR22" i="23" s="1"/>
  <c r="G97" i="23"/>
  <c r="G99" i="23" s="1"/>
  <c r="O97" i="23"/>
  <c r="O99" i="23" s="1"/>
  <c r="AW16" i="23"/>
  <c r="AW22" i="23" s="1"/>
  <c r="W97" i="23"/>
  <c r="W99" i="23" s="1"/>
  <c r="AE97" i="23"/>
  <c r="AE99" i="23" s="1"/>
  <c r="AV22" i="23"/>
  <c r="AV24" i="23" s="1"/>
  <c r="J97" i="23"/>
  <c r="J99" i="23" s="1"/>
  <c r="J100" i="23" s="1"/>
  <c r="J7" i="23" s="1"/>
  <c r="R97" i="23"/>
  <c r="R99" i="23" s="1"/>
  <c r="R100" i="23" s="1"/>
  <c r="R7" i="23" s="1"/>
  <c r="Z97" i="23"/>
  <c r="Z99" i="23" s="1"/>
  <c r="Z100" i="23" s="1"/>
  <c r="Z7" i="23" s="1"/>
  <c r="AI62" i="23"/>
  <c r="AH62" i="23"/>
  <c r="AH76" i="23"/>
  <c r="AP18" i="23"/>
  <c r="AP22" i="23" s="1"/>
  <c r="AI58" i="23"/>
  <c r="AG6" i="23"/>
  <c r="AI92" i="23"/>
  <c r="AH92" i="23"/>
  <c r="AH103" i="23"/>
  <c r="E252" i="23"/>
  <c r="AI103" i="23"/>
  <c r="AI105" i="23"/>
  <c r="AH80" i="23"/>
  <c r="AL13" i="23"/>
  <c r="E97" i="23"/>
  <c r="E99" i="23" s="1"/>
  <c r="E100" i="23" s="1"/>
  <c r="E7" i="23" s="1"/>
  <c r="M97" i="23"/>
  <c r="M99" i="23" s="1"/>
  <c r="M100" i="23" s="1"/>
  <c r="M7" i="23" s="1"/>
  <c r="U97" i="23"/>
  <c r="U99" i="23" s="1"/>
  <c r="U100" i="23" s="1"/>
  <c r="U7" i="23" s="1"/>
  <c r="AC97" i="23"/>
  <c r="AC99" i="23" s="1"/>
  <c r="AC100" i="23" s="1"/>
  <c r="AC7" i="23" s="1"/>
  <c r="D97" i="23"/>
  <c r="D99" i="23" s="1"/>
  <c r="D100" i="23" s="1"/>
  <c r="D7" i="23" s="1"/>
  <c r="K107" i="23"/>
  <c r="S107" i="23"/>
  <c r="S108" i="23" s="1"/>
  <c r="AA107" i="23"/>
  <c r="AA108" i="23" s="1"/>
  <c r="D108" i="23"/>
  <c r="T108" i="23"/>
  <c r="AB108" i="23"/>
  <c r="AI101" i="23"/>
  <c r="AM19" i="23"/>
  <c r="AM22" i="23" s="1"/>
  <c r="N108" i="23"/>
  <c r="V108" i="23"/>
  <c r="P108" i="23"/>
  <c r="BG84" i="23" a="1"/>
  <c r="AI76" i="23"/>
  <c r="G246" i="23"/>
  <c r="F252" i="23"/>
  <c r="F118" i="23"/>
  <c r="AO19" i="23"/>
  <c r="AO22" i="23" s="1"/>
  <c r="AO24" i="23" s="1"/>
  <c r="H97" i="23"/>
  <c r="H99" i="23" s="1"/>
  <c r="H100" i="23" s="1"/>
  <c r="H7" i="23" s="1"/>
  <c r="P97" i="23"/>
  <c r="P99" i="23" s="1"/>
  <c r="P100" i="23" s="1"/>
  <c r="P7" i="23" s="1"/>
  <c r="X97" i="23"/>
  <c r="X99" i="23" s="1"/>
  <c r="X100" i="23" s="1"/>
  <c r="X7" i="23" s="1"/>
  <c r="AF7" i="23"/>
  <c r="AF5" i="23"/>
  <c r="AG97" i="23"/>
  <c r="I108" i="23"/>
  <c r="Q108" i="23"/>
  <c r="Y108" i="23"/>
  <c r="AG99" i="23"/>
  <c r="G107" i="23"/>
  <c r="AR23" i="23" s="1"/>
  <c r="O107" i="23"/>
  <c r="AW23" i="23" s="1"/>
  <c r="W107" i="23"/>
  <c r="W108" i="23" s="1"/>
  <c r="AE107" i="23"/>
  <c r="AE108" i="23" s="1"/>
  <c r="AH101" i="23"/>
  <c r="D118" i="23"/>
  <c r="AE107" i="21"/>
  <c r="AE108" i="21" s="1"/>
  <c r="AE97" i="21"/>
  <c r="AE99" i="21" s="1"/>
  <c r="AE246" i="24" l="1"/>
  <c r="AD252" i="24"/>
  <c r="AD118" i="24"/>
  <c r="AA100" i="23"/>
  <c r="AA7" i="23" s="1"/>
  <c r="V100" i="23"/>
  <c r="V7" i="23" s="1"/>
  <c r="AW24" i="23"/>
  <c r="O108" i="23"/>
  <c r="N100" i="23"/>
  <c r="N7" i="23" s="1"/>
  <c r="M108" i="23"/>
  <c r="L100" i="23"/>
  <c r="L7" i="23" s="1"/>
  <c r="I100" i="23"/>
  <c r="I7" i="23" s="1"/>
  <c r="AS24" i="23"/>
  <c r="F100" i="23"/>
  <c r="F7" i="23" s="1"/>
  <c r="F108" i="23"/>
  <c r="AQ24" i="23"/>
  <c r="AP24" i="23"/>
  <c r="E108" i="23"/>
  <c r="C100" i="23"/>
  <c r="AT8" i="23"/>
  <c r="BJ107" i="23"/>
  <c r="BH106" i="23"/>
  <c r="BL104" i="23"/>
  <c r="BJ103" i="23"/>
  <c r="BH102" i="23"/>
  <c r="BL100" i="23"/>
  <c r="BJ99" i="23"/>
  <c r="BH98" i="23"/>
  <c r="BL96" i="23"/>
  <c r="BJ95" i="23"/>
  <c r="BH94" i="23"/>
  <c r="BL92" i="23"/>
  <c r="BJ91" i="23"/>
  <c r="BH90" i="23"/>
  <c r="BL88" i="23"/>
  <c r="BJ87" i="23"/>
  <c r="BH86" i="23"/>
  <c r="BL84" i="23"/>
  <c r="BI107" i="23"/>
  <c r="BG106" i="23"/>
  <c r="BK104" i="23"/>
  <c r="BI103" i="23"/>
  <c r="BG102" i="23"/>
  <c r="BK100" i="23"/>
  <c r="BI99" i="23"/>
  <c r="BG98" i="23"/>
  <c r="BK96" i="23"/>
  <c r="BI95" i="23"/>
  <c r="BG94" i="23"/>
  <c r="BK92" i="23"/>
  <c r="BI91" i="23"/>
  <c r="BG90" i="23"/>
  <c r="BK88" i="23"/>
  <c r="BI87" i="23"/>
  <c r="BG86" i="23"/>
  <c r="BK84" i="23"/>
  <c r="BG107" i="23"/>
  <c r="BK105" i="23"/>
  <c r="BI104" i="23"/>
  <c r="BG103" i="23"/>
  <c r="BK101" i="23"/>
  <c r="BI100" i="23"/>
  <c r="BG99" i="23"/>
  <c r="BK97" i="23"/>
  <c r="BI96" i="23"/>
  <c r="BG95" i="23"/>
  <c r="BK93" i="23"/>
  <c r="BI92" i="23"/>
  <c r="BG91" i="23"/>
  <c r="BK89" i="23"/>
  <c r="BI88" i="23"/>
  <c r="BG87" i="23"/>
  <c r="BK85" i="23"/>
  <c r="BI84" i="23"/>
  <c r="BL107" i="23"/>
  <c r="BJ106" i="23"/>
  <c r="BH105" i="23"/>
  <c r="BL103" i="23"/>
  <c r="BJ102" i="23"/>
  <c r="BH101" i="23"/>
  <c r="BL99" i="23"/>
  <c r="BJ98" i="23"/>
  <c r="BH97" i="23"/>
  <c r="BL95" i="23"/>
  <c r="BJ94" i="23"/>
  <c r="BH93" i="23"/>
  <c r="BL91" i="23"/>
  <c r="BJ90" i="23"/>
  <c r="BH89" i="23"/>
  <c r="BL87" i="23"/>
  <c r="BJ86" i="23"/>
  <c r="BH85" i="23"/>
  <c r="BL106" i="23"/>
  <c r="BH104" i="23"/>
  <c r="BJ101" i="23"/>
  <c r="BL98" i="23"/>
  <c r="BH96" i="23"/>
  <c r="BJ93" i="23"/>
  <c r="BL90" i="23"/>
  <c r="BH88" i="23"/>
  <c r="BJ85" i="23"/>
  <c r="BG93" i="23"/>
  <c r="BK106" i="23"/>
  <c r="BG104" i="23"/>
  <c r="BI101" i="23"/>
  <c r="BK98" i="23"/>
  <c r="BG96" i="23"/>
  <c r="BI93" i="23"/>
  <c r="BK90" i="23"/>
  <c r="BG88" i="23"/>
  <c r="BI85" i="23"/>
  <c r="BI106" i="23"/>
  <c r="BK103" i="23"/>
  <c r="BG101" i="23"/>
  <c r="BI98" i="23"/>
  <c r="BK95" i="23"/>
  <c r="BI90" i="23"/>
  <c r="BK87" i="23"/>
  <c r="BG85" i="23"/>
  <c r="BL105" i="23"/>
  <c r="BH103" i="23"/>
  <c r="BJ100" i="23"/>
  <c r="BL97" i="23"/>
  <c r="BH95" i="23"/>
  <c r="BJ92" i="23"/>
  <c r="BL89" i="23"/>
  <c r="BH87" i="23"/>
  <c r="BJ84" i="23"/>
  <c r="BJ105" i="23"/>
  <c r="BL102" i="23"/>
  <c r="BH100" i="23"/>
  <c r="BJ97" i="23"/>
  <c r="BL94" i="23"/>
  <c r="BH92" i="23"/>
  <c r="BJ89" i="23"/>
  <c r="BL86" i="23"/>
  <c r="BH84" i="23"/>
  <c r="BI105" i="23"/>
  <c r="BK102" i="23"/>
  <c r="BG100" i="23"/>
  <c r="BI97" i="23"/>
  <c r="BK94" i="23"/>
  <c r="BG92" i="23"/>
  <c r="BI89" i="23"/>
  <c r="BK86" i="23"/>
  <c r="BG84" i="23"/>
  <c r="BK107" i="23"/>
  <c r="BG105" i="23"/>
  <c r="BI102" i="23"/>
  <c r="BK99" i="23"/>
  <c r="BG97" i="23"/>
  <c r="BI94" i="23"/>
  <c r="BK91" i="23"/>
  <c r="BG89" i="23"/>
  <c r="BI86" i="23"/>
  <c r="BH107" i="23"/>
  <c r="BJ104" i="23"/>
  <c r="BL101" i="23"/>
  <c r="BH99" i="23"/>
  <c r="BJ96" i="23"/>
  <c r="BL93" i="23"/>
  <c r="BH91" i="23"/>
  <c r="BJ88" i="23"/>
  <c r="BL85" i="23"/>
  <c r="K108" i="23"/>
  <c r="AT23" i="23"/>
  <c r="AT24" i="23" s="1"/>
  <c r="O100" i="23"/>
  <c r="O7" i="23" s="1"/>
  <c r="AN23" i="23"/>
  <c r="AN24" i="23" s="1"/>
  <c r="AI107" i="23"/>
  <c r="AH107" i="23"/>
  <c r="AM23" i="23"/>
  <c r="AM24" i="23" s="1"/>
  <c r="AI97" i="23"/>
  <c r="AH97" i="23"/>
  <c r="AR24" i="23"/>
  <c r="C256" i="23"/>
  <c r="G100" i="23"/>
  <c r="G7" i="23" s="1"/>
  <c r="B256" i="23"/>
  <c r="G108" i="23"/>
  <c r="S100" i="23"/>
  <c r="S7" i="23" s="1"/>
  <c r="H246" i="23"/>
  <c r="G252" i="23"/>
  <c r="G118" i="23"/>
  <c r="K100" i="23"/>
  <c r="K7" i="23" s="1"/>
  <c r="AE100" i="23"/>
  <c r="AE7" i="23" s="1"/>
  <c r="C7" i="23"/>
  <c r="W100" i="23"/>
  <c r="W7" i="23" s="1"/>
  <c r="AE100" i="21"/>
  <c r="AF246" i="24" l="1"/>
  <c r="AE252" i="24"/>
  <c r="AE118" i="24"/>
  <c r="AH108" i="23"/>
  <c r="K6" i="23"/>
  <c r="AI108" i="23"/>
  <c r="AT9" i="23"/>
  <c r="AH99" i="23"/>
  <c r="AI99" i="23"/>
  <c r="I246" i="23"/>
  <c r="H252" i="23"/>
  <c r="H118" i="23"/>
  <c r="AF252" i="24" l="1"/>
  <c r="B246" i="24"/>
  <c r="B118" i="24" s="1"/>
  <c r="AF118" i="24"/>
  <c r="I252" i="23"/>
  <c r="I118" i="23"/>
  <c r="J246" i="23"/>
  <c r="AI100" i="23"/>
  <c r="B7" i="23"/>
  <c r="A7" i="23" s="1"/>
  <c r="AH100" i="23"/>
  <c r="B252" i="24" l="1"/>
  <c r="J252" i="23"/>
  <c r="K246" i="23"/>
  <c r="J118" i="23"/>
  <c r="AI118" i="24" l="1"/>
  <c r="AH118" i="24"/>
  <c r="K252" i="23"/>
  <c r="K118" i="23"/>
  <c r="L246" i="23"/>
  <c r="L252" i="23" l="1"/>
  <c r="L118" i="23"/>
  <c r="M246" i="23"/>
  <c r="N246" i="23" l="1"/>
  <c r="M252" i="23"/>
  <c r="M118" i="23"/>
  <c r="O246" i="23" l="1"/>
  <c r="N252" i="23"/>
  <c r="N118" i="23"/>
  <c r="P246" i="23" l="1"/>
  <c r="O252" i="23"/>
  <c r="O118" i="23"/>
  <c r="Q246" i="23" l="1"/>
  <c r="P252" i="23"/>
  <c r="Q252" i="23" l="1"/>
  <c r="Q118" i="23"/>
  <c r="R246" i="23"/>
  <c r="R252" i="23" l="1"/>
  <c r="R118" i="23"/>
  <c r="S246" i="23"/>
  <c r="S252" i="23" l="1"/>
  <c r="T246" i="23"/>
  <c r="S118" i="23"/>
  <c r="T252" i="23" l="1"/>
  <c r="T118" i="23"/>
  <c r="U246" i="23"/>
  <c r="U118" i="23" l="1"/>
  <c r="V246" i="23"/>
  <c r="U252" i="23"/>
  <c r="W246" i="23" l="1"/>
  <c r="V252" i="23"/>
  <c r="V118" i="23"/>
  <c r="X246" i="23" l="1"/>
  <c r="W252" i="23"/>
  <c r="W118" i="23"/>
  <c r="Y246" i="23" l="1"/>
  <c r="X118" i="23"/>
  <c r="X252" i="23"/>
  <c r="Y252" i="23" l="1"/>
  <c r="Z246" i="23"/>
  <c r="Z252" i="23" l="1"/>
  <c r="AA246" i="23"/>
  <c r="AA252" i="23" l="1"/>
  <c r="AA118" i="23"/>
  <c r="AB246" i="23"/>
  <c r="AB252" i="23" l="1"/>
  <c r="AB118" i="23"/>
  <c r="AC246" i="23"/>
  <c r="AC118" i="23" l="1"/>
  <c r="AD246" i="23"/>
  <c r="AC252" i="23"/>
  <c r="AE246" i="23" l="1"/>
  <c r="AD252" i="23"/>
  <c r="AF246" i="23" l="1"/>
  <c r="AE252" i="23"/>
  <c r="AE118" i="23"/>
  <c r="AF252" i="23" l="1"/>
  <c r="B246" i="23"/>
  <c r="B252" i="23" l="1"/>
  <c r="AI118" i="23" l="1"/>
  <c r="AH118" i="23"/>
  <c r="AC58" i="21" l="1"/>
  <c r="AC62" i="21"/>
  <c r="AC76" i="21"/>
  <c r="AC80" i="21"/>
  <c r="AC92" i="21"/>
  <c r="AC101" i="21"/>
  <c r="AC102" i="21"/>
  <c r="AC103" i="21"/>
  <c r="AC104" i="21"/>
  <c r="AC105" i="21"/>
  <c r="AC118" i="21"/>
  <c r="AC107" i="21" l="1"/>
  <c r="AC108" i="21" s="1"/>
  <c r="AC97" i="21"/>
  <c r="AC99" i="21" s="1"/>
  <c r="AC100" i="21" s="1"/>
  <c r="Q118" i="21" l="1"/>
  <c r="R118" i="21"/>
  <c r="P118" i="21"/>
  <c r="Q121" i="21"/>
  <c r="O57" i="21"/>
  <c r="N57" i="21" l="1"/>
  <c r="M57" i="21"/>
  <c r="K121" i="21"/>
  <c r="L57" i="21"/>
  <c r="K57" i="21"/>
  <c r="J121" i="21"/>
  <c r="J57" i="21"/>
  <c r="I57" i="21"/>
  <c r="H57" i="21"/>
  <c r="G57" i="21"/>
  <c r="F57" i="21"/>
  <c r="P18" i="22" l="1"/>
  <c r="P19" i="22" s="1"/>
  <c r="AH125" i="21"/>
  <c r="AI125" i="21"/>
  <c r="AH124" i="21"/>
  <c r="AI124" i="21"/>
  <c r="E57" i="21"/>
  <c r="D58" i="21" l="1"/>
  <c r="D62" i="21"/>
  <c r="D76" i="21"/>
  <c r="D80" i="21"/>
  <c r="D92" i="21"/>
  <c r="D108" i="21" s="1"/>
  <c r="D107" i="21"/>
  <c r="D118" i="21"/>
  <c r="D97" i="21" l="1"/>
  <c r="D99" i="21" s="1"/>
  <c r="D100" i="21" s="1"/>
  <c r="C58" i="21"/>
  <c r="C62" i="21"/>
  <c r="C76" i="21"/>
  <c r="C80" i="21"/>
  <c r="C92" i="21"/>
  <c r="C108" i="21" s="1"/>
  <c r="C107" i="21"/>
  <c r="C118" i="21"/>
  <c r="C97" i="21" l="1"/>
  <c r="C99" i="21" s="1"/>
  <c r="C100" i="21" s="1"/>
  <c r="B118" i="21"/>
  <c r="B107" i="21"/>
  <c r="B92" i="21"/>
  <c r="B108" i="21" s="1"/>
  <c r="B80" i="21"/>
  <c r="B76" i="21"/>
  <c r="AM18" i="21" s="1"/>
  <c r="B62" i="21"/>
  <c r="B58" i="21"/>
  <c r="AG252" i="21"/>
  <c r="C252" i="21"/>
  <c r="D251" i="21"/>
  <c r="E251" i="21" s="1"/>
  <c r="F251" i="21" s="1"/>
  <c r="G251" i="21" s="1"/>
  <c r="H251" i="21" s="1"/>
  <c r="I251" i="21" s="1"/>
  <c r="J251" i="21" s="1"/>
  <c r="K251" i="21" s="1"/>
  <c r="L251" i="21" s="1"/>
  <c r="M251" i="21" s="1"/>
  <c r="N251" i="21" s="1"/>
  <c r="O251" i="21" s="1"/>
  <c r="P251" i="21" s="1"/>
  <c r="Q251" i="21" s="1"/>
  <c r="R251" i="21" s="1"/>
  <c r="S251" i="21" s="1"/>
  <c r="T251" i="21" s="1"/>
  <c r="U251" i="21" s="1"/>
  <c r="V251" i="21" s="1"/>
  <c r="W251" i="21" s="1"/>
  <c r="X251" i="21" s="1"/>
  <c r="Y251" i="21" s="1"/>
  <c r="Z251" i="21" s="1"/>
  <c r="AA251" i="21" s="1"/>
  <c r="AB251" i="21" s="1"/>
  <c r="AC251" i="21" s="1"/>
  <c r="AD251" i="21" s="1"/>
  <c r="AE251" i="21" s="1"/>
  <c r="AF251" i="21" s="1"/>
  <c r="B251" i="21" s="1"/>
  <c r="J250" i="21"/>
  <c r="K250" i="21" s="1"/>
  <c r="L250" i="21" s="1"/>
  <c r="M250" i="21" s="1"/>
  <c r="N250" i="21" s="1"/>
  <c r="O250" i="21" s="1"/>
  <c r="P250" i="21" s="1"/>
  <c r="Q250" i="21" s="1"/>
  <c r="R250" i="21" s="1"/>
  <c r="S250" i="21" s="1"/>
  <c r="T250" i="21" s="1"/>
  <c r="U250" i="21" s="1"/>
  <c r="V250" i="21" s="1"/>
  <c r="W250" i="21" s="1"/>
  <c r="X250" i="21" s="1"/>
  <c r="Y250" i="21" s="1"/>
  <c r="Z250" i="21" s="1"/>
  <c r="AA250" i="21" s="1"/>
  <c r="AB250" i="21" s="1"/>
  <c r="AC250" i="21" s="1"/>
  <c r="AD250" i="21" s="1"/>
  <c r="AE250" i="21" s="1"/>
  <c r="AF250" i="21" s="1"/>
  <c r="B250" i="21" s="1"/>
  <c r="D250" i="21"/>
  <c r="E250" i="21" s="1"/>
  <c r="F250" i="21" s="1"/>
  <c r="G250" i="21" s="1"/>
  <c r="H250" i="21" s="1"/>
  <c r="I250" i="21" s="1"/>
  <c r="P249" i="21"/>
  <c r="Q249" i="21" s="1"/>
  <c r="R249" i="21" s="1"/>
  <c r="S249" i="21" s="1"/>
  <c r="T249" i="21" s="1"/>
  <c r="U249" i="21" s="1"/>
  <c r="V249" i="21" s="1"/>
  <c r="W249" i="21" s="1"/>
  <c r="X249" i="21" s="1"/>
  <c r="Y249" i="21" s="1"/>
  <c r="Z249" i="21" s="1"/>
  <c r="AA249" i="21" s="1"/>
  <c r="AB249" i="21" s="1"/>
  <c r="AC249" i="21" s="1"/>
  <c r="AD249" i="21" s="1"/>
  <c r="AE249" i="21" s="1"/>
  <c r="AF249" i="21" s="1"/>
  <c r="B249" i="21" s="1"/>
  <c r="I249" i="21"/>
  <c r="J249" i="21" s="1"/>
  <c r="K249" i="21" s="1"/>
  <c r="L249" i="21" s="1"/>
  <c r="M249" i="21" s="1"/>
  <c r="N249" i="21" s="1"/>
  <c r="O249" i="21" s="1"/>
  <c r="E249" i="21"/>
  <c r="F249" i="21" s="1"/>
  <c r="G249" i="21" s="1"/>
  <c r="H249" i="21" s="1"/>
  <c r="D249" i="21"/>
  <c r="D248" i="21"/>
  <c r="E248" i="21" s="1"/>
  <c r="F248" i="21" s="1"/>
  <c r="G248" i="21" s="1"/>
  <c r="H248" i="21" s="1"/>
  <c r="I248" i="21" s="1"/>
  <c r="J248" i="21" s="1"/>
  <c r="K248" i="21" s="1"/>
  <c r="L248" i="21" s="1"/>
  <c r="M248" i="21" s="1"/>
  <c r="N248" i="21" s="1"/>
  <c r="O248" i="21" s="1"/>
  <c r="P248" i="21" s="1"/>
  <c r="Q248" i="21" s="1"/>
  <c r="R248" i="21" s="1"/>
  <c r="S248" i="21" s="1"/>
  <c r="T248" i="21" s="1"/>
  <c r="U248" i="21" s="1"/>
  <c r="V248" i="21" s="1"/>
  <c r="W248" i="21" s="1"/>
  <c r="X248" i="21" s="1"/>
  <c r="Y248" i="21" s="1"/>
  <c r="Z248" i="21" s="1"/>
  <c r="AA248" i="21" s="1"/>
  <c r="AB248" i="21" s="1"/>
  <c r="AC248" i="21" s="1"/>
  <c r="AD248" i="21" s="1"/>
  <c r="AE248" i="21" s="1"/>
  <c r="AF248" i="21" s="1"/>
  <c r="B248" i="21" s="1"/>
  <c r="T247" i="21"/>
  <c r="U247" i="21" s="1"/>
  <c r="V247" i="21" s="1"/>
  <c r="W247" i="21" s="1"/>
  <c r="X247" i="21" s="1"/>
  <c r="Y247" i="21" s="1"/>
  <c r="Z247" i="21" s="1"/>
  <c r="AA247" i="21" s="1"/>
  <c r="AB247" i="21" s="1"/>
  <c r="AC247" i="21" s="1"/>
  <c r="AD247" i="21" s="1"/>
  <c r="AE247" i="21" s="1"/>
  <c r="AF247" i="21" s="1"/>
  <c r="B247" i="21" s="1"/>
  <c r="D247" i="21"/>
  <c r="E247" i="21" s="1"/>
  <c r="F247" i="21" s="1"/>
  <c r="G247" i="21" s="1"/>
  <c r="H247" i="21" s="1"/>
  <c r="I247" i="21" s="1"/>
  <c r="J247" i="21" s="1"/>
  <c r="K247" i="21" s="1"/>
  <c r="L247" i="21" s="1"/>
  <c r="M247" i="21" s="1"/>
  <c r="N247" i="21" s="1"/>
  <c r="O247" i="21" s="1"/>
  <c r="P247" i="21" s="1"/>
  <c r="Q247" i="21" s="1"/>
  <c r="R247" i="21" s="1"/>
  <c r="S247" i="21" s="1"/>
  <c r="D246" i="21"/>
  <c r="AG244" i="21"/>
  <c r="AF244" i="21"/>
  <c r="AE244" i="21"/>
  <c r="AD244" i="21"/>
  <c r="AC244" i="21"/>
  <c r="AB244" i="21"/>
  <c r="AA244" i="21"/>
  <c r="Z244" i="21"/>
  <c r="Z118" i="21" s="1"/>
  <c r="Y244" i="21"/>
  <c r="Y118" i="21" s="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I130" i="21"/>
  <c r="AH130" i="21"/>
  <c r="AI129" i="21"/>
  <c r="AH129" i="21"/>
  <c r="AI128" i="21"/>
  <c r="AH128" i="21"/>
  <c r="AI127" i="21"/>
  <c r="AH127" i="21"/>
  <c r="AI126" i="21"/>
  <c r="AH126" i="21"/>
  <c r="AI123" i="21"/>
  <c r="AH123" i="21"/>
  <c r="AI122" i="21"/>
  <c r="AH122" i="21"/>
  <c r="AI121" i="21"/>
  <c r="AH121" i="21"/>
  <c r="AI120" i="21"/>
  <c r="AH120" i="21"/>
  <c r="AI119" i="21"/>
  <c r="AH119" i="21"/>
  <c r="AI117" i="21"/>
  <c r="AH117" i="21"/>
  <c r="AI116" i="21"/>
  <c r="AH116" i="21"/>
  <c r="AI115" i="21"/>
  <c r="AH115" i="21"/>
  <c r="AI114" i="21"/>
  <c r="AH114" i="21"/>
  <c r="AI113" i="21"/>
  <c r="AH113" i="21"/>
  <c r="AI112" i="21"/>
  <c r="AH112" i="21"/>
  <c r="AI111" i="21"/>
  <c r="AH111" i="21"/>
  <c r="AI110" i="21"/>
  <c r="AH110" i="21"/>
  <c r="AI109" i="21"/>
  <c r="AH109" i="21"/>
  <c r="J107" i="21"/>
  <c r="AI106" i="21"/>
  <c r="AH106" i="21"/>
  <c r="AF105" i="21"/>
  <c r="AD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AF104" i="21"/>
  <c r="AD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AF103" i="21"/>
  <c r="AD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N107" i="21" s="1"/>
  <c r="AV23" i="21" s="1"/>
  <c r="M103" i="21"/>
  <c r="L103" i="21"/>
  <c r="K103" i="21"/>
  <c r="J103" i="21"/>
  <c r="I103" i="21"/>
  <c r="H103" i="21"/>
  <c r="G103" i="21"/>
  <c r="F103" i="21"/>
  <c r="E103" i="21"/>
  <c r="AI102" i="21"/>
  <c r="AF102" i="21"/>
  <c r="AD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AO23" i="21"/>
  <c r="AH102" i="21"/>
  <c r="AF101" i="21"/>
  <c r="AD101" i="21"/>
  <c r="AB101" i="21"/>
  <c r="AA101" i="21"/>
  <c r="AA107" i="21" s="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M107" i="21" s="1"/>
  <c r="AU23" i="21" s="1"/>
  <c r="L101" i="21"/>
  <c r="K101" i="21"/>
  <c r="J101" i="21"/>
  <c r="I101" i="21"/>
  <c r="H101" i="21"/>
  <c r="G101" i="21"/>
  <c r="F101" i="21"/>
  <c r="E101" i="21"/>
  <c r="E107" i="21" s="1"/>
  <c r="AN23" i="21"/>
  <c r="AI98" i="21"/>
  <c r="AH98" i="21"/>
  <c r="AI96" i="21"/>
  <c r="AH96" i="21"/>
  <c r="AG96" i="21"/>
  <c r="AI95" i="21"/>
  <c r="AH95" i="21"/>
  <c r="AI94" i="21"/>
  <c r="AH94" i="21"/>
  <c r="AI93" i="21"/>
  <c r="AH93" i="21"/>
  <c r="AG92" i="21"/>
  <c r="AF92" i="21"/>
  <c r="AF97" i="21" s="1"/>
  <c r="AF99" i="21" s="1"/>
  <c r="AD92" i="21"/>
  <c r="AC5" i="21" s="1"/>
  <c r="AB92" i="21"/>
  <c r="AA92" i="21"/>
  <c r="Z5" i="21" s="1"/>
  <c r="Z92" i="21"/>
  <c r="Y92" i="21"/>
  <c r="X5" i="21" s="1"/>
  <c r="X92" i="21"/>
  <c r="W92" i="21"/>
  <c r="V92" i="21"/>
  <c r="U92" i="21"/>
  <c r="T5" i="21" s="1"/>
  <c r="T92" i="21"/>
  <c r="S5" i="21" s="1"/>
  <c r="S92" i="21"/>
  <c r="R92" i="21"/>
  <c r="Q5" i="21" s="1"/>
  <c r="Q92" i="21"/>
  <c r="P5" i="21" s="1"/>
  <c r="P92" i="21"/>
  <c r="O5" i="21" s="1"/>
  <c r="O92" i="21"/>
  <c r="N92" i="21"/>
  <c r="AV19" i="21" s="1"/>
  <c r="M92" i="21"/>
  <c r="AU19" i="21" s="1"/>
  <c r="L92" i="21"/>
  <c r="K5" i="21" s="1"/>
  <c r="K92" i="21"/>
  <c r="AT19" i="21" s="1"/>
  <c r="J92" i="21"/>
  <c r="I5" i="21" s="1"/>
  <c r="I92" i="21"/>
  <c r="H5" i="21" s="1"/>
  <c r="H92" i="21"/>
  <c r="G92" i="21"/>
  <c r="AR19" i="21" s="1"/>
  <c r="F92" i="21"/>
  <c r="AQ19" i="21" s="1"/>
  <c r="E92" i="21"/>
  <c r="D5" i="21" s="1"/>
  <c r="AI91" i="21"/>
  <c r="AH91" i="21"/>
  <c r="AI90" i="21"/>
  <c r="AH90" i="21"/>
  <c r="AI89" i="21"/>
  <c r="AH89" i="21"/>
  <c r="AI88" i="21"/>
  <c r="AH88" i="21"/>
  <c r="AI87" i="21"/>
  <c r="AH87" i="21"/>
  <c r="AI86" i="21"/>
  <c r="AH86" i="21"/>
  <c r="AI85" i="21"/>
  <c r="AH85" i="21"/>
  <c r="AI84" i="21"/>
  <c r="AH84" i="21"/>
  <c r="AI83" i="21"/>
  <c r="AH83" i="21"/>
  <c r="AI82" i="21"/>
  <c r="AH82" i="21"/>
  <c r="AI81" i="21"/>
  <c r="AH81" i="21"/>
  <c r="AG80" i="21"/>
  <c r="AD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AX20" i="21" s="1"/>
  <c r="O80" i="21"/>
  <c r="N80" i="21"/>
  <c r="M80" i="21"/>
  <c r="AU20" i="21" s="1"/>
  <c r="L80" i="21"/>
  <c r="K80" i="21"/>
  <c r="J80" i="21"/>
  <c r="I80" i="21"/>
  <c r="H80" i="21"/>
  <c r="G80" i="21"/>
  <c r="F80" i="21"/>
  <c r="AQ20" i="21" s="1"/>
  <c r="E80" i="21"/>
  <c r="AP20" i="21" s="1"/>
  <c r="BT79" i="21"/>
  <c r="BS79" i="21"/>
  <c r="BR79" i="21"/>
  <c r="BD79" i="21"/>
  <c r="AI79" i="21"/>
  <c r="AH79" i="21"/>
  <c r="BK78" i="21"/>
  <c r="AI78" i="21"/>
  <c r="AH78" i="21"/>
  <c r="BE77" i="21"/>
  <c r="AI77" i="21"/>
  <c r="AH77" i="21"/>
  <c r="BO76" i="21"/>
  <c r="BM76" i="21"/>
  <c r="BJ76" i="21"/>
  <c r="BI76" i="21"/>
  <c r="BF76" i="21"/>
  <c r="BE76" i="21"/>
  <c r="BB76" i="21"/>
  <c r="AZ76" i="21"/>
  <c r="AG76" i="21"/>
  <c r="AD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AX18" i="21" s="1"/>
  <c r="O76" i="21"/>
  <c r="AW18" i="21" s="1"/>
  <c r="N76" i="21"/>
  <c r="AV18" i="21" s="1"/>
  <c r="M76" i="21"/>
  <c r="AU18" i="21" s="1"/>
  <c r="L76" i="21"/>
  <c r="K76" i="21"/>
  <c r="AT18" i="21" s="1"/>
  <c r="J76" i="21"/>
  <c r="I76" i="21"/>
  <c r="AS18" i="21" s="1"/>
  <c r="H76" i="21"/>
  <c r="G76" i="21"/>
  <c r="AR18" i="21" s="1"/>
  <c r="F76" i="21"/>
  <c r="AQ18" i="21" s="1"/>
  <c r="E76" i="21"/>
  <c r="AP18" i="21" s="1"/>
  <c r="BT75" i="21"/>
  <c r="BJ75" i="21"/>
  <c r="BB75" i="21"/>
  <c r="AI75" i="21"/>
  <c r="AH75" i="21"/>
  <c r="AG75" i="21"/>
  <c r="AI74" i="21"/>
  <c r="AH74" i="21"/>
  <c r="BW73" i="21"/>
  <c r="BW80" i="21" s="1"/>
  <c r="BV73" i="21"/>
  <c r="BV80" i="21" s="1"/>
  <c r="BU73" i="21"/>
  <c r="BU80" i="21" s="1"/>
  <c r="BT73" i="21"/>
  <c r="BT80" i="21" s="1"/>
  <c r="BS73" i="21"/>
  <c r="BS80" i="21" s="1"/>
  <c r="BR73" i="21"/>
  <c r="BR80" i="21" s="1"/>
  <c r="BQ73" i="21"/>
  <c r="BQ80" i="21" s="1"/>
  <c r="BP73" i="21"/>
  <c r="BP80" i="21" s="1"/>
  <c r="BO73" i="21"/>
  <c r="BO80" i="21" s="1"/>
  <c r="BN73" i="21"/>
  <c r="BN80" i="21" s="1"/>
  <c r="BM73" i="21"/>
  <c r="BM80" i="21" s="1"/>
  <c r="BL73" i="21"/>
  <c r="BL80" i="21" s="1"/>
  <c r="BK73" i="21"/>
  <c r="BK80" i="21" s="1"/>
  <c r="BJ73" i="21"/>
  <c r="BJ80" i="21" s="1"/>
  <c r="BI73" i="21"/>
  <c r="BI80" i="21" s="1"/>
  <c r="BH73" i="21"/>
  <c r="BH80" i="21" s="1"/>
  <c r="BG73" i="21"/>
  <c r="BG80" i="21" s="1"/>
  <c r="BF73" i="21"/>
  <c r="BF80" i="21" s="1"/>
  <c r="BE73" i="21"/>
  <c r="BE80" i="21" s="1"/>
  <c r="BD73" i="21"/>
  <c r="BD80" i="21" s="1"/>
  <c r="BC73" i="21"/>
  <c r="BC80" i="21" s="1"/>
  <c r="BB73" i="21"/>
  <c r="BB80" i="21" s="1"/>
  <c r="BA73" i="21"/>
  <c r="BA80" i="21" s="1"/>
  <c r="AZ73" i="21"/>
  <c r="AZ80" i="21" s="1"/>
  <c r="AI73" i="21"/>
  <c r="AH73" i="21"/>
  <c r="BW72" i="21"/>
  <c r="BW79" i="21" s="1"/>
  <c r="BV72" i="21"/>
  <c r="BV79" i="21" s="1"/>
  <c r="BU72" i="21"/>
  <c r="BU79" i="21" s="1"/>
  <c r="BT72" i="21"/>
  <c r="BS72" i="21"/>
  <c r="BR72" i="21"/>
  <c r="BQ72" i="21"/>
  <c r="BQ79" i="21" s="1"/>
  <c r="BP72" i="21"/>
  <c r="BP79" i="21" s="1"/>
  <c r="BO72" i="21"/>
  <c r="BO79" i="21" s="1"/>
  <c r="BN72" i="21"/>
  <c r="BN79" i="21" s="1"/>
  <c r="BM72" i="21"/>
  <c r="BM79" i="21" s="1"/>
  <c r="BL72" i="21"/>
  <c r="BL79" i="21" s="1"/>
  <c r="BK72" i="21"/>
  <c r="BK79" i="21" s="1"/>
  <c r="BJ72" i="21"/>
  <c r="BJ79" i="21" s="1"/>
  <c r="BI72" i="21"/>
  <c r="BI79" i="21" s="1"/>
  <c r="BH72" i="21"/>
  <c r="BH79" i="21" s="1"/>
  <c r="BG72" i="21"/>
  <c r="BG79" i="21" s="1"/>
  <c r="BF72" i="21"/>
  <c r="BF79" i="21" s="1"/>
  <c r="BE72" i="21"/>
  <c r="BE79" i="21" s="1"/>
  <c r="BD72" i="21"/>
  <c r="BC72" i="21"/>
  <c r="BC79" i="21" s="1"/>
  <c r="BB72" i="21"/>
  <c r="BB79" i="21" s="1"/>
  <c r="BA72" i="21"/>
  <c r="BA79" i="21" s="1"/>
  <c r="AZ72" i="21"/>
  <c r="AZ79" i="21" s="1"/>
  <c r="AI72" i="21"/>
  <c r="AH72" i="21"/>
  <c r="BW71" i="21"/>
  <c r="BW78" i="21" s="1"/>
  <c r="BV71" i="21"/>
  <c r="BV78" i="21" s="1"/>
  <c r="BU71" i="21"/>
  <c r="BU78" i="21" s="1"/>
  <c r="BT71" i="21"/>
  <c r="BT78" i="21" s="1"/>
  <c r="BS71" i="21"/>
  <c r="BS78" i="21" s="1"/>
  <c r="BR71" i="21"/>
  <c r="BR78" i="21" s="1"/>
  <c r="BQ71" i="21"/>
  <c r="BQ78" i="21" s="1"/>
  <c r="BP71" i="21"/>
  <c r="BP78" i="21" s="1"/>
  <c r="BO71" i="21"/>
  <c r="BO78" i="21" s="1"/>
  <c r="BN71" i="21"/>
  <c r="BN78" i="21" s="1"/>
  <c r="BM71" i="21"/>
  <c r="BM78" i="21" s="1"/>
  <c r="BL71" i="21"/>
  <c r="BL78" i="21" s="1"/>
  <c r="BK71" i="21"/>
  <c r="BJ71" i="21"/>
  <c r="BJ78" i="21" s="1"/>
  <c r="BI71" i="21"/>
  <c r="BI78" i="21" s="1"/>
  <c r="BH71" i="21"/>
  <c r="BH78" i="21" s="1"/>
  <c r="BG71" i="21"/>
  <c r="BG78" i="21" s="1"/>
  <c r="BF71" i="21"/>
  <c r="BF78" i="21" s="1"/>
  <c r="BE71" i="21"/>
  <c r="BE78" i="21" s="1"/>
  <c r="BD71" i="21"/>
  <c r="BD78" i="21" s="1"/>
  <c r="BC71" i="21"/>
  <c r="BC78" i="21" s="1"/>
  <c r="BB71" i="21"/>
  <c r="BB78" i="21" s="1"/>
  <c r="BA71" i="21"/>
  <c r="BA78" i="21" s="1"/>
  <c r="AZ71" i="21"/>
  <c r="AZ78" i="21" s="1"/>
  <c r="AI71" i="21"/>
  <c r="AH71" i="21"/>
  <c r="BW70" i="21"/>
  <c r="BW77" i="21" s="1"/>
  <c r="BV70" i="21"/>
  <c r="BV77" i="21" s="1"/>
  <c r="BU70" i="21"/>
  <c r="BU77" i="21" s="1"/>
  <c r="BT70" i="21"/>
  <c r="BT77" i="21" s="1"/>
  <c r="BS70" i="21"/>
  <c r="BS77" i="21" s="1"/>
  <c r="BR70" i="21"/>
  <c r="BR77" i="21" s="1"/>
  <c r="BQ70" i="21"/>
  <c r="BQ77" i="21" s="1"/>
  <c r="BP70" i="21"/>
  <c r="BP77" i="21" s="1"/>
  <c r="BO70" i="21"/>
  <c r="BO77" i="21" s="1"/>
  <c r="BN70" i="21"/>
  <c r="BN77" i="21" s="1"/>
  <c r="BM70" i="21"/>
  <c r="BM77" i="21" s="1"/>
  <c r="BL70" i="21"/>
  <c r="BL77" i="21" s="1"/>
  <c r="BK70" i="21"/>
  <c r="BK77" i="21" s="1"/>
  <c r="BJ70" i="21"/>
  <c r="BJ77" i="21" s="1"/>
  <c r="BI70" i="21"/>
  <c r="BI77" i="21" s="1"/>
  <c r="BH70" i="21"/>
  <c r="BH77" i="21" s="1"/>
  <c r="BG70" i="21"/>
  <c r="BG77" i="21" s="1"/>
  <c r="BF70" i="21"/>
  <c r="BF77" i="21" s="1"/>
  <c r="BE70" i="21"/>
  <c r="BD70" i="21"/>
  <c r="BD77" i="21" s="1"/>
  <c r="BC70" i="21"/>
  <c r="BC77" i="21" s="1"/>
  <c r="BB70" i="21"/>
  <c r="BB77" i="21" s="1"/>
  <c r="BA70" i="21"/>
  <c r="BA77" i="21" s="1"/>
  <c r="AZ70" i="21"/>
  <c r="AZ77" i="21" s="1"/>
  <c r="AI70" i="21"/>
  <c r="AH70" i="21"/>
  <c r="BW69" i="21"/>
  <c r="BW76" i="21" s="1"/>
  <c r="BV69" i="21"/>
  <c r="BV76" i="21" s="1"/>
  <c r="BU69" i="21"/>
  <c r="BU76" i="21" s="1"/>
  <c r="BT69" i="21"/>
  <c r="BT76" i="21" s="1"/>
  <c r="BS69" i="21"/>
  <c r="BS76" i="21" s="1"/>
  <c r="BR69" i="21"/>
  <c r="BR76" i="21" s="1"/>
  <c r="BQ69" i="21"/>
  <c r="BQ76" i="21" s="1"/>
  <c r="BP69" i="21"/>
  <c r="BP76" i="21" s="1"/>
  <c r="BO69" i="21"/>
  <c r="BN69" i="21"/>
  <c r="BN76" i="21" s="1"/>
  <c r="BM69" i="21"/>
  <c r="BL69" i="21"/>
  <c r="BL76" i="21" s="1"/>
  <c r="BK69" i="21"/>
  <c r="BK76" i="21" s="1"/>
  <c r="BJ69" i="21"/>
  <c r="BI69" i="21"/>
  <c r="BH69" i="21"/>
  <c r="BH76" i="21" s="1"/>
  <c r="BG69" i="21"/>
  <c r="BG76" i="21" s="1"/>
  <c r="BF69" i="21"/>
  <c r="BE69" i="21"/>
  <c r="BD69" i="21"/>
  <c r="BD76" i="21" s="1"/>
  <c r="BC69" i="21"/>
  <c r="BC76" i="21" s="1"/>
  <c r="BB69" i="21"/>
  <c r="BA69" i="21"/>
  <c r="BA76" i="21" s="1"/>
  <c r="AZ69" i="21"/>
  <c r="AI69" i="21"/>
  <c r="AH69" i="21"/>
  <c r="BW68" i="21"/>
  <c r="BW75" i="21" s="1"/>
  <c r="BV68" i="21"/>
  <c r="BV75" i="21" s="1"/>
  <c r="BU68" i="21"/>
  <c r="BU75" i="21" s="1"/>
  <c r="BT68" i="21"/>
  <c r="BS68" i="21"/>
  <c r="BS75" i="21" s="1"/>
  <c r="BR68" i="21"/>
  <c r="BR75" i="21" s="1"/>
  <c r="BQ68" i="21"/>
  <c r="BQ75" i="21" s="1"/>
  <c r="BP68" i="21"/>
  <c r="BP75" i="21" s="1"/>
  <c r="BO68" i="21"/>
  <c r="BO75" i="21" s="1"/>
  <c r="BN68" i="21"/>
  <c r="BN75" i="21" s="1"/>
  <c r="BM68" i="21"/>
  <c r="BM75" i="21" s="1"/>
  <c r="BL68" i="21"/>
  <c r="BL75" i="21" s="1"/>
  <c r="BK68" i="21"/>
  <c r="BK75" i="21" s="1"/>
  <c r="BJ68" i="21"/>
  <c r="BI68" i="21"/>
  <c r="BI75" i="21" s="1"/>
  <c r="BH68" i="21"/>
  <c r="BH75" i="21" s="1"/>
  <c r="BG68" i="21"/>
  <c r="BG75" i="21" s="1"/>
  <c r="BF68" i="21"/>
  <c r="BF75" i="21" s="1"/>
  <c r="BE68" i="21"/>
  <c r="BE75" i="21" s="1"/>
  <c r="BD68" i="21"/>
  <c r="BD75" i="21" s="1"/>
  <c r="BC68" i="21"/>
  <c r="BC75" i="21" s="1"/>
  <c r="BB68" i="21"/>
  <c r="BA68" i="21"/>
  <c r="BA75" i="21" s="1"/>
  <c r="AZ68" i="21"/>
  <c r="AZ75" i="21" s="1"/>
  <c r="AI68" i="21"/>
  <c r="AH68" i="21"/>
  <c r="AI67" i="21"/>
  <c r="AH67" i="21"/>
  <c r="AI66" i="21"/>
  <c r="AH66" i="21"/>
  <c r="AI65" i="21"/>
  <c r="AH65" i="21"/>
  <c r="AI64" i="21"/>
  <c r="AH64" i="21"/>
  <c r="AI63" i="21"/>
  <c r="AH63" i="21"/>
  <c r="AG62" i="21"/>
  <c r="AD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AW17" i="21" s="1"/>
  <c r="N62" i="21"/>
  <c r="AV17" i="21" s="1"/>
  <c r="M62" i="21"/>
  <c r="AU17" i="21" s="1"/>
  <c r="L62" i="21"/>
  <c r="K62" i="21"/>
  <c r="J62" i="21"/>
  <c r="I62" i="21"/>
  <c r="AS17" i="21" s="1"/>
  <c r="H62" i="21"/>
  <c r="G62" i="21"/>
  <c r="F62" i="21"/>
  <c r="AQ17" i="21" s="1"/>
  <c r="E62" i="21"/>
  <c r="AP17" i="21" s="1"/>
  <c r="AI61" i="21"/>
  <c r="AH61" i="21"/>
  <c r="AI60" i="21"/>
  <c r="AH60" i="21"/>
  <c r="AI59" i="21"/>
  <c r="AH59" i="21"/>
  <c r="AG58" i="21"/>
  <c r="AG97" i="21" s="1"/>
  <c r="AD58" i="21"/>
  <c r="AC7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AX16" i="21" s="1"/>
  <c r="O58" i="21"/>
  <c r="AW16" i="21" s="1"/>
  <c r="N58" i="21"/>
  <c r="M58" i="21"/>
  <c r="L58" i="21"/>
  <c r="K58" i="21"/>
  <c r="J58" i="21"/>
  <c r="I58" i="21"/>
  <c r="H58" i="21"/>
  <c r="G58" i="21"/>
  <c r="F58" i="21"/>
  <c r="E58" i="21"/>
  <c r="AI57" i="21"/>
  <c r="AH57" i="21"/>
  <c r="AI56" i="21"/>
  <c r="AH56" i="21"/>
  <c r="AI55" i="21"/>
  <c r="AH55" i="21"/>
  <c r="AI54" i="21"/>
  <c r="AH54" i="21"/>
  <c r="AI53" i="21"/>
  <c r="AH53" i="21"/>
  <c r="AI52" i="21"/>
  <c r="AH52" i="21"/>
  <c r="AI51" i="21"/>
  <c r="AH51" i="21"/>
  <c r="AI50" i="21"/>
  <c r="AH50" i="21"/>
  <c r="AI49" i="21"/>
  <c r="AH49" i="21"/>
  <c r="AI48" i="21"/>
  <c r="AH48" i="21"/>
  <c r="AI47" i="21"/>
  <c r="AH47" i="21"/>
  <c r="AI46" i="21"/>
  <c r="AH46" i="21"/>
  <c r="AI45" i="21"/>
  <c r="AH45" i="21"/>
  <c r="AI44" i="21"/>
  <c r="AH44" i="21"/>
  <c r="AI43" i="21"/>
  <c r="AH43" i="21"/>
  <c r="AI42" i="21"/>
  <c r="AH42" i="21"/>
  <c r="AI41" i="21"/>
  <c r="AH41" i="21"/>
  <c r="AI40" i="21"/>
  <c r="AH40" i="21"/>
  <c r="AI39" i="21"/>
  <c r="AH39" i="21"/>
  <c r="AI38" i="21"/>
  <c r="AH38" i="21"/>
  <c r="AI37" i="21"/>
  <c r="AH37" i="21"/>
  <c r="AI36" i="21"/>
  <c r="AH36" i="21"/>
  <c r="AI35" i="21"/>
  <c r="AH35" i="21"/>
  <c r="AI34" i="21"/>
  <c r="AH34" i="21"/>
  <c r="AI33" i="21"/>
  <c r="AH33" i="21"/>
  <c r="AI32" i="21"/>
  <c r="AH32" i="21"/>
  <c r="AI31" i="21"/>
  <c r="AH31" i="21"/>
  <c r="AI30" i="21"/>
  <c r="AH30" i="21"/>
  <c r="AI29" i="21"/>
  <c r="AH29" i="21"/>
  <c r="AI28" i="21"/>
  <c r="AH28" i="21"/>
  <c r="AI27" i="21"/>
  <c r="AH27" i="21"/>
  <c r="AI26" i="21"/>
  <c r="AH26" i="21"/>
  <c r="AI25" i="21"/>
  <c r="AH25" i="21"/>
  <c r="AI24" i="21"/>
  <c r="AH24" i="21"/>
  <c r="AP23" i="21"/>
  <c r="AI23" i="21"/>
  <c r="AH23" i="21"/>
  <c r="AI22" i="21"/>
  <c r="AH22" i="21"/>
  <c r="AX21" i="21"/>
  <c r="AW21" i="21"/>
  <c r="AV21" i="21"/>
  <c r="AU21" i="21"/>
  <c r="AT21" i="21"/>
  <c r="AS21" i="21"/>
  <c r="AR21" i="21"/>
  <c r="AQ21" i="21"/>
  <c r="AP21" i="21"/>
  <c r="AO21" i="21"/>
  <c r="AN21" i="21"/>
  <c r="AM21" i="21"/>
  <c r="AI21" i="21"/>
  <c r="AH21" i="21"/>
  <c r="AW20" i="21"/>
  <c r="AV20" i="21"/>
  <c r="AT20" i="21"/>
  <c r="AS20" i="21"/>
  <c r="AR20" i="21"/>
  <c r="AO20" i="21"/>
  <c r="AN20" i="21"/>
  <c r="AM20" i="21"/>
  <c r="AI20" i="21"/>
  <c r="AH20" i="21"/>
  <c r="AO19" i="21"/>
  <c r="AN19" i="21"/>
  <c r="AM19" i="21"/>
  <c r="AI19" i="21"/>
  <c r="AH19" i="21"/>
  <c r="AO18" i="21"/>
  <c r="AN18" i="21"/>
  <c r="AI18" i="21"/>
  <c r="AH18" i="21"/>
  <c r="AX17" i="21"/>
  <c r="AT17" i="21"/>
  <c r="AO17" i="21"/>
  <c r="AM17" i="21"/>
  <c r="AI17" i="21"/>
  <c r="AH17" i="21"/>
  <c r="AS16" i="21"/>
  <c r="AR16" i="21"/>
  <c r="AO16" i="21"/>
  <c r="AN16" i="21"/>
  <c r="AM16" i="21"/>
  <c r="AI16" i="21"/>
  <c r="AH16" i="21"/>
  <c r="AI15" i="21"/>
  <c r="AH15" i="21"/>
  <c r="AI14" i="21"/>
  <c r="AH14" i="21"/>
  <c r="AI13" i="21"/>
  <c r="AH13" i="21"/>
  <c r="AL12" i="21"/>
  <c r="AI12" i="21"/>
  <c r="AH12" i="21"/>
  <c r="AI11" i="21"/>
  <c r="AH11" i="21"/>
  <c r="C7" i="21"/>
  <c r="AF5" i="21"/>
  <c r="AB5" i="21"/>
  <c r="AA5" i="21"/>
  <c r="Y5" i="21"/>
  <c r="U5" i="21"/>
  <c r="R5" i="21"/>
  <c r="C5" i="21"/>
  <c r="B5" i="21"/>
  <c r="AG4" i="21"/>
  <c r="K4" i="21"/>
  <c r="E4" i="21"/>
  <c r="H4" i="21" s="1"/>
  <c r="B4" i="21"/>
  <c r="D258" i="21" s="1"/>
  <c r="AG3" i="21"/>
  <c r="AG2" i="21"/>
  <c r="AG6" i="21" s="1"/>
  <c r="AE5" i="21" l="1"/>
  <c r="AD107" i="21"/>
  <c r="AD97" i="21"/>
  <c r="AD99" i="21" s="1"/>
  <c r="AD100" i="21" s="1"/>
  <c r="AD7" i="21" s="1"/>
  <c r="AB107" i="21"/>
  <c r="AA108" i="21"/>
  <c r="AA97" i="21"/>
  <c r="AA99" i="21" s="1"/>
  <c r="AA100" i="21" s="1"/>
  <c r="AA7" i="21" s="1"/>
  <c r="Z107" i="21"/>
  <c r="Z108" i="21"/>
  <c r="Z97" i="21"/>
  <c r="Z99" i="21" s="1"/>
  <c r="Z100" i="21" s="1"/>
  <c r="Z7" i="21" s="1"/>
  <c r="Y107" i="21"/>
  <c r="Y108" i="21"/>
  <c r="W97" i="21"/>
  <c r="W99" i="21" s="1"/>
  <c r="V107" i="21"/>
  <c r="V97" i="21"/>
  <c r="V99" i="21" s="1"/>
  <c r="V100" i="21" s="1"/>
  <c r="V7" i="21" s="1"/>
  <c r="U97" i="21"/>
  <c r="U99" i="21" s="1"/>
  <c r="U107" i="21"/>
  <c r="T107" i="21"/>
  <c r="T97" i="21"/>
  <c r="T99" i="21" s="1"/>
  <c r="T100" i="21" s="1"/>
  <c r="T7" i="21" s="1"/>
  <c r="S107" i="21"/>
  <c r="S108" i="21" s="1"/>
  <c r="S97" i="21"/>
  <c r="S99" i="21" s="1"/>
  <c r="S100" i="21" s="1"/>
  <c r="S7" i="21" s="1"/>
  <c r="R107" i="21"/>
  <c r="R108" i="21" s="1"/>
  <c r="R97" i="21"/>
  <c r="R99" i="21" s="1"/>
  <c r="R100" i="21" s="1"/>
  <c r="R7" i="21" s="1"/>
  <c r="AX19" i="21"/>
  <c r="AI104" i="21"/>
  <c r="N108" i="21"/>
  <c r="M5" i="21"/>
  <c r="N97" i="21"/>
  <c r="N99" i="21" s="1"/>
  <c r="N100" i="21" s="1"/>
  <c r="N7" i="21" s="1"/>
  <c r="L5" i="21"/>
  <c r="M97" i="21"/>
  <c r="M99" i="21" s="1"/>
  <c r="M100" i="21" s="1"/>
  <c r="M7" i="21" s="1"/>
  <c r="J5" i="21"/>
  <c r="K107" i="21"/>
  <c r="AT23" i="21" s="1"/>
  <c r="AH105" i="21"/>
  <c r="L107" i="21"/>
  <c r="K97" i="21"/>
  <c r="K99" i="21" s="1"/>
  <c r="K100" i="21" s="1"/>
  <c r="K7" i="21" s="1"/>
  <c r="AH103" i="21"/>
  <c r="J108" i="21"/>
  <c r="J97" i="21"/>
  <c r="J99" i="21" s="1"/>
  <c r="J100" i="21" s="1"/>
  <c r="J7" i="21" s="1"/>
  <c r="AS19" i="21"/>
  <c r="I97" i="21"/>
  <c r="I99" i="21" s="1"/>
  <c r="AS22" i="21"/>
  <c r="AH104" i="21"/>
  <c r="AH62" i="21"/>
  <c r="H97" i="21"/>
  <c r="H99" i="21" s="1"/>
  <c r="AR17" i="21"/>
  <c r="AR22" i="21"/>
  <c r="E5" i="21"/>
  <c r="F107" i="21"/>
  <c r="AQ23" i="21" s="1"/>
  <c r="F108" i="21"/>
  <c r="AI62" i="21"/>
  <c r="AP19" i="21"/>
  <c r="AO22" i="21"/>
  <c r="AO24" i="21" s="1"/>
  <c r="B97" i="21"/>
  <c r="B99" i="21" s="1"/>
  <c r="B100" i="21" s="1"/>
  <c r="AM22" i="21"/>
  <c r="AX22" i="21"/>
  <c r="BG84" i="21" a="1"/>
  <c r="AI92" i="21"/>
  <c r="P97" i="21"/>
  <c r="P99" i="21" s="1"/>
  <c r="E97" i="21"/>
  <c r="E99" i="21" s="1"/>
  <c r="E100" i="21" s="1"/>
  <c r="E7" i="21" s="1"/>
  <c r="AP16" i="21"/>
  <c r="AP22" i="21" s="1"/>
  <c r="AP24" i="21" s="1"/>
  <c r="W5" i="21"/>
  <c r="O97" i="21"/>
  <c r="O99" i="21" s="1"/>
  <c r="X97" i="21"/>
  <c r="X99" i="21" s="1"/>
  <c r="Q97" i="21"/>
  <c r="Q99" i="21" s="1"/>
  <c r="Y97" i="21"/>
  <c r="Y99" i="21" s="1"/>
  <c r="Y100" i="21" s="1"/>
  <c r="Y7" i="21" s="1"/>
  <c r="AI76" i="21"/>
  <c r="K108" i="21"/>
  <c r="G97" i="21"/>
  <c r="G99" i="21" s="1"/>
  <c r="AT16" i="21"/>
  <c r="AT22" i="21" s="1"/>
  <c r="AT24" i="21" s="1"/>
  <c r="AN17" i="21"/>
  <c r="AN22" i="21" s="1"/>
  <c r="AH58" i="21"/>
  <c r="AI80" i="21"/>
  <c r="I107" i="21"/>
  <c r="Q107" i="21"/>
  <c r="Q108" i="21" s="1"/>
  <c r="AI103" i="21"/>
  <c r="AI105" i="21"/>
  <c r="AL13" i="21"/>
  <c r="F97" i="21"/>
  <c r="F99" i="21" s="1"/>
  <c r="F100" i="21" s="1"/>
  <c r="F7" i="21" s="1"/>
  <c r="AQ16" i="21"/>
  <c r="AQ22" i="21" s="1"/>
  <c r="G5" i="21"/>
  <c r="H108" i="21"/>
  <c r="AU16" i="21"/>
  <c r="AU22" i="21" s="1"/>
  <c r="AU24" i="21" s="1"/>
  <c r="AI58" i="21"/>
  <c r="E108" i="21"/>
  <c r="M108" i="21"/>
  <c r="U108" i="21"/>
  <c r="AI101" i="21"/>
  <c r="AV16" i="21"/>
  <c r="AV22" i="21" s="1"/>
  <c r="AV24" i="21" s="1"/>
  <c r="D7" i="21"/>
  <c r="L97" i="21"/>
  <c r="L99" i="21" s="1"/>
  <c r="L100" i="21" s="1"/>
  <c r="L7" i="21" s="1"/>
  <c r="AB97" i="21"/>
  <c r="AB99" i="21" s="1"/>
  <c r="AB100" i="21" s="1"/>
  <c r="AB7" i="21" s="1"/>
  <c r="F5" i="21"/>
  <c r="AW19" i="21"/>
  <c r="AW22" i="21" s="1"/>
  <c r="N5" i="21"/>
  <c r="V5" i="21"/>
  <c r="AD5" i="21"/>
  <c r="AH92" i="21"/>
  <c r="AG99" i="21"/>
  <c r="AH76" i="21"/>
  <c r="AH80" i="21"/>
  <c r="L108" i="21"/>
  <c r="T108" i="21"/>
  <c r="AB108" i="21"/>
  <c r="H107" i="21"/>
  <c r="P107" i="21"/>
  <c r="AX23" i="21" s="1"/>
  <c r="X107" i="21"/>
  <c r="X108" i="21" s="1"/>
  <c r="AF107" i="21"/>
  <c r="AF108" i="21" s="1"/>
  <c r="G107" i="21"/>
  <c r="AR23" i="21" s="1"/>
  <c r="AR24" i="21" s="1"/>
  <c r="O107" i="21"/>
  <c r="AW23" i="21" s="1"/>
  <c r="W107" i="21"/>
  <c r="W100" i="21" s="1"/>
  <c r="W7" i="21" s="1"/>
  <c r="D252" i="21"/>
  <c r="AH101" i="21"/>
  <c r="V108" i="21"/>
  <c r="AD108" i="21"/>
  <c r="E246" i="21"/>
  <c r="AF58" i="20"/>
  <c r="AF62" i="20"/>
  <c r="AF76" i="20"/>
  <c r="AF80" i="20"/>
  <c r="AF92" i="20"/>
  <c r="AF107" i="20"/>
  <c r="AF118" i="20"/>
  <c r="AE58" i="20"/>
  <c r="AE62" i="20"/>
  <c r="AE76" i="20"/>
  <c r="AE80" i="20"/>
  <c r="AE92" i="20"/>
  <c r="AE118" i="20"/>
  <c r="D140" i="20"/>
  <c r="E140" i="20"/>
  <c r="F140" i="20"/>
  <c r="G140" i="20"/>
  <c r="C140" i="20"/>
  <c r="AD58" i="20"/>
  <c r="AD62" i="20"/>
  <c r="AD76" i="20"/>
  <c r="AD80" i="20"/>
  <c r="AD92" i="20"/>
  <c r="AD107" i="20"/>
  <c r="AD118" i="20"/>
  <c r="AC57" i="20"/>
  <c r="AB57" i="20"/>
  <c r="U100" i="21" l="1"/>
  <c r="U7" i="21" s="1"/>
  <c r="Q100" i="21"/>
  <c r="Q7" i="21" s="1"/>
  <c r="AW24" i="21"/>
  <c r="O100" i="21"/>
  <c r="O7" i="21" s="1"/>
  <c r="O108" i="21"/>
  <c r="H100" i="21"/>
  <c r="H7" i="21" s="1"/>
  <c r="AQ24" i="21"/>
  <c r="AN24" i="21"/>
  <c r="AT8" i="21"/>
  <c r="I108" i="21"/>
  <c r="AS23" i="21"/>
  <c r="AS24" i="21" s="1"/>
  <c r="AH97" i="21"/>
  <c r="AF100" i="21"/>
  <c r="AF7" i="21" s="1"/>
  <c r="F246" i="21"/>
  <c r="E252" i="21"/>
  <c r="E118" i="21"/>
  <c r="AI107" i="21"/>
  <c r="AH107" i="21"/>
  <c r="AM23" i="21"/>
  <c r="AM24" i="21" s="1"/>
  <c r="G108" i="21"/>
  <c r="AI97" i="21"/>
  <c r="P100" i="21"/>
  <c r="P7" i="21" s="1"/>
  <c r="P108" i="21"/>
  <c r="AH99" i="21"/>
  <c r="AI99" i="21"/>
  <c r="X100" i="21"/>
  <c r="X7" i="21" s="1"/>
  <c r="BJ107" i="21"/>
  <c r="BH106" i="21"/>
  <c r="BL104" i="21"/>
  <c r="BJ103" i="21"/>
  <c r="BH102" i="21"/>
  <c r="BL100" i="21"/>
  <c r="BJ99" i="21"/>
  <c r="BH98" i="21"/>
  <c r="BL96" i="21"/>
  <c r="BJ95" i="21"/>
  <c r="BH94" i="21"/>
  <c r="BL92" i="21"/>
  <c r="BJ91" i="21"/>
  <c r="BH90" i="21"/>
  <c r="BL88" i="21"/>
  <c r="BJ87" i="21"/>
  <c r="BH86" i="21"/>
  <c r="BL84" i="21"/>
  <c r="BG107" i="21"/>
  <c r="BK105" i="21"/>
  <c r="BI104" i="21"/>
  <c r="BG103" i="21"/>
  <c r="BK101" i="21"/>
  <c r="BI100" i="21"/>
  <c r="BG99" i="21"/>
  <c r="BK97" i="21"/>
  <c r="BI96" i="21"/>
  <c r="BG95" i="21"/>
  <c r="BK93" i="21"/>
  <c r="BI92" i="21"/>
  <c r="BG91" i="21"/>
  <c r="BK89" i="21"/>
  <c r="BI88" i="21"/>
  <c r="BG87" i="21"/>
  <c r="BK85" i="21"/>
  <c r="BI84" i="21"/>
  <c r="BK106" i="21"/>
  <c r="BG105" i="21"/>
  <c r="BH103" i="21"/>
  <c r="BI101" i="21"/>
  <c r="BK99" i="21"/>
  <c r="BL97" i="21"/>
  <c r="BG96" i="21"/>
  <c r="BI94" i="21"/>
  <c r="BJ92" i="21"/>
  <c r="BK90" i="21"/>
  <c r="BG89" i="21"/>
  <c r="BH87" i="21"/>
  <c r="BI85" i="21"/>
  <c r="BJ106" i="21"/>
  <c r="BK104" i="21"/>
  <c r="BL102" i="21"/>
  <c r="BH101" i="21"/>
  <c r="BI99" i="21"/>
  <c r="BJ97" i="21"/>
  <c r="BL95" i="21"/>
  <c r="BG94" i="21"/>
  <c r="BH92" i="21"/>
  <c r="BJ90" i="21"/>
  <c r="BK88" i="21"/>
  <c r="BL86" i="21"/>
  <c r="BH85" i="21"/>
  <c r="BI106" i="21"/>
  <c r="BJ104" i="21"/>
  <c r="BK102" i="21"/>
  <c r="BG101" i="21"/>
  <c r="BH99" i="21"/>
  <c r="BI97" i="21"/>
  <c r="BK95" i="21"/>
  <c r="BL93" i="21"/>
  <c r="BG92" i="21"/>
  <c r="BI90" i="21"/>
  <c r="BJ88" i="21"/>
  <c r="BK86" i="21"/>
  <c r="BG85" i="21"/>
  <c r="BL105" i="21"/>
  <c r="BL107" i="21"/>
  <c r="BG106" i="21"/>
  <c r="BH104" i="21"/>
  <c r="BJ102" i="21"/>
  <c r="BK100" i="21"/>
  <c r="BL98" i="21"/>
  <c r="BH97" i="21"/>
  <c r="BI95" i="21"/>
  <c r="BJ93" i="21"/>
  <c r="BL91" i="21"/>
  <c r="BG90" i="21"/>
  <c r="BH88" i="21"/>
  <c r="BJ86" i="21"/>
  <c r="BK84" i="21"/>
  <c r="BK107" i="21"/>
  <c r="BG104" i="21"/>
  <c r="BI102" i="21"/>
  <c r="BJ100" i="21"/>
  <c r="BK98" i="21"/>
  <c r="BG97" i="21"/>
  <c r="BH95" i="21"/>
  <c r="BI93" i="21"/>
  <c r="BK91" i="21"/>
  <c r="BL89" i="21"/>
  <c r="BG88" i="21"/>
  <c r="BI86" i="21"/>
  <c r="BJ84" i="21"/>
  <c r="BI105" i="21"/>
  <c r="BH100" i="21"/>
  <c r="BH96" i="21"/>
  <c r="BH91" i="21"/>
  <c r="BG86" i="21"/>
  <c r="BH105" i="21"/>
  <c r="BG100" i="21"/>
  <c r="BL94" i="21"/>
  <c r="BL90" i="21"/>
  <c r="BL85" i="21"/>
  <c r="BL103" i="21"/>
  <c r="BL99" i="21"/>
  <c r="BK94" i="21"/>
  <c r="BJ89" i="21"/>
  <c r="BJ85" i="21"/>
  <c r="BL106" i="21"/>
  <c r="BK96" i="21"/>
  <c r="BK87" i="21"/>
  <c r="BK103" i="21"/>
  <c r="BJ98" i="21"/>
  <c r="BJ94" i="21"/>
  <c r="BI89" i="21"/>
  <c r="BH84" i="21"/>
  <c r="BI107" i="21"/>
  <c r="BI103" i="21"/>
  <c r="BI98" i="21"/>
  <c r="BH89" i="21"/>
  <c r="BG84" i="21"/>
  <c r="BL101" i="21"/>
  <c r="BK92" i="21"/>
  <c r="BJ105" i="21"/>
  <c r="BJ101" i="21"/>
  <c r="BJ96" i="21"/>
  <c r="BI91" i="21"/>
  <c r="BI87" i="21"/>
  <c r="BH93" i="21"/>
  <c r="BH107" i="21"/>
  <c r="BG102" i="21"/>
  <c r="BG98" i="21"/>
  <c r="BG93" i="21"/>
  <c r="BL87" i="21"/>
  <c r="W108" i="21"/>
  <c r="AE7" i="21"/>
  <c r="C256" i="21"/>
  <c r="G100" i="21"/>
  <c r="G7" i="21" s="1"/>
  <c r="B256" i="21"/>
  <c r="AX24" i="21"/>
  <c r="I100" i="21"/>
  <c r="I7" i="21" s="1"/>
  <c r="AF108" i="20"/>
  <c r="AF97" i="20"/>
  <c r="AF99" i="20" s="1"/>
  <c r="AF100" i="20" s="1"/>
  <c r="AE107" i="20"/>
  <c r="AE108" i="20" s="1"/>
  <c r="AE97" i="20"/>
  <c r="AE99" i="20" s="1"/>
  <c r="AD97" i="20"/>
  <c r="AD99" i="20" s="1"/>
  <c r="AD100" i="20" s="1"/>
  <c r="AD108" i="20"/>
  <c r="AT9" i="21" l="1"/>
  <c r="G246" i="21"/>
  <c r="F118" i="21"/>
  <c r="F252" i="21"/>
  <c r="AI108" i="21"/>
  <c r="AH108" i="21"/>
  <c r="AI100" i="21"/>
  <c r="AH100" i="21"/>
  <c r="B7" i="21"/>
  <c r="A7" i="21" s="1"/>
  <c r="K6" i="21"/>
  <c r="AE100" i="20"/>
  <c r="R57" i="20"/>
  <c r="Q57" i="20"/>
  <c r="P121" i="20"/>
  <c r="P57" i="20"/>
  <c r="O57" i="20"/>
  <c r="N121" i="20"/>
  <c r="N57" i="20"/>
  <c r="H246" i="21" l="1"/>
  <c r="G252" i="21"/>
  <c r="G118" i="21"/>
  <c r="I246" i="21" l="1"/>
  <c r="H252" i="21"/>
  <c r="H118" i="21"/>
  <c r="I252" i="21" l="1"/>
  <c r="I118" i="21"/>
  <c r="J246" i="21"/>
  <c r="J252" i="21" l="1"/>
  <c r="K246" i="21"/>
  <c r="J118" i="21"/>
  <c r="K252" i="21" l="1"/>
  <c r="K118" i="21"/>
  <c r="L246" i="21"/>
  <c r="L252" i="21" l="1"/>
  <c r="L118" i="21"/>
  <c r="M246" i="21"/>
  <c r="N246" i="21" l="1"/>
  <c r="M118" i="21"/>
  <c r="M252" i="21"/>
  <c r="O246" i="21" l="1"/>
  <c r="N118" i="21"/>
  <c r="N252" i="21"/>
  <c r="P246" i="21" l="1"/>
  <c r="O252" i="21"/>
  <c r="O118" i="21"/>
  <c r="Q246" i="21" l="1"/>
  <c r="P252" i="21"/>
  <c r="Q252" i="21" l="1"/>
  <c r="R246" i="21"/>
  <c r="R252" i="21" l="1"/>
  <c r="S246" i="21"/>
  <c r="S252" i="21" l="1"/>
  <c r="T246" i="21"/>
  <c r="S118" i="21"/>
  <c r="T252" i="21" l="1"/>
  <c r="T118" i="21"/>
  <c r="U246" i="21"/>
  <c r="U118" i="21" l="1"/>
  <c r="V246" i="21"/>
  <c r="U252" i="21"/>
  <c r="W246" i="21" l="1"/>
  <c r="V252" i="21"/>
  <c r="V118" i="21"/>
  <c r="X246" i="21" l="1"/>
  <c r="W252" i="21"/>
  <c r="W118" i="21"/>
  <c r="Y246" i="21" l="1"/>
  <c r="X252" i="21"/>
  <c r="X118" i="21"/>
  <c r="Y252" i="21" l="1"/>
  <c r="Z246" i="21"/>
  <c r="Z252" i="21" l="1"/>
  <c r="AA246" i="21"/>
  <c r="AA252" i="21" l="1"/>
  <c r="AB246" i="21"/>
  <c r="AA118" i="21"/>
  <c r="AB252" i="21" l="1"/>
  <c r="AB118" i="21"/>
  <c r="AC246" i="21"/>
  <c r="AD246" i="21" l="1"/>
  <c r="AC252" i="21"/>
  <c r="AE246" i="21" l="1"/>
  <c r="AD252" i="21"/>
  <c r="AD118" i="21"/>
  <c r="AF246" i="21" l="1"/>
  <c r="AE252" i="21"/>
  <c r="AF252" i="21" l="1"/>
  <c r="AF118" i="21"/>
  <c r="B246" i="21"/>
  <c r="B252" i="21" l="1"/>
  <c r="AI118" i="21" l="1"/>
  <c r="AH118" i="21"/>
  <c r="K58" i="20" l="1"/>
  <c r="K62" i="20"/>
  <c r="J58" i="20"/>
  <c r="J62" i="20"/>
  <c r="G58" i="20" l="1"/>
  <c r="H58" i="20"/>
  <c r="E58" i="20"/>
  <c r="F58" i="20"/>
  <c r="E62" i="20"/>
  <c r="F62" i="20"/>
  <c r="AF99" i="19"/>
  <c r="AH125" i="20"/>
  <c r="AI125" i="20"/>
  <c r="AH124" i="20"/>
  <c r="AI124" i="20"/>
  <c r="C92" i="20"/>
  <c r="D92" i="20"/>
  <c r="E92" i="20"/>
  <c r="F92" i="20"/>
  <c r="E5" i="20" s="1"/>
  <c r="G92" i="20"/>
  <c r="F5" i="20" s="1"/>
  <c r="H92" i="20"/>
  <c r="G5" i="20" s="1"/>
  <c r="I92" i="20"/>
  <c r="AS19" i="20" s="1"/>
  <c r="J92" i="20"/>
  <c r="I5" i="20" s="1"/>
  <c r="K92" i="20"/>
  <c r="L92" i="20"/>
  <c r="M92" i="20"/>
  <c r="AU19" i="20" s="1"/>
  <c r="N92" i="20"/>
  <c r="M5" i="20" s="1"/>
  <c r="O92" i="20"/>
  <c r="AW19" i="20" s="1"/>
  <c r="P92" i="20"/>
  <c r="O5" i="20" s="1"/>
  <c r="Q92" i="20"/>
  <c r="R92" i="20"/>
  <c r="Q5" i="20" s="1"/>
  <c r="S92" i="20"/>
  <c r="R5" i="20" s="1"/>
  <c r="T92" i="20"/>
  <c r="U92" i="20"/>
  <c r="T5" i="20" s="1"/>
  <c r="V92" i="20"/>
  <c r="U5" i="20" s="1"/>
  <c r="W92" i="20"/>
  <c r="X92" i="20"/>
  <c r="W5" i="20" s="1"/>
  <c r="Y92" i="20"/>
  <c r="X5" i="20" s="1"/>
  <c r="Z92" i="20"/>
  <c r="AA92" i="20"/>
  <c r="AB92" i="20"/>
  <c r="AC92" i="20"/>
  <c r="AB5" i="20" s="1"/>
  <c r="AE5" i="20"/>
  <c r="B92" i="20"/>
  <c r="B108" i="20" s="1"/>
  <c r="C80" i="20"/>
  <c r="D80" i="20"/>
  <c r="E80" i="20"/>
  <c r="F80" i="20"/>
  <c r="G80" i="20"/>
  <c r="AR20" i="20" s="1"/>
  <c r="H80" i="20"/>
  <c r="I80" i="20"/>
  <c r="AS20" i="20" s="1"/>
  <c r="J80" i="20"/>
  <c r="K80" i="20"/>
  <c r="L80" i="20"/>
  <c r="M80" i="20"/>
  <c r="N80" i="20"/>
  <c r="O80" i="20"/>
  <c r="P80" i="20"/>
  <c r="AX20" i="20" s="1"/>
  <c r="Q80" i="20"/>
  <c r="R80" i="20"/>
  <c r="S80" i="20"/>
  <c r="T80" i="20"/>
  <c r="U80" i="20"/>
  <c r="V80" i="20"/>
  <c r="W80" i="20"/>
  <c r="X80" i="20"/>
  <c r="Y80" i="20"/>
  <c r="Z80" i="20"/>
  <c r="AA80" i="20"/>
  <c r="AB80" i="20"/>
  <c r="AC80" i="20"/>
  <c r="B80" i="20"/>
  <c r="C76" i="20"/>
  <c r="D76" i="20"/>
  <c r="AO18" i="20" s="1"/>
  <c r="E76" i="20"/>
  <c r="F76" i="20"/>
  <c r="AQ18" i="20" s="1"/>
  <c r="G76" i="20"/>
  <c r="AR18" i="20" s="1"/>
  <c r="H76" i="20"/>
  <c r="I76" i="20"/>
  <c r="AS18" i="20" s="1"/>
  <c r="J76" i="20"/>
  <c r="K76" i="20"/>
  <c r="L76" i="20"/>
  <c r="M76" i="20"/>
  <c r="AU18" i="20" s="1"/>
  <c r="N76" i="20"/>
  <c r="AV18" i="20" s="1"/>
  <c r="O76" i="20"/>
  <c r="P76" i="20"/>
  <c r="AX18" i="20" s="1"/>
  <c r="Q76" i="20"/>
  <c r="R76" i="20"/>
  <c r="S76" i="20"/>
  <c r="T76" i="20"/>
  <c r="U76" i="20"/>
  <c r="V76" i="20"/>
  <c r="W76" i="20"/>
  <c r="X76" i="20"/>
  <c r="Y76" i="20"/>
  <c r="Z76" i="20"/>
  <c r="AA76" i="20"/>
  <c r="AB76" i="20"/>
  <c r="AC76" i="20"/>
  <c r="B76" i="20"/>
  <c r="C62" i="20"/>
  <c r="D62" i="20"/>
  <c r="G62" i="20"/>
  <c r="AR17" i="20" s="1"/>
  <c r="H62" i="20"/>
  <c r="I62" i="20"/>
  <c r="L62" i="20"/>
  <c r="M62" i="20"/>
  <c r="AU17" i="20" s="1"/>
  <c r="N62" i="20"/>
  <c r="O62" i="20"/>
  <c r="AW17" i="20" s="1"/>
  <c r="P62" i="20"/>
  <c r="AX17" i="20" s="1"/>
  <c r="Q62" i="20"/>
  <c r="R62" i="20"/>
  <c r="S62" i="20"/>
  <c r="T62" i="20"/>
  <c r="U62" i="20"/>
  <c r="V62" i="20"/>
  <c r="W62" i="20"/>
  <c r="X62" i="20"/>
  <c r="Y62" i="20"/>
  <c r="Z62" i="20"/>
  <c r="AA62" i="20"/>
  <c r="AB62" i="20"/>
  <c r="AC62" i="20"/>
  <c r="B62" i="20"/>
  <c r="C58" i="20"/>
  <c r="D58" i="20"/>
  <c r="I58" i="20"/>
  <c r="L58" i="20"/>
  <c r="M58" i="20"/>
  <c r="N58" i="20"/>
  <c r="O58" i="20"/>
  <c r="P58" i="20"/>
  <c r="Q58" i="20"/>
  <c r="R58" i="20"/>
  <c r="S58" i="20"/>
  <c r="T58" i="20"/>
  <c r="U58" i="20"/>
  <c r="V58" i="20"/>
  <c r="W58" i="20"/>
  <c r="X58" i="20"/>
  <c r="Y58" i="20"/>
  <c r="Z58" i="20"/>
  <c r="AA58" i="20"/>
  <c r="AB58" i="20"/>
  <c r="AC58" i="20"/>
  <c r="B58" i="20"/>
  <c r="AG252" i="20"/>
  <c r="C252" i="20"/>
  <c r="D251" i="20"/>
  <c r="E251" i="20" s="1"/>
  <c r="F251" i="20" s="1"/>
  <c r="G251" i="20" s="1"/>
  <c r="H251" i="20" s="1"/>
  <c r="I251" i="20" s="1"/>
  <c r="J251" i="20" s="1"/>
  <c r="K251" i="20" s="1"/>
  <c r="L251" i="20" s="1"/>
  <c r="M251" i="20" s="1"/>
  <c r="N251" i="20" s="1"/>
  <c r="O251" i="20" s="1"/>
  <c r="P251" i="20" s="1"/>
  <c r="Q251" i="20" s="1"/>
  <c r="R251" i="20" s="1"/>
  <c r="S251" i="20" s="1"/>
  <c r="T251" i="20" s="1"/>
  <c r="U251" i="20" s="1"/>
  <c r="V251" i="20" s="1"/>
  <c r="W251" i="20" s="1"/>
  <c r="X251" i="20" s="1"/>
  <c r="Y251" i="20" s="1"/>
  <c r="Z251" i="20" s="1"/>
  <c r="AA251" i="20" s="1"/>
  <c r="AB251" i="20" s="1"/>
  <c r="AC251" i="20" s="1"/>
  <c r="AD251" i="20" s="1"/>
  <c r="AE251" i="20" s="1"/>
  <c r="AF251" i="20" s="1"/>
  <c r="B251" i="20" s="1"/>
  <c r="D250" i="20"/>
  <c r="E250" i="20" s="1"/>
  <c r="F250" i="20" s="1"/>
  <c r="G250" i="20" s="1"/>
  <c r="H250" i="20" s="1"/>
  <c r="I250" i="20" s="1"/>
  <c r="J250" i="20" s="1"/>
  <c r="K250" i="20" s="1"/>
  <c r="L250" i="20" s="1"/>
  <c r="M250" i="20" s="1"/>
  <c r="N250" i="20" s="1"/>
  <c r="O250" i="20" s="1"/>
  <c r="P250" i="20" s="1"/>
  <c r="Q250" i="20" s="1"/>
  <c r="R250" i="20" s="1"/>
  <c r="S250" i="20" s="1"/>
  <c r="T250" i="20" s="1"/>
  <c r="U250" i="20" s="1"/>
  <c r="V250" i="20" s="1"/>
  <c r="W250" i="20" s="1"/>
  <c r="X250" i="20" s="1"/>
  <c r="Y250" i="20" s="1"/>
  <c r="Z250" i="20" s="1"/>
  <c r="AA250" i="20" s="1"/>
  <c r="AB250" i="20" s="1"/>
  <c r="AC250" i="20" s="1"/>
  <c r="AD250" i="20" s="1"/>
  <c r="AE250" i="20" s="1"/>
  <c r="AF250" i="20" s="1"/>
  <c r="B250" i="20" s="1"/>
  <c r="D249" i="20"/>
  <c r="E249" i="20" s="1"/>
  <c r="F249" i="20" s="1"/>
  <c r="G249" i="20" s="1"/>
  <c r="H249" i="20" s="1"/>
  <c r="I249" i="20" s="1"/>
  <c r="J249" i="20" s="1"/>
  <c r="K249" i="20" s="1"/>
  <c r="L249" i="20" s="1"/>
  <c r="M249" i="20" s="1"/>
  <c r="N249" i="20" s="1"/>
  <c r="O249" i="20" s="1"/>
  <c r="P249" i="20" s="1"/>
  <c r="Q249" i="20" s="1"/>
  <c r="R249" i="20" s="1"/>
  <c r="S249" i="20" s="1"/>
  <c r="T249" i="20" s="1"/>
  <c r="U249" i="20" s="1"/>
  <c r="V249" i="20" s="1"/>
  <c r="W249" i="20" s="1"/>
  <c r="X249" i="20" s="1"/>
  <c r="Y249" i="20" s="1"/>
  <c r="Z249" i="20" s="1"/>
  <c r="AA249" i="20" s="1"/>
  <c r="AB249" i="20" s="1"/>
  <c r="AC249" i="20" s="1"/>
  <c r="AD249" i="20" s="1"/>
  <c r="AE249" i="20" s="1"/>
  <c r="AF249" i="20" s="1"/>
  <c r="B249" i="20" s="1"/>
  <c r="D248" i="20"/>
  <c r="E248" i="20" s="1"/>
  <c r="F248" i="20" s="1"/>
  <c r="G248" i="20" s="1"/>
  <c r="H248" i="20" s="1"/>
  <c r="I248" i="20" s="1"/>
  <c r="J248" i="20" s="1"/>
  <c r="K248" i="20" s="1"/>
  <c r="L248" i="20" s="1"/>
  <c r="M248" i="20" s="1"/>
  <c r="N248" i="20" s="1"/>
  <c r="O248" i="20" s="1"/>
  <c r="P248" i="20" s="1"/>
  <c r="Q248" i="20" s="1"/>
  <c r="R248" i="20" s="1"/>
  <c r="S248" i="20" s="1"/>
  <c r="T248" i="20" s="1"/>
  <c r="U248" i="20" s="1"/>
  <c r="V248" i="20" s="1"/>
  <c r="W248" i="20" s="1"/>
  <c r="X248" i="20" s="1"/>
  <c r="Y248" i="20" s="1"/>
  <c r="Z248" i="20" s="1"/>
  <c r="AA248" i="20" s="1"/>
  <c r="AB248" i="20" s="1"/>
  <c r="AC248" i="20" s="1"/>
  <c r="AD248" i="20" s="1"/>
  <c r="AE248" i="20" s="1"/>
  <c r="AF248" i="20" s="1"/>
  <c r="B248" i="20" s="1"/>
  <c r="D247" i="20"/>
  <c r="E247" i="20" s="1"/>
  <c r="F247" i="20" s="1"/>
  <c r="G247" i="20" s="1"/>
  <c r="H247" i="20" s="1"/>
  <c r="I247" i="20" s="1"/>
  <c r="J247" i="20" s="1"/>
  <c r="K247" i="20" s="1"/>
  <c r="L247" i="20" s="1"/>
  <c r="M247" i="20" s="1"/>
  <c r="N247" i="20" s="1"/>
  <c r="O247" i="20" s="1"/>
  <c r="P247" i="20" s="1"/>
  <c r="Q247" i="20" s="1"/>
  <c r="R247" i="20" s="1"/>
  <c r="S247" i="20" s="1"/>
  <c r="T247" i="20" s="1"/>
  <c r="U247" i="20" s="1"/>
  <c r="V247" i="20" s="1"/>
  <c r="W247" i="20" s="1"/>
  <c r="X247" i="20" s="1"/>
  <c r="Y247" i="20" s="1"/>
  <c r="Z247" i="20" s="1"/>
  <c r="AA247" i="20" s="1"/>
  <c r="AB247" i="20" s="1"/>
  <c r="AC247" i="20" s="1"/>
  <c r="AD247" i="20" s="1"/>
  <c r="AE247" i="20" s="1"/>
  <c r="AF247" i="20" s="1"/>
  <c r="B247" i="20" s="1"/>
  <c r="D246" i="20"/>
  <c r="AG244" i="20"/>
  <c r="AF244" i="20"/>
  <c r="AE244" i="20"/>
  <c r="AD244" i="20"/>
  <c r="AC244" i="20"/>
  <c r="AB244" i="20"/>
  <c r="AA244" i="20"/>
  <c r="Z244" i="20"/>
  <c r="Z118" i="20" s="1"/>
  <c r="Y244" i="20"/>
  <c r="Y118" i="20" s="1"/>
  <c r="X244" i="20"/>
  <c r="W244" i="20"/>
  <c r="V244" i="20"/>
  <c r="U244" i="20"/>
  <c r="T244" i="20"/>
  <c r="S244" i="20"/>
  <c r="R244" i="20"/>
  <c r="Q244" i="20"/>
  <c r="P244" i="20"/>
  <c r="O244" i="20"/>
  <c r="N244" i="20"/>
  <c r="M244" i="20"/>
  <c r="L244" i="20"/>
  <c r="K244" i="20"/>
  <c r="J244" i="20"/>
  <c r="I244" i="20"/>
  <c r="H244" i="20"/>
  <c r="G244" i="20"/>
  <c r="F244" i="20"/>
  <c r="E244" i="20"/>
  <c r="D244" i="20"/>
  <c r="C244" i="20"/>
  <c r="B244" i="20"/>
  <c r="AI130" i="20"/>
  <c r="AH130" i="20"/>
  <c r="AI129" i="20"/>
  <c r="AH129" i="20"/>
  <c r="AI128" i="20"/>
  <c r="AH128" i="20"/>
  <c r="AI127" i="20"/>
  <c r="AH127" i="20"/>
  <c r="AI126" i="20"/>
  <c r="AH126" i="20"/>
  <c r="AI123" i="20"/>
  <c r="AH123" i="20"/>
  <c r="AI122" i="20"/>
  <c r="AH122" i="20"/>
  <c r="AI121" i="20"/>
  <c r="AH121" i="20"/>
  <c r="AI120" i="20"/>
  <c r="AH120" i="20"/>
  <c r="AI119" i="20"/>
  <c r="AH119" i="20"/>
  <c r="C118" i="20"/>
  <c r="AI117" i="20"/>
  <c r="AH117" i="20"/>
  <c r="AI116" i="20"/>
  <c r="AH116" i="20"/>
  <c r="AI115" i="20"/>
  <c r="AH115" i="20"/>
  <c r="AI114" i="20"/>
  <c r="AH114" i="20"/>
  <c r="AI113" i="20"/>
  <c r="AH113" i="20"/>
  <c r="AI112" i="20"/>
  <c r="AH112" i="20"/>
  <c r="AI111" i="20"/>
  <c r="AH111" i="20"/>
  <c r="AI110" i="20"/>
  <c r="AH110" i="20"/>
  <c r="AI109" i="20"/>
  <c r="AH109" i="20"/>
  <c r="AI106" i="20"/>
  <c r="AH106" i="20"/>
  <c r="AI98" i="20"/>
  <c r="AH98" i="20"/>
  <c r="AI96" i="20"/>
  <c r="AH96" i="20"/>
  <c r="AG96" i="20"/>
  <c r="AI95" i="20"/>
  <c r="AH95" i="20"/>
  <c r="AI94" i="20"/>
  <c r="AH94" i="20"/>
  <c r="AI93" i="20"/>
  <c r="AH93" i="20"/>
  <c r="AG92" i="20"/>
  <c r="AN19" i="20"/>
  <c r="AI91" i="20"/>
  <c r="AH91" i="20"/>
  <c r="AI90" i="20"/>
  <c r="AH90" i="20"/>
  <c r="AI89" i="20"/>
  <c r="AH89" i="20"/>
  <c r="AI88" i="20"/>
  <c r="AH88" i="20"/>
  <c r="AI87" i="20"/>
  <c r="AH87" i="20"/>
  <c r="AI86" i="20"/>
  <c r="AH86" i="20"/>
  <c r="AI85" i="20"/>
  <c r="AH85" i="20"/>
  <c r="AI84" i="20"/>
  <c r="AH84" i="20"/>
  <c r="AI83" i="20"/>
  <c r="AH83" i="20"/>
  <c r="AI82" i="20"/>
  <c r="AH82" i="20"/>
  <c r="AI81" i="20"/>
  <c r="AH81" i="20"/>
  <c r="AG80" i="20"/>
  <c r="AG4" i="20" s="1"/>
  <c r="AI79" i="20"/>
  <c r="AH79" i="20"/>
  <c r="AI78" i="20"/>
  <c r="AH78" i="20"/>
  <c r="AP18" i="20"/>
  <c r="AN18" i="20"/>
  <c r="AI75" i="20"/>
  <c r="AH75" i="20"/>
  <c r="AG75" i="20"/>
  <c r="AG76" i="20" s="1"/>
  <c r="AG3" i="20" s="1"/>
  <c r="AI74" i="20"/>
  <c r="AH74" i="20"/>
  <c r="BW73" i="20"/>
  <c r="BW80" i="20" s="1"/>
  <c r="BV73" i="20"/>
  <c r="BV80" i="20" s="1"/>
  <c r="BU73" i="20"/>
  <c r="BU80" i="20" s="1"/>
  <c r="BT73" i="20"/>
  <c r="BT80" i="20" s="1"/>
  <c r="BS73" i="20"/>
  <c r="BS80" i="20" s="1"/>
  <c r="BR73" i="20"/>
  <c r="BR80" i="20" s="1"/>
  <c r="BQ73" i="20"/>
  <c r="BQ80" i="20" s="1"/>
  <c r="BP73" i="20"/>
  <c r="BP80" i="20" s="1"/>
  <c r="BO73" i="20"/>
  <c r="BO80" i="20" s="1"/>
  <c r="BN73" i="20"/>
  <c r="BN80" i="20" s="1"/>
  <c r="BM73" i="20"/>
  <c r="BM80" i="20" s="1"/>
  <c r="BL73" i="20"/>
  <c r="BL80" i="20" s="1"/>
  <c r="BK73" i="20"/>
  <c r="BK80" i="20" s="1"/>
  <c r="BJ73" i="20"/>
  <c r="BJ80" i="20" s="1"/>
  <c r="BI73" i="20"/>
  <c r="BI80" i="20" s="1"/>
  <c r="BH73" i="20"/>
  <c r="BH80" i="20" s="1"/>
  <c r="BG73" i="20"/>
  <c r="BG80" i="20" s="1"/>
  <c r="BF73" i="20"/>
  <c r="BF80" i="20" s="1"/>
  <c r="BE73" i="20"/>
  <c r="BE80" i="20" s="1"/>
  <c r="BD73" i="20"/>
  <c r="BD80" i="20" s="1"/>
  <c r="BC73" i="20"/>
  <c r="BC80" i="20" s="1"/>
  <c r="BB73" i="20"/>
  <c r="BB80" i="20" s="1"/>
  <c r="BA73" i="20"/>
  <c r="BA80" i="20" s="1"/>
  <c r="AZ73" i="20"/>
  <c r="AZ80" i="20" s="1"/>
  <c r="AI73" i="20"/>
  <c r="AH73" i="20"/>
  <c r="BW72" i="20"/>
  <c r="BW79" i="20" s="1"/>
  <c r="BV72" i="20"/>
  <c r="BV79" i="20" s="1"/>
  <c r="BU72" i="20"/>
  <c r="BU79" i="20" s="1"/>
  <c r="BT72" i="20"/>
  <c r="BT79" i="20" s="1"/>
  <c r="BS72" i="20"/>
  <c r="BS79" i="20" s="1"/>
  <c r="BR72" i="20"/>
  <c r="BR79" i="20" s="1"/>
  <c r="BQ72" i="20"/>
  <c r="BQ79" i="20" s="1"/>
  <c r="BP72" i="20"/>
  <c r="BP79" i="20" s="1"/>
  <c r="BO72" i="20"/>
  <c r="BO79" i="20" s="1"/>
  <c r="BN72" i="20"/>
  <c r="BN79" i="20" s="1"/>
  <c r="BM72" i="20"/>
  <c r="BM79" i="20" s="1"/>
  <c r="BL72" i="20"/>
  <c r="BL79" i="20" s="1"/>
  <c r="BK72" i="20"/>
  <c r="BK79" i="20" s="1"/>
  <c r="BJ72" i="20"/>
  <c r="BJ79" i="20" s="1"/>
  <c r="BI72" i="20"/>
  <c r="BI79" i="20" s="1"/>
  <c r="BH72" i="20"/>
  <c r="BH79" i="20" s="1"/>
  <c r="BG72" i="20"/>
  <c r="BG79" i="20" s="1"/>
  <c r="BF72" i="20"/>
  <c r="BF79" i="20" s="1"/>
  <c r="BE72" i="20"/>
  <c r="BE79" i="20" s="1"/>
  <c r="BD72" i="20"/>
  <c r="BD79" i="20" s="1"/>
  <c r="BC72" i="20"/>
  <c r="BC79" i="20" s="1"/>
  <c r="BB72" i="20"/>
  <c r="BB79" i="20" s="1"/>
  <c r="BA72" i="20"/>
  <c r="BA79" i="20" s="1"/>
  <c r="AZ72" i="20"/>
  <c r="AZ79" i="20" s="1"/>
  <c r="AI72" i="20"/>
  <c r="AH72" i="20"/>
  <c r="BW71" i="20"/>
  <c r="BW78" i="20" s="1"/>
  <c r="BV71" i="20"/>
  <c r="BV78" i="20" s="1"/>
  <c r="BU71" i="20"/>
  <c r="BU78" i="20" s="1"/>
  <c r="BT71" i="20"/>
  <c r="BT78" i="20" s="1"/>
  <c r="BS71" i="20"/>
  <c r="BS78" i="20" s="1"/>
  <c r="BR71" i="20"/>
  <c r="BR78" i="20" s="1"/>
  <c r="BQ71" i="20"/>
  <c r="BQ78" i="20" s="1"/>
  <c r="BP71" i="20"/>
  <c r="BP78" i="20" s="1"/>
  <c r="BO71" i="20"/>
  <c r="BO78" i="20" s="1"/>
  <c r="BN71" i="20"/>
  <c r="BN78" i="20" s="1"/>
  <c r="BM71" i="20"/>
  <c r="BM78" i="20" s="1"/>
  <c r="BL71" i="20"/>
  <c r="BL78" i="20" s="1"/>
  <c r="BK71" i="20"/>
  <c r="BK78" i="20" s="1"/>
  <c r="BJ71" i="20"/>
  <c r="BJ78" i="20" s="1"/>
  <c r="BI71" i="20"/>
  <c r="BI78" i="20" s="1"/>
  <c r="BH71" i="20"/>
  <c r="BH78" i="20" s="1"/>
  <c r="BG71" i="20"/>
  <c r="BG78" i="20" s="1"/>
  <c r="BF71" i="20"/>
  <c r="BF78" i="20" s="1"/>
  <c r="BE71" i="20"/>
  <c r="BE78" i="20" s="1"/>
  <c r="BD71" i="20"/>
  <c r="BD78" i="20" s="1"/>
  <c r="BC71" i="20"/>
  <c r="BC78" i="20" s="1"/>
  <c r="BB71" i="20"/>
  <c r="BB78" i="20" s="1"/>
  <c r="BA71" i="20"/>
  <c r="BA78" i="20" s="1"/>
  <c r="AZ71" i="20"/>
  <c r="AZ78" i="20" s="1"/>
  <c r="AI71" i="20"/>
  <c r="AH71" i="20"/>
  <c r="BW70" i="20"/>
  <c r="BW77" i="20" s="1"/>
  <c r="BV70" i="20"/>
  <c r="BV77" i="20" s="1"/>
  <c r="BU70" i="20"/>
  <c r="BU77" i="20" s="1"/>
  <c r="BT70" i="20"/>
  <c r="BT77" i="20" s="1"/>
  <c r="BS70" i="20"/>
  <c r="BS77" i="20" s="1"/>
  <c r="BR70" i="20"/>
  <c r="BR77" i="20" s="1"/>
  <c r="BQ70" i="20"/>
  <c r="BQ77" i="20" s="1"/>
  <c r="BP70" i="20"/>
  <c r="BP77" i="20" s="1"/>
  <c r="BO70" i="20"/>
  <c r="BO77" i="20" s="1"/>
  <c r="BN70" i="20"/>
  <c r="BN77" i="20" s="1"/>
  <c r="BM70" i="20"/>
  <c r="BM77" i="20" s="1"/>
  <c r="BL70" i="20"/>
  <c r="BL77" i="20" s="1"/>
  <c r="BK70" i="20"/>
  <c r="BK77" i="20" s="1"/>
  <c r="BJ70" i="20"/>
  <c r="BJ77" i="20" s="1"/>
  <c r="BI70" i="20"/>
  <c r="BI77" i="20" s="1"/>
  <c r="BH70" i="20"/>
  <c r="BH77" i="20" s="1"/>
  <c r="BG70" i="20"/>
  <c r="BG77" i="20" s="1"/>
  <c r="BF70" i="20"/>
  <c r="BF77" i="20" s="1"/>
  <c r="BE70" i="20"/>
  <c r="BE77" i="20" s="1"/>
  <c r="BD70" i="20"/>
  <c r="BD77" i="20" s="1"/>
  <c r="BC70" i="20"/>
  <c r="BC77" i="20" s="1"/>
  <c r="BB70" i="20"/>
  <c r="BB77" i="20" s="1"/>
  <c r="BA70" i="20"/>
  <c r="BA77" i="20" s="1"/>
  <c r="AZ70" i="20"/>
  <c r="AZ77" i="20" s="1"/>
  <c r="AI70" i="20"/>
  <c r="AH70" i="20"/>
  <c r="BW69" i="20"/>
  <c r="BW76" i="20" s="1"/>
  <c r="BV69" i="20"/>
  <c r="BV76" i="20" s="1"/>
  <c r="BU69" i="20"/>
  <c r="BU76" i="20" s="1"/>
  <c r="BT69" i="20"/>
  <c r="BT76" i="20" s="1"/>
  <c r="BS69" i="20"/>
  <c r="BS76" i="20" s="1"/>
  <c r="BR69" i="20"/>
  <c r="BR76" i="20" s="1"/>
  <c r="BQ69" i="20"/>
  <c r="BQ76" i="20" s="1"/>
  <c r="BP69" i="20"/>
  <c r="BP76" i="20" s="1"/>
  <c r="BO69" i="20"/>
  <c r="BO76" i="20" s="1"/>
  <c r="BN69" i="20"/>
  <c r="BN76" i="20" s="1"/>
  <c r="BM69" i="20"/>
  <c r="BM76" i="20" s="1"/>
  <c r="BL69" i="20"/>
  <c r="BL76" i="20" s="1"/>
  <c r="BK69" i="20"/>
  <c r="BK76" i="20" s="1"/>
  <c r="BJ69" i="20"/>
  <c r="BJ76" i="20" s="1"/>
  <c r="BI69" i="20"/>
  <c r="BI76" i="20" s="1"/>
  <c r="BH69" i="20"/>
  <c r="BH76" i="20" s="1"/>
  <c r="BG69" i="20"/>
  <c r="BG76" i="20" s="1"/>
  <c r="BF69" i="20"/>
  <c r="BF76" i="20" s="1"/>
  <c r="BE69" i="20"/>
  <c r="BE76" i="20" s="1"/>
  <c r="BD69" i="20"/>
  <c r="BD76" i="20" s="1"/>
  <c r="BC69" i="20"/>
  <c r="BC76" i="20" s="1"/>
  <c r="BB69" i="20"/>
  <c r="BB76" i="20" s="1"/>
  <c r="BA69" i="20"/>
  <c r="BA76" i="20" s="1"/>
  <c r="AZ69" i="20"/>
  <c r="AZ76" i="20" s="1"/>
  <c r="AI69" i="20"/>
  <c r="AH69" i="20"/>
  <c r="BW68" i="20"/>
  <c r="BW75" i="20" s="1"/>
  <c r="BV68" i="20"/>
  <c r="BV75" i="20" s="1"/>
  <c r="BU68" i="20"/>
  <c r="BU75" i="20" s="1"/>
  <c r="BT68" i="20"/>
  <c r="BT75" i="20" s="1"/>
  <c r="BS68" i="20"/>
  <c r="BS75" i="20" s="1"/>
  <c r="BR68" i="20"/>
  <c r="BR75" i="20" s="1"/>
  <c r="BQ68" i="20"/>
  <c r="BQ75" i="20" s="1"/>
  <c r="BP68" i="20"/>
  <c r="BP75" i="20" s="1"/>
  <c r="BO68" i="20"/>
  <c r="BO75" i="20" s="1"/>
  <c r="BN68" i="20"/>
  <c r="BN75" i="20" s="1"/>
  <c r="BM68" i="20"/>
  <c r="BM75" i="20" s="1"/>
  <c r="BL68" i="20"/>
  <c r="BL75" i="20" s="1"/>
  <c r="BK68" i="20"/>
  <c r="BK75" i="20" s="1"/>
  <c r="BJ68" i="20"/>
  <c r="BJ75" i="20" s="1"/>
  <c r="BI68" i="20"/>
  <c r="BI75" i="20" s="1"/>
  <c r="BH68" i="20"/>
  <c r="BH75" i="20" s="1"/>
  <c r="BG68" i="20"/>
  <c r="BG75" i="20" s="1"/>
  <c r="BF68" i="20"/>
  <c r="BF75" i="20" s="1"/>
  <c r="BE68" i="20"/>
  <c r="BE75" i="20" s="1"/>
  <c r="BD68" i="20"/>
  <c r="BD75" i="20" s="1"/>
  <c r="BC68" i="20"/>
  <c r="BC75" i="20" s="1"/>
  <c r="BB68" i="20"/>
  <c r="BB75" i="20" s="1"/>
  <c r="BA68" i="20"/>
  <c r="BA75" i="20" s="1"/>
  <c r="AZ68" i="20"/>
  <c r="AZ75" i="20" s="1"/>
  <c r="AI68" i="20"/>
  <c r="AH68" i="20"/>
  <c r="AI67" i="20"/>
  <c r="AH67" i="20"/>
  <c r="AI66" i="20"/>
  <c r="AH66" i="20"/>
  <c r="AI65" i="20"/>
  <c r="AH65" i="20"/>
  <c r="AI64" i="20"/>
  <c r="AH64" i="20"/>
  <c r="AI63" i="20"/>
  <c r="AH63" i="20"/>
  <c r="AG62" i="20"/>
  <c r="AV17" i="20"/>
  <c r="AS17" i="20"/>
  <c r="AQ17" i="20"/>
  <c r="AO17" i="20"/>
  <c r="AN17" i="20"/>
  <c r="AI61" i="20"/>
  <c r="AH61" i="20"/>
  <c r="AI60" i="20"/>
  <c r="AH60" i="20"/>
  <c r="AI59" i="20"/>
  <c r="AH59" i="20"/>
  <c r="AG58" i="20"/>
  <c r="AI57" i="20"/>
  <c r="AH57" i="20"/>
  <c r="AI56" i="20"/>
  <c r="AH56" i="20"/>
  <c r="AI55" i="20"/>
  <c r="AH55" i="20"/>
  <c r="AI54" i="20"/>
  <c r="AH54" i="20"/>
  <c r="AI53" i="20"/>
  <c r="AH53" i="20"/>
  <c r="AI52" i="20"/>
  <c r="AH52" i="20"/>
  <c r="AI51" i="20"/>
  <c r="AH51" i="20"/>
  <c r="AI50" i="20"/>
  <c r="AH50" i="20"/>
  <c r="AI49" i="20"/>
  <c r="AH49" i="20"/>
  <c r="AI48" i="20"/>
  <c r="AH48" i="20"/>
  <c r="AI47" i="20"/>
  <c r="AH47" i="20"/>
  <c r="AI46" i="20"/>
  <c r="AH46" i="20"/>
  <c r="AI45" i="20"/>
  <c r="AH45" i="20"/>
  <c r="AI44" i="20"/>
  <c r="AH44" i="20"/>
  <c r="AI43" i="20"/>
  <c r="AH43" i="20"/>
  <c r="AI42" i="20"/>
  <c r="AH42" i="20"/>
  <c r="AI41" i="20"/>
  <c r="AH41" i="20"/>
  <c r="AI40" i="20"/>
  <c r="AH40" i="20"/>
  <c r="AI39" i="20"/>
  <c r="AH39" i="20"/>
  <c r="AI38" i="20"/>
  <c r="AH38" i="20"/>
  <c r="AI37" i="20"/>
  <c r="AH37" i="20"/>
  <c r="AI36" i="20"/>
  <c r="AH36" i="20"/>
  <c r="AI35" i="20"/>
  <c r="AH35" i="20"/>
  <c r="AI34" i="20"/>
  <c r="AH34" i="20"/>
  <c r="AI33" i="20"/>
  <c r="AH33" i="20"/>
  <c r="AI32" i="20"/>
  <c r="AH32" i="20"/>
  <c r="AI31" i="20"/>
  <c r="AH31" i="20"/>
  <c r="AI30" i="20"/>
  <c r="AH30" i="20"/>
  <c r="AI29" i="20"/>
  <c r="AH29" i="20"/>
  <c r="AI28" i="20"/>
  <c r="AH28" i="20"/>
  <c r="AI27" i="20"/>
  <c r="AH27" i="20"/>
  <c r="AI26" i="20"/>
  <c r="AH26" i="20"/>
  <c r="AI25" i="20"/>
  <c r="AH25" i="20"/>
  <c r="AI24" i="20"/>
  <c r="AH24" i="20"/>
  <c r="AI23" i="20"/>
  <c r="AH23" i="20"/>
  <c r="AI22" i="20"/>
  <c r="AH22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I21" i="20"/>
  <c r="AH21" i="20"/>
  <c r="AW20" i="20"/>
  <c r="AV20" i="20"/>
  <c r="AU20" i="20"/>
  <c r="AT20" i="20"/>
  <c r="AQ20" i="20"/>
  <c r="AP20" i="20"/>
  <c r="AO20" i="20"/>
  <c r="AN20" i="20"/>
  <c r="AM20" i="20"/>
  <c r="AI20" i="20"/>
  <c r="AH20" i="20"/>
  <c r="AT19" i="20"/>
  <c r="AQ19" i="20"/>
  <c r="AP19" i="20"/>
  <c r="AM19" i="20"/>
  <c r="AI19" i="20"/>
  <c r="AH19" i="20"/>
  <c r="AW18" i="20"/>
  <c r="AI18" i="20"/>
  <c r="AH18" i="20"/>
  <c r="AT17" i="20"/>
  <c r="AP17" i="20"/>
  <c r="AM17" i="20"/>
  <c r="AI17" i="20"/>
  <c r="AH17" i="20"/>
  <c r="AX16" i="20"/>
  <c r="AW16" i="20"/>
  <c r="AT16" i="20"/>
  <c r="AR16" i="20"/>
  <c r="AP16" i="20"/>
  <c r="AO16" i="20"/>
  <c r="AN16" i="20"/>
  <c r="AI16" i="20"/>
  <c r="AH16" i="20"/>
  <c r="AI15" i="20"/>
  <c r="AH15" i="20"/>
  <c r="AI14" i="20"/>
  <c r="AH14" i="20"/>
  <c r="AI13" i="20"/>
  <c r="AH13" i="20"/>
  <c r="AL12" i="20"/>
  <c r="AI12" i="20"/>
  <c r="AH12" i="20"/>
  <c r="AI11" i="20"/>
  <c r="AH11" i="20"/>
  <c r="AF5" i="20"/>
  <c r="AD5" i="20"/>
  <c r="AC5" i="20"/>
  <c r="Z5" i="20"/>
  <c r="Y5" i="20"/>
  <c r="V5" i="20"/>
  <c r="P5" i="20"/>
  <c r="L5" i="20"/>
  <c r="J5" i="20"/>
  <c r="D5" i="20"/>
  <c r="K4" i="20"/>
  <c r="E4" i="20"/>
  <c r="H4" i="20" s="1"/>
  <c r="B4" i="20"/>
  <c r="D258" i="20" s="1"/>
  <c r="AB97" i="20" l="1"/>
  <c r="AB99" i="20" s="1"/>
  <c r="T97" i="20"/>
  <c r="T99" i="20" s="1"/>
  <c r="Q97" i="20"/>
  <c r="Q99" i="20" s="1"/>
  <c r="N5" i="20"/>
  <c r="AV19" i="20"/>
  <c r="AA97" i="20"/>
  <c r="AA99" i="20" s="1"/>
  <c r="S97" i="20"/>
  <c r="S99" i="20" s="1"/>
  <c r="Z97" i="20"/>
  <c r="Z99" i="20" s="1"/>
  <c r="R97" i="20"/>
  <c r="R99" i="20" s="1"/>
  <c r="S107" i="20"/>
  <c r="S108" i="20" s="1"/>
  <c r="B97" i="20"/>
  <c r="B99" i="20" s="1"/>
  <c r="B100" i="20" s="1"/>
  <c r="B7" i="20" s="1"/>
  <c r="Y97" i="20"/>
  <c r="Y99" i="20" s="1"/>
  <c r="C97" i="20"/>
  <c r="C99" i="20" s="1"/>
  <c r="D107" i="20"/>
  <c r="AO23" i="20" s="1"/>
  <c r="T107" i="20"/>
  <c r="T108" i="20" s="1"/>
  <c r="AB107" i="20"/>
  <c r="AB100" i="20" s="1"/>
  <c r="AB7" i="20" s="1"/>
  <c r="X97" i="20"/>
  <c r="X99" i="20" s="1"/>
  <c r="P97" i="20"/>
  <c r="P99" i="20" s="1"/>
  <c r="W97" i="20"/>
  <c r="W99" i="20" s="1"/>
  <c r="O97" i="20"/>
  <c r="O99" i="20" s="1"/>
  <c r="V97" i="20"/>
  <c r="V99" i="20" s="1"/>
  <c r="N97" i="20"/>
  <c r="N99" i="20" s="1"/>
  <c r="Q107" i="20"/>
  <c r="Q108" i="20" s="1"/>
  <c r="Y107" i="20"/>
  <c r="Y108" i="20" s="1"/>
  <c r="AC97" i="20"/>
  <c r="AC99" i="20" s="1"/>
  <c r="U97" i="20"/>
  <c r="U99" i="20" s="1"/>
  <c r="M97" i="20"/>
  <c r="M99" i="20" s="1"/>
  <c r="L107" i="20"/>
  <c r="L108" i="20" s="1"/>
  <c r="O107" i="20"/>
  <c r="AW23" i="20" s="1"/>
  <c r="AE7" i="20"/>
  <c r="W107" i="20"/>
  <c r="W108" i="20" s="1"/>
  <c r="AA107" i="20"/>
  <c r="AA108" i="20" s="1"/>
  <c r="G107" i="20"/>
  <c r="AR23" i="20" s="1"/>
  <c r="F107" i="20"/>
  <c r="AQ23" i="20" s="1"/>
  <c r="N107" i="20"/>
  <c r="AV23" i="20" s="1"/>
  <c r="V107" i="20"/>
  <c r="V108" i="20" s="1"/>
  <c r="L97" i="20"/>
  <c r="L99" i="20" s="1"/>
  <c r="K107" i="20"/>
  <c r="AT23" i="20" s="1"/>
  <c r="K108" i="20"/>
  <c r="K97" i="20"/>
  <c r="K99" i="20" s="1"/>
  <c r="K100" i="20" s="1"/>
  <c r="K7" i="20" s="1"/>
  <c r="J97" i="20"/>
  <c r="J99" i="20" s="1"/>
  <c r="AT18" i="20"/>
  <c r="I107" i="20"/>
  <c r="AS23" i="20" s="1"/>
  <c r="H5" i="20"/>
  <c r="I97" i="20"/>
  <c r="I99" i="20" s="1"/>
  <c r="AS16" i="20"/>
  <c r="AS22" i="20" s="1"/>
  <c r="H97" i="20"/>
  <c r="H99" i="20" s="1"/>
  <c r="AR19" i="20"/>
  <c r="AR22" i="20" s="1"/>
  <c r="AR24" i="20" s="1"/>
  <c r="G97" i="20"/>
  <c r="G99" i="20" s="1"/>
  <c r="G100" i="20" s="1"/>
  <c r="F97" i="20"/>
  <c r="F99" i="20" s="1"/>
  <c r="E97" i="20"/>
  <c r="E99" i="20" s="1"/>
  <c r="D97" i="20"/>
  <c r="D99" i="20" s="1"/>
  <c r="AX19" i="20"/>
  <c r="AX22" i="20" s="1"/>
  <c r="AP22" i="20"/>
  <c r="AI80" i="20"/>
  <c r="AT22" i="20"/>
  <c r="AT24" i="20" s="1"/>
  <c r="AW22" i="20"/>
  <c r="AI77" i="20"/>
  <c r="AH77" i="20"/>
  <c r="B5" i="20"/>
  <c r="AN22" i="20"/>
  <c r="AM16" i="20"/>
  <c r="AI58" i="20"/>
  <c r="AH58" i="20"/>
  <c r="AH80" i="20"/>
  <c r="AL13" i="20"/>
  <c r="AG99" i="20"/>
  <c r="H107" i="20"/>
  <c r="H108" i="20" s="1"/>
  <c r="P107" i="20"/>
  <c r="AX23" i="20" s="1"/>
  <c r="X107" i="20"/>
  <c r="X108" i="20" s="1"/>
  <c r="AQ16" i="20"/>
  <c r="AQ22" i="20" s="1"/>
  <c r="AU16" i="20"/>
  <c r="AU22" i="20" s="1"/>
  <c r="AV16" i="20"/>
  <c r="AV22" i="20" s="1"/>
  <c r="AG2" i="20"/>
  <c r="AG6" i="20" s="1"/>
  <c r="AG97" i="20"/>
  <c r="AI62" i="20"/>
  <c r="AH62" i="20"/>
  <c r="AI76" i="20"/>
  <c r="AM18" i="20"/>
  <c r="AH76" i="20"/>
  <c r="AH105" i="20"/>
  <c r="AI105" i="20"/>
  <c r="AO19" i="20"/>
  <c r="AO22" i="20" s="1"/>
  <c r="BG84" i="20" a="1"/>
  <c r="AI92" i="20"/>
  <c r="AH92" i="20"/>
  <c r="AI101" i="20"/>
  <c r="AH102" i="20"/>
  <c r="AI104" i="20"/>
  <c r="AH101" i="20"/>
  <c r="J107" i="20"/>
  <c r="J108" i="20" s="1"/>
  <c r="R107" i="20"/>
  <c r="Z107" i="20"/>
  <c r="Z108" i="20" s="1"/>
  <c r="AI102" i="20"/>
  <c r="AI103" i="20"/>
  <c r="AH104" i="20"/>
  <c r="C107" i="20"/>
  <c r="AN23" i="20" s="1"/>
  <c r="C5" i="20"/>
  <c r="K5" i="20"/>
  <c r="S5" i="20"/>
  <c r="AA5" i="20"/>
  <c r="D252" i="20"/>
  <c r="D118" i="20"/>
  <c r="E246" i="20"/>
  <c r="E107" i="20"/>
  <c r="AP23" i="20" s="1"/>
  <c r="M107" i="20"/>
  <c r="AU23" i="20" s="1"/>
  <c r="U107" i="20"/>
  <c r="U108" i="20" s="1"/>
  <c r="AC107" i="20"/>
  <c r="AH103" i="20"/>
  <c r="W100" i="20" l="1"/>
  <c r="W7" i="20" s="1"/>
  <c r="F100" i="20"/>
  <c r="F7" i="20" s="1"/>
  <c r="AQ24" i="20"/>
  <c r="F108" i="20"/>
  <c r="AD7" i="20"/>
  <c r="AA100" i="20"/>
  <c r="AA7" i="20" s="1"/>
  <c r="T100" i="20"/>
  <c r="T7" i="20" s="1"/>
  <c r="AO24" i="20"/>
  <c r="D100" i="20"/>
  <c r="D7" i="20" s="1"/>
  <c r="D108" i="20"/>
  <c r="AF7" i="20"/>
  <c r="R100" i="20"/>
  <c r="R7" i="20" s="1"/>
  <c r="Q100" i="20"/>
  <c r="Q7" i="20" s="1"/>
  <c r="AV24" i="20"/>
  <c r="AB108" i="20"/>
  <c r="AS24" i="20"/>
  <c r="AU24" i="20"/>
  <c r="S100" i="20"/>
  <c r="S7" i="20" s="1"/>
  <c r="AW24" i="20"/>
  <c r="I108" i="20"/>
  <c r="L100" i="20"/>
  <c r="L7" i="20" s="1"/>
  <c r="Y100" i="20"/>
  <c r="Y7" i="20" s="1"/>
  <c r="AC100" i="20"/>
  <c r="AC7" i="20" s="1"/>
  <c r="P100" i="20"/>
  <c r="P7" i="20" s="1"/>
  <c r="AC108" i="20"/>
  <c r="X100" i="20"/>
  <c r="X7" i="20" s="1"/>
  <c r="N100" i="20"/>
  <c r="N7" i="20" s="1"/>
  <c r="Z100" i="20"/>
  <c r="Z7" i="20" s="1"/>
  <c r="AP24" i="20"/>
  <c r="I100" i="20"/>
  <c r="I7" i="20" s="1"/>
  <c r="O108" i="20"/>
  <c r="V100" i="20"/>
  <c r="V7" i="20" s="1"/>
  <c r="C108" i="20"/>
  <c r="M108" i="20"/>
  <c r="O100" i="20"/>
  <c r="O7" i="20" s="1"/>
  <c r="P108" i="20"/>
  <c r="N108" i="20"/>
  <c r="M100" i="20"/>
  <c r="M7" i="20" s="1"/>
  <c r="C100" i="20"/>
  <c r="G108" i="20"/>
  <c r="R108" i="20"/>
  <c r="U100" i="20"/>
  <c r="U7" i="20" s="1"/>
  <c r="J100" i="20"/>
  <c r="J7" i="20" s="1"/>
  <c r="H100" i="20"/>
  <c r="H7" i="20" s="1"/>
  <c r="E100" i="20"/>
  <c r="E7" i="20" s="1"/>
  <c r="E108" i="20"/>
  <c r="C7" i="20"/>
  <c r="AN24" i="20"/>
  <c r="AM22" i="20"/>
  <c r="BJ107" i="20"/>
  <c r="BH106" i="20"/>
  <c r="BL104" i="20"/>
  <c r="BJ103" i="20"/>
  <c r="BH102" i="20"/>
  <c r="BL100" i="20"/>
  <c r="BJ99" i="20"/>
  <c r="BH98" i="20"/>
  <c r="BL96" i="20"/>
  <c r="BJ95" i="20"/>
  <c r="BH94" i="20"/>
  <c r="BL92" i="20"/>
  <c r="BJ91" i="20"/>
  <c r="BH90" i="20"/>
  <c r="BL88" i="20"/>
  <c r="BJ87" i="20"/>
  <c r="BH86" i="20"/>
  <c r="BL84" i="20"/>
  <c r="BH107" i="20"/>
  <c r="BL105" i="20"/>
  <c r="BJ104" i="20"/>
  <c r="BH103" i="20"/>
  <c r="BL101" i="20"/>
  <c r="BJ100" i="20"/>
  <c r="BH99" i="20"/>
  <c r="BL97" i="20"/>
  <c r="BJ96" i="20"/>
  <c r="BH95" i="20"/>
  <c r="BL93" i="20"/>
  <c r="BJ92" i="20"/>
  <c r="BH91" i="20"/>
  <c r="BL89" i="20"/>
  <c r="BJ88" i="20"/>
  <c r="BH87" i="20"/>
  <c r="BL85" i="20"/>
  <c r="BJ84" i="20"/>
  <c r="BL106" i="20"/>
  <c r="BJ105" i="20"/>
  <c r="BH104" i="20"/>
  <c r="BL102" i="20"/>
  <c r="BJ101" i="20"/>
  <c r="BH100" i="20"/>
  <c r="BL98" i="20"/>
  <c r="BJ97" i="20"/>
  <c r="BH96" i="20"/>
  <c r="BL94" i="20"/>
  <c r="BJ93" i="20"/>
  <c r="BH92" i="20"/>
  <c r="BL90" i="20"/>
  <c r="BJ89" i="20"/>
  <c r="BH88" i="20"/>
  <c r="BL86" i="20"/>
  <c r="BJ85" i="20"/>
  <c r="BH84" i="20"/>
  <c r="BL107" i="20"/>
  <c r="BJ106" i="20"/>
  <c r="BH105" i="20"/>
  <c r="BL103" i="20"/>
  <c r="BJ102" i="20"/>
  <c r="BH101" i="20"/>
  <c r="BL99" i="20"/>
  <c r="BJ98" i="20"/>
  <c r="BH97" i="20"/>
  <c r="BL95" i="20"/>
  <c r="BJ94" i="20"/>
  <c r="BH93" i="20"/>
  <c r="BL91" i="20"/>
  <c r="BJ90" i="20"/>
  <c r="BH89" i="20"/>
  <c r="BL87" i="20"/>
  <c r="BJ86" i="20"/>
  <c r="BH85" i="20"/>
  <c r="BK106" i="20"/>
  <c r="BG104" i="20"/>
  <c r="BI101" i="20"/>
  <c r="BK98" i="20"/>
  <c r="BG96" i="20"/>
  <c r="BI93" i="20"/>
  <c r="BK90" i="20"/>
  <c r="BG88" i="20"/>
  <c r="BI85" i="20"/>
  <c r="BI106" i="20"/>
  <c r="BK103" i="20"/>
  <c r="BG101" i="20"/>
  <c r="BI98" i="20"/>
  <c r="BK95" i="20"/>
  <c r="BG93" i="20"/>
  <c r="BI90" i="20"/>
  <c r="BK87" i="20"/>
  <c r="BG85" i="20"/>
  <c r="BG106" i="20"/>
  <c r="BI103" i="20"/>
  <c r="BK100" i="20"/>
  <c r="BG98" i="20"/>
  <c r="BI95" i="20"/>
  <c r="BK92" i="20"/>
  <c r="BG90" i="20"/>
  <c r="BI87" i="20"/>
  <c r="BK84" i="20"/>
  <c r="BK105" i="20"/>
  <c r="BG103" i="20"/>
  <c r="BI100" i="20"/>
  <c r="BK97" i="20"/>
  <c r="BG95" i="20"/>
  <c r="BI92" i="20"/>
  <c r="BK89" i="20"/>
  <c r="BG87" i="20"/>
  <c r="BI84" i="20"/>
  <c r="BI107" i="20"/>
  <c r="BK104" i="20"/>
  <c r="BG102" i="20"/>
  <c r="BI99" i="20"/>
  <c r="BK96" i="20"/>
  <c r="BG94" i="20"/>
  <c r="BI91" i="20"/>
  <c r="BK88" i="20"/>
  <c r="BG86" i="20"/>
  <c r="BG107" i="20"/>
  <c r="BI104" i="20"/>
  <c r="BK101" i="20"/>
  <c r="BG99" i="20"/>
  <c r="BI96" i="20"/>
  <c r="BK93" i="20"/>
  <c r="BG91" i="20"/>
  <c r="BG100" i="20"/>
  <c r="BI89" i="20"/>
  <c r="BK99" i="20"/>
  <c r="BG89" i="20"/>
  <c r="BI97" i="20"/>
  <c r="BI88" i="20"/>
  <c r="BI105" i="20"/>
  <c r="BK94" i="20"/>
  <c r="BI86" i="20"/>
  <c r="BI94" i="20"/>
  <c r="BK107" i="20"/>
  <c r="BG97" i="20"/>
  <c r="BK86" i="20"/>
  <c r="BK102" i="20"/>
  <c r="BG92" i="20"/>
  <c r="BG84" i="20"/>
  <c r="BI102" i="20"/>
  <c r="BK91" i="20"/>
  <c r="BG105" i="20"/>
  <c r="BK85" i="20"/>
  <c r="AI97" i="20"/>
  <c r="AH97" i="20"/>
  <c r="C256" i="20"/>
  <c r="B256" i="20"/>
  <c r="G7" i="20"/>
  <c r="AX24" i="20"/>
  <c r="F246" i="20"/>
  <c r="E252" i="20"/>
  <c r="E118" i="20"/>
  <c r="AI107" i="20"/>
  <c r="AH107" i="20"/>
  <c r="AM23" i="20"/>
  <c r="AM24" i="20" l="1"/>
  <c r="AT8" i="20"/>
  <c r="AT9" i="20"/>
  <c r="AH99" i="20"/>
  <c r="AI99" i="20"/>
  <c r="G246" i="20"/>
  <c r="F252" i="20"/>
  <c r="F118" i="20"/>
  <c r="AH108" i="20"/>
  <c r="AI108" i="20"/>
  <c r="K6" i="20"/>
  <c r="Y58" i="19"/>
  <c r="Y62" i="19"/>
  <c r="Y76" i="19"/>
  <c r="Y80" i="19"/>
  <c r="Y92" i="19"/>
  <c r="Y101" i="19"/>
  <c r="Y102" i="19"/>
  <c r="Y107" i="19" s="1"/>
  <c r="Y103" i="19"/>
  <c r="Y104" i="19"/>
  <c r="Y105" i="19"/>
  <c r="Y118" i="19"/>
  <c r="X57" i="19"/>
  <c r="X58" i="19"/>
  <c r="X62" i="19"/>
  <c r="X76" i="19"/>
  <c r="X80" i="19"/>
  <c r="X92" i="19"/>
  <c r="X101" i="19"/>
  <c r="X102" i="19"/>
  <c r="X103" i="19"/>
  <c r="X104" i="19"/>
  <c r="X105" i="19"/>
  <c r="X118" i="19"/>
  <c r="W127" i="19"/>
  <c r="W123" i="19"/>
  <c r="H246" i="20" l="1"/>
  <c r="G118" i="20"/>
  <c r="G252" i="20"/>
  <c r="AI100" i="20"/>
  <c r="AH100" i="20"/>
  <c r="A7" i="20"/>
  <c r="Y97" i="19"/>
  <c r="Y99" i="19" s="1"/>
  <c r="Y100" i="19" s="1"/>
  <c r="Y108" i="19"/>
  <c r="X107" i="19"/>
  <c r="X108" i="19"/>
  <c r="X97" i="19"/>
  <c r="X99" i="19" s="1"/>
  <c r="X100" i="19" s="1"/>
  <c r="V58" i="19"/>
  <c r="V62" i="19"/>
  <c r="V76" i="19"/>
  <c r="V80" i="19"/>
  <c r="V92" i="19"/>
  <c r="V101" i="19"/>
  <c r="V102" i="19"/>
  <c r="V103" i="19"/>
  <c r="V104" i="19"/>
  <c r="V105" i="19"/>
  <c r="V118" i="19"/>
  <c r="U58" i="19"/>
  <c r="U62" i="19"/>
  <c r="U76" i="19"/>
  <c r="U80" i="19"/>
  <c r="U92" i="19"/>
  <c r="U101" i="19"/>
  <c r="U102" i="19"/>
  <c r="U103" i="19"/>
  <c r="U104" i="19"/>
  <c r="U105" i="19"/>
  <c r="U118" i="19"/>
  <c r="I246" i="20" l="1"/>
  <c r="H252" i="20"/>
  <c r="H118" i="20"/>
  <c r="V107" i="19"/>
  <c r="V108" i="19" s="1"/>
  <c r="V97" i="19"/>
  <c r="V99" i="19" s="1"/>
  <c r="U107" i="19"/>
  <c r="U108" i="19" s="1"/>
  <c r="U97" i="19"/>
  <c r="U99" i="19" s="1"/>
  <c r="U100" i="19" s="1"/>
  <c r="T58" i="19"/>
  <c r="T62" i="19"/>
  <c r="T76" i="19"/>
  <c r="T80" i="19"/>
  <c r="T92" i="19"/>
  <c r="T101" i="19"/>
  <c r="T102" i="19"/>
  <c r="T103" i="19"/>
  <c r="T104" i="19"/>
  <c r="T105" i="19"/>
  <c r="T118" i="19"/>
  <c r="I252" i="20" l="1"/>
  <c r="I118" i="20"/>
  <c r="J246" i="20"/>
  <c r="V100" i="19"/>
  <c r="T107" i="19"/>
  <c r="T108" i="19" s="1"/>
  <c r="T97" i="19"/>
  <c r="T99" i="19" s="1"/>
  <c r="S58" i="19"/>
  <c r="S62" i="19"/>
  <c r="S76" i="19"/>
  <c r="S80" i="19"/>
  <c r="S92" i="19"/>
  <c r="S101" i="19"/>
  <c r="S102" i="19"/>
  <c r="S103" i="19"/>
  <c r="S104" i="19"/>
  <c r="S105" i="19"/>
  <c r="S118" i="19"/>
  <c r="R121" i="19"/>
  <c r="R57" i="19"/>
  <c r="Q121" i="19"/>
  <c r="P121" i="19"/>
  <c r="Q57" i="19"/>
  <c r="J252" i="20" l="1"/>
  <c r="J118" i="20"/>
  <c r="K246" i="20"/>
  <c r="T100" i="19"/>
  <c r="S97" i="19"/>
  <c r="S99" i="19" s="1"/>
  <c r="S107" i="19"/>
  <c r="S108" i="19"/>
  <c r="O121" i="19"/>
  <c r="O57" i="19"/>
  <c r="N121" i="19"/>
  <c r="N57" i="19"/>
  <c r="K252" i="20" l="1"/>
  <c r="K118" i="20"/>
  <c r="L246" i="20"/>
  <c r="S100" i="19"/>
  <c r="M121" i="19"/>
  <c r="M57" i="19"/>
  <c r="M58" i="19"/>
  <c r="M62" i="19"/>
  <c r="M76" i="19"/>
  <c r="M80" i="19"/>
  <c r="M92" i="19"/>
  <c r="L252" i="20" l="1"/>
  <c r="L118" i="20"/>
  <c r="M246" i="20"/>
  <c r="M97" i="19"/>
  <c r="AH125" i="19"/>
  <c r="AI125" i="19"/>
  <c r="AH124" i="19"/>
  <c r="AI124" i="19"/>
  <c r="AG252" i="19"/>
  <c r="C252" i="19"/>
  <c r="D251" i="19"/>
  <c r="J250" i="19"/>
  <c r="K250" i="19" s="1"/>
  <c r="L250" i="19" s="1"/>
  <c r="M250" i="19" s="1"/>
  <c r="N250" i="19" s="1"/>
  <c r="O250" i="19" s="1"/>
  <c r="P250" i="19" s="1"/>
  <c r="Q250" i="19" s="1"/>
  <c r="R250" i="19" s="1"/>
  <c r="S250" i="19" s="1"/>
  <c r="T250" i="19" s="1"/>
  <c r="U250" i="19" s="1"/>
  <c r="V250" i="19" s="1"/>
  <c r="W250" i="19" s="1"/>
  <c r="X250" i="19" s="1"/>
  <c r="Y250" i="19" s="1"/>
  <c r="Z250" i="19" s="1"/>
  <c r="AA250" i="19" s="1"/>
  <c r="AB250" i="19" s="1"/>
  <c r="AC250" i="19" s="1"/>
  <c r="AD250" i="19" s="1"/>
  <c r="AE250" i="19" s="1"/>
  <c r="AF250" i="19" s="1"/>
  <c r="B250" i="19" s="1"/>
  <c r="F250" i="19"/>
  <c r="G250" i="19" s="1"/>
  <c r="H250" i="19" s="1"/>
  <c r="I250" i="19" s="1"/>
  <c r="E250" i="19"/>
  <c r="D250" i="19"/>
  <c r="P249" i="19"/>
  <c r="Q249" i="19" s="1"/>
  <c r="R249" i="19" s="1"/>
  <c r="S249" i="19" s="1"/>
  <c r="T249" i="19" s="1"/>
  <c r="U249" i="19" s="1"/>
  <c r="V249" i="19" s="1"/>
  <c r="W249" i="19" s="1"/>
  <c r="X249" i="19" s="1"/>
  <c r="Y249" i="19" s="1"/>
  <c r="Z249" i="19" s="1"/>
  <c r="AA249" i="19" s="1"/>
  <c r="AB249" i="19" s="1"/>
  <c r="AC249" i="19" s="1"/>
  <c r="AD249" i="19" s="1"/>
  <c r="AE249" i="19" s="1"/>
  <c r="AF249" i="19" s="1"/>
  <c r="B249" i="19" s="1"/>
  <c r="H249" i="19"/>
  <c r="I249" i="19" s="1"/>
  <c r="J249" i="19" s="1"/>
  <c r="K249" i="19" s="1"/>
  <c r="L249" i="19" s="1"/>
  <c r="M249" i="19" s="1"/>
  <c r="N249" i="19" s="1"/>
  <c r="O249" i="19" s="1"/>
  <c r="D249" i="19"/>
  <c r="E249" i="19" s="1"/>
  <c r="F249" i="19" s="1"/>
  <c r="G249" i="19" s="1"/>
  <c r="F248" i="19"/>
  <c r="G248" i="19" s="1"/>
  <c r="H248" i="19" s="1"/>
  <c r="I248" i="19" s="1"/>
  <c r="J248" i="19" s="1"/>
  <c r="K248" i="19" s="1"/>
  <c r="L248" i="19" s="1"/>
  <c r="M248" i="19" s="1"/>
  <c r="N248" i="19" s="1"/>
  <c r="O248" i="19" s="1"/>
  <c r="P248" i="19" s="1"/>
  <c r="Q248" i="19" s="1"/>
  <c r="R248" i="19" s="1"/>
  <c r="S248" i="19" s="1"/>
  <c r="T248" i="19" s="1"/>
  <c r="U248" i="19" s="1"/>
  <c r="V248" i="19" s="1"/>
  <c r="W248" i="19" s="1"/>
  <c r="X248" i="19" s="1"/>
  <c r="Y248" i="19" s="1"/>
  <c r="Z248" i="19" s="1"/>
  <c r="AA248" i="19" s="1"/>
  <c r="AB248" i="19" s="1"/>
  <c r="AC248" i="19" s="1"/>
  <c r="AD248" i="19" s="1"/>
  <c r="AE248" i="19" s="1"/>
  <c r="AF248" i="19" s="1"/>
  <c r="B248" i="19" s="1"/>
  <c r="D248" i="19"/>
  <c r="E248" i="19" s="1"/>
  <c r="H247" i="19"/>
  <c r="I247" i="19" s="1"/>
  <c r="J247" i="19" s="1"/>
  <c r="K247" i="19" s="1"/>
  <c r="L247" i="19" s="1"/>
  <c r="M247" i="19" s="1"/>
  <c r="N247" i="19" s="1"/>
  <c r="O247" i="19" s="1"/>
  <c r="P247" i="19" s="1"/>
  <c r="Q247" i="19" s="1"/>
  <c r="R247" i="19" s="1"/>
  <c r="S247" i="19" s="1"/>
  <c r="T247" i="19" s="1"/>
  <c r="U247" i="19" s="1"/>
  <c r="V247" i="19" s="1"/>
  <c r="W247" i="19" s="1"/>
  <c r="X247" i="19" s="1"/>
  <c r="Y247" i="19" s="1"/>
  <c r="Z247" i="19" s="1"/>
  <c r="AA247" i="19" s="1"/>
  <c r="AB247" i="19" s="1"/>
  <c r="AC247" i="19" s="1"/>
  <c r="AD247" i="19" s="1"/>
  <c r="AE247" i="19" s="1"/>
  <c r="AF247" i="19" s="1"/>
  <c r="B247" i="19" s="1"/>
  <c r="D247" i="19"/>
  <c r="E247" i="19" s="1"/>
  <c r="F247" i="19" s="1"/>
  <c r="G247" i="19" s="1"/>
  <c r="F246" i="19"/>
  <c r="E246" i="19"/>
  <c r="D246" i="19"/>
  <c r="AG244" i="19"/>
  <c r="AF244" i="19"/>
  <c r="AE244" i="19"/>
  <c r="AD244" i="19"/>
  <c r="AC244" i="19"/>
  <c r="AB244" i="19"/>
  <c r="AA244" i="19"/>
  <c r="Z244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AI130" i="19"/>
  <c r="AH130" i="19"/>
  <c r="AI129" i="19"/>
  <c r="AH129" i="19"/>
  <c r="AI128" i="19"/>
  <c r="AH128" i="19"/>
  <c r="AI127" i="19"/>
  <c r="AH127" i="19"/>
  <c r="AI126" i="19"/>
  <c r="AH126" i="19"/>
  <c r="AI123" i="19"/>
  <c r="AH123" i="19"/>
  <c r="AI122" i="19"/>
  <c r="AH122" i="19"/>
  <c r="AI121" i="19"/>
  <c r="AH121" i="19"/>
  <c r="AI120" i="19"/>
  <c r="AH120" i="19"/>
  <c r="AI119" i="19"/>
  <c r="AH119" i="19"/>
  <c r="Z118" i="19"/>
  <c r="C118" i="19"/>
  <c r="AI117" i="19"/>
  <c r="AH117" i="19"/>
  <c r="AI116" i="19"/>
  <c r="AH116" i="19"/>
  <c r="AI115" i="19"/>
  <c r="AH115" i="19"/>
  <c r="AI114" i="19"/>
  <c r="AH114" i="19"/>
  <c r="AI113" i="19"/>
  <c r="AH113" i="19"/>
  <c r="AI112" i="19"/>
  <c r="AH112" i="19"/>
  <c r="AI111" i="19"/>
  <c r="AH111" i="19"/>
  <c r="AI110" i="19"/>
  <c r="AH110" i="19"/>
  <c r="AI109" i="19"/>
  <c r="AH109" i="19"/>
  <c r="AI106" i="19"/>
  <c r="AH106" i="19"/>
  <c r="AF105" i="19"/>
  <c r="AE105" i="19"/>
  <c r="AD105" i="19"/>
  <c r="AC105" i="19"/>
  <c r="AB105" i="19"/>
  <c r="AA105" i="19"/>
  <c r="Z105" i="19"/>
  <c r="W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AF104" i="19"/>
  <c r="AE104" i="19"/>
  <c r="AD104" i="19"/>
  <c r="AC104" i="19"/>
  <c r="AB104" i="19"/>
  <c r="AA104" i="19"/>
  <c r="Z104" i="19"/>
  <c r="W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AF103" i="19"/>
  <c r="AE103" i="19"/>
  <c r="AD103" i="19"/>
  <c r="AC103" i="19"/>
  <c r="AB103" i="19"/>
  <c r="AA103" i="19"/>
  <c r="Z103" i="19"/>
  <c r="W103" i="19"/>
  <c r="R103" i="19"/>
  <c r="Q103" i="19"/>
  <c r="P103" i="19"/>
  <c r="O103" i="19"/>
  <c r="N103" i="19"/>
  <c r="M103" i="19"/>
  <c r="L103" i="19"/>
  <c r="K103" i="19"/>
  <c r="J103" i="19"/>
  <c r="I103" i="19"/>
  <c r="H103" i="19"/>
  <c r="G103" i="19"/>
  <c r="F103" i="19"/>
  <c r="E103" i="19"/>
  <c r="D103" i="19"/>
  <c r="C103" i="19"/>
  <c r="B103" i="19"/>
  <c r="AF102" i="19"/>
  <c r="AE102" i="19"/>
  <c r="AD102" i="19"/>
  <c r="AC102" i="19"/>
  <c r="AB102" i="19"/>
  <c r="AA102" i="19"/>
  <c r="Z102" i="19"/>
  <c r="W102" i="19"/>
  <c r="R102" i="19"/>
  <c r="Q102" i="19"/>
  <c r="P102" i="19"/>
  <c r="O102" i="19"/>
  <c r="N102" i="19"/>
  <c r="M102" i="19"/>
  <c r="L102" i="19"/>
  <c r="K102" i="19"/>
  <c r="J102" i="19"/>
  <c r="I102" i="19"/>
  <c r="H102" i="19"/>
  <c r="G102" i="19"/>
  <c r="F102" i="19"/>
  <c r="E102" i="19"/>
  <c r="D102" i="19"/>
  <c r="C102" i="19"/>
  <c r="B102" i="19"/>
  <c r="AF101" i="19"/>
  <c r="AF107" i="19" s="1"/>
  <c r="AE101" i="19"/>
  <c r="AD101" i="19"/>
  <c r="AC101" i="19"/>
  <c r="AB101" i="19"/>
  <c r="AA101" i="19"/>
  <c r="Z101" i="19"/>
  <c r="W101" i="19"/>
  <c r="R101" i="19"/>
  <c r="Q101" i="19"/>
  <c r="P101" i="19"/>
  <c r="O101" i="19"/>
  <c r="O107" i="19" s="1"/>
  <c r="N101" i="19"/>
  <c r="M101" i="19"/>
  <c r="L101" i="19"/>
  <c r="K101" i="19"/>
  <c r="J101" i="19"/>
  <c r="I101" i="19"/>
  <c r="H101" i="19"/>
  <c r="G101" i="19"/>
  <c r="F101" i="19"/>
  <c r="E101" i="19"/>
  <c r="D101" i="19"/>
  <c r="C101" i="19"/>
  <c r="B101" i="19"/>
  <c r="Y7" i="19"/>
  <c r="AI98" i="19"/>
  <c r="AH98" i="19"/>
  <c r="AI96" i="19"/>
  <c r="AH96" i="19"/>
  <c r="AG96" i="19"/>
  <c r="AI95" i="19"/>
  <c r="AH95" i="19"/>
  <c r="AI94" i="19"/>
  <c r="AH94" i="19"/>
  <c r="AI93" i="19"/>
  <c r="AH93" i="19"/>
  <c r="AG92" i="19"/>
  <c r="AF92" i="19"/>
  <c r="AE5" i="19" s="1"/>
  <c r="AE92" i="19"/>
  <c r="AD92" i="19"/>
  <c r="AC5" i="19" s="1"/>
  <c r="AC92" i="19"/>
  <c r="AB5" i="19" s="1"/>
  <c r="AB92" i="19"/>
  <c r="AA5" i="19" s="1"/>
  <c r="AA92" i="19"/>
  <c r="Z92" i="19"/>
  <c r="W92" i="19"/>
  <c r="V5" i="19" s="1"/>
  <c r="R92" i="19"/>
  <c r="Q92" i="19"/>
  <c r="P5" i="19" s="1"/>
  <c r="P92" i="19"/>
  <c r="AX19" i="19" s="1"/>
  <c r="O92" i="19"/>
  <c r="N5" i="19" s="1"/>
  <c r="N92" i="19"/>
  <c r="M5" i="19" s="1"/>
  <c r="L92" i="19"/>
  <c r="K5" i="19" s="1"/>
  <c r="K92" i="19"/>
  <c r="AT19" i="19" s="1"/>
  <c r="J92" i="19"/>
  <c r="I92" i="19"/>
  <c r="H5" i="19" s="1"/>
  <c r="H92" i="19"/>
  <c r="G5" i="19" s="1"/>
  <c r="G92" i="19"/>
  <c r="AR19" i="19" s="1"/>
  <c r="F92" i="19"/>
  <c r="E5" i="19" s="1"/>
  <c r="E92" i="19"/>
  <c r="D5" i="19" s="1"/>
  <c r="D92" i="19"/>
  <c r="C5" i="19" s="1"/>
  <c r="C92" i="19"/>
  <c r="AN19" i="19" s="1"/>
  <c r="B92" i="19"/>
  <c r="AM19" i="19" s="1"/>
  <c r="AI91" i="19"/>
  <c r="AH91" i="19"/>
  <c r="AI90" i="19"/>
  <c r="AH90" i="19"/>
  <c r="AI89" i="19"/>
  <c r="AH89" i="19"/>
  <c r="AI88" i="19"/>
  <c r="AH88" i="19"/>
  <c r="AI87" i="19"/>
  <c r="AH87" i="19"/>
  <c r="AI86" i="19"/>
  <c r="AH86" i="19"/>
  <c r="AI85" i="19"/>
  <c r="AH85" i="19"/>
  <c r="AI84" i="19"/>
  <c r="AH84" i="19"/>
  <c r="AI83" i="19"/>
  <c r="AH83" i="19"/>
  <c r="AI82" i="19"/>
  <c r="AH82" i="19"/>
  <c r="AI81" i="19"/>
  <c r="AH81" i="19"/>
  <c r="BR80" i="19"/>
  <c r="BJ80" i="19"/>
  <c r="BB80" i="19"/>
  <c r="AG80" i="19"/>
  <c r="AF80" i="19"/>
  <c r="AE80" i="19"/>
  <c r="AD80" i="19"/>
  <c r="AC80" i="19"/>
  <c r="AB80" i="19"/>
  <c r="AA80" i="19"/>
  <c r="Z80" i="19"/>
  <c r="W80" i="19"/>
  <c r="R80" i="19"/>
  <c r="Q80" i="19"/>
  <c r="P80" i="19"/>
  <c r="O80" i="19"/>
  <c r="N80" i="19"/>
  <c r="AU20" i="19"/>
  <c r="L80" i="19"/>
  <c r="K80" i="19"/>
  <c r="J80" i="19"/>
  <c r="I80" i="19"/>
  <c r="H80" i="19"/>
  <c r="G80" i="19"/>
  <c r="AR20" i="19" s="1"/>
  <c r="F80" i="19"/>
  <c r="AQ20" i="19" s="1"/>
  <c r="E80" i="19"/>
  <c r="AP20" i="19" s="1"/>
  <c r="D80" i="19"/>
  <c r="AO20" i="19" s="1"/>
  <c r="C80" i="19"/>
  <c r="B80" i="19"/>
  <c r="AM20" i="19" s="1"/>
  <c r="AI79" i="19"/>
  <c r="AH79" i="19"/>
  <c r="AI78" i="19"/>
  <c r="AH78" i="19"/>
  <c r="BH77" i="19"/>
  <c r="AI77" i="19"/>
  <c r="AH77" i="19"/>
  <c r="BR76" i="19"/>
  <c r="BK76" i="19"/>
  <c r="BI76" i="19"/>
  <c r="AZ76" i="19"/>
  <c r="AF76" i="19"/>
  <c r="AE76" i="19"/>
  <c r="AD76" i="19"/>
  <c r="AC76" i="19"/>
  <c r="AB76" i="19"/>
  <c r="AA76" i="19"/>
  <c r="Z76" i="19"/>
  <c r="W76" i="19"/>
  <c r="R76" i="19"/>
  <c r="Q76" i="19"/>
  <c r="P76" i="19"/>
  <c r="O76" i="19"/>
  <c r="AW18" i="19" s="1"/>
  <c r="N76" i="19"/>
  <c r="L76" i="19"/>
  <c r="K76" i="19"/>
  <c r="AT18" i="19" s="1"/>
  <c r="J76" i="19"/>
  <c r="I76" i="19"/>
  <c r="AS18" i="19" s="1"/>
  <c r="H76" i="19"/>
  <c r="G76" i="19"/>
  <c r="AR18" i="19" s="1"/>
  <c r="F76" i="19"/>
  <c r="AQ18" i="19" s="1"/>
  <c r="E76" i="19"/>
  <c r="AP18" i="19" s="1"/>
  <c r="D76" i="19"/>
  <c r="AO18" i="19" s="1"/>
  <c r="C76" i="19"/>
  <c r="AN18" i="19" s="1"/>
  <c r="B76" i="19"/>
  <c r="AM18" i="19" s="1"/>
  <c r="BK75" i="19"/>
  <c r="AI75" i="19"/>
  <c r="AH75" i="19"/>
  <c r="AG75" i="19"/>
  <c r="AG76" i="19" s="1"/>
  <c r="AI74" i="19"/>
  <c r="AH74" i="19"/>
  <c r="BW73" i="19"/>
  <c r="BW80" i="19" s="1"/>
  <c r="BV73" i="19"/>
  <c r="BV80" i="19" s="1"/>
  <c r="BU73" i="19"/>
  <c r="BU80" i="19" s="1"/>
  <c r="BT73" i="19"/>
  <c r="BT80" i="19" s="1"/>
  <c r="BS73" i="19"/>
  <c r="BS80" i="19" s="1"/>
  <c r="BR73" i="19"/>
  <c r="BQ73" i="19"/>
  <c r="BQ80" i="19" s="1"/>
  <c r="BP73" i="19"/>
  <c r="BP80" i="19" s="1"/>
  <c r="BO73" i="19"/>
  <c r="BO80" i="19" s="1"/>
  <c r="BN73" i="19"/>
  <c r="BN80" i="19" s="1"/>
  <c r="BM73" i="19"/>
  <c r="BM80" i="19" s="1"/>
  <c r="BL73" i="19"/>
  <c r="BL80" i="19" s="1"/>
  <c r="BK73" i="19"/>
  <c r="BK80" i="19" s="1"/>
  <c r="BJ73" i="19"/>
  <c r="BI73" i="19"/>
  <c r="BI80" i="19" s="1"/>
  <c r="BH73" i="19"/>
  <c r="BH80" i="19" s="1"/>
  <c r="BG73" i="19"/>
  <c r="BG80" i="19" s="1"/>
  <c r="BF73" i="19"/>
  <c r="BF80" i="19" s="1"/>
  <c r="BE73" i="19"/>
  <c r="BE80" i="19" s="1"/>
  <c r="BD73" i="19"/>
  <c r="BD80" i="19" s="1"/>
  <c r="BC73" i="19"/>
  <c r="BC80" i="19" s="1"/>
  <c r="BB73" i="19"/>
  <c r="BA73" i="19"/>
  <c r="BA80" i="19" s="1"/>
  <c r="AZ73" i="19"/>
  <c r="AZ80" i="19" s="1"/>
  <c r="AI73" i="19"/>
  <c r="AH73" i="19"/>
  <c r="BW72" i="19"/>
  <c r="BW79" i="19" s="1"/>
  <c r="BV72" i="19"/>
  <c r="BV79" i="19" s="1"/>
  <c r="BU72" i="19"/>
  <c r="BU79" i="19" s="1"/>
  <c r="BT72" i="19"/>
  <c r="BT79" i="19" s="1"/>
  <c r="BS72" i="19"/>
  <c r="BS79" i="19" s="1"/>
  <c r="BR72" i="19"/>
  <c r="BR79" i="19" s="1"/>
  <c r="BQ72" i="19"/>
  <c r="BQ79" i="19" s="1"/>
  <c r="BP72" i="19"/>
  <c r="BP79" i="19" s="1"/>
  <c r="BO72" i="19"/>
  <c r="BO79" i="19" s="1"/>
  <c r="BN72" i="19"/>
  <c r="BN79" i="19" s="1"/>
  <c r="BM72" i="19"/>
  <c r="BM79" i="19" s="1"/>
  <c r="BL72" i="19"/>
  <c r="BL79" i="19" s="1"/>
  <c r="BK72" i="19"/>
  <c r="BK79" i="19" s="1"/>
  <c r="BJ72" i="19"/>
  <c r="BJ79" i="19" s="1"/>
  <c r="BI72" i="19"/>
  <c r="BI79" i="19" s="1"/>
  <c r="BH72" i="19"/>
  <c r="BH79" i="19" s="1"/>
  <c r="BG72" i="19"/>
  <c r="BG79" i="19" s="1"/>
  <c r="BF72" i="19"/>
  <c r="BF79" i="19" s="1"/>
  <c r="BE72" i="19"/>
  <c r="BE79" i="19" s="1"/>
  <c r="BD72" i="19"/>
  <c r="BD79" i="19" s="1"/>
  <c r="BC72" i="19"/>
  <c r="BC79" i="19" s="1"/>
  <c r="BB72" i="19"/>
  <c r="BB79" i="19" s="1"/>
  <c r="BA72" i="19"/>
  <c r="BA79" i="19" s="1"/>
  <c r="AZ72" i="19"/>
  <c r="AZ79" i="19" s="1"/>
  <c r="AI72" i="19"/>
  <c r="AH72" i="19"/>
  <c r="BW71" i="19"/>
  <c r="BW78" i="19" s="1"/>
  <c r="BV71" i="19"/>
  <c r="BV78" i="19" s="1"/>
  <c r="BU71" i="19"/>
  <c r="BU78" i="19" s="1"/>
  <c r="BT71" i="19"/>
  <c r="BT78" i="19" s="1"/>
  <c r="BS71" i="19"/>
  <c r="BS78" i="19" s="1"/>
  <c r="BR71" i="19"/>
  <c r="BR78" i="19" s="1"/>
  <c r="BQ71" i="19"/>
  <c r="BQ78" i="19" s="1"/>
  <c r="BP71" i="19"/>
  <c r="BP78" i="19" s="1"/>
  <c r="BO71" i="19"/>
  <c r="BO78" i="19" s="1"/>
  <c r="BN71" i="19"/>
  <c r="BN78" i="19" s="1"/>
  <c r="BM71" i="19"/>
  <c r="BM78" i="19" s="1"/>
  <c r="BL71" i="19"/>
  <c r="BL78" i="19" s="1"/>
  <c r="BK71" i="19"/>
  <c r="BK78" i="19" s="1"/>
  <c r="BJ71" i="19"/>
  <c r="BJ78" i="19" s="1"/>
  <c r="BI71" i="19"/>
  <c r="BI78" i="19" s="1"/>
  <c r="BH71" i="19"/>
  <c r="BH78" i="19" s="1"/>
  <c r="BG71" i="19"/>
  <c r="BG78" i="19" s="1"/>
  <c r="BF71" i="19"/>
  <c r="BF78" i="19" s="1"/>
  <c r="BE71" i="19"/>
  <c r="BE78" i="19" s="1"/>
  <c r="BD71" i="19"/>
  <c r="BD78" i="19" s="1"/>
  <c r="BC71" i="19"/>
  <c r="BC78" i="19" s="1"/>
  <c r="BB71" i="19"/>
  <c r="BB78" i="19" s="1"/>
  <c r="BA71" i="19"/>
  <c r="BA78" i="19" s="1"/>
  <c r="AZ71" i="19"/>
  <c r="AZ78" i="19" s="1"/>
  <c r="AI71" i="19"/>
  <c r="AH71" i="19"/>
  <c r="BW70" i="19"/>
  <c r="BW77" i="19" s="1"/>
  <c r="BV70" i="19"/>
  <c r="BV77" i="19" s="1"/>
  <c r="BU70" i="19"/>
  <c r="BU77" i="19" s="1"/>
  <c r="BT70" i="19"/>
  <c r="BT77" i="19" s="1"/>
  <c r="BS70" i="19"/>
  <c r="BS77" i="19" s="1"/>
  <c r="BR70" i="19"/>
  <c r="BR77" i="19" s="1"/>
  <c r="BQ70" i="19"/>
  <c r="BQ77" i="19" s="1"/>
  <c r="BP70" i="19"/>
  <c r="BP77" i="19" s="1"/>
  <c r="BO70" i="19"/>
  <c r="BO77" i="19" s="1"/>
  <c r="BN70" i="19"/>
  <c r="BN77" i="19" s="1"/>
  <c r="BM70" i="19"/>
  <c r="BM77" i="19" s="1"/>
  <c r="BL70" i="19"/>
  <c r="BL77" i="19" s="1"/>
  <c r="BK70" i="19"/>
  <c r="BK77" i="19" s="1"/>
  <c r="BJ70" i="19"/>
  <c r="BJ77" i="19" s="1"/>
  <c r="BI70" i="19"/>
  <c r="BI77" i="19" s="1"/>
  <c r="BH70" i="19"/>
  <c r="BG70" i="19"/>
  <c r="BG77" i="19" s="1"/>
  <c r="BF70" i="19"/>
  <c r="BF77" i="19" s="1"/>
  <c r="BE70" i="19"/>
  <c r="BE77" i="19" s="1"/>
  <c r="BD70" i="19"/>
  <c r="BD77" i="19" s="1"/>
  <c r="BC70" i="19"/>
  <c r="BC77" i="19" s="1"/>
  <c r="BB70" i="19"/>
  <c r="BB77" i="19" s="1"/>
  <c r="BA70" i="19"/>
  <c r="BA77" i="19" s="1"/>
  <c r="AZ70" i="19"/>
  <c r="AZ77" i="19" s="1"/>
  <c r="AI70" i="19"/>
  <c r="AH70" i="19"/>
  <c r="BW69" i="19"/>
  <c r="BW76" i="19" s="1"/>
  <c r="BV69" i="19"/>
  <c r="BV76" i="19" s="1"/>
  <c r="BU69" i="19"/>
  <c r="BU76" i="19" s="1"/>
  <c r="BT69" i="19"/>
  <c r="BT76" i="19" s="1"/>
  <c r="BS69" i="19"/>
  <c r="BS76" i="19" s="1"/>
  <c r="BR69" i="19"/>
  <c r="BQ69" i="19"/>
  <c r="BQ76" i="19" s="1"/>
  <c r="BP69" i="19"/>
  <c r="BP76" i="19" s="1"/>
  <c r="BO69" i="19"/>
  <c r="BO76" i="19" s="1"/>
  <c r="BN69" i="19"/>
  <c r="BN76" i="19" s="1"/>
  <c r="BM69" i="19"/>
  <c r="BM76" i="19" s="1"/>
  <c r="BL69" i="19"/>
  <c r="BL76" i="19" s="1"/>
  <c r="BK69" i="19"/>
  <c r="BJ69" i="19"/>
  <c r="BJ76" i="19" s="1"/>
  <c r="BI69" i="19"/>
  <c r="BH69" i="19"/>
  <c r="BH76" i="19" s="1"/>
  <c r="BG69" i="19"/>
  <c r="BG76" i="19" s="1"/>
  <c r="BF69" i="19"/>
  <c r="BF76" i="19" s="1"/>
  <c r="BE69" i="19"/>
  <c r="BE76" i="19" s="1"/>
  <c r="BD69" i="19"/>
  <c r="BD76" i="19" s="1"/>
  <c r="BC69" i="19"/>
  <c r="BC76" i="19" s="1"/>
  <c r="BB69" i="19"/>
  <c r="BB76" i="19" s="1"/>
  <c r="BA69" i="19"/>
  <c r="BA76" i="19" s="1"/>
  <c r="AZ69" i="19"/>
  <c r="AI69" i="19"/>
  <c r="AH69" i="19"/>
  <c r="BW68" i="19"/>
  <c r="BW75" i="19" s="1"/>
  <c r="BV68" i="19"/>
  <c r="BV75" i="19" s="1"/>
  <c r="BU68" i="19"/>
  <c r="BU75" i="19" s="1"/>
  <c r="BT68" i="19"/>
  <c r="BT75" i="19" s="1"/>
  <c r="BS68" i="19"/>
  <c r="BS75" i="19" s="1"/>
  <c r="BR68" i="19"/>
  <c r="BR75" i="19" s="1"/>
  <c r="BQ68" i="19"/>
  <c r="BQ75" i="19" s="1"/>
  <c r="BP68" i="19"/>
  <c r="BP75" i="19" s="1"/>
  <c r="BO68" i="19"/>
  <c r="BO75" i="19" s="1"/>
  <c r="BN68" i="19"/>
  <c r="BN75" i="19" s="1"/>
  <c r="BM68" i="19"/>
  <c r="BM75" i="19" s="1"/>
  <c r="BL68" i="19"/>
  <c r="BL75" i="19" s="1"/>
  <c r="BK68" i="19"/>
  <c r="BJ68" i="19"/>
  <c r="BJ75" i="19" s="1"/>
  <c r="BI68" i="19"/>
  <c r="BI75" i="19" s="1"/>
  <c r="BH68" i="19"/>
  <c r="BH75" i="19" s="1"/>
  <c r="BG68" i="19"/>
  <c r="BG75" i="19" s="1"/>
  <c r="BF68" i="19"/>
  <c r="BF75" i="19" s="1"/>
  <c r="BE68" i="19"/>
  <c r="BE75" i="19" s="1"/>
  <c r="BD68" i="19"/>
  <c r="BD75" i="19" s="1"/>
  <c r="BC68" i="19"/>
  <c r="BC75" i="19" s="1"/>
  <c r="BB68" i="19"/>
  <c r="BB75" i="19" s="1"/>
  <c r="BA68" i="19"/>
  <c r="BA75" i="19" s="1"/>
  <c r="AZ68" i="19"/>
  <c r="AI68" i="19"/>
  <c r="AH68" i="19"/>
  <c r="AI67" i="19"/>
  <c r="AH67" i="19"/>
  <c r="AI66" i="19"/>
  <c r="AH66" i="19"/>
  <c r="AI65" i="19"/>
  <c r="AH65" i="19"/>
  <c r="AI64" i="19"/>
  <c r="AH64" i="19"/>
  <c r="AI63" i="19"/>
  <c r="AH63" i="19"/>
  <c r="AG62" i="19"/>
  <c r="AF62" i="19"/>
  <c r="AE62" i="19"/>
  <c r="AD62" i="19"/>
  <c r="AC62" i="19"/>
  <c r="AB62" i="19"/>
  <c r="AA62" i="19"/>
  <c r="Z62" i="19"/>
  <c r="W62" i="19"/>
  <c r="R62" i="19"/>
  <c r="Q62" i="19"/>
  <c r="P62" i="19"/>
  <c r="AX17" i="19" s="1"/>
  <c r="O62" i="19"/>
  <c r="AW17" i="19" s="1"/>
  <c r="N62" i="19"/>
  <c r="AV17" i="19" s="1"/>
  <c r="L62" i="19"/>
  <c r="K62" i="19"/>
  <c r="AT17" i="19" s="1"/>
  <c r="J62" i="19"/>
  <c r="I62" i="19"/>
  <c r="AS17" i="19" s="1"/>
  <c r="H62" i="19"/>
  <c r="G62" i="19"/>
  <c r="F62" i="19"/>
  <c r="E62" i="19"/>
  <c r="D62" i="19"/>
  <c r="AO17" i="19" s="1"/>
  <c r="C62" i="19"/>
  <c r="AN17" i="19" s="1"/>
  <c r="B62" i="19"/>
  <c r="AI61" i="19"/>
  <c r="AH61" i="19"/>
  <c r="AI60" i="19"/>
  <c r="AH60" i="19"/>
  <c r="AI59" i="19"/>
  <c r="AH59" i="19"/>
  <c r="AG58" i="19"/>
  <c r="AG2" i="19" s="1"/>
  <c r="AG6" i="19" s="1"/>
  <c r="AF58" i="19"/>
  <c r="AE58" i="19"/>
  <c r="AD58" i="19"/>
  <c r="AC58" i="19"/>
  <c r="AB58" i="19"/>
  <c r="AA58" i="19"/>
  <c r="Z58" i="19"/>
  <c r="X7" i="19"/>
  <c r="W58" i="19"/>
  <c r="R58" i="19"/>
  <c r="Q58" i="19"/>
  <c r="P58" i="19"/>
  <c r="O58" i="19"/>
  <c r="AW16" i="19" s="1"/>
  <c r="N58" i="19"/>
  <c r="AU16" i="19"/>
  <c r="L58" i="19"/>
  <c r="K58" i="19"/>
  <c r="J58" i="19"/>
  <c r="I58" i="19"/>
  <c r="H58" i="19"/>
  <c r="G58" i="19"/>
  <c r="F58" i="19"/>
  <c r="E58" i="19"/>
  <c r="AP16" i="19" s="1"/>
  <c r="D58" i="19"/>
  <c r="C58" i="19"/>
  <c r="B58" i="19"/>
  <c r="AI57" i="19"/>
  <c r="AH57" i="19"/>
  <c r="AI56" i="19"/>
  <c r="AH56" i="19"/>
  <c r="AI55" i="19"/>
  <c r="AH55" i="19"/>
  <c r="AI54" i="19"/>
  <c r="AH54" i="19"/>
  <c r="AI53" i="19"/>
  <c r="AH53" i="19"/>
  <c r="AI52" i="19"/>
  <c r="AH52" i="19"/>
  <c r="AI51" i="19"/>
  <c r="AH51" i="19"/>
  <c r="AI50" i="19"/>
  <c r="AH50" i="19"/>
  <c r="AI49" i="19"/>
  <c r="AH49" i="19"/>
  <c r="AI48" i="19"/>
  <c r="AH48" i="19"/>
  <c r="AI47" i="19"/>
  <c r="AH47" i="19"/>
  <c r="AI46" i="19"/>
  <c r="AH46" i="19"/>
  <c r="AI45" i="19"/>
  <c r="AH45" i="19"/>
  <c r="AI44" i="19"/>
  <c r="AH44" i="19"/>
  <c r="AI43" i="19"/>
  <c r="AH43" i="19"/>
  <c r="AI42" i="19"/>
  <c r="AH42" i="19"/>
  <c r="AI41" i="19"/>
  <c r="AH41" i="19"/>
  <c r="AI40" i="19"/>
  <c r="AH40" i="19"/>
  <c r="AI39" i="19"/>
  <c r="AH39" i="19"/>
  <c r="AI38" i="19"/>
  <c r="AH38" i="19"/>
  <c r="AI37" i="19"/>
  <c r="AH37" i="19"/>
  <c r="AI36" i="19"/>
  <c r="AH36" i="19"/>
  <c r="AI35" i="19"/>
  <c r="AH35" i="19"/>
  <c r="AI34" i="19"/>
  <c r="AH34" i="19"/>
  <c r="AI33" i="19"/>
  <c r="AH33" i="19"/>
  <c r="AI32" i="19"/>
  <c r="AH32" i="19"/>
  <c r="AI31" i="19"/>
  <c r="AH31" i="19"/>
  <c r="AI30" i="19"/>
  <c r="AH30" i="19"/>
  <c r="AI29" i="19"/>
  <c r="AH29" i="19"/>
  <c r="AI28" i="19"/>
  <c r="AH28" i="19"/>
  <c r="AI27" i="19"/>
  <c r="AH27" i="19"/>
  <c r="AI26" i="19"/>
  <c r="AH26" i="19"/>
  <c r="AI25" i="19"/>
  <c r="AH25" i="19"/>
  <c r="AI24" i="19"/>
  <c r="AH24" i="19"/>
  <c r="AW23" i="19"/>
  <c r="AI23" i="19"/>
  <c r="AH23" i="19"/>
  <c r="AI22" i="19"/>
  <c r="AH22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I21" i="19"/>
  <c r="AH21" i="19"/>
  <c r="AX20" i="19"/>
  <c r="AW20" i="19"/>
  <c r="AV20" i="19"/>
  <c r="AT20" i="19"/>
  <c r="AS20" i="19"/>
  <c r="AN20" i="19"/>
  <c r="AI20" i="19"/>
  <c r="AH20" i="19"/>
  <c r="AU19" i="19"/>
  <c r="AI19" i="19"/>
  <c r="AH19" i="19"/>
  <c r="AX18" i="19"/>
  <c r="AV18" i="19"/>
  <c r="AU18" i="19"/>
  <c r="AI18" i="19"/>
  <c r="AH18" i="19"/>
  <c r="AU17" i="19"/>
  <c r="AR17" i="19"/>
  <c r="AQ17" i="19"/>
  <c r="AP17" i="19"/>
  <c r="AI17" i="19"/>
  <c r="AH17" i="19"/>
  <c r="AS16" i="19"/>
  <c r="AR16" i="19"/>
  <c r="AO16" i="19"/>
  <c r="AI16" i="19"/>
  <c r="AH16" i="19"/>
  <c r="AI15" i="19"/>
  <c r="AH15" i="19"/>
  <c r="AI14" i="19"/>
  <c r="AH14" i="19"/>
  <c r="AI13" i="19"/>
  <c r="AH13" i="19"/>
  <c r="AL12" i="19"/>
  <c r="AI12" i="19"/>
  <c r="AH12" i="19"/>
  <c r="AI11" i="19"/>
  <c r="AH11" i="19"/>
  <c r="S7" i="19"/>
  <c r="AF5" i="19"/>
  <c r="AD5" i="19"/>
  <c r="Z5" i="19"/>
  <c r="Y5" i="19"/>
  <c r="X5" i="19"/>
  <c r="W5" i="19"/>
  <c r="U5" i="19"/>
  <c r="T5" i="19"/>
  <c r="S5" i="19"/>
  <c r="R5" i="19"/>
  <c r="Q5" i="19"/>
  <c r="L5" i="19"/>
  <c r="J5" i="19"/>
  <c r="AG4" i="19"/>
  <c r="K4" i="19"/>
  <c r="E4" i="19"/>
  <c r="H4" i="19" s="1"/>
  <c r="B4" i="19"/>
  <c r="AG3" i="19"/>
  <c r="N246" i="20" l="1"/>
  <c r="M252" i="20"/>
  <c r="M118" i="20"/>
  <c r="AF108" i="19"/>
  <c r="AF97" i="19"/>
  <c r="AF100" i="19" s="1"/>
  <c r="AF7" i="19" s="1"/>
  <c r="AE107" i="19"/>
  <c r="AE97" i="19"/>
  <c r="AE99" i="19" s="1"/>
  <c r="AD97" i="19"/>
  <c r="AD99" i="19" s="1"/>
  <c r="AC107" i="19"/>
  <c r="AB107" i="19"/>
  <c r="AB108" i="19" s="1"/>
  <c r="AA107" i="19"/>
  <c r="AA108" i="19" s="1"/>
  <c r="AA97" i="19"/>
  <c r="AA99" i="19" s="1"/>
  <c r="Z107" i="19"/>
  <c r="Z108" i="19" s="1"/>
  <c r="W107" i="19"/>
  <c r="W97" i="19"/>
  <c r="W99" i="19" s="1"/>
  <c r="W100" i="19" s="1"/>
  <c r="W7" i="19" s="1"/>
  <c r="R107" i="19"/>
  <c r="R108" i="19" s="1"/>
  <c r="O5" i="19"/>
  <c r="Q107" i="19"/>
  <c r="P107" i="19"/>
  <c r="AX23" i="19" s="1"/>
  <c r="Q97" i="19"/>
  <c r="Q99" i="19" s="1"/>
  <c r="Q100" i="19" s="1"/>
  <c r="Q7" i="19" s="1"/>
  <c r="O97" i="19"/>
  <c r="O99" i="19" s="1"/>
  <c r="O100" i="19" s="1"/>
  <c r="O7" i="19" s="1"/>
  <c r="AW19" i="19"/>
  <c r="AW22" i="19" s="1"/>
  <c r="AW24" i="19" s="1"/>
  <c r="N97" i="19"/>
  <c r="N99" i="19" s="1"/>
  <c r="AU22" i="19"/>
  <c r="M107" i="19"/>
  <c r="AU23" i="19" s="1"/>
  <c r="L107" i="19"/>
  <c r="L108" i="19" s="1"/>
  <c r="K107" i="19"/>
  <c r="K97" i="19"/>
  <c r="K99" i="19" s="1"/>
  <c r="K100" i="19" s="1"/>
  <c r="K7" i="19" s="1"/>
  <c r="J107" i="19"/>
  <c r="J108" i="19" s="1"/>
  <c r="I5" i="19"/>
  <c r="I107" i="19"/>
  <c r="AS23" i="19" s="1"/>
  <c r="H97" i="19"/>
  <c r="H99" i="19" s="1"/>
  <c r="H107" i="19"/>
  <c r="H108" i="19" s="1"/>
  <c r="I97" i="19"/>
  <c r="I99" i="19" s="1"/>
  <c r="F5" i="19"/>
  <c r="G107" i="19"/>
  <c r="AR23" i="19" s="1"/>
  <c r="E107" i="19"/>
  <c r="AP23" i="19" s="1"/>
  <c r="AP19" i="19"/>
  <c r="AP22" i="19" s="1"/>
  <c r="F97" i="19"/>
  <c r="F99" i="19" s="1"/>
  <c r="G97" i="19"/>
  <c r="G99" i="19" s="1"/>
  <c r="G100" i="19" s="1"/>
  <c r="G7" i="19" s="1"/>
  <c r="AR22" i="19"/>
  <c r="AR24" i="19" s="1"/>
  <c r="AQ16" i="19"/>
  <c r="AT16" i="19"/>
  <c r="AT22" i="19" s="1"/>
  <c r="AH62" i="19"/>
  <c r="D107" i="19"/>
  <c r="AO23" i="19" s="1"/>
  <c r="AO19" i="19"/>
  <c r="C107" i="19"/>
  <c r="AN23" i="19" s="1"/>
  <c r="B5" i="19"/>
  <c r="C108" i="19"/>
  <c r="C97" i="19"/>
  <c r="C99" i="19" s="1"/>
  <c r="C100" i="19" s="1"/>
  <c r="C7" i="19" s="1"/>
  <c r="AN16" i="19"/>
  <c r="AN22" i="19" s="1"/>
  <c r="AN24" i="19" s="1"/>
  <c r="AI103" i="19"/>
  <c r="AH104" i="19"/>
  <c r="AM17" i="19"/>
  <c r="AI76" i="19"/>
  <c r="AO22" i="19"/>
  <c r="AO24" i="19" s="1"/>
  <c r="BG84" i="19" a="1"/>
  <c r="AZ75" i="19"/>
  <c r="P97" i="19"/>
  <c r="P99" i="19" s="1"/>
  <c r="P100" i="19" s="1"/>
  <c r="P7" i="19" s="1"/>
  <c r="AX16" i="19"/>
  <c r="AX22" i="19" s="1"/>
  <c r="F107" i="19"/>
  <c r="AQ23" i="19" s="1"/>
  <c r="N107" i="19"/>
  <c r="AV23" i="19" s="1"/>
  <c r="AD107" i="19"/>
  <c r="D258" i="19"/>
  <c r="AL13" i="19"/>
  <c r="AI58" i="19"/>
  <c r="AH80" i="19"/>
  <c r="G246" i="19"/>
  <c r="D118" i="19"/>
  <c r="E251" i="19"/>
  <c r="AV19" i="19"/>
  <c r="AI80" i="19"/>
  <c r="G108" i="19"/>
  <c r="O108" i="19"/>
  <c r="W108" i="19"/>
  <c r="AE108" i="19"/>
  <c r="AG97" i="19"/>
  <c r="E252" i="19"/>
  <c r="Q108" i="19"/>
  <c r="AG99" i="19"/>
  <c r="R97" i="19"/>
  <c r="R99" i="19" s="1"/>
  <c r="R100" i="19" s="1"/>
  <c r="R7" i="19" s="1"/>
  <c r="AI92" i="19"/>
  <c r="AH92" i="19"/>
  <c r="J97" i="19"/>
  <c r="J99" i="19" s="1"/>
  <c r="J100" i="19" s="1"/>
  <c r="J7" i="19" s="1"/>
  <c r="AH58" i="19"/>
  <c r="AI62" i="19"/>
  <c r="AI101" i="19"/>
  <c r="AH102" i="19"/>
  <c r="AQ19" i="19"/>
  <c r="AQ22" i="19" s="1"/>
  <c r="AQ24" i="19" s="1"/>
  <c r="B97" i="19"/>
  <c r="Z97" i="19"/>
  <c r="Z99" i="19" s="1"/>
  <c r="Z100" i="19" s="1"/>
  <c r="Z7" i="19" s="1"/>
  <c r="AM16" i="19"/>
  <c r="AM22" i="19" s="1"/>
  <c r="AS19" i="19"/>
  <c r="AS22" i="19" s="1"/>
  <c r="AS24" i="19" s="1"/>
  <c r="D97" i="19"/>
  <c r="D99" i="19" s="1"/>
  <c r="L97" i="19"/>
  <c r="L99" i="19" s="1"/>
  <c r="L100" i="19" s="1"/>
  <c r="L7" i="19" s="1"/>
  <c r="T7" i="19"/>
  <c r="AB97" i="19"/>
  <c r="AB99" i="19" s="1"/>
  <c r="AB100" i="19" s="1"/>
  <c r="AB7" i="19" s="1"/>
  <c r="AH76" i="19"/>
  <c r="B107" i="19"/>
  <c r="AH101" i="19"/>
  <c r="AI102" i="19"/>
  <c r="AH103" i="19"/>
  <c r="AI104" i="19"/>
  <c r="AI105" i="19"/>
  <c r="D252" i="19"/>
  <c r="AV16" i="19"/>
  <c r="E97" i="19"/>
  <c r="E99" i="19" s="1"/>
  <c r="M99" i="19"/>
  <c r="M100" i="19" s="1"/>
  <c r="M7" i="19" s="1"/>
  <c r="U7" i="19"/>
  <c r="AC97" i="19"/>
  <c r="AC99" i="19" s="1"/>
  <c r="AC100" i="19" s="1"/>
  <c r="AC7" i="19" s="1"/>
  <c r="M108" i="19"/>
  <c r="AC108" i="19"/>
  <c r="AH105" i="19"/>
  <c r="O246" i="20" l="1"/>
  <c r="N252" i="20"/>
  <c r="N118" i="20"/>
  <c r="AE100" i="19"/>
  <c r="AE7" i="19" s="1"/>
  <c r="AD100" i="19"/>
  <c r="AD7" i="19" s="1"/>
  <c r="AA100" i="19"/>
  <c r="AA7" i="19" s="1"/>
  <c r="AX24" i="19"/>
  <c r="P108" i="19"/>
  <c r="AV22" i="19"/>
  <c r="AV24" i="19" s="1"/>
  <c r="AU24" i="19"/>
  <c r="K108" i="19"/>
  <c r="AT23" i="19"/>
  <c r="AT24" i="19" s="1"/>
  <c r="I108" i="19"/>
  <c r="I100" i="19"/>
  <c r="I7" i="19" s="1"/>
  <c r="H100" i="19"/>
  <c r="H7" i="19" s="1"/>
  <c r="AP24" i="19"/>
  <c r="E100" i="19"/>
  <c r="E7" i="19" s="1"/>
  <c r="E108" i="19"/>
  <c r="C256" i="19"/>
  <c r="D108" i="19"/>
  <c r="D100" i="19"/>
  <c r="D7" i="19" s="1"/>
  <c r="AI107" i="19"/>
  <c r="AH107" i="19"/>
  <c r="AM23" i="19"/>
  <c r="AM24" i="19" s="1"/>
  <c r="B99" i="19"/>
  <c r="AH97" i="19"/>
  <c r="AI97" i="19"/>
  <c r="B108" i="19"/>
  <c r="V7" i="19"/>
  <c r="BI107" i="19"/>
  <c r="BG106" i="19"/>
  <c r="BK104" i="19"/>
  <c r="BI103" i="19"/>
  <c r="BG102" i="19"/>
  <c r="BK100" i="19"/>
  <c r="BI99" i="19"/>
  <c r="BG98" i="19"/>
  <c r="BK96" i="19"/>
  <c r="BI95" i="19"/>
  <c r="BG94" i="19"/>
  <c r="BK92" i="19"/>
  <c r="BI91" i="19"/>
  <c r="BG90" i="19"/>
  <c r="BK88" i="19"/>
  <c r="BI87" i="19"/>
  <c r="BG86" i="19"/>
  <c r="BK84" i="19"/>
  <c r="BH107" i="19"/>
  <c r="BL105" i="19"/>
  <c r="BJ104" i="19"/>
  <c r="BH103" i="19"/>
  <c r="BL101" i="19"/>
  <c r="BJ100" i="19"/>
  <c r="BH99" i="19"/>
  <c r="BL97" i="19"/>
  <c r="BJ96" i="19"/>
  <c r="BH95" i="19"/>
  <c r="BL93" i="19"/>
  <c r="BJ92" i="19"/>
  <c r="BH91" i="19"/>
  <c r="BL89" i="19"/>
  <c r="BJ88" i="19"/>
  <c r="BH87" i="19"/>
  <c r="BL85" i="19"/>
  <c r="BJ84" i="19"/>
  <c r="BL107" i="19"/>
  <c r="BJ106" i="19"/>
  <c r="BH105" i="19"/>
  <c r="BL103" i="19"/>
  <c r="BJ102" i="19"/>
  <c r="BH101" i="19"/>
  <c r="BL99" i="19"/>
  <c r="BJ98" i="19"/>
  <c r="BH97" i="19"/>
  <c r="BL95" i="19"/>
  <c r="BJ94" i="19"/>
  <c r="BH93" i="19"/>
  <c r="BL91" i="19"/>
  <c r="BJ90" i="19"/>
  <c r="BH89" i="19"/>
  <c r="BL87" i="19"/>
  <c r="BJ86" i="19"/>
  <c r="BH85" i="19"/>
  <c r="BH106" i="19"/>
  <c r="BG104" i="19"/>
  <c r="BK101" i="19"/>
  <c r="BK99" i="19"/>
  <c r="BJ97" i="19"/>
  <c r="BJ95" i="19"/>
  <c r="BI93" i="19"/>
  <c r="BG91" i="19"/>
  <c r="BG89" i="19"/>
  <c r="BL86" i="19"/>
  <c r="BL84" i="19"/>
  <c r="BK105" i="19"/>
  <c r="BK103" i="19"/>
  <c r="BJ101" i="19"/>
  <c r="BJ99" i="19"/>
  <c r="BI97" i="19"/>
  <c r="BG95" i="19"/>
  <c r="BG93" i="19"/>
  <c r="BL90" i="19"/>
  <c r="BL88" i="19"/>
  <c r="BK86" i="19"/>
  <c r="BI84" i="19"/>
  <c r="BK107" i="19"/>
  <c r="BJ105" i="19"/>
  <c r="BJ103" i="19"/>
  <c r="BI101" i="19"/>
  <c r="BG99" i="19"/>
  <c r="BG97" i="19"/>
  <c r="BL94" i="19"/>
  <c r="BL92" i="19"/>
  <c r="BK90" i="19"/>
  <c r="BI88" i="19"/>
  <c r="BI86" i="19"/>
  <c r="BH84" i="19"/>
  <c r="BJ107" i="19"/>
  <c r="BI105" i="19"/>
  <c r="BG103" i="19"/>
  <c r="BG101" i="19"/>
  <c r="BL98" i="19"/>
  <c r="BL96" i="19"/>
  <c r="BK94" i="19"/>
  <c r="BI92" i="19"/>
  <c r="BI90" i="19"/>
  <c r="BH88" i="19"/>
  <c r="BH86" i="19"/>
  <c r="BG84" i="19"/>
  <c r="BG107" i="19"/>
  <c r="BG105" i="19"/>
  <c r="BL102" i="19"/>
  <c r="BL100" i="19"/>
  <c r="BK98" i="19"/>
  <c r="BI96" i="19"/>
  <c r="BI94" i="19"/>
  <c r="BH92" i="19"/>
  <c r="BH90" i="19"/>
  <c r="BG88" i="19"/>
  <c r="BK85" i="19"/>
  <c r="BK106" i="19"/>
  <c r="BI104" i="19"/>
  <c r="BI102" i="19"/>
  <c r="BH100" i="19"/>
  <c r="BH98" i="19"/>
  <c r="BG96" i="19"/>
  <c r="BK93" i="19"/>
  <c r="BK91" i="19"/>
  <c r="BJ89" i="19"/>
  <c r="BJ87" i="19"/>
  <c r="BI85" i="19"/>
  <c r="BI106" i="19"/>
  <c r="BH104" i="19"/>
  <c r="BH102" i="19"/>
  <c r="BG100" i="19"/>
  <c r="BK97" i="19"/>
  <c r="BK95" i="19"/>
  <c r="BJ93" i="19"/>
  <c r="BJ91" i="19"/>
  <c r="BI89" i="19"/>
  <c r="BG87" i="19"/>
  <c r="BG85" i="19"/>
  <c r="BL104" i="19"/>
  <c r="BK87" i="19"/>
  <c r="BK102" i="19"/>
  <c r="BJ85" i="19"/>
  <c r="BI100" i="19"/>
  <c r="BI98" i="19"/>
  <c r="BH96" i="19"/>
  <c r="BH94" i="19"/>
  <c r="BK89" i="19"/>
  <c r="BG92" i="19"/>
  <c r="BL106" i="19"/>
  <c r="H246" i="19"/>
  <c r="N100" i="19"/>
  <c r="N7" i="19" s="1"/>
  <c r="AD108" i="19"/>
  <c r="F100" i="19"/>
  <c r="F7" i="19" s="1"/>
  <c r="N108" i="19"/>
  <c r="B256" i="19"/>
  <c r="AT8" i="19"/>
  <c r="F251" i="19"/>
  <c r="E118" i="19"/>
  <c r="F108" i="19"/>
  <c r="P246" i="20" l="1"/>
  <c r="O118" i="20"/>
  <c r="O252" i="20"/>
  <c r="AT9" i="19"/>
  <c r="K6" i="19"/>
  <c r="G251" i="19"/>
  <c r="F118" i="19"/>
  <c r="F252" i="19"/>
  <c r="AH99" i="19"/>
  <c r="B100" i="19"/>
  <c r="AI99" i="19"/>
  <c r="AI108" i="19"/>
  <c r="AH108" i="19"/>
  <c r="I246" i="19"/>
  <c r="Q246" i="20" l="1"/>
  <c r="P252" i="20"/>
  <c r="J246" i="19"/>
  <c r="AI100" i="19"/>
  <c r="B7" i="19"/>
  <c r="A7" i="19" s="1"/>
  <c r="AH100" i="19"/>
  <c r="H251" i="19"/>
  <c r="G118" i="19"/>
  <c r="G252" i="19"/>
  <c r="Q252" i="20" l="1"/>
  <c r="Q118" i="20"/>
  <c r="R246" i="20"/>
  <c r="I251" i="19"/>
  <c r="H252" i="19"/>
  <c r="H118" i="19"/>
  <c r="K246" i="19"/>
  <c r="R252" i="20" l="1"/>
  <c r="R118" i="20"/>
  <c r="S246" i="20"/>
  <c r="L246" i="19"/>
  <c r="J251" i="19"/>
  <c r="I118" i="19"/>
  <c r="I252" i="19"/>
  <c r="AA58" i="18"/>
  <c r="AA62" i="18"/>
  <c r="AA76" i="18"/>
  <c r="AA80" i="18"/>
  <c r="AA92" i="18"/>
  <c r="AA101" i="18"/>
  <c r="AA102" i="18"/>
  <c r="AA103" i="18"/>
  <c r="AA104" i="18"/>
  <c r="AA105" i="18"/>
  <c r="AA118" i="18"/>
  <c r="S252" i="20" l="1"/>
  <c r="S118" i="20"/>
  <c r="T246" i="20"/>
  <c r="K251" i="19"/>
  <c r="J252" i="19"/>
  <c r="J118" i="19"/>
  <c r="M246" i="19"/>
  <c r="AA107" i="18"/>
  <c r="AA97" i="18"/>
  <c r="AA99" i="18" s="1"/>
  <c r="AA100" i="18" s="1"/>
  <c r="AA108" i="18"/>
  <c r="Z58" i="18"/>
  <c r="Z62" i="18"/>
  <c r="Z76" i="18"/>
  <c r="Z80" i="18"/>
  <c r="Z92" i="18"/>
  <c r="Z101" i="18"/>
  <c r="Z102" i="18"/>
  <c r="Z103" i="18"/>
  <c r="Z104" i="18"/>
  <c r="Z105" i="18"/>
  <c r="Z118" i="18"/>
  <c r="Y58" i="18"/>
  <c r="Y62" i="18"/>
  <c r="Y76" i="18"/>
  <c r="Y80" i="18"/>
  <c r="Y92" i="18"/>
  <c r="Y101" i="18"/>
  <c r="Y107" i="18" s="1"/>
  <c r="Y102" i="18"/>
  <c r="Y103" i="18"/>
  <c r="Y104" i="18"/>
  <c r="Y105" i="18"/>
  <c r="Y118" i="18"/>
  <c r="T252" i="20" l="1"/>
  <c r="T118" i="20"/>
  <c r="U246" i="20"/>
  <c r="N246" i="19"/>
  <c r="L251" i="19"/>
  <c r="K252" i="19"/>
  <c r="K118" i="19"/>
  <c r="Z107" i="18"/>
  <c r="Z108" i="18" s="1"/>
  <c r="Z97" i="18"/>
  <c r="Z99" i="18" s="1"/>
  <c r="Z100" i="18" s="1"/>
  <c r="Y97" i="18"/>
  <c r="Y99" i="18" s="1"/>
  <c r="Y100" i="18" s="1"/>
  <c r="Y108" i="18"/>
  <c r="U118" i="20" l="1"/>
  <c r="V246" i="20"/>
  <c r="U252" i="20"/>
  <c r="M251" i="19"/>
  <c r="L118" i="19"/>
  <c r="L252" i="19"/>
  <c r="O246" i="19"/>
  <c r="X58" i="18"/>
  <c r="X62" i="18"/>
  <c r="X76" i="18"/>
  <c r="X80" i="18"/>
  <c r="X92" i="18"/>
  <c r="X101" i="18"/>
  <c r="X102" i="18"/>
  <c r="X103" i="18"/>
  <c r="X104" i="18"/>
  <c r="X105" i="18"/>
  <c r="X118" i="18"/>
  <c r="W58" i="18"/>
  <c r="W62" i="18"/>
  <c r="W76" i="18"/>
  <c r="W80" i="18"/>
  <c r="W92" i="18"/>
  <c r="W101" i="18"/>
  <c r="W102" i="18"/>
  <c r="W103" i="18"/>
  <c r="W104" i="18"/>
  <c r="W105" i="18"/>
  <c r="W118" i="18"/>
  <c r="V58" i="18"/>
  <c r="V62" i="18"/>
  <c r="V76" i="18"/>
  <c r="V80" i="18"/>
  <c r="V92" i="18"/>
  <c r="V101" i="18"/>
  <c r="V107" i="18" s="1"/>
  <c r="V102" i="18"/>
  <c r="V103" i="18"/>
  <c r="V104" i="18"/>
  <c r="V105" i="18"/>
  <c r="V118" i="18"/>
  <c r="U58" i="18"/>
  <c r="U62" i="18"/>
  <c r="U76" i="18"/>
  <c r="U80" i="18"/>
  <c r="U92" i="18"/>
  <c r="U101" i="18"/>
  <c r="U107" i="18" s="1"/>
  <c r="U102" i="18"/>
  <c r="U103" i="18"/>
  <c r="U104" i="18"/>
  <c r="U105" i="18"/>
  <c r="U118" i="18"/>
  <c r="T58" i="18"/>
  <c r="T62" i="18"/>
  <c r="T76" i="18"/>
  <c r="T80" i="18"/>
  <c r="T92" i="18"/>
  <c r="T101" i="18"/>
  <c r="T107" i="18" s="1"/>
  <c r="T102" i="18"/>
  <c r="T103" i="18"/>
  <c r="T104" i="18"/>
  <c r="T105" i="18"/>
  <c r="T118" i="18"/>
  <c r="S58" i="18"/>
  <c r="S62" i="18"/>
  <c r="S76" i="18"/>
  <c r="S80" i="18"/>
  <c r="S92" i="18"/>
  <c r="S101" i="18"/>
  <c r="S107" i="18" s="1"/>
  <c r="S108" i="18" s="1"/>
  <c r="S102" i="18"/>
  <c r="S103" i="18"/>
  <c r="S104" i="18"/>
  <c r="S105" i="18"/>
  <c r="S118" i="18"/>
  <c r="W246" i="20" l="1"/>
  <c r="V252" i="20"/>
  <c r="V118" i="20"/>
  <c r="P246" i="19"/>
  <c r="N251" i="19"/>
  <c r="M118" i="19"/>
  <c r="M252" i="19"/>
  <c r="X97" i="18"/>
  <c r="X99" i="18" s="1"/>
  <c r="X107" i="18"/>
  <c r="X108" i="18" s="1"/>
  <c r="W97" i="18"/>
  <c r="W99" i="18" s="1"/>
  <c r="W107" i="18"/>
  <c r="W108" i="18" s="1"/>
  <c r="V108" i="18"/>
  <c r="V97" i="18"/>
  <c r="V99" i="18" s="1"/>
  <c r="V100" i="18" s="1"/>
  <c r="U108" i="18"/>
  <c r="U97" i="18"/>
  <c r="U99" i="18" s="1"/>
  <c r="U100" i="18" s="1"/>
  <c r="T108" i="18"/>
  <c r="T97" i="18"/>
  <c r="T99" i="18" s="1"/>
  <c r="T100" i="18" s="1"/>
  <c r="S97" i="18"/>
  <c r="S99" i="18" s="1"/>
  <c r="S100" i="18" s="1"/>
  <c r="X246" i="20" l="1"/>
  <c r="W118" i="20"/>
  <c r="W252" i="20"/>
  <c r="O251" i="19"/>
  <c r="N118" i="19"/>
  <c r="N252" i="19"/>
  <c r="Q246" i="19"/>
  <c r="X100" i="18"/>
  <c r="W100" i="18"/>
  <c r="Q123" i="18"/>
  <c r="Q57" i="18"/>
  <c r="P121" i="18"/>
  <c r="P57" i="18"/>
  <c r="O121" i="18"/>
  <c r="O57" i="18"/>
  <c r="Y246" i="20" l="1"/>
  <c r="X252" i="20"/>
  <c r="X118" i="20"/>
  <c r="R246" i="19"/>
  <c r="P251" i="19"/>
  <c r="O252" i="19"/>
  <c r="O118" i="19"/>
  <c r="N121" i="18"/>
  <c r="N57" i="18"/>
  <c r="Y252" i="20" l="1"/>
  <c r="Z246" i="20"/>
  <c r="Q251" i="19"/>
  <c r="P252" i="19"/>
  <c r="S246" i="19"/>
  <c r="Z252" i="20" l="1"/>
  <c r="AA246" i="20"/>
  <c r="T246" i="19"/>
  <c r="R251" i="19"/>
  <c r="Q118" i="19"/>
  <c r="Q252" i="19"/>
  <c r="C108" i="18"/>
  <c r="C58" i="18"/>
  <c r="C62" i="18"/>
  <c r="C76" i="18"/>
  <c r="C80" i="18"/>
  <c r="C92" i="18"/>
  <c r="C101" i="18"/>
  <c r="C102" i="18"/>
  <c r="C103" i="18"/>
  <c r="C104" i="18"/>
  <c r="C105" i="18"/>
  <c r="C118" i="18"/>
  <c r="AA252" i="20" l="1"/>
  <c r="AA118" i="20"/>
  <c r="AB246" i="20"/>
  <c r="S251" i="19"/>
  <c r="R252" i="19"/>
  <c r="R118" i="19"/>
  <c r="U246" i="19"/>
  <c r="C107" i="18"/>
  <c r="C97" i="18"/>
  <c r="C99" i="18" s="1"/>
  <c r="C100" i="18" s="1"/>
  <c r="C7" i="18" s="1"/>
  <c r="AH125" i="18"/>
  <c r="AI125" i="18"/>
  <c r="AH124" i="18"/>
  <c r="AI124" i="18"/>
  <c r="B92" i="18"/>
  <c r="B80" i="18"/>
  <c r="B76" i="18"/>
  <c r="B62" i="18"/>
  <c r="B58" i="18"/>
  <c r="AG252" i="18"/>
  <c r="C252" i="18"/>
  <c r="D251" i="18"/>
  <c r="E251" i="18" s="1"/>
  <c r="F251" i="18" s="1"/>
  <c r="G251" i="18" s="1"/>
  <c r="H251" i="18" s="1"/>
  <c r="I251" i="18" s="1"/>
  <c r="J251" i="18" s="1"/>
  <c r="K251" i="18" s="1"/>
  <c r="L251" i="18" s="1"/>
  <c r="M251" i="18" s="1"/>
  <c r="N251" i="18" s="1"/>
  <c r="O251" i="18" s="1"/>
  <c r="P251" i="18" s="1"/>
  <c r="Q251" i="18" s="1"/>
  <c r="R251" i="18" s="1"/>
  <c r="S251" i="18" s="1"/>
  <c r="T251" i="18" s="1"/>
  <c r="U251" i="18" s="1"/>
  <c r="V251" i="18" s="1"/>
  <c r="W251" i="18" s="1"/>
  <c r="X251" i="18" s="1"/>
  <c r="Y251" i="18" s="1"/>
  <c r="Z251" i="18" s="1"/>
  <c r="AA251" i="18" s="1"/>
  <c r="AB251" i="18" s="1"/>
  <c r="AC251" i="18" s="1"/>
  <c r="AD251" i="18" s="1"/>
  <c r="AE251" i="18" s="1"/>
  <c r="AF251" i="18" s="1"/>
  <c r="B251" i="18" s="1"/>
  <c r="D250" i="18"/>
  <c r="E250" i="18" s="1"/>
  <c r="F250" i="18" s="1"/>
  <c r="G250" i="18" s="1"/>
  <c r="H250" i="18" s="1"/>
  <c r="I250" i="18" s="1"/>
  <c r="J250" i="18" s="1"/>
  <c r="K250" i="18" s="1"/>
  <c r="L250" i="18" s="1"/>
  <c r="M250" i="18" s="1"/>
  <c r="N250" i="18" s="1"/>
  <c r="O250" i="18" s="1"/>
  <c r="P250" i="18" s="1"/>
  <c r="Q250" i="18" s="1"/>
  <c r="R250" i="18" s="1"/>
  <c r="S250" i="18" s="1"/>
  <c r="T250" i="18" s="1"/>
  <c r="U250" i="18" s="1"/>
  <c r="V250" i="18" s="1"/>
  <c r="W250" i="18" s="1"/>
  <c r="X250" i="18" s="1"/>
  <c r="Y250" i="18" s="1"/>
  <c r="Z250" i="18" s="1"/>
  <c r="AA250" i="18" s="1"/>
  <c r="AB250" i="18" s="1"/>
  <c r="AC250" i="18" s="1"/>
  <c r="AD250" i="18" s="1"/>
  <c r="AE250" i="18" s="1"/>
  <c r="AF250" i="18" s="1"/>
  <c r="B250" i="18" s="1"/>
  <c r="H249" i="18"/>
  <c r="I249" i="18" s="1"/>
  <c r="J249" i="18" s="1"/>
  <c r="K249" i="18" s="1"/>
  <c r="L249" i="18" s="1"/>
  <c r="M249" i="18" s="1"/>
  <c r="N249" i="18" s="1"/>
  <c r="O249" i="18" s="1"/>
  <c r="P249" i="18" s="1"/>
  <c r="Q249" i="18" s="1"/>
  <c r="R249" i="18" s="1"/>
  <c r="S249" i="18" s="1"/>
  <c r="T249" i="18" s="1"/>
  <c r="U249" i="18" s="1"/>
  <c r="V249" i="18" s="1"/>
  <c r="W249" i="18" s="1"/>
  <c r="X249" i="18" s="1"/>
  <c r="Y249" i="18" s="1"/>
  <c r="Z249" i="18" s="1"/>
  <c r="AA249" i="18" s="1"/>
  <c r="AB249" i="18" s="1"/>
  <c r="AC249" i="18" s="1"/>
  <c r="AD249" i="18" s="1"/>
  <c r="AE249" i="18" s="1"/>
  <c r="AF249" i="18" s="1"/>
  <c r="B249" i="18" s="1"/>
  <c r="D249" i="18"/>
  <c r="E249" i="18" s="1"/>
  <c r="F249" i="18" s="1"/>
  <c r="G249" i="18" s="1"/>
  <c r="D248" i="18"/>
  <c r="E248" i="18" s="1"/>
  <c r="F248" i="18" s="1"/>
  <c r="G248" i="18" s="1"/>
  <c r="H248" i="18" s="1"/>
  <c r="I248" i="18" s="1"/>
  <c r="J248" i="18" s="1"/>
  <c r="K248" i="18" s="1"/>
  <c r="L248" i="18" s="1"/>
  <c r="M248" i="18" s="1"/>
  <c r="N248" i="18" s="1"/>
  <c r="O248" i="18" s="1"/>
  <c r="P248" i="18" s="1"/>
  <c r="Q248" i="18" s="1"/>
  <c r="R248" i="18" s="1"/>
  <c r="S248" i="18" s="1"/>
  <c r="T248" i="18" s="1"/>
  <c r="U248" i="18" s="1"/>
  <c r="V248" i="18" s="1"/>
  <c r="W248" i="18" s="1"/>
  <c r="X248" i="18" s="1"/>
  <c r="Y248" i="18" s="1"/>
  <c r="Z248" i="18" s="1"/>
  <c r="AA248" i="18" s="1"/>
  <c r="AB248" i="18" s="1"/>
  <c r="AC248" i="18" s="1"/>
  <c r="AD248" i="18" s="1"/>
  <c r="AE248" i="18" s="1"/>
  <c r="AF248" i="18" s="1"/>
  <c r="B248" i="18" s="1"/>
  <c r="D247" i="18"/>
  <c r="E247" i="18" s="1"/>
  <c r="F247" i="18" s="1"/>
  <c r="G247" i="18" s="1"/>
  <c r="H247" i="18" s="1"/>
  <c r="I247" i="18" s="1"/>
  <c r="J247" i="18" s="1"/>
  <c r="K247" i="18" s="1"/>
  <c r="L247" i="18" s="1"/>
  <c r="M247" i="18" s="1"/>
  <c r="N247" i="18" s="1"/>
  <c r="O247" i="18" s="1"/>
  <c r="P247" i="18" s="1"/>
  <c r="Q247" i="18" s="1"/>
  <c r="R247" i="18" s="1"/>
  <c r="S247" i="18" s="1"/>
  <c r="T247" i="18" s="1"/>
  <c r="U247" i="18" s="1"/>
  <c r="V247" i="18" s="1"/>
  <c r="W247" i="18" s="1"/>
  <c r="X247" i="18" s="1"/>
  <c r="Y247" i="18" s="1"/>
  <c r="Z247" i="18" s="1"/>
  <c r="AA247" i="18" s="1"/>
  <c r="AB247" i="18" s="1"/>
  <c r="AC247" i="18" s="1"/>
  <c r="AD247" i="18" s="1"/>
  <c r="AE247" i="18" s="1"/>
  <c r="AF247" i="18" s="1"/>
  <c r="B247" i="18" s="1"/>
  <c r="D246" i="18"/>
  <c r="D252" i="18" s="1"/>
  <c r="AG244" i="18"/>
  <c r="AF244" i="18"/>
  <c r="AE244" i="18"/>
  <c r="AD244" i="18"/>
  <c r="AC244" i="18"/>
  <c r="AB244" i="18"/>
  <c r="AA244" i="18"/>
  <c r="Z244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AI130" i="18"/>
  <c r="AH130" i="18"/>
  <c r="AI129" i="18"/>
  <c r="AH129" i="18"/>
  <c r="AI128" i="18"/>
  <c r="AH128" i="18"/>
  <c r="AI127" i="18"/>
  <c r="AH127" i="18"/>
  <c r="AI126" i="18"/>
  <c r="AH126" i="18"/>
  <c r="AI123" i="18"/>
  <c r="AH123" i="18"/>
  <c r="AI122" i="18"/>
  <c r="AH122" i="18"/>
  <c r="AI121" i="18"/>
  <c r="AH121" i="18"/>
  <c r="AI120" i="18"/>
  <c r="AH120" i="18"/>
  <c r="AI119" i="18"/>
  <c r="AH119" i="18"/>
  <c r="AI117" i="18"/>
  <c r="AH117" i="18"/>
  <c r="AI116" i="18"/>
  <c r="AH116" i="18"/>
  <c r="AI115" i="18"/>
  <c r="AH115" i="18"/>
  <c r="AI114" i="18"/>
  <c r="AH114" i="18"/>
  <c r="AI113" i="18"/>
  <c r="AH113" i="18"/>
  <c r="AI112" i="18"/>
  <c r="AH112" i="18"/>
  <c r="AI111" i="18"/>
  <c r="AH111" i="18"/>
  <c r="AI110" i="18"/>
  <c r="AH110" i="18"/>
  <c r="AI109" i="18"/>
  <c r="AH109" i="18"/>
  <c r="AI106" i="18"/>
  <c r="AH106" i="18"/>
  <c r="AF105" i="18"/>
  <c r="AE105" i="18"/>
  <c r="AD105" i="18"/>
  <c r="AC105" i="18"/>
  <c r="AB105" i="18"/>
  <c r="R105" i="18"/>
  <c r="Q105" i="18"/>
  <c r="P105" i="18"/>
  <c r="O105" i="18"/>
  <c r="N105" i="18"/>
  <c r="M105" i="18"/>
  <c r="L105" i="18"/>
  <c r="K105" i="18"/>
  <c r="K107" i="18" s="1"/>
  <c r="AT23" i="18" s="1"/>
  <c r="J105" i="18"/>
  <c r="I105" i="18"/>
  <c r="H105" i="18"/>
  <c r="G105" i="18"/>
  <c r="F105" i="18"/>
  <c r="E105" i="18"/>
  <c r="D105" i="18"/>
  <c r="B105" i="18"/>
  <c r="AF104" i="18"/>
  <c r="AE104" i="18"/>
  <c r="AD104" i="18"/>
  <c r="AC104" i="18"/>
  <c r="AB104" i="18"/>
  <c r="R104" i="18"/>
  <c r="Q104" i="18"/>
  <c r="P104" i="18"/>
  <c r="O104" i="18"/>
  <c r="N104" i="18"/>
  <c r="M104" i="18"/>
  <c r="L104" i="18"/>
  <c r="K104" i="18"/>
  <c r="J104" i="18"/>
  <c r="I104" i="18"/>
  <c r="I107" i="18" s="1"/>
  <c r="AS23" i="18" s="1"/>
  <c r="H104" i="18"/>
  <c r="G104" i="18"/>
  <c r="F104" i="18"/>
  <c r="E104" i="18"/>
  <c r="D104" i="18"/>
  <c r="B104" i="18"/>
  <c r="AF103" i="18"/>
  <c r="AE103" i="18"/>
  <c r="AD103" i="18"/>
  <c r="AC103" i="18"/>
  <c r="AB103" i="18"/>
  <c r="R103" i="18"/>
  <c r="Q103" i="18"/>
  <c r="P103" i="18"/>
  <c r="O103" i="18"/>
  <c r="N103" i="18"/>
  <c r="M103" i="18"/>
  <c r="L103" i="18"/>
  <c r="K103" i="18"/>
  <c r="J103" i="18"/>
  <c r="I103" i="18"/>
  <c r="H103" i="18"/>
  <c r="G103" i="18"/>
  <c r="F103" i="18"/>
  <c r="E103" i="18"/>
  <c r="D103" i="18"/>
  <c r="B103" i="18"/>
  <c r="AF102" i="18"/>
  <c r="AE102" i="18"/>
  <c r="AD102" i="18"/>
  <c r="AC102" i="18"/>
  <c r="AB102" i="18"/>
  <c r="R102" i="18"/>
  <c r="Q102" i="18"/>
  <c r="P102" i="18"/>
  <c r="O102" i="18"/>
  <c r="N102" i="18"/>
  <c r="M102" i="18"/>
  <c r="L102" i="18"/>
  <c r="K102" i="18"/>
  <c r="J102" i="18"/>
  <c r="I102" i="18"/>
  <c r="H102" i="18"/>
  <c r="G102" i="18"/>
  <c r="F102" i="18"/>
  <c r="E102" i="18"/>
  <c r="D102" i="18"/>
  <c r="B102" i="18"/>
  <c r="AF101" i="18"/>
  <c r="AE101" i="18"/>
  <c r="AD101" i="18"/>
  <c r="AC101" i="18"/>
  <c r="AB101" i="18"/>
  <c r="R101" i="18"/>
  <c r="R107" i="18" s="1"/>
  <c r="Q101" i="18"/>
  <c r="P101" i="18"/>
  <c r="O101" i="18"/>
  <c r="N101" i="18"/>
  <c r="N107" i="18" s="1"/>
  <c r="AV23" i="18" s="1"/>
  <c r="M101" i="18"/>
  <c r="L101" i="18"/>
  <c r="K101" i="18"/>
  <c r="J101" i="18"/>
  <c r="J107" i="18" s="1"/>
  <c r="I101" i="18"/>
  <c r="H101" i="18"/>
  <c r="H107" i="18" s="1"/>
  <c r="G101" i="18"/>
  <c r="F101" i="18"/>
  <c r="F107" i="18" s="1"/>
  <c r="AQ23" i="18" s="1"/>
  <c r="E101" i="18"/>
  <c r="D101" i="18"/>
  <c r="B101" i="18"/>
  <c r="AI98" i="18"/>
  <c r="AH98" i="18"/>
  <c r="AI96" i="18"/>
  <c r="AH96" i="18"/>
  <c r="AG96" i="18"/>
  <c r="AI95" i="18"/>
  <c r="AH95" i="18"/>
  <c r="AI94" i="18"/>
  <c r="AH94" i="18"/>
  <c r="AI93" i="18"/>
  <c r="AH93" i="18"/>
  <c r="AG92" i="18"/>
  <c r="AF92" i="18"/>
  <c r="AE92" i="18"/>
  <c r="AD92" i="18"/>
  <c r="AC5" i="18" s="1"/>
  <c r="AC92" i="18"/>
  <c r="AB5" i="18" s="1"/>
  <c r="AB92" i="18"/>
  <c r="AA5" i="18" s="1"/>
  <c r="R92" i="18"/>
  <c r="R108" i="18" s="1"/>
  <c r="Q92" i="18"/>
  <c r="P92" i="18"/>
  <c r="O92" i="18"/>
  <c r="AW19" i="18" s="1"/>
  <c r="N92" i="18"/>
  <c r="AV19" i="18" s="1"/>
  <c r="M92" i="18"/>
  <c r="L5" i="18" s="1"/>
  <c r="L92" i="18"/>
  <c r="K5" i="18" s="1"/>
  <c r="K92" i="18"/>
  <c r="J92" i="18"/>
  <c r="I92" i="18"/>
  <c r="AS19" i="18" s="1"/>
  <c r="H92" i="18"/>
  <c r="G5" i="18" s="1"/>
  <c r="G92" i="18"/>
  <c r="AR19" i="18" s="1"/>
  <c r="F92" i="18"/>
  <c r="AQ19" i="18" s="1"/>
  <c r="E92" i="18"/>
  <c r="AP19" i="18" s="1"/>
  <c r="D92" i="18"/>
  <c r="AI91" i="18"/>
  <c r="AH91" i="18"/>
  <c r="AI90" i="18"/>
  <c r="AH90" i="18"/>
  <c r="AI89" i="18"/>
  <c r="AH89" i="18"/>
  <c r="AI88" i="18"/>
  <c r="AH88" i="18"/>
  <c r="AI87" i="18"/>
  <c r="AH87" i="18"/>
  <c r="AI86" i="18"/>
  <c r="AH86" i="18"/>
  <c r="AI85" i="18"/>
  <c r="AH85" i="18"/>
  <c r="AI84" i="18"/>
  <c r="AH84" i="18"/>
  <c r="AI83" i="18"/>
  <c r="AH83" i="18"/>
  <c r="AI82" i="18"/>
  <c r="AH82" i="18"/>
  <c r="AI81" i="18"/>
  <c r="AH81" i="18"/>
  <c r="AG80" i="18"/>
  <c r="AF80" i="18"/>
  <c r="AE80" i="18"/>
  <c r="AD80" i="18"/>
  <c r="AC80" i="18"/>
  <c r="AB80" i="18"/>
  <c r="R80" i="18"/>
  <c r="Q80" i="18"/>
  <c r="P80" i="18"/>
  <c r="O80" i="18"/>
  <c r="N80" i="18"/>
  <c r="M80" i="18"/>
  <c r="L80" i="18"/>
  <c r="K80" i="18"/>
  <c r="J80" i="18"/>
  <c r="I80" i="18"/>
  <c r="AS20" i="18" s="1"/>
  <c r="H80" i="18"/>
  <c r="G80" i="18"/>
  <c r="F80" i="18"/>
  <c r="AQ20" i="18" s="1"/>
  <c r="E80" i="18"/>
  <c r="AP20" i="18" s="1"/>
  <c r="D80" i="18"/>
  <c r="BJ79" i="18"/>
  <c r="BA79" i="18"/>
  <c r="AI79" i="18"/>
  <c r="AH79" i="18"/>
  <c r="BE78" i="18"/>
  <c r="BD78" i="18"/>
  <c r="AI78" i="18"/>
  <c r="AH78" i="18"/>
  <c r="AI77" i="18"/>
  <c r="AH77" i="18"/>
  <c r="BQ76" i="18"/>
  <c r="BG76" i="18"/>
  <c r="BE76" i="18"/>
  <c r="AG76" i="18"/>
  <c r="AG3" i="18" s="1"/>
  <c r="AF76" i="18"/>
  <c r="AE76" i="18"/>
  <c r="AD76" i="18"/>
  <c r="AC76" i="18"/>
  <c r="AB76" i="18"/>
  <c r="R76" i="18"/>
  <c r="Q76" i="18"/>
  <c r="P76" i="18"/>
  <c r="O76" i="18"/>
  <c r="AW18" i="18" s="1"/>
  <c r="N76" i="18"/>
  <c r="M76" i="18"/>
  <c r="AU18" i="18" s="1"/>
  <c r="L76" i="18"/>
  <c r="K76" i="18"/>
  <c r="AT18" i="18" s="1"/>
  <c r="J76" i="18"/>
  <c r="I76" i="18"/>
  <c r="H76" i="18"/>
  <c r="G76" i="18"/>
  <c r="F76" i="18"/>
  <c r="AQ18" i="18" s="1"/>
  <c r="E76" i="18"/>
  <c r="D76" i="18"/>
  <c r="BO75" i="18"/>
  <c r="BM75" i="18"/>
  <c r="BA75" i="18"/>
  <c r="AI75" i="18"/>
  <c r="AH75" i="18"/>
  <c r="AG75" i="18"/>
  <c r="AI74" i="18"/>
  <c r="AH74" i="18"/>
  <c r="BW73" i="18"/>
  <c r="BW80" i="18" s="1"/>
  <c r="BV73" i="18"/>
  <c r="BV80" i="18" s="1"/>
  <c r="BU73" i="18"/>
  <c r="BU80" i="18" s="1"/>
  <c r="BT73" i="18"/>
  <c r="BT80" i="18" s="1"/>
  <c r="BS73" i="18"/>
  <c r="BS80" i="18" s="1"/>
  <c r="BR73" i="18"/>
  <c r="BR80" i="18" s="1"/>
  <c r="BQ73" i="18"/>
  <c r="BQ80" i="18" s="1"/>
  <c r="BP73" i="18"/>
  <c r="BP80" i="18" s="1"/>
  <c r="BO73" i="18"/>
  <c r="BO80" i="18" s="1"/>
  <c r="BN73" i="18"/>
  <c r="BN80" i="18" s="1"/>
  <c r="BM73" i="18"/>
  <c r="BM80" i="18" s="1"/>
  <c r="BL73" i="18"/>
  <c r="BL80" i="18" s="1"/>
  <c r="BK73" i="18"/>
  <c r="BK80" i="18" s="1"/>
  <c r="BJ73" i="18"/>
  <c r="BJ80" i="18" s="1"/>
  <c r="BI73" i="18"/>
  <c r="BI80" i="18" s="1"/>
  <c r="BH73" i="18"/>
  <c r="BH80" i="18" s="1"/>
  <c r="BG73" i="18"/>
  <c r="BG80" i="18" s="1"/>
  <c r="BF73" i="18"/>
  <c r="BF80" i="18" s="1"/>
  <c r="BE73" i="18"/>
  <c r="BE80" i="18" s="1"/>
  <c r="BD73" i="18"/>
  <c r="BD80" i="18" s="1"/>
  <c r="BC73" i="18"/>
  <c r="BC80" i="18" s="1"/>
  <c r="BB73" i="18"/>
  <c r="BB80" i="18" s="1"/>
  <c r="BA73" i="18"/>
  <c r="BA80" i="18" s="1"/>
  <c r="AZ73" i="18"/>
  <c r="AZ80" i="18" s="1"/>
  <c r="AI73" i="18"/>
  <c r="AH73" i="18"/>
  <c r="BW72" i="18"/>
  <c r="BW79" i="18" s="1"/>
  <c r="BV72" i="18"/>
  <c r="BV79" i="18" s="1"/>
  <c r="BU72" i="18"/>
  <c r="BU79" i="18" s="1"/>
  <c r="BT72" i="18"/>
  <c r="BT79" i="18" s="1"/>
  <c r="BS72" i="18"/>
  <c r="BS79" i="18" s="1"/>
  <c r="BR72" i="18"/>
  <c r="BR79" i="18" s="1"/>
  <c r="BQ72" i="18"/>
  <c r="BQ79" i="18" s="1"/>
  <c r="BP72" i="18"/>
  <c r="BP79" i="18" s="1"/>
  <c r="BO72" i="18"/>
  <c r="BO79" i="18" s="1"/>
  <c r="BN72" i="18"/>
  <c r="BN79" i="18" s="1"/>
  <c r="BM72" i="18"/>
  <c r="BM79" i="18" s="1"/>
  <c r="BL72" i="18"/>
  <c r="BL79" i="18" s="1"/>
  <c r="BK72" i="18"/>
  <c r="BK79" i="18" s="1"/>
  <c r="BJ72" i="18"/>
  <c r="BI72" i="18"/>
  <c r="BI79" i="18" s="1"/>
  <c r="BH72" i="18"/>
  <c r="BH79" i="18" s="1"/>
  <c r="BG72" i="18"/>
  <c r="BG79" i="18" s="1"/>
  <c r="BF72" i="18"/>
  <c r="BF79" i="18" s="1"/>
  <c r="BE72" i="18"/>
  <c r="BE79" i="18" s="1"/>
  <c r="BD72" i="18"/>
  <c r="BD79" i="18" s="1"/>
  <c r="BC72" i="18"/>
  <c r="BC79" i="18" s="1"/>
  <c r="BB72" i="18"/>
  <c r="BB79" i="18" s="1"/>
  <c r="BA72" i="18"/>
  <c r="AZ72" i="18"/>
  <c r="AZ79" i="18" s="1"/>
  <c r="AI72" i="18"/>
  <c r="AH72" i="18"/>
  <c r="BW71" i="18"/>
  <c r="BW78" i="18" s="1"/>
  <c r="BV71" i="18"/>
  <c r="BV78" i="18" s="1"/>
  <c r="BU71" i="18"/>
  <c r="BU78" i="18" s="1"/>
  <c r="BT71" i="18"/>
  <c r="BT78" i="18" s="1"/>
  <c r="BS71" i="18"/>
  <c r="BS78" i="18" s="1"/>
  <c r="BR71" i="18"/>
  <c r="BR78" i="18" s="1"/>
  <c r="BQ71" i="18"/>
  <c r="BQ78" i="18" s="1"/>
  <c r="BP71" i="18"/>
  <c r="BP78" i="18" s="1"/>
  <c r="BO71" i="18"/>
  <c r="BO78" i="18" s="1"/>
  <c r="BN71" i="18"/>
  <c r="BN78" i="18" s="1"/>
  <c r="BM71" i="18"/>
  <c r="BM78" i="18" s="1"/>
  <c r="BL71" i="18"/>
  <c r="BL78" i="18" s="1"/>
  <c r="BK71" i="18"/>
  <c r="BK78" i="18" s="1"/>
  <c r="BJ71" i="18"/>
  <c r="BJ78" i="18" s="1"/>
  <c r="BI71" i="18"/>
  <c r="BI78" i="18" s="1"/>
  <c r="BH71" i="18"/>
  <c r="BH78" i="18" s="1"/>
  <c r="BG71" i="18"/>
  <c r="BG78" i="18" s="1"/>
  <c r="BF71" i="18"/>
  <c r="BF78" i="18" s="1"/>
  <c r="BE71" i="18"/>
  <c r="BD71" i="18"/>
  <c r="BC71" i="18"/>
  <c r="BC78" i="18" s="1"/>
  <c r="BB71" i="18"/>
  <c r="BB78" i="18" s="1"/>
  <c r="BA71" i="18"/>
  <c r="BA78" i="18" s="1"/>
  <c r="AZ71" i="18"/>
  <c r="AZ78" i="18" s="1"/>
  <c r="AI71" i="18"/>
  <c r="AH71" i="18"/>
  <c r="BW70" i="18"/>
  <c r="BW77" i="18" s="1"/>
  <c r="BV70" i="18"/>
  <c r="BV77" i="18" s="1"/>
  <c r="BU70" i="18"/>
  <c r="BU77" i="18" s="1"/>
  <c r="BT70" i="18"/>
  <c r="BT77" i="18" s="1"/>
  <c r="BS70" i="18"/>
  <c r="BS77" i="18" s="1"/>
  <c r="BR70" i="18"/>
  <c r="BR77" i="18" s="1"/>
  <c r="BQ70" i="18"/>
  <c r="BQ77" i="18" s="1"/>
  <c r="BP70" i="18"/>
  <c r="BP77" i="18" s="1"/>
  <c r="BO70" i="18"/>
  <c r="BO77" i="18" s="1"/>
  <c r="BN70" i="18"/>
  <c r="BN77" i="18" s="1"/>
  <c r="BM70" i="18"/>
  <c r="BM77" i="18" s="1"/>
  <c r="BL70" i="18"/>
  <c r="BL77" i="18" s="1"/>
  <c r="BK70" i="18"/>
  <c r="BK77" i="18" s="1"/>
  <c r="BJ70" i="18"/>
  <c r="BJ77" i="18" s="1"/>
  <c r="BI70" i="18"/>
  <c r="BI77" i="18" s="1"/>
  <c r="BH70" i="18"/>
  <c r="BH77" i="18" s="1"/>
  <c r="BG70" i="18"/>
  <c r="BG77" i="18" s="1"/>
  <c r="BF70" i="18"/>
  <c r="BF77" i="18" s="1"/>
  <c r="BE70" i="18"/>
  <c r="BE77" i="18" s="1"/>
  <c r="BD70" i="18"/>
  <c r="BD77" i="18" s="1"/>
  <c r="BC70" i="18"/>
  <c r="BC77" i="18" s="1"/>
  <c r="BB70" i="18"/>
  <c r="BB77" i="18" s="1"/>
  <c r="BA70" i="18"/>
  <c r="BA77" i="18" s="1"/>
  <c r="AZ70" i="18"/>
  <c r="AZ77" i="18" s="1"/>
  <c r="AI70" i="18"/>
  <c r="AH70" i="18"/>
  <c r="BW69" i="18"/>
  <c r="BW76" i="18" s="1"/>
  <c r="BV69" i="18"/>
  <c r="BV76" i="18" s="1"/>
  <c r="BU69" i="18"/>
  <c r="BU76" i="18" s="1"/>
  <c r="BT69" i="18"/>
  <c r="BT76" i="18" s="1"/>
  <c r="BS69" i="18"/>
  <c r="BS76" i="18" s="1"/>
  <c r="BR69" i="18"/>
  <c r="BR76" i="18" s="1"/>
  <c r="BQ69" i="18"/>
  <c r="BP69" i="18"/>
  <c r="BP76" i="18" s="1"/>
  <c r="BO69" i="18"/>
  <c r="BO76" i="18" s="1"/>
  <c r="BN69" i="18"/>
  <c r="BN76" i="18" s="1"/>
  <c r="BM69" i="18"/>
  <c r="BM76" i="18" s="1"/>
  <c r="BL69" i="18"/>
  <c r="BL76" i="18" s="1"/>
  <c r="BK69" i="18"/>
  <c r="BK76" i="18" s="1"/>
  <c r="BJ69" i="18"/>
  <c r="BJ76" i="18" s="1"/>
  <c r="BI69" i="18"/>
  <c r="BI76" i="18" s="1"/>
  <c r="BH69" i="18"/>
  <c r="BH76" i="18" s="1"/>
  <c r="BG69" i="18"/>
  <c r="BF69" i="18"/>
  <c r="BF76" i="18" s="1"/>
  <c r="BE69" i="18"/>
  <c r="BD69" i="18"/>
  <c r="BD76" i="18" s="1"/>
  <c r="BC69" i="18"/>
  <c r="BC76" i="18" s="1"/>
  <c r="BB69" i="18"/>
  <c r="BB76" i="18" s="1"/>
  <c r="BA69" i="18"/>
  <c r="BA76" i="18" s="1"/>
  <c r="AZ69" i="18"/>
  <c r="AZ76" i="18" s="1"/>
  <c r="AI69" i="18"/>
  <c r="AH69" i="18"/>
  <c r="BW68" i="18"/>
  <c r="BW75" i="18" s="1"/>
  <c r="BV68" i="18"/>
  <c r="BV75" i="18" s="1"/>
  <c r="BU68" i="18"/>
  <c r="BU75" i="18" s="1"/>
  <c r="BT68" i="18"/>
  <c r="BT75" i="18" s="1"/>
  <c r="BS68" i="18"/>
  <c r="BS75" i="18" s="1"/>
  <c r="BR68" i="18"/>
  <c r="BR75" i="18" s="1"/>
  <c r="BQ68" i="18"/>
  <c r="BQ75" i="18" s="1"/>
  <c r="BP68" i="18"/>
  <c r="BP75" i="18" s="1"/>
  <c r="BO68" i="18"/>
  <c r="BN68" i="18"/>
  <c r="BN75" i="18" s="1"/>
  <c r="BM68" i="18"/>
  <c r="BL68" i="18"/>
  <c r="BL75" i="18" s="1"/>
  <c r="BK68" i="18"/>
  <c r="BK75" i="18" s="1"/>
  <c r="BJ68" i="18"/>
  <c r="BJ75" i="18" s="1"/>
  <c r="BI68" i="18"/>
  <c r="BI75" i="18" s="1"/>
  <c r="BH68" i="18"/>
  <c r="BH75" i="18" s="1"/>
  <c r="BG68" i="18"/>
  <c r="BG75" i="18" s="1"/>
  <c r="BF68" i="18"/>
  <c r="BF75" i="18" s="1"/>
  <c r="BE68" i="18"/>
  <c r="BE75" i="18" s="1"/>
  <c r="BD68" i="18"/>
  <c r="BD75" i="18" s="1"/>
  <c r="BC68" i="18"/>
  <c r="BC75" i="18" s="1"/>
  <c r="BB68" i="18"/>
  <c r="BB75" i="18" s="1"/>
  <c r="BA68" i="18"/>
  <c r="AZ68" i="18"/>
  <c r="AZ75" i="18" s="1"/>
  <c r="AI68" i="18"/>
  <c r="AH68" i="18"/>
  <c r="AI67" i="18"/>
  <c r="AH67" i="18"/>
  <c r="AI66" i="18"/>
  <c r="AH66" i="18"/>
  <c r="AI65" i="18"/>
  <c r="AH65" i="18"/>
  <c r="AI64" i="18"/>
  <c r="AH64" i="18"/>
  <c r="AI63" i="18"/>
  <c r="AH63" i="18"/>
  <c r="AG62" i="18"/>
  <c r="AF62" i="18"/>
  <c r="AE62" i="18"/>
  <c r="AD62" i="18"/>
  <c r="AC62" i="18"/>
  <c r="AB62" i="18"/>
  <c r="R62" i="18"/>
  <c r="Q62" i="18"/>
  <c r="P62" i="18"/>
  <c r="AX17" i="18" s="1"/>
  <c r="O62" i="18"/>
  <c r="AW17" i="18" s="1"/>
  <c r="N62" i="18"/>
  <c r="AV17" i="18" s="1"/>
  <c r="M62" i="18"/>
  <c r="AU17" i="18" s="1"/>
  <c r="L62" i="18"/>
  <c r="K62" i="18"/>
  <c r="AT17" i="18" s="1"/>
  <c r="J62" i="18"/>
  <c r="I62" i="18"/>
  <c r="H62" i="18"/>
  <c r="G62" i="18"/>
  <c r="AR17" i="18" s="1"/>
  <c r="F62" i="18"/>
  <c r="E62" i="18"/>
  <c r="AP17" i="18" s="1"/>
  <c r="D62" i="18"/>
  <c r="AO17" i="18" s="1"/>
  <c r="AI61" i="18"/>
  <c r="AH61" i="18"/>
  <c r="AI60" i="18"/>
  <c r="AH60" i="18"/>
  <c r="AI59" i="18"/>
  <c r="AH59" i="18"/>
  <c r="AG58" i="18"/>
  <c r="AF58" i="18"/>
  <c r="AE58" i="18"/>
  <c r="AD58" i="18"/>
  <c r="AC58" i="18"/>
  <c r="AB58" i="18"/>
  <c r="Y7" i="18"/>
  <c r="X7" i="18"/>
  <c r="V7" i="18"/>
  <c r="R58" i="18"/>
  <c r="Q58" i="18"/>
  <c r="P58" i="18"/>
  <c r="O58" i="18"/>
  <c r="N58" i="18"/>
  <c r="M58" i="18"/>
  <c r="L58" i="18"/>
  <c r="K58" i="18"/>
  <c r="J58" i="18"/>
  <c r="I58" i="18"/>
  <c r="H58" i="18"/>
  <c r="G58" i="18"/>
  <c r="AR16" i="18" s="1"/>
  <c r="F58" i="18"/>
  <c r="E58" i="18"/>
  <c r="AP16" i="18" s="1"/>
  <c r="D58" i="18"/>
  <c r="AI57" i="18"/>
  <c r="AH57" i="18"/>
  <c r="AI56" i="18"/>
  <c r="AH56" i="18"/>
  <c r="AI55" i="18"/>
  <c r="AH55" i="18"/>
  <c r="AI54" i="18"/>
  <c r="AH54" i="18"/>
  <c r="AI53" i="18"/>
  <c r="AH53" i="18"/>
  <c r="AI52" i="18"/>
  <c r="AH52" i="18"/>
  <c r="AI51" i="18"/>
  <c r="AH51" i="18"/>
  <c r="AI50" i="18"/>
  <c r="AH50" i="18"/>
  <c r="AI49" i="18"/>
  <c r="AH49" i="18"/>
  <c r="AI48" i="18"/>
  <c r="AH48" i="18"/>
  <c r="AI47" i="18"/>
  <c r="AH47" i="18"/>
  <c r="AI46" i="18"/>
  <c r="AH46" i="18"/>
  <c r="AI45" i="18"/>
  <c r="AH45" i="18"/>
  <c r="AI44" i="18"/>
  <c r="AH44" i="18"/>
  <c r="AI43" i="18"/>
  <c r="AH43" i="18"/>
  <c r="AI42" i="18"/>
  <c r="AH42" i="18"/>
  <c r="AI41" i="18"/>
  <c r="AH41" i="18"/>
  <c r="AI40" i="18"/>
  <c r="AH40" i="18"/>
  <c r="AI39" i="18"/>
  <c r="AH39" i="18"/>
  <c r="AI38" i="18"/>
  <c r="AH38" i="18"/>
  <c r="AI37" i="18"/>
  <c r="AH37" i="18"/>
  <c r="AI36" i="18"/>
  <c r="AH36" i="18"/>
  <c r="AI35" i="18"/>
  <c r="AH35" i="18"/>
  <c r="AI34" i="18"/>
  <c r="AH34" i="18"/>
  <c r="AI33" i="18"/>
  <c r="AH33" i="18"/>
  <c r="AI32" i="18"/>
  <c r="AH32" i="18"/>
  <c r="AI31" i="18"/>
  <c r="AH31" i="18"/>
  <c r="AI30" i="18"/>
  <c r="AH30" i="18"/>
  <c r="AI29" i="18"/>
  <c r="AH29" i="18"/>
  <c r="AI28" i="18"/>
  <c r="AH28" i="18"/>
  <c r="AI27" i="18"/>
  <c r="AH27" i="18"/>
  <c r="AI26" i="18"/>
  <c r="AH26" i="18"/>
  <c r="AI25" i="18"/>
  <c r="AH25" i="18"/>
  <c r="AI24" i="18"/>
  <c r="AH24" i="18"/>
  <c r="AN23" i="18"/>
  <c r="AI23" i="18"/>
  <c r="AH23" i="18"/>
  <c r="AI22" i="18"/>
  <c r="AH22" i="18"/>
  <c r="AX21" i="18"/>
  <c r="AW21" i="18"/>
  <c r="AV21" i="18"/>
  <c r="AU21" i="18"/>
  <c r="AT21" i="18"/>
  <c r="AS21" i="18"/>
  <c r="AR21" i="18"/>
  <c r="AQ21" i="18"/>
  <c r="AP21" i="18"/>
  <c r="AO21" i="18"/>
  <c r="AN21" i="18"/>
  <c r="AM21" i="18"/>
  <c r="AI21" i="18"/>
  <c r="AH21" i="18"/>
  <c r="AX20" i="18"/>
  <c r="AW20" i="18"/>
  <c r="AV20" i="18"/>
  <c r="AU20" i="18"/>
  <c r="AT20" i="18"/>
  <c r="AR20" i="18"/>
  <c r="AO20" i="18"/>
  <c r="AN20" i="18"/>
  <c r="AM20" i="18"/>
  <c r="AI20" i="18"/>
  <c r="AH20" i="18"/>
  <c r="AX19" i="18"/>
  <c r="AT19" i="18"/>
  <c r="AO19" i="18"/>
  <c r="AN19" i="18"/>
  <c r="AM19" i="18"/>
  <c r="AI19" i="18"/>
  <c r="AH19" i="18"/>
  <c r="AX18" i="18"/>
  <c r="AV18" i="18"/>
  <c r="AS18" i="18"/>
  <c r="AR18" i="18"/>
  <c r="AP18" i="18"/>
  <c r="AN18" i="18"/>
  <c r="AM18" i="18"/>
  <c r="AI18" i="18"/>
  <c r="AH18" i="18"/>
  <c r="AS17" i="18"/>
  <c r="AQ17" i="18"/>
  <c r="AN17" i="18"/>
  <c r="AM17" i="18"/>
  <c r="AI17" i="18"/>
  <c r="AH17" i="18"/>
  <c r="AW16" i="18"/>
  <c r="AT16" i="18"/>
  <c r="AS16" i="18"/>
  <c r="AO16" i="18"/>
  <c r="AN16" i="18"/>
  <c r="AM16" i="18"/>
  <c r="AI16" i="18"/>
  <c r="AH16" i="18"/>
  <c r="AI15" i="18"/>
  <c r="AH15" i="18"/>
  <c r="AI14" i="18"/>
  <c r="AH14" i="18"/>
  <c r="AI13" i="18"/>
  <c r="AH13" i="18"/>
  <c r="AL12" i="18"/>
  <c r="AI12" i="18"/>
  <c r="AH12" i="18"/>
  <c r="AI11" i="18"/>
  <c r="AH11" i="18"/>
  <c r="Z7" i="18"/>
  <c r="AF5" i="18"/>
  <c r="AE5" i="18"/>
  <c r="AD5" i="18"/>
  <c r="Z5" i="18"/>
  <c r="Y5" i="18"/>
  <c r="X5" i="18"/>
  <c r="W5" i="18"/>
  <c r="V5" i="18"/>
  <c r="U5" i="18"/>
  <c r="T5" i="18"/>
  <c r="S5" i="18"/>
  <c r="R5" i="18"/>
  <c r="O5" i="18"/>
  <c r="N5" i="18"/>
  <c r="J5" i="18"/>
  <c r="I5" i="18"/>
  <c r="C5" i="18"/>
  <c r="B5" i="18"/>
  <c r="AG4" i="18"/>
  <c r="K4" i="18"/>
  <c r="E4" i="18"/>
  <c r="H4" i="18" s="1"/>
  <c r="B4" i="18"/>
  <c r="D258" i="18" s="1"/>
  <c r="AG2" i="18"/>
  <c r="AG6" i="18" s="1"/>
  <c r="AF58" i="17"/>
  <c r="AF62" i="17"/>
  <c r="AF76" i="17"/>
  <c r="AF80" i="17"/>
  <c r="AF92" i="17"/>
  <c r="AF101" i="17"/>
  <c r="AF102" i="17"/>
  <c r="AF103" i="17"/>
  <c r="AF104" i="17"/>
  <c r="AF105" i="17"/>
  <c r="AF118" i="17"/>
  <c r="AB252" i="20" l="1"/>
  <c r="AB118" i="20"/>
  <c r="AC246" i="20"/>
  <c r="V246" i="19"/>
  <c r="T251" i="19"/>
  <c r="S252" i="19"/>
  <c r="AF107" i="18"/>
  <c r="AF97" i="18"/>
  <c r="AF99" i="18" s="1"/>
  <c r="AF100" i="18" s="1"/>
  <c r="AF7" i="18" s="1"/>
  <c r="AF108" i="18"/>
  <c r="AE97" i="18"/>
  <c r="AE99" i="18" s="1"/>
  <c r="AD107" i="18"/>
  <c r="AD97" i="18"/>
  <c r="AD99" i="18" s="1"/>
  <c r="AD100" i="18" s="1"/>
  <c r="AD7" i="18" s="1"/>
  <c r="AI103" i="18"/>
  <c r="AC97" i="18"/>
  <c r="AC99" i="18" s="1"/>
  <c r="AB97" i="18"/>
  <c r="AB99" i="18" s="1"/>
  <c r="Q5" i="18"/>
  <c r="R97" i="18"/>
  <c r="R99" i="18" s="1"/>
  <c r="R100" i="18" s="1"/>
  <c r="R7" i="18" s="1"/>
  <c r="Q107" i="18"/>
  <c r="Q108" i="18"/>
  <c r="P5" i="18"/>
  <c r="Q97" i="18"/>
  <c r="Q99" i="18" s="1"/>
  <c r="Q100" i="18" s="1"/>
  <c r="Q7" i="18" s="1"/>
  <c r="P107" i="18"/>
  <c r="AX23" i="18" s="1"/>
  <c r="P97" i="18"/>
  <c r="P99" i="18" s="1"/>
  <c r="P100" i="18" s="1"/>
  <c r="P7" i="18" s="1"/>
  <c r="AW22" i="18"/>
  <c r="O97" i="18"/>
  <c r="O99" i="18" s="1"/>
  <c r="M5" i="18"/>
  <c r="N97" i="18"/>
  <c r="N99" i="18" s="1"/>
  <c r="N100" i="18" s="1"/>
  <c r="N7" i="18" s="1"/>
  <c r="AU19" i="18"/>
  <c r="M97" i="18"/>
  <c r="M99" i="18" s="1"/>
  <c r="AU16" i="18"/>
  <c r="AU22" i="18"/>
  <c r="L97" i="18"/>
  <c r="L99" i="18" s="1"/>
  <c r="K108" i="18"/>
  <c r="AT22" i="18"/>
  <c r="AT24" i="18" s="1"/>
  <c r="J108" i="18"/>
  <c r="AI105" i="18"/>
  <c r="J97" i="18"/>
  <c r="J99" i="18" s="1"/>
  <c r="J100" i="18" s="1"/>
  <c r="J7" i="18" s="1"/>
  <c r="AI104" i="18"/>
  <c r="I108" i="18"/>
  <c r="H5" i="18"/>
  <c r="AI80" i="18"/>
  <c r="I97" i="18"/>
  <c r="I99" i="18" s="1"/>
  <c r="I100" i="18" s="1"/>
  <c r="I7" i="18" s="1"/>
  <c r="AS22" i="18"/>
  <c r="AS24" i="18" s="1"/>
  <c r="H108" i="18"/>
  <c r="H97" i="18"/>
  <c r="H99" i="18" s="1"/>
  <c r="H100" i="18" s="1"/>
  <c r="H7" i="18" s="1"/>
  <c r="F5" i="18"/>
  <c r="AR22" i="18"/>
  <c r="F97" i="18"/>
  <c r="F99" i="18" s="1"/>
  <c r="F100" i="18" s="1"/>
  <c r="F7" i="18" s="1"/>
  <c r="E5" i="18"/>
  <c r="AI76" i="18"/>
  <c r="D5" i="18"/>
  <c r="AO18" i="18"/>
  <c r="AO22" i="18" s="1"/>
  <c r="D97" i="18"/>
  <c r="D99" i="18" s="1"/>
  <c r="E97" i="18"/>
  <c r="E99" i="18" s="1"/>
  <c r="AP22" i="18"/>
  <c r="AI62" i="18"/>
  <c r="AN22" i="18"/>
  <c r="AN24" i="18" s="1"/>
  <c r="B97" i="18"/>
  <c r="B99" i="18" s="1"/>
  <c r="AM22" i="18"/>
  <c r="AR24" i="18"/>
  <c r="AX16" i="18"/>
  <c r="AX22" i="18" s="1"/>
  <c r="AX24" i="18" s="1"/>
  <c r="AH76" i="18"/>
  <c r="G97" i="18"/>
  <c r="G99" i="18" s="1"/>
  <c r="G107" i="18"/>
  <c r="AR23" i="18" s="1"/>
  <c r="O107" i="18"/>
  <c r="AW23" i="18" s="1"/>
  <c r="AW24" i="18" s="1"/>
  <c r="W7" i="18"/>
  <c r="AE107" i="18"/>
  <c r="AE100" i="18" s="1"/>
  <c r="AE7" i="18" s="1"/>
  <c r="BG84" i="18" a="1"/>
  <c r="AQ16" i="18"/>
  <c r="AQ22" i="18" s="1"/>
  <c r="AQ24" i="18" s="1"/>
  <c r="AH80" i="18"/>
  <c r="F108" i="18"/>
  <c r="N108" i="18"/>
  <c r="AD108" i="18"/>
  <c r="AI102" i="18"/>
  <c r="AH58" i="18"/>
  <c r="AH62" i="18"/>
  <c r="AI101" i="18"/>
  <c r="B107" i="18"/>
  <c r="AH101" i="18"/>
  <c r="K97" i="18"/>
  <c r="K99" i="18" s="1"/>
  <c r="K100" i="18" s="1"/>
  <c r="K7" i="18" s="1"/>
  <c r="S7" i="18"/>
  <c r="AA7" i="18"/>
  <c r="AI58" i="18"/>
  <c r="AH102" i="18"/>
  <c r="T7" i="18"/>
  <c r="AG99" i="18"/>
  <c r="D107" i="18"/>
  <c r="AO23" i="18" s="1"/>
  <c r="L107" i="18"/>
  <c r="L108" i="18" s="1"/>
  <c r="AB107" i="18"/>
  <c r="AB108" i="18" s="1"/>
  <c r="AG97" i="18"/>
  <c r="L100" i="18"/>
  <c r="L7" i="18" s="1"/>
  <c r="AL13" i="18"/>
  <c r="AV16" i="18"/>
  <c r="AV22" i="18" s="1"/>
  <c r="AV24" i="18" s="1"/>
  <c r="AI92" i="18"/>
  <c r="AH92" i="18"/>
  <c r="E107" i="18"/>
  <c r="AP23" i="18" s="1"/>
  <c r="M107" i="18"/>
  <c r="AU23" i="18" s="1"/>
  <c r="AC107" i="18"/>
  <c r="AC100" i="18" s="1"/>
  <c r="AC7" i="18" s="1"/>
  <c r="AH103" i="18"/>
  <c r="E246" i="18"/>
  <c r="AH104" i="18"/>
  <c r="AH105" i="18"/>
  <c r="D118" i="18"/>
  <c r="AF107" i="17"/>
  <c r="AF108" i="17" s="1"/>
  <c r="AF97" i="17"/>
  <c r="AF99" i="17" s="1"/>
  <c r="AE58" i="17"/>
  <c r="AE62" i="17"/>
  <c r="AE76" i="17"/>
  <c r="AE80" i="17"/>
  <c r="AE92" i="17"/>
  <c r="AE101" i="17"/>
  <c r="AE102" i="17"/>
  <c r="AE103" i="17"/>
  <c r="AE104" i="17"/>
  <c r="AE105" i="17"/>
  <c r="AE118" i="17"/>
  <c r="AD58" i="17"/>
  <c r="AD62" i="17"/>
  <c r="AD76" i="17"/>
  <c r="AD80" i="17"/>
  <c r="AD92" i="17"/>
  <c r="AD101" i="17"/>
  <c r="AD107" i="17" s="1"/>
  <c r="AD102" i="17"/>
  <c r="AD103" i="17"/>
  <c r="AD104" i="17"/>
  <c r="AD105" i="17"/>
  <c r="AD118" i="17"/>
  <c r="AB149" i="17"/>
  <c r="AC148" i="17"/>
  <c r="AB148" i="17"/>
  <c r="AB58" i="17"/>
  <c r="AB62" i="17"/>
  <c r="AB76" i="17"/>
  <c r="AB80" i="17"/>
  <c r="AB92" i="17"/>
  <c r="AB108" i="17" s="1"/>
  <c r="AB101" i="17"/>
  <c r="AB102" i="17"/>
  <c r="AB103" i="17"/>
  <c r="AB104" i="17"/>
  <c r="AB105" i="17"/>
  <c r="AB118" i="17"/>
  <c r="AA58" i="17"/>
  <c r="AA62" i="17"/>
  <c r="AA76" i="17"/>
  <c r="AA80" i="17"/>
  <c r="AA92" i="17"/>
  <c r="AA108" i="17" s="1"/>
  <c r="AA101" i="17"/>
  <c r="AA102" i="17"/>
  <c r="AA103" i="17"/>
  <c r="AA104" i="17"/>
  <c r="AA105" i="17"/>
  <c r="AA118" i="17"/>
  <c r="Z118" i="17"/>
  <c r="Z105" i="17"/>
  <c r="Z104" i="17"/>
  <c r="Z103" i="17"/>
  <c r="Z102" i="17"/>
  <c r="Z101" i="17"/>
  <c r="Z92" i="17"/>
  <c r="Z108" i="17" s="1"/>
  <c r="Z80" i="17"/>
  <c r="Z76" i="17"/>
  <c r="Z62" i="17"/>
  <c r="Z58" i="17"/>
  <c r="Y58" i="17"/>
  <c r="Y62" i="17"/>
  <c r="Y76" i="17"/>
  <c r="Y80" i="17"/>
  <c r="Y92" i="17"/>
  <c r="Y108" i="17" s="1"/>
  <c r="Y101" i="17"/>
  <c r="Y102" i="17"/>
  <c r="Y103" i="17"/>
  <c r="Y104" i="17"/>
  <c r="Y105" i="17"/>
  <c r="Y118" i="17"/>
  <c r="X58" i="17"/>
  <c r="X62" i="17"/>
  <c r="X76" i="17"/>
  <c r="X80" i="17"/>
  <c r="X92" i="17"/>
  <c r="X108" i="17" s="1"/>
  <c r="X101" i="17"/>
  <c r="X102" i="17"/>
  <c r="X103" i="17"/>
  <c r="X104" i="17"/>
  <c r="X105" i="17"/>
  <c r="X118" i="17"/>
  <c r="W58" i="17"/>
  <c r="W62" i="17"/>
  <c r="W76" i="17"/>
  <c r="W80" i="17"/>
  <c r="W92" i="17"/>
  <c r="W108" i="17" s="1"/>
  <c r="W101" i="17"/>
  <c r="W102" i="17"/>
  <c r="W103" i="17"/>
  <c r="W104" i="17"/>
  <c r="W105" i="17"/>
  <c r="W118" i="17"/>
  <c r="V58" i="17"/>
  <c r="V62" i="17"/>
  <c r="V76" i="17"/>
  <c r="V80" i="17"/>
  <c r="V92" i="17"/>
  <c r="V101" i="17"/>
  <c r="V102" i="17"/>
  <c r="V103" i="17"/>
  <c r="V104" i="17"/>
  <c r="V105" i="17"/>
  <c r="V118" i="17"/>
  <c r="U58" i="17"/>
  <c r="U62" i="17"/>
  <c r="U76" i="17"/>
  <c r="U80" i="17"/>
  <c r="U92" i="17"/>
  <c r="U101" i="17"/>
  <c r="U102" i="17"/>
  <c r="U103" i="17"/>
  <c r="U104" i="17"/>
  <c r="U105" i="17"/>
  <c r="U118" i="17"/>
  <c r="T58" i="17"/>
  <c r="T62" i="17"/>
  <c r="T76" i="17"/>
  <c r="T80" i="17"/>
  <c r="T92" i="17"/>
  <c r="T101" i="17"/>
  <c r="T102" i="17"/>
  <c r="T103" i="17"/>
  <c r="T104" i="17"/>
  <c r="T105" i="17"/>
  <c r="T118" i="17"/>
  <c r="S58" i="17"/>
  <c r="S62" i="17"/>
  <c r="S76" i="17"/>
  <c r="S80" i="17"/>
  <c r="S92" i="17"/>
  <c r="S101" i="17"/>
  <c r="S102" i="17"/>
  <c r="S103" i="17"/>
  <c r="S104" i="17"/>
  <c r="S105" i="17"/>
  <c r="S118" i="17"/>
  <c r="AC118" i="20" l="1"/>
  <c r="AD246" i="20"/>
  <c r="AC252" i="20"/>
  <c r="U251" i="19"/>
  <c r="T252" i="19"/>
  <c r="W246" i="19"/>
  <c r="AB100" i="18"/>
  <c r="AB7" i="18" s="1"/>
  <c r="P108" i="18"/>
  <c r="AU24" i="18"/>
  <c r="G108" i="18"/>
  <c r="AP24" i="18"/>
  <c r="AI97" i="18"/>
  <c r="AH97" i="18"/>
  <c r="D108" i="18"/>
  <c r="D100" i="18"/>
  <c r="D7" i="18" s="1"/>
  <c r="AO24" i="18"/>
  <c r="O100" i="18"/>
  <c r="O7" i="18" s="1"/>
  <c r="AH99" i="18"/>
  <c r="B100" i="18"/>
  <c r="AI99" i="18"/>
  <c r="U7" i="18"/>
  <c r="AE108" i="18"/>
  <c r="AC108" i="18"/>
  <c r="AI107" i="18"/>
  <c r="AH107" i="18"/>
  <c r="AM23" i="18"/>
  <c r="AM24" i="18" s="1"/>
  <c r="O108" i="18"/>
  <c r="C256" i="18"/>
  <c r="G100" i="18"/>
  <c r="G7" i="18" s="1"/>
  <c r="B256" i="18"/>
  <c r="M100" i="18"/>
  <c r="M7" i="18" s="1"/>
  <c r="F246" i="18"/>
  <c r="E118" i="18"/>
  <c r="E252" i="18"/>
  <c r="B108" i="18"/>
  <c r="M108" i="18"/>
  <c r="E100" i="18"/>
  <c r="E7" i="18" s="1"/>
  <c r="AT8" i="18"/>
  <c r="E108" i="18"/>
  <c r="BJ107" i="18"/>
  <c r="BH106" i="18"/>
  <c r="BL104" i="18"/>
  <c r="BJ103" i="18"/>
  <c r="BH102" i="18"/>
  <c r="BL100" i="18"/>
  <c r="BJ99" i="18"/>
  <c r="BH98" i="18"/>
  <c r="BL96" i="18"/>
  <c r="BJ95" i="18"/>
  <c r="BH94" i="18"/>
  <c r="BL92" i="18"/>
  <c r="BJ91" i="18"/>
  <c r="BH90" i="18"/>
  <c r="BL88" i="18"/>
  <c r="BJ87" i="18"/>
  <c r="BH86" i="18"/>
  <c r="BL84" i="18"/>
  <c r="BI107" i="18"/>
  <c r="BG106" i="18"/>
  <c r="BK104" i="18"/>
  <c r="BI103" i="18"/>
  <c r="BG102" i="18"/>
  <c r="BK100" i="18"/>
  <c r="BI99" i="18"/>
  <c r="BG98" i="18"/>
  <c r="BK96" i="18"/>
  <c r="BI95" i="18"/>
  <c r="BG94" i="18"/>
  <c r="BK92" i="18"/>
  <c r="BI91" i="18"/>
  <c r="BG90" i="18"/>
  <c r="BK88" i="18"/>
  <c r="BI87" i="18"/>
  <c r="BG86" i="18"/>
  <c r="BK84" i="18"/>
  <c r="BH107" i="18"/>
  <c r="BL105" i="18"/>
  <c r="BJ104" i="18"/>
  <c r="BH103" i="18"/>
  <c r="BL101" i="18"/>
  <c r="BJ100" i="18"/>
  <c r="BH99" i="18"/>
  <c r="BL97" i="18"/>
  <c r="BJ96" i="18"/>
  <c r="BH95" i="18"/>
  <c r="BL93" i="18"/>
  <c r="BJ92" i="18"/>
  <c r="BH91" i="18"/>
  <c r="BL89" i="18"/>
  <c r="BJ88" i="18"/>
  <c r="BH87" i="18"/>
  <c r="BL85" i="18"/>
  <c r="BJ84" i="18"/>
  <c r="BG107" i="18"/>
  <c r="BK105" i="18"/>
  <c r="BI104" i="18"/>
  <c r="BG103" i="18"/>
  <c r="BK101" i="18"/>
  <c r="BI100" i="18"/>
  <c r="BG99" i="18"/>
  <c r="BK97" i="18"/>
  <c r="BI96" i="18"/>
  <c r="BG95" i="18"/>
  <c r="BK93" i="18"/>
  <c r="BI92" i="18"/>
  <c r="BG91" i="18"/>
  <c r="BK89" i="18"/>
  <c r="BI88" i="18"/>
  <c r="BG87" i="18"/>
  <c r="BK85" i="18"/>
  <c r="BI84" i="18"/>
  <c r="BL106" i="18"/>
  <c r="BJ105" i="18"/>
  <c r="BH104" i="18"/>
  <c r="BL102" i="18"/>
  <c r="BJ101" i="18"/>
  <c r="BH100" i="18"/>
  <c r="BL98" i="18"/>
  <c r="BJ97" i="18"/>
  <c r="BH96" i="18"/>
  <c r="BL94" i="18"/>
  <c r="BJ93" i="18"/>
  <c r="BH92" i="18"/>
  <c r="BL90" i="18"/>
  <c r="BJ89" i="18"/>
  <c r="BH88" i="18"/>
  <c r="BL86" i="18"/>
  <c r="BJ85" i="18"/>
  <c r="BH84" i="18"/>
  <c r="BL107" i="18"/>
  <c r="BJ106" i="18"/>
  <c r="BH105" i="18"/>
  <c r="BL103" i="18"/>
  <c r="BJ102" i="18"/>
  <c r="BH101" i="18"/>
  <c r="BL99" i="18"/>
  <c r="BJ98" i="18"/>
  <c r="BH97" i="18"/>
  <c r="BL95" i="18"/>
  <c r="BJ94" i="18"/>
  <c r="BH93" i="18"/>
  <c r="BL91" i="18"/>
  <c r="BJ90" i="18"/>
  <c r="BH89" i="18"/>
  <c r="BL87" i="18"/>
  <c r="BJ86" i="18"/>
  <c r="BH85" i="18"/>
  <c r="BK106" i="18"/>
  <c r="BI101" i="18"/>
  <c r="BG96" i="18"/>
  <c r="BK90" i="18"/>
  <c r="BI85" i="18"/>
  <c r="BI102" i="18"/>
  <c r="BI106" i="18"/>
  <c r="BG101" i="18"/>
  <c r="BK95" i="18"/>
  <c r="BI90" i="18"/>
  <c r="BG85" i="18"/>
  <c r="BI105" i="18"/>
  <c r="BG100" i="18"/>
  <c r="BK94" i="18"/>
  <c r="BI89" i="18"/>
  <c r="BG84" i="18"/>
  <c r="BK91" i="18"/>
  <c r="BG105" i="18"/>
  <c r="BK99" i="18"/>
  <c r="BI94" i="18"/>
  <c r="BG89" i="18"/>
  <c r="BG97" i="18"/>
  <c r="BI86" i="18"/>
  <c r="BG104" i="18"/>
  <c r="BK98" i="18"/>
  <c r="BI93" i="18"/>
  <c r="BG88" i="18"/>
  <c r="BK103" i="18"/>
  <c r="BI98" i="18"/>
  <c r="BG93" i="18"/>
  <c r="BK87" i="18"/>
  <c r="BK102" i="18"/>
  <c r="BI97" i="18"/>
  <c r="BG92" i="18"/>
  <c r="BK86" i="18"/>
  <c r="BK107" i="18"/>
  <c r="AF100" i="17"/>
  <c r="AE107" i="17"/>
  <c r="AE108" i="17" s="1"/>
  <c r="AE97" i="17"/>
  <c r="AE99" i="17" s="1"/>
  <c r="AD108" i="17"/>
  <c r="AD97" i="17"/>
  <c r="AD99" i="17" s="1"/>
  <c r="AD100" i="17" s="1"/>
  <c r="AB97" i="17"/>
  <c r="AB99" i="17" s="1"/>
  <c r="AB100" i="17" s="1"/>
  <c r="AA97" i="17"/>
  <c r="AA99" i="17" s="1"/>
  <c r="AA100" i="17" s="1"/>
  <c r="Z97" i="17"/>
  <c r="Z99" i="17" s="1"/>
  <c r="Z100" i="17" s="1"/>
  <c r="Y97" i="17"/>
  <c r="Y99" i="17" s="1"/>
  <c r="Y100" i="17" s="1"/>
  <c r="X97" i="17"/>
  <c r="X99" i="17" s="1"/>
  <c r="X100" i="17" s="1"/>
  <c r="W97" i="17"/>
  <c r="W99" i="17" s="1"/>
  <c r="W100" i="17" s="1"/>
  <c r="V108" i="17"/>
  <c r="V97" i="17"/>
  <c r="V99" i="17" s="1"/>
  <c r="V100" i="17" s="1"/>
  <c r="U107" i="17"/>
  <c r="U108" i="17" s="1"/>
  <c r="U97" i="17"/>
  <c r="U99" i="17" s="1"/>
  <c r="U100" i="17" s="1"/>
  <c r="T107" i="17"/>
  <c r="T108" i="17" s="1"/>
  <c r="T97" i="17"/>
  <c r="T99" i="17" s="1"/>
  <c r="T100" i="17" s="1"/>
  <c r="S107" i="17"/>
  <c r="S108" i="17" s="1"/>
  <c r="S97" i="17"/>
  <c r="S99" i="17" s="1"/>
  <c r="AE246" i="20" l="1"/>
  <c r="AD252" i="20"/>
  <c r="X246" i="19"/>
  <c r="V251" i="19"/>
  <c r="U252" i="19"/>
  <c r="K6" i="18"/>
  <c r="AT9" i="18"/>
  <c r="AI108" i="18"/>
  <c r="AH108" i="18"/>
  <c r="AI100" i="18"/>
  <c r="B7" i="18"/>
  <c r="A7" i="18" s="1"/>
  <c r="AH100" i="18"/>
  <c r="G246" i="18"/>
  <c r="F252" i="18"/>
  <c r="F118" i="18"/>
  <c r="AE100" i="17"/>
  <c r="S100" i="17"/>
  <c r="Q62" i="17"/>
  <c r="AF246" i="20" l="1"/>
  <c r="AE252" i="20"/>
  <c r="W251" i="19"/>
  <c r="V252" i="19"/>
  <c r="Y246" i="19"/>
  <c r="H246" i="18"/>
  <c r="G252" i="18"/>
  <c r="G118" i="18"/>
  <c r="N121" i="17"/>
  <c r="AF252" i="20" l="1"/>
  <c r="B246" i="20"/>
  <c r="Z246" i="19"/>
  <c r="X251" i="19"/>
  <c r="W252" i="19"/>
  <c r="W118" i="19"/>
  <c r="I246" i="18"/>
  <c r="H252" i="18"/>
  <c r="H118" i="18"/>
  <c r="M121" i="17"/>
  <c r="L124" i="17"/>
  <c r="L121" i="17"/>
  <c r="L57" i="17"/>
  <c r="L58" i="17"/>
  <c r="M58" i="17"/>
  <c r="L62" i="17"/>
  <c r="M62" i="17"/>
  <c r="K124" i="17"/>
  <c r="K57" i="17"/>
  <c r="J121" i="17"/>
  <c r="J57" i="17"/>
  <c r="I121" i="17"/>
  <c r="I57" i="17"/>
  <c r="B252" i="20" l="1"/>
  <c r="Y251" i="19"/>
  <c r="X252" i="19"/>
  <c r="AA246" i="19"/>
  <c r="I252" i="18"/>
  <c r="I118" i="18"/>
  <c r="J246" i="18"/>
  <c r="H121" i="17"/>
  <c r="H57" i="17"/>
  <c r="AI118" i="20" l="1"/>
  <c r="AH118" i="20"/>
  <c r="AB246" i="19"/>
  <c r="Z251" i="19"/>
  <c r="Y252" i="19"/>
  <c r="J252" i="18"/>
  <c r="J118" i="18"/>
  <c r="K246" i="18"/>
  <c r="G121" i="17"/>
  <c r="G57" i="17"/>
  <c r="F121" i="17"/>
  <c r="F57" i="17"/>
  <c r="E121" i="17"/>
  <c r="E57" i="17"/>
  <c r="AA251" i="19" l="1"/>
  <c r="Z252" i="19"/>
  <c r="AC246" i="19"/>
  <c r="K252" i="18"/>
  <c r="K118" i="18"/>
  <c r="L246" i="18"/>
  <c r="D121" i="17"/>
  <c r="D57" i="17"/>
  <c r="AD246" i="19" l="1"/>
  <c r="AB251" i="19"/>
  <c r="AA252" i="19"/>
  <c r="AA118" i="19"/>
  <c r="L252" i="18"/>
  <c r="L118" i="18"/>
  <c r="M246" i="18"/>
  <c r="C57" i="17"/>
  <c r="AC251" i="19" l="1"/>
  <c r="AB252" i="19"/>
  <c r="AB118" i="19"/>
  <c r="AE246" i="19"/>
  <c r="N246" i="18"/>
  <c r="M252" i="18"/>
  <c r="M118" i="18"/>
  <c r="AF246" i="19" l="1"/>
  <c r="AD251" i="19"/>
  <c r="AC118" i="19"/>
  <c r="AC252" i="19"/>
  <c r="O246" i="18"/>
  <c r="N252" i="18"/>
  <c r="N118" i="18"/>
  <c r="AE251" i="19" l="1"/>
  <c r="AD118" i="19"/>
  <c r="AD252" i="19"/>
  <c r="B246" i="19"/>
  <c r="P246" i="18"/>
  <c r="O252" i="18"/>
  <c r="O118" i="18"/>
  <c r="B121" i="17"/>
  <c r="B57" i="17"/>
  <c r="B118" i="17"/>
  <c r="B105" i="17"/>
  <c r="B104" i="17"/>
  <c r="B103" i="17"/>
  <c r="B102" i="17"/>
  <c r="B101" i="17"/>
  <c r="B107" i="17" s="1"/>
  <c r="B92" i="17"/>
  <c r="B80" i="17"/>
  <c r="AM20" i="17" s="1"/>
  <c r="B76" i="17"/>
  <c r="B62" i="17"/>
  <c r="B58" i="17"/>
  <c r="AG252" i="17"/>
  <c r="C252" i="17"/>
  <c r="D251" i="17"/>
  <c r="F250" i="17"/>
  <c r="G250" i="17" s="1"/>
  <c r="H250" i="17" s="1"/>
  <c r="I250" i="17" s="1"/>
  <c r="J250" i="17" s="1"/>
  <c r="K250" i="17" s="1"/>
  <c r="L250" i="17" s="1"/>
  <c r="M250" i="17" s="1"/>
  <c r="N250" i="17" s="1"/>
  <c r="O250" i="17" s="1"/>
  <c r="P250" i="17" s="1"/>
  <c r="Q250" i="17" s="1"/>
  <c r="R250" i="17" s="1"/>
  <c r="S250" i="17" s="1"/>
  <c r="T250" i="17" s="1"/>
  <c r="U250" i="17" s="1"/>
  <c r="V250" i="17" s="1"/>
  <c r="W250" i="17" s="1"/>
  <c r="X250" i="17" s="1"/>
  <c r="Y250" i="17" s="1"/>
  <c r="Z250" i="17" s="1"/>
  <c r="AA250" i="17" s="1"/>
  <c r="AB250" i="17" s="1"/>
  <c r="AC250" i="17" s="1"/>
  <c r="AD250" i="17" s="1"/>
  <c r="AE250" i="17" s="1"/>
  <c r="AF250" i="17" s="1"/>
  <c r="B250" i="17" s="1"/>
  <c r="E250" i="17"/>
  <c r="D250" i="17"/>
  <c r="H249" i="17"/>
  <c r="I249" i="17" s="1"/>
  <c r="J249" i="17" s="1"/>
  <c r="K249" i="17" s="1"/>
  <c r="L249" i="17" s="1"/>
  <c r="M249" i="17" s="1"/>
  <c r="N249" i="17" s="1"/>
  <c r="O249" i="17" s="1"/>
  <c r="P249" i="17" s="1"/>
  <c r="Q249" i="17" s="1"/>
  <c r="R249" i="17" s="1"/>
  <c r="S249" i="17" s="1"/>
  <c r="T249" i="17" s="1"/>
  <c r="U249" i="17" s="1"/>
  <c r="V249" i="17" s="1"/>
  <c r="W249" i="17" s="1"/>
  <c r="X249" i="17" s="1"/>
  <c r="Y249" i="17" s="1"/>
  <c r="Z249" i="17" s="1"/>
  <c r="AA249" i="17" s="1"/>
  <c r="AB249" i="17" s="1"/>
  <c r="AC249" i="17" s="1"/>
  <c r="AD249" i="17" s="1"/>
  <c r="AE249" i="17" s="1"/>
  <c r="AF249" i="17" s="1"/>
  <c r="B249" i="17" s="1"/>
  <c r="D249" i="17"/>
  <c r="E249" i="17" s="1"/>
  <c r="F249" i="17" s="1"/>
  <c r="G249" i="17" s="1"/>
  <c r="N248" i="17"/>
  <c r="O248" i="17" s="1"/>
  <c r="P248" i="17" s="1"/>
  <c r="Q248" i="17" s="1"/>
  <c r="R248" i="17" s="1"/>
  <c r="S248" i="17" s="1"/>
  <c r="T248" i="17" s="1"/>
  <c r="U248" i="17" s="1"/>
  <c r="V248" i="17" s="1"/>
  <c r="W248" i="17" s="1"/>
  <c r="X248" i="17" s="1"/>
  <c r="Y248" i="17" s="1"/>
  <c r="Z248" i="17" s="1"/>
  <c r="AA248" i="17" s="1"/>
  <c r="AB248" i="17" s="1"/>
  <c r="AC248" i="17" s="1"/>
  <c r="AD248" i="17" s="1"/>
  <c r="AE248" i="17" s="1"/>
  <c r="AF248" i="17" s="1"/>
  <c r="B248" i="17" s="1"/>
  <c r="F248" i="17"/>
  <c r="G248" i="17" s="1"/>
  <c r="H248" i="17" s="1"/>
  <c r="I248" i="17" s="1"/>
  <c r="J248" i="17" s="1"/>
  <c r="K248" i="17" s="1"/>
  <c r="L248" i="17" s="1"/>
  <c r="M248" i="17" s="1"/>
  <c r="E248" i="17"/>
  <c r="D248" i="17"/>
  <c r="D247" i="17"/>
  <c r="F246" i="17"/>
  <c r="G246" i="17" s="1"/>
  <c r="E246" i="17"/>
  <c r="D246" i="17"/>
  <c r="AG244" i="17"/>
  <c r="AF244" i="17"/>
  <c r="AE244" i="17"/>
  <c r="AD244" i="17"/>
  <c r="AC244" i="17"/>
  <c r="AB244" i="17"/>
  <c r="AA244" i="17"/>
  <c r="Z244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AI130" i="17"/>
  <c r="AH130" i="17"/>
  <c r="AI129" i="17"/>
  <c r="AH129" i="17"/>
  <c r="AI128" i="17"/>
  <c r="AH128" i="17"/>
  <c r="AI127" i="17"/>
  <c r="AH127" i="17"/>
  <c r="AI126" i="17"/>
  <c r="AH126" i="17"/>
  <c r="AI123" i="17"/>
  <c r="AH123" i="17"/>
  <c r="AI122" i="17"/>
  <c r="AH122" i="17"/>
  <c r="AI121" i="17"/>
  <c r="AH121" i="17"/>
  <c r="AI120" i="17"/>
  <c r="AH120" i="17"/>
  <c r="AI119" i="17"/>
  <c r="AH119" i="17"/>
  <c r="C118" i="17"/>
  <c r="AI117" i="17"/>
  <c r="AH117" i="17"/>
  <c r="AI116" i="17"/>
  <c r="AH116" i="17"/>
  <c r="AI115" i="17"/>
  <c r="AH115" i="17"/>
  <c r="AI114" i="17"/>
  <c r="AH114" i="17"/>
  <c r="AI113" i="17"/>
  <c r="AH113" i="17"/>
  <c r="AI112" i="17"/>
  <c r="AH112" i="17"/>
  <c r="AI111" i="17"/>
  <c r="AH111" i="17"/>
  <c r="AI110" i="17"/>
  <c r="AH110" i="17"/>
  <c r="AI109" i="17"/>
  <c r="AH109" i="17"/>
  <c r="AI106" i="17"/>
  <c r="AH106" i="17"/>
  <c r="AC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AC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AC103" i="17"/>
  <c r="R103" i="17"/>
  <c r="Q103" i="17"/>
  <c r="P103" i="17"/>
  <c r="O103" i="17"/>
  <c r="N103" i="17"/>
  <c r="M103" i="17"/>
  <c r="L103" i="17"/>
  <c r="K103" i="17"/>
  <c r="J103" i="17"/>
  <c r="I103" i="17"/>
  <c r="H103" i="17"/>
  <c r="G103" i="17"/>
  <c r="F103" i="17"/>
  <c r="E103" i="17"/>
  <c r="D103" i="17"/>
  <c r="C103" i="17"/>
  <c r="AI103" i="17"/>
  <c r="AC102" i="17"/>
  <c r="AC107" i="17" s="1"/>
  <c r="R102" i="17"/>
  <c r="Q102" i="17"/>
  <c r="P102" i="17"/>
  <c r="O102" i="17"/>
  <c r="N102" i="17"/>
  <c r="M102" i="17"/>
  <c r="L102" i="17"/>
  <c r="K102" i="17"/>
  <c r="J102" i="17"/>
  <c r="I102" i="17"/>
  <c r="I107" i="17" s="1"/>
  <c r="H102" i="17"/>
  <c r="G102" i="17"/>
  <c r="F102" i="17"/>
  <c r="E102" i="17"/>
  <c r="D102" i="17"/>
  <c r="C102" i="17"/>
  <c r="AC101" i="17"/>
  <c r="R101" i="17"/>
  <c r="Q101" i="17"/>
  <c r="P101" i="17"/>
  <c r="O101" i="17"/>
  <c r="O107" i="17" s="1"/>
  <c r="N101" i="17"/>
  <c r="N107" i="17" s="1"/>
  <c r="AV23" i="17" s="1"/>
  <c r="M101" i="17"/>
  <c r="L101" i="17"/>
  <c r="K101" i="17"/>
  <c r="J101" i="17"/>
  <c r="I101" i="17"/>
  <c r="H101" i="17"/>
  <c r="G101" i="17"/>
  <c r="G107" i="17" s="1"/>
  <c r="AR23" i="17" s="1"/>
  <c r="F101" i="17"/>
  <c r="F107" i="17" s="1"/>
  <c r="E101" i="17"/>
  <c r="D101" i="17"/>
  <c r="C101" i="17"/>
  <c r="AI101" i="17"/>
  <c r="AI98" i="17"/>
  <c r="AH98" i="17"/>
  <c r="AI96" i="17"/>
  <c r="AH96" i="17"/>
  <c r="AG96" i="17"/>
  <c r="AI95" i="17"/>
  <c r="AH95" i="17"/>
  <c r="AI94" i="17"/>
  <c r="AH94" i="17"/>
  <c r="AI93" i="17"/>
  <c r="AH93" i="17"/>
  <c r="AG92" i="17"/>
  <c r="AC92" i="17"/>
  <c r="AC108" i="17" s="1"/>
  <c r="R92" i="17"/>
  <c r="Q92" i="17"/>
  <c r="P92" i="17"/>
  <c r="O5" i="17" s="1"/>
  <c r="O92" i="17"/>
  <c r="AW19" i="17" s="1"/>
  <c r="N92" i="17"/>
  <c r="M5" i="17" s="1"/>
  <c r="M92" i="17"/>
  <c r="L5" i="17" s="1"/>
  <c r="L92" i="17"/>
  <c r="K92" i="17"/>
  <c r="J5" i="17" s="1"/>
  <c r="J92" i="17"/>
  <c r="I92" i="17"/>
  <c r="H5" i="17" s="1"/>
  <c r="H92" i="17"/>
  <c r="G5" i="17" s="1"/>
  <c r="G92" i="17"/>
  <c r="F92" i="17"/>
  <c r="F108" i="17" s="1"/>
  <c r="E92" i="17"/>
  <c r="D5" i="17" s="1"/>
  <c r="D92" i="17"/>
  <c r="AO19" i="17" s="1"/>
  <c r="C92" i="17"/>
  <c r="AN19" i="17" s="1"/>
  <c r="AI91" i="17"/>
  <c r="AH91" i="17"/>
  <c r="AI90" i="17"/>
  <c r="AH90" i="17"/>
  <c r="AI89" i="17"/>
  <c r="AH89" i="17"/>
  <c r="AI88" i="17"/>
  <c r="AH88" i="17"/>
  <c r="AI87" i="17"/>
  <c r="AH87" i="17"/>
  <c r="AI86" i="17"/>
  <c r="AH86" i="17"/>
  <c r="AI85" i="17"/>
  <c r="AH85" i="17"/>
  <c r="AI84" i="17"/>
  <c r="AH84" i="17"/>
  <c r="AI83" i="17"/>
  <c r="AH83" i="17"/>
  <c r="AI82" i="17"/>
  <c r="AH82" i="17"/>
  <c r="AI81" i="17"/>
  <c r="AH81" i="17"/>
  <c r="BU80" i="17"/>
  <c r="BM80" i="17"/>
  <c r="BI80" i="17"/>
  <c r="BH80" i="17"/>
  <c r="BG80" i="17"/>
  <c r="BE80" i="17"/>
  <c r="AZ80" i="17"/>
  <c r="AG80" i="17"/>
  <c r="AC80" i="17"/>
  <c r="R80" i="17"/>
  <c r="Q80" i="17"/>
  <c r="P80" i="17"/>
  <c r="O80" i="17"/>
  <c r="N80" i="17"/>
  <c r="AV20" i="17" s="1"/>
  <c r="M80" i="17"/>
  <c r="L80" i="17"/>
  <c r="K80" i="17"/>
  <c r="J80" i="17"/>
  <c r="I80" i="17"/>
  <c r="H80" i="17"/>
  <c r="G80" i="17"/>
  <c r="F80" i="17"/>
  <c r="AQ20" i="17" s="1"/>
  <c r="E80" i="17"/>
  <c r="D80" i="17"/>
  <c r="C80" i="17"/>
  <c r="BS79" i="17"/>
  <c r="BO79" i="17"/>
  <c r="BK79" i="17"/>
  <c r="BJ79" i="17"/>
  <c r="BG79" i="17"/>
  <c r="BC79" i="17"/>
  <c r="BA79" i="17"/>
  <c r="AI79" i="17"/>
  <c r="AH79" i="17"/>
  <c r="BO78" i="17"/>
  <c r="BG78" i="17"/>
  <c r="BE78" i="17"/>
  <c r="BA78" i="17"/>
  <c r="AI78" i="17"/>
  <c r="AH78" i="17"/>
  <c r="BW77" i="17"/>
  <c r="BM77" i="17"/>
  <c r="BK77" i="17"/>
  <c r="AI77" i="17"/>
  <c r="AH77" i="17"/>
  <c r="BU76" i="17"/>
  <c r="BI76" i="17"/>
  <c r="BG76" i="17"/>
  <c r="BE76" i="17"/>
  <c r="BC76" i="17"/>
  <c r="BA76" i="17"/>
  <c r="AC76" i="17"/>
  <c r="R76" i="17"/>
  <c r="Q76" i="17"/>
  <c r="P76" i="17"/>
  <c r="AX18" i="17" s="1"/>
  <c r="O76" i="17"/>
  <c r="AW18" i="17" s="1"/>
  <c r="N76" i="17"/>
  <c r="AV18" i="17" s="1"/>
  <c r="M76" i="17"/>
  <c r="AU18" i="17" s="1"/>
  <c r="L76" i="17"/>
  <c r="K76" i="17"/>
  <c r="AT18" i="17" s="1"/>
  <c r="J76" i="17"/>
  <c r="I76" i="17"/>
  <c r="AS18" i="17" s="1"/>
  <c r="H76" i="17"/>
  <c r="G76" i="17"/>
  <c r="F76" i="17"/>
  <c r="AQ18" i="17" s="1"/>
  <c r="E76" i="17"/>
  <c r="AP18" i="17" s="1"/>
  <c r="D76" i="17"/>
  <c r="C76" i="17"/>
  <c r="AN18" i="17" s="1"/>
  <c r="BS75" i="17"/>
  <c r="BK75" i="17"/>
  <c r="BI75" i="17"/>
  <c r="BA75" i="17"/>
  <c r="AI75" i="17"/>
  <c r="AH75" i="17"/>
  <c r="AG75" i="17"/>
  <c r="AG76" i="17" s="1"/>
  <c r="AI74" i="17"/>
  <c r="AH74" i="17"/>
  <c r="BW73" i="17"/>
  <c r="BW80" i="17" s="1"/>
  <c r="BV73" i="17"/>
  <c r="BV80" i="17" s="1"/>
  <c r="BU73" i="17"/>
  <c r="BT73" i="17"/>
  <c r="BT80" i="17" s="1"/>
  <c r="BS73" i="17"/>
  <c r="BS80" i="17" s="1"/>
  <c r="BR73" i="17"/>
  <c r="BR80" i="17" s="1"/>
  <c r="BQ73" i="17"/>
  <c r="BQ80" i="17" s="1"/>
  <c r="BP73" i="17"/>
  <c r="BP80" i="17" s="1"/>
  <c r="BO73" i="17"/>
  <c r="BO80" i="17" s="1"/>
  <c r="BN73" i="17"/>
  <c r="BN80" i="17" s="1"/>
  <c r="BM73" i="17"/>
  <c r="BL73" i="17"/>
  <c r="BL80" i="17" s="1"/>
  <c r="BK73" i="17"/>
  <c r="BK80" i="17" s="1"/>
  <c r="BJ73" i="17"/>
  <c r="BJ80" i="17" s="1"/>
  <c r="BI73" i="17"/>
  <c r="BH73" i="17"/>
  <c r="BG73" i="17"/>
  <c r="BF73" i="17"/>
  <c r="BF80" i="17" s="1"/>
  <c r="BE73" i="17"/>
  <c r="BD73" i="17"/>
  <c r="BD80" i="17" s="1"/>
  <c r="BC73" i="17"/>
  <c r="BC80" i="17" s="1"/>
  <c r="BB73" i="17"/>
  <c r="BB80" i="17" s="1"/>
  <c r="BA73" i="17"/>
  <c r="BA80" i="17" s="1"/>
  <c r="AZ73" i="17"/>
  <c r="AI73" i="17"/>
  <c r="AH73" i="17"/>
  <c r="BW72" i="17"/>
  <c r="BW79" i="17" s="1"/>
  <c r="BV72" i="17"/>
  <c r="BV79" i="17" s="1"/>
  <c r="BU72" i="17"/>
  <c r="BU79" i="17" s="1"/>
  <c r="BT72" i="17"/>
  <c r="BT79" i="17" s="1"/>
  <c r="BS72" i="17"/>
  <c r="BR72" i="17"/>
  <c r="BR79" i="17" s="1"/>
  <c r="BQ72" i="17"/>
  <c r="BQ79" i="17" s="1"/>
  <c r="BP72" i="17"/>
  <c r="BP79" i="17" s="1"/>
  <c r="BO72" i="17"/>
  <c r="BN72" i="17"/>
  <c r="BN79" i="17" s="1"/>
  <c r="BM72" i="17"/>
  <c r="BM79" i="17" s="1"/>
  <c r="BL72" i="17"/>
  <c r="BL79" i="17" s="1"/>
  <c r="BK72" i="17"/>
  <c r="BJ72" i="17"/>
  <c r="BI72" i="17"/>
  <c r="BI79" i="17" s="1"/>
  <c r="BH72" i="17"/>
  <c r="BH79" i="17" s="1"/>
  <c r="BG72" i="17"/>
  <c r="BF72" i="17"/>
  <c r="BF79" i="17" s="1"/>
  <c r="BE72" i="17"/>
  <c r="BE79" i="17" s="1"/>
  <c r="BD72" i="17"/>
  <c r="BD79" i="17" s="1"/>
  <c r="BC72" i="17"/>
  <c r="BB72" i="17"/>
  <c r="BB79" i="17" s="1"/>
  <c r="BA72" i="17"/>
  <c r="AZ72" i="17"/>
  <c r="AZ79" i="17" s="1"/>
  <c r="AI72" i="17"/>
  <c r="AH72" i="17"/>
  <c r="BW71" i="17"/>
  <c r="BW78" i="17" s="1"/>
  <c r="BV71" i="17"/>
  <c r="BV78" i="17" s="1"/>
  <c r="BU71" i="17"/>
  <c r="BU78" i="17" s="1"/>
  <c r="BT71" i="17"/>
  <c r="BT78" i="17" s="1"/>
  <c r="BS71" i="17"/>
  <c r="BS78" i="17" s="1"/>
  <c r="BR71" i="17"/>
  <c r="BR78" i="17" s="1"/>
  <c r="BQ71" i="17"/>
  <c r="BQ78" i="17" s="1"/>
  <c r="BP71" i="17"/>
  <c r="BP78" i="17" s="1"/>
  <c r="BO71" i="17"/>
  <c r="BN71" i="17"/>
  <c r="BN78" i="17" s="1"/>
  <c r="BM71" i="17"/>
  <c r="BM78" i="17" s="1"/>
  <c r="BL71" i="17"/>
  <c r="BL78" i="17" s="1"/>
  <c r="BK71" i="17"/>
  <c r="BK78" i="17" s="1"/>
  <c r="BJ71" i="17"/>
  <c r="BJ78" i="17" s="1"/>
  <c r="BI71" i="17"/>
  <c r="BI78" i="17" s="1"/>
  <c r="BH71" i="17"/>
  <c r="BH78" i="17" s="1"/>
  <c r="BG71" i="17"/>
  <c r="BF71" i="17"/>
  <c r="BF78" i="17" s="1"/>
  <c r="BE71" i="17"/>
  <c r="BD71" i="17"/>
  <c r="BD78" i="17" s="1"/>
  <c r="BC71" i="17"/>
  <c r="BC78" i="17" s="1"/>
  <c r="BB71" i="17"/>
  <c r="BB78" i="17" s="1"/>
  <c r="BA71" i="17"/>
  <c r="AZ71" i="17"/>
  <c r="AZ78" i="17" s="1"/>
  <c r="AI71" i="17"/>
  <c r="AH71" i="17"/>
  <c r="BW70" i="17"/>
  <c r="BV70" i="17"/>
  <c r="BV77" i="17" s="1"/>
  <c r="BU70" i="17"/>
  <c r="BU77" i="17" s="1"/>
  <c r="BT70" i="17"/>
  <c r="BT77" i="17" s="1"/>
  <c r="BS70" i="17"/>
  <c r="BS77" i="17" s="1"/>
  <c r="BR70" i="17"/>
  <c r="BR77" i="17" s="1"/>
  <c r="BQ70" i="17"/>
  <c r="BQ77" i="17" s="1"/>
  <c r="BP70" i="17"/>
  <c r="BP77" i="17" s="1"/>
  <c r="BO70" i="17"/>
  <c r="BO77" i="17" s="1"/>
  <c r="BN70" i="17"/>
  <c r="BN77" i="17" s="1"/>
  <c r="BM70" i="17"/>
  <c r="BL70" i="17"/>
  <c r="BL77" i="17" s="1"/>
  <c r="BK70" i="17"/>
  <c r="BJ70" i="17"/>
  <c r="BJ77" i="17" s="1"/>
  <c r="BI70" i="17"/>
  <c r="BI77" i="17" s="1"/>
  <c r="BH70" i="17"/>
  <c r="BH77" i="17" s="1"/>
  <c r="BG70" i="17"/>
  <c r="BG77" i="17" s="1"/>
  <c r="BF70" i="17"/>
  <c r="BF77" i="17" s="1"/>
  <c r="BE70" i="17"/>
  <c r="BE77" i="17" s="1"/>
  <c r="BD70" i="17"/>
  <c r="BD77" i="17" s="1"/>
  <c r="BC70" i="17"/>
  <c r="BC77" i="17" s="1"/>
  <c r="BB70" i="17"/>
  <c r="BB77" i="17" s="1"/>
  <c r="BA70" i="17"/>
  <c r="BA77" i="17" s="1"/>
  <c r="AZ70" i="17"/>
  <c r="AZ77" i="17" s="1"/>
  <c r="AI70" i="17"/>
  <c r="AH70" i="17"/>
  <c r="BW69" i="17"/>
  <c r="BW76" i="17" s="1"/>
  <c r="BV69" i="17"/>
  <c r="BV76" i="17" s="1"/>
  <c r="BU69" i="17"/>
  <c r="BT69" i="17"/>
  <c r="BT76" i="17" s="1"/>
  <c r="BS69" i="17"/>
  <c r="BS76" i="17" s="1"/>
  <c r="BR69" i="17"/>
  <c r="BR76" i="17" s="1"/>
  <c r="BQ69" i="17"/>
  <c r="BQ76" i="17" s="1"/>
  <c r="BP69" i="17"/>
  <c r="BP76" i="17" s="1"/>
  <c r="BO69" i="17"/>
  <c r="BO76" i="17" s="1"/>
  <c r="BN69" i="17"/>
  <c r="BN76" i="17" s="1"/>
  <c r="BM69" i="17"/>
  <c r="BM76" i="17" s="1"/>
  <c r="BL69" i="17"/>
  <c r="BL76" i="17" s="1"/>
  <c r="BK69" i="17"/>
  <c r="BK76" i="17" s="1"/>
  <c r="BJ69" i="17"/>
  <c r="BJ76" i="17" s="1"/>
  <c r="BI69" i="17"/>
  <c r="BH69" i="17"/>
  <c r="BH76" i="17" s="1"/>
  <c r="BG69" i="17"/>
  <c r="BF69" i="17"/>
  <c r="BF76" i="17" s="1"/>
  <c r="BE69" i="17"/>
  <c r="BD69" i="17"/>
  <c r="BD76" i="17" s="1"/>
  <c r="BC69" i="17"/>
  <c r="BB69" i="17"/>
  <c r="BB76" i="17" s="1"/>
  <c r="BA69" i="17"/>
  <c r="AZ69" i="17"/>
  <c r="AZ76" i="17" s="1"/>
  <c r="AI69" i="17"/>
  <c r="AH69" i="17"/>
  <c r="BW68" i="17"/>
  <c r="BW75" i="17" s="1"/>
  <c r="BV68" i="17"/>
  <c r="BV75" i="17" s="1"/>
  <c r="BU68" i="17"/>
  <c r="BU75" i="17" s="1"/>
  <c r="BT68" i="17"/>
  <c r="BT75" i="17" s="1"/>
  <c r="BS68" i="17"/>
  <c r="BR68" i="17"/>
  <c r="BR75" i="17" s="1"/>
  <c r="BQ68" i="17"/>
  <c r="BQ75" i="17" s="1"/>
  <c r="BP68" i="17"/>
  <c r="BP75" i="17" s="1"/>
  <c r="BO68" i="17"/>
  <c r="BO75" i="17" s="1"/>
  <c r="BN68" i="17"/>
  <c r="BN75" i="17" s="1"/>
  <c r="BM68" i="17"/>
  <c r="BM75" i="17" s="1"/>
  <c r="BL68" i="17"/>
  <c r="BL75" i="17" s="1"/>
  <c r="BK68" i="17"/>
  <c r="BJ68" i="17"/>
  <c r="BJ75" i="17" s="1"/>
  <c r="BI68" i="17"/>
  <c r="BH68" i="17"/>
  <c r="BH75" i="17" s="1"/>
  <c r="BG68" i="17"/>
  <c r="BG75" i="17" s="1"/>
  <c r="BF68" i="17"/>
  <c r="BF75" i="17" s="1"/>
  <c r="BE68" i="17"/>
  <c r="BE75" i="17" s="1"/>
  <c r="BD68" i="17"/>
  <c r="BD75" i="17" s="1"/>
  <c r="BC68" i="17"/>
  <c r="BC75" i="17" s="1"/>
  <c r="BB68" i="17"/>
  <c r="BB75" i="17" s="1"/>
  <c r="BA68" i="17"/>
  <c r="AZ68" i="17"/>
  <c r="AI68" i="17"/>
  <c r="AH68" i="17"/>
  <c r="AI67" i="17"/>
  <c r="AH67" i="17"/>
  <c r="AI66" i="17"/>
  <c r="AH66" i="17"/>
  <c r="AI65" i="17"/>
  <c r="AH65" i="17"/>
  <c r="AI64" i="17"/>
  <c r="AH64" i="17"/>
  <c r="AI63" i="17"/>
  <c r="AH63" i="17"/>
  <c r="AG62" i="17"/>
  <c r="AC62" i="17"/>
  <c r="R62" i="17"/>
  <c r="P62" i="17"/>
  <c r="O62" i="17"/>
  <c r="AW17" i="17" s="1"/>
  <c r="N62" i="17"/>
  <c r="AV17" i="17" s="1"/>
  <c r="AU17" i="17"/>
  <c r="K62" i="17"/>
  <c r="AT17" i="17" s="1"/>
  <c r="J62" i="17"/>
  <c r="I62" i="17"/>
  <c r="AS17" i="17" s="1"/>
  <c r="H62" i="17"/>
  <c r="G62" i="17"/>
  <c r="AR17" i="17" s="1"/>
  <c r="F62" i="17"/>
  <c r="AQ17" i="17" s="1"/>
  <c r="E62" i="17"/>
  <c r="AP17" i="17" s="1"/>
  <c r="D62" i="17"/>
  <c r="AO17" i="17" s="1"/>
  <c r="C62" i="17"/>
  <c r="AN17" i="17" s="1"/>
  <c r="AI61" i="17"/>
  <c r="AH61" i="17"/>
  <c r="AI60" i="17"/>
  <c r="AH60" i="17"/>
  <c r="AI59" i="17"/>
  <c r="AH59" i="17"/>
  <c r="AG58" i="17"/>
  <c r="AF7" i="17"/>
  <c r="AD7" i="17"/>
  <c r="AC58" i="17"/>
  <c r="Z7" i="17"/>
  <c r="X7" i="17"/>
  <c r="W7" i="17"/>
  <c r="R58" i="17"/>
  <c r="Q58" i="17"/>
  <c r="P58" i="17"/>
  <c r="O58" i="17"/>
  <c r="AW16" i="17" s="1"/>
  <c r="N58" i="17"/>
  <c r="AV16" i="17" s="1"/>
  <c r="K58" i="17"/>
  <c r="AT16" i="17" s="1"/>
  <c r="J58" i="17"/>
  <c r="I58" i="17"/>
  <c r="H58" i="17"/>
  <c r="G58" i="17"/>
  <c r="F58" i="17"/>
  <c r="E58" i="17"/>
  <c r="D58" i="17"/>
  <c r="AO16" i="17" s="1"/>
  <c r="C58" i="17"/>
  <c r="AN16" i="17" s="1"/>
  <c r="AI57" i="17"/>
  <c r="AH57" i="17"/>
  <c r="AI56" i="17"/>
  <c r="AH56" i="17"/>
  <c r="AI55" i="17"/>
  <c r="AH55" i="17"/>
  <c r="AI54" i="17"/>
  <c r="AH54" i="17"/>
  <c r="AI53" i="17"/>
  <c r="AH53" i="17"/>
  <c r="AI52" i="17"/>
  <c r="AH52" i="17"/>
  <c r="AI51" i="17"/>
  <c r="AH51" i="17"/>
  <c r="AI50" i="17"/>
  <c r="AH50" i="17"/>
  <c r="AI49" i="17"/>
  <c r="AH49" i="17"/>
  <c r="AI48" i="17"/>
  <c r="AH48" i="17"/>
  <c r="AI47" i="17"/>
  <c r="AH47" i="17"/>
  <c r="AI46" i="17"/>
  <c r="AH46" i="17"/>
  <c r="AI45" i="17"/>
  <c r="AH45" i="17"/>
  <c r="AI44" i="17"/>
  <c r="AH44" i="17"/>
  <c r="AI43" i="17"/>
  <c r="AH43" i="17"/>
  <c r="AI42" i="17"/>
  <c r="AH42" i="17"/>
  <c r="AI41" i="17"/>
  <c r="AH41" i="17"/>
  <c r="AI40" i="17"/>
  <c r="AH40" i="17"/>
  <c r="AI39" i="17"/>
  <c r="AH39" i="17"/>
  <c r="AI38" i="17"/>
  <c r="AH38" i="17"/>
  <c r="AI37" i="17"/>
  <c r="AH37" i="17"/>
  <c r="AI36" i="17"/>
  <c r="AH36" i="17"/>
  <c r="AI35" i="17"/>
  <c r="AH35" i="17"/>
  <c r="AI34" i="17"/>
  <c r="AH34" i="17"/>
  <c r="AI33" i="17"/>
  <c r="AH33" i="17"/>
  <c r="AI32" i="17"/>
  <c r="AH32" i="17"/>
  <c r="AI31" i="17"/>
  <c r="AH31" i="17"/>
  <c r="AI30" i="17"/>
  <c r="AH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W23" i="17"/>
  <c r="AS23" i="17"/>
  <c r="AQ23" i="17"/>
  <c r="AI23" i="17"/>
  <c r="AH23" i="17"/>
  <c r="AI22" i="17"/>
  <c r="AH22" i="17"/>
  <c r="AX21" i="17"/>
  <c r="AW21" i="17"/>
  <c r="AV21" i="17"/>
  <c r="AU21" i="17"/>
  <c r="AT21" i="17"/>
  <c r="AS21" i="17"/>
  <c r="AR21" i="17"/>
  <c r="AQ21" i="17"/>
  <c r="AP21" i="17"/>
  <c r="AO21" i="17"/>
  <c r="AN21" i="17"/>
  <c r="AM21" i="17"/>
  <c r="AI21" i="17"/>
  <c r="AH21" i="17"/>
  <c r="AX20" i="17"/>
  <c r="AW20" i="17"/>
  <c r="AU20" i="17"/>
  <c r="AS20" i="17"/>
  <c r="AR20" i="17"/>
  <c r="AP20" i="17"/>
  <c r="AO20" i="17"/>
  <c r="AI20" i="17"/>
  <c r="AH20" i="17"/>
  <c r="AM19" i="17"/>
  <c r="AI19" i="17"/>
  <c r="AH19" i="17"/>
  <c r="AR18" i="17"/>
  <c r="AM18" i="17"/>
  <c r="AI18" i="17"/>
  <c r="AH18" i="17"/>
  <c r="AX17" i="17"/>
  <c r="AM17" i="17"/>
  <c r="AI17" i="17"/>
  <c r="AH17" i="17"/>
  <c r="AU16" i="17"/>
  <c r="AM16" i="17"/>
  <c r="AI16" i="17"/>
  <c r="AH16" i="17"/>
  <c r="AI15" i="17"/>
  <c r="AH15" i="17"/>
  <c r="AI14" i="17"/>
  <c r="AH14" i="17"/>
  <c r="AI13" i="17"/>
  <c r="AH13" i="17"/>
  <c r="AL12" i="17"/>
  <c r="AI12" i="17"/>
  <c r="AH12" i="17"/>
  <c r="AI11" i="17"/>
  <c r="AH11" i="17"/>
  <c r="Y7" i="17"/>
  <c r="AF5" i="17"/>
  <c r="AE5" i="17"/>
  <c r="AD5" i="17"/>
  <c r="AC5" i="17"/>
  <c r="AA5" i="17"/>
  <c r="Z5" i="17"/>
  <c r="Y5" i="17"/>
  <c r="X5" i="17"/>
  <c r="W5" i="17"/>
  <c r="V5" i="17"/>
  <c r="U5" i="17"/>
  <c r="T5" i="17"/>
  <c r="S5" i="17"/>
  <c r="R5" i="17"/>
  <c r="Q5" i="17"/>
  <c r="P5" i="17"/>
  <c r="AG4" i="17"/>
  <c r="K4" i="17"/>
  <c r="E4" i="17"/>
  <c r="H4" i="17" s="1"/>
  <c r="B4" i="17"/>
  <c r="D258" i="17" s="1"/>
  <c r="AG2" i="17"/>
  <c r="AF121" i="16"/>
  <c r="AF57" i="16"/>
  <c r="AF58" i="16"/>
  <c r="AF62" i="16"/>
  <c r="AF76" i="16"/>
  <c r="AF80" i="16"/>
  <c r="AF251" i="19" l="1"/>
  <c r="AE252" i="19"/>
  <c r="AE118" i="19"/>
  <c r="Q246" i="18"/>
  <c r="P252" i="18"/>
  <c r="AB5" i="17"/>
  <c r="R107" i="17"/>
  <c r="R108" i="17" s="1"/>
  <c r="R97" i="17"/>
  <c r="R99" i="17" s="1"/>
  <c r="R100" i="17" s="1"/>
  <c r="R7" i="17" s="1"/>
  <c r="Q107" i="17"/>
  <c r="Q97" i="17"/>
  <c r="Q99" i="17" s="1"/>
  <c r="Q100" i="17" s="1"/>
  <c r="Q7" i="17" s="1"/>
  <c r="P107" i="17"/>
  <c r="AX19" i="17"/>
  <c r="AX23" i="17"/>
  <c r="P108" i="17"/>
  <c r="O108" i="17"/>
  <c r="AW22" i="17"/>
  <c r="AW24" i="17" s="1"/>
  <c r="N5" i="17"/>
  <c r="O97" i="17"/>
  <c r="O99" i="17" s="1"/>
  <c r="O100" i="17" s="1"/>
  <c r="O7" i="17" s="1"/>
  <c r="AV19" i="17"/>
  <c r="N108" i="17"/>
  <c r="AV22" i="17"/>
  <c r="AV24" i="17" s="1"/>
  <c r="AU19" i="17"/>
  <c r="M107" i="17"/>
  <c r="AU23" i="17" s="1"/>
  <c r="K5" i="17"/>
  <c r="L107" i="17"/>
  <c r="L108" i="17" s="1"/>
  <c r="AU22" i="17"/>
  <c r="K107" i="17"/>
  <c r="AT23" i="17" s="1"/>
  <c r="AT19" i="17"/>
  <c r="J107" i="17"/>
  <c r="J108" i="17" s="1"/>
  <c r="I5" i="17"/>
  <c r="J97" i="17"/>
  <c r="J99" i="17" s="1"/>
  <c r="J100" i="17" s="1"/>
  <c r="J7" i="17" s="1"/>
  <c r="AS19" i="17"/>
  <c r="I97" i="17"/>
  <c r="I99" i="17" s="1"/>
  <c r="I100" i="17" s="1"/>
  <c r="I7" i="17" s="1"/>
  <c r="H107" i="17"/>
  <c r="H108" i="17"/>
  <c r="H97" i="17"/>
  <c r="H99" i="17" s="1"/>
  <c r="H100" i="17" s="1"/>
  <c r="H7" i="17" s="1"/>
  <c r="G108" i="17"/>
  <c r="F5" i="17"/>
  <c r="AR19" i="17"/>
  <c r="G97" i="17"/>
  <c r="G99" i="17" s="1"/>
  <c r="G100" i="17" s="1"/>
  <c r="G7" i="17" s="1"/>
  <c r="AR16" i="17"/>
  <c r="AR22" i="17" s="1"/>
  <c r="AR24" i="17" s="1"/>
  <c r="E5" i="17"/>
  <c r="AQ19" i="17"/>
  <c r="F97" i="17"/>
  <c r="F99" i="17" s="1"/>
  <c r="F100" i="17" s="1"/>
  <c r="F7" i="17" s="1"/>
  <c r="E107" i="17"/>
  <c r="AP23" i="17" s="1"/>
  <c r="AH104" i="17"/>
  <c r="AP19" i="17"/>
  <c r="AH76" i="17"/>
  <c r="C5" i="17"/>
  <c r="D107" i="17"/>
  <c r="AO23" i="17" s="1"/>
  <c r="AO18" i="17"/>
  <c r="AI58" i="17"/>
  <c r="B5" i="17"/>
  <c r="AI76" i="17"/>
  <c r="B108" i="17"/>
  <c r="B97" i="17"/>
  <c r="B99" i="17" s="1"/>
  <c r="B100" i="17" s="1"/>
  <c r="AM22" i="17"/>
  <c r="AH102" i="17"/>
  <c r="AI80" i="17"/>
  <c r="AG99" i="17"/>
  <c r="AG97" i="17"/>
  <c r="AG3" i="17"/>
  <c r="AL13" i="17"/>
  <c r="AN22" i="17"/>
  <c r="AG6" i="17"/>
  <c r="AO22" i="17"/>
  <c r="AO24" i="17" s="1"/>
  <c r="P97" i="17"/>
  <c r="P99" i="17" s="1"/>
  <c r="P100" i="17" s="1"/>
  <c r="P7" i="17" s="1"/>
  <c r="AX16" i="17"/>
  <c r="AX22" i="17" s="1"/>
  <c r="AX24" i="17" s="1"/>
  <c r="AI62" i="17"/>
  <c r="AQ16" i="17"/>
  <c r="AQ22" i="17" s="1"/>
  <c r="AQ24" i="17" s="1"/>
  <c r="AE7" i="17"/>
  <c r="AH62" i="17"/>
  <c r="D97" i="17"/>
  <c r="D99" i="17" s="1"/>
  <c r="D100" i="17" s="1"/>
  <c r="D7" i="17" s="1"/>
  <c r="L97" i="17"/>
  <c r="L99" i="17" s="1"/>
  <c r="T7" i="17"/>
  <c r="AB7" i="17"/>
  <c r="BG84" i="17" a="1"/>
  <c r="AZ75" i="17"/>
  <c r="AN20" i="17"/>
  <c r="E97" i="17"/>
  <c r="E99" i="17" s="1"/>
  <c r="AP16" i="17"/>
  <c r="AP22" i="17" s="1"/>
  <c r="AP24" i="17" s="1"/>
  <c r="M97" i="17"/>
  <c r="M99" i="17" s="1"/>
  <c r="M100" i="17" s="1"/>
  <c r="M7" i="17" s="1"/>
  <c r="U7" i="17"/>
  <c r="AC97" i="17"/>
  <c r="AC99" i="17" s="1"/>
  <c r="AC100" i="17" s="1"/>
  <c r="AC7" i="17" s="1"/>
  <c r="N97" i="17"/>
  <c r="N99" i="17" s="1"/>
  <c r="N100" i="17" s="1"/>
  <c r="N7" i="17" s="1"/>
  <c r="V7" i="17"/>
  <c r="AH80" i="17"/>
  <c r="C97" i="17"/>
  <c r="C99" i="17" s="1"/>
  <c r="AT20" i="17"/>
  <c r="AT22" i="17" s="1"/>
  <c r="AT24" i="17" s="1"/>
  <c r="K97" i="17"/>
  <c r="K99" i="17" s="1"/>
  <c r="K100" i="17" s="1"/>
  <c r="K7" i="17" s="1"/>
  <c r="S7" i="17"/>
  <c r="AA7" i="17"/>
  <c r="K108" i="17"/>
  <c r="C107" i="17"/>
  <c r="AN23" i="17" s="1"/>
  <c r="D252" i="17"/>
  <c r="E247" i="17"/>
  <c r="M108" i="17"/>
  <c r="AS16" i="17"/>
  <c r="AS22" i="17" s="1"/>
  <c r="AS24" i="17" s="1"/>
  <c r="AH58" i="17"/>
  <c r="H246" i="17"/>
  <c r="I108" i="17"/>
  <c r="Q108" i="17"/>
  <c r="D118" i="17"/>
  <c r="E251" i="17"/>
  <c r="AI92" i="17"/>
  <c r="AH92" i="17"/>
  <c r="AH101" i="17"/>
  <c r="AI102" i="17"/>
  <c r="AH103" i="17"/>
  <c r="AI104" i="17"/>
  <c r="AI105" i="17"/>
  <c r="AH105" i="17"/>
  <c r="AE121" i="16"/>
  <c r="AE57" i="16"/>
  <c r="AE58" i="16"/>
  <c r="AE62" i="16"/>
  <c r="AE76" i="16"/>
  <c r="AE80" i="16"/>
  <c r="AD121" i="16"/>
  <c r="AD57" i="16"/>
  <c r="AC57" i="16"/>
  <c r="AB121" i="16"/>
  <c r="AB57" i="16"/>
  <c r="AB58" i="16"/>
  <c r="AB62" i="16"/>
  <c r="AB76" i="16"/>
  <c r="AB80" i="16"/>
  <c r="AB92" i="16"/>
  <c r="AB101" i="16"/>
  <c r="AB107" i="16" s="1"/>
  <c r="AB102" i="16"/>
  <c r="AB103" i="16"/>
  <c r="AB104" i="16"/>
  <c r="AB105" i="16"/>
  <c r="AB118" i="16"/>
  <c r="B251" i="19" l="1"/>
  <c r="AF252" i="19"/>
  <c r="AF118" i="19"/>
  <c r="Q252" i="18"/>
  <c r="Q118" i="18"/>
  <c r="R246" i="18"/>
  <c r="AU24" i="17"/>
  <c r="L100" i="17"/>
  <c r="L7" i="17" s="1"/>
  <c r="E108" i="17"/>
  <c r="E100" i="17"/>
  <c r="E7" i="17" s="1"/>
  <c r="D108" i="17"/>
  <c r="AN24" i="17"/>
  <c r="C108" i="17"/>
  <c r="F247" i="17"/>
  <c r="E252" i="17"/>
  <c r="AI97" i="17"/>
  <c r="AH97" i="17"/>
  <c r="AT8" i="17"/>
  <c r="AI107" i="17"/>
  <c r="AH107" i="17"/>
  <c r="AM23" i="17"/>
  <c r="AM24" i="17" s="1"/>
  <c r="AT9" i="17" s="1"/>
  <c r="I246" i="17"/>
  <c r="BH107" i="17"/>
  <c r="BL105" i="17"/>
  <c r="BJ104" i="17"/>
  <c r="BH103" i="17"/>
  <c r="BL101" i="17"/>
  <c r="BJ100" i="17"/>
  <c r="BH99" i="17"/>
  <c r="BL97" i="17"/>
  <c r="BJ96" i="17"/>
  <c r="BH95" i="17"/>
  <c r="BL93" i="17"/>
  <c r="BJ92" i="17"/>
  <c r="BH91" i="17"/>
  <c r="BL89" i="17"/>
  <c r="BJ88" i="17"/>
  <c r="BH87" i="17"/>
  <c r="BL85" i="17"/>
  <c r="BJ84" i="17"/>
  <c r="BL107" i="17"/>
  <c r="BJ106" i="17"/>
  <c r="BH105" i="17"/>
  <c r="BL103" i="17"/>
  <c r="BJ102" i="17"/>
  <c r="BH101" i="17"/>
  <c r="BL99" i="17"/>
  <c r="BJ98" i="17"/>
  <c r="BH97" i="17"/>
  <c r="BL95" i="17"/>
  <c r="BJ94" i="17"/>
  <c r="BH93" i="17"/>
  <c r="BL91" i="17"/>
  <c r="BJ90" i="17"/>
  <c r="BH89" i="17"/>
  <c r="BL87" i="17"/>
  <c r="BJ86" i="17"/>
  <c r="BH85" i="17"/>
  <c r="BJ107" i="17"/>
  <c r="BK105" i="17"/>
  <c r="BG104" i="17"/>
  <c r="BH102" i="17"/>
  <c r="BI100" i="17"/>
  <c r="BK98" i="17"/>
  <c r="BL96" i="17"/>
  <c r="BG95" i="17"/>
  <c r="BI93" i="17"/>
  <c r="BJ91" i="17"/>
  <c r="BK89" i="17"/>
  <c r="BG88" i="17"/>
  <c r="BI107" i="17"/>
  <c r="BJ105" i="17"/>
  <c r="BK103" i="17"/>
  <c r="BG102" i="17"/>
  <c r="BH100" i="17"/>
  <c r="BI98" i="17"/>
  <c r="BK96" i="17"/>
  <c r="BL94" i="17"/>
  <c r="BG93" i="17"/>
  <c r="BI91" i="17"/>
  <c r="BJ89" i="17"/>
  <c r="BK87" i="17"/>
  <c r="BG86" i="17"/>
  <c r="BH84" i="17"/>
  <c r="BG107" i="17"/>
  <c r="BI105" i="17"/>
  <c r="BJ103" i="17"/>
  <c r="BK101" i="17"/>
  <c r="BG100" i="17"/>
  <c r="BH98" i="17"/>
  <c r="BI96" i="17"/>
  <c r="BK94" i="17"/>
  <c r="BL92" i="17"/>
  <c r="BG91" i="17"/>
  <c r="BI89" i="17"/>
  <c r="BJ87" i="17"/>
  <c r="BK85" i="17"/>
  <c r="BG84" i="17"/>
  <c r="BL106" i="17"/>
  <c r="BI103" i="17"/>
  <c r="BJ101" i="17"/>
  <c r="BK99" i="17"/>
  <c r="BG98" i="17"/>
  <c r="BH96" i="17"/>
  <c r="BI94" i="17"/>
  <c r="BK92" i="17"/>
  <c r="BL90" i="17"/>
  <c r="BG89" i="17"/>
  <c r="BI87" i="17"/>
  <c r="BJ85" i="17"/>
  <c r="BG105" i="17"/>
  <c r="BK106" i="17"/>
  <c r="BL104" i="17"/>
  <c r="BG103" i="17"/>
  <c r="BI101" i="17"/>
  <c r="BJ99" i="17"/>
  <c r="BK97" i="17"/>
  <c r="BG96" i="17"/>
  <c r="BH94" i="17"/>
  <c r="BI92" i="17"/>
  <c r="BK90" i="17"/>
  <c r="BL88" i="17"/>
  <c r="BG87" i="17"/>
  <c r="BI85" i="17"/>
  <c r="BI106" i="17"/>
  <c r="BK104" i="17"/>
  <c r="BL102" i="17"/>
  <c r="BG101" i="17"/>
  <c r="BI99" i="17"/>
  <c r="BJ97" i="17"/>
  <c r="BK95" i="17"/>
  <c r="BG94" i="17"/>
  <c r="BH92" i="17"/>
  <c r="BI90" i="17"/>
  <c r="BK88" i="17"/>
  <c r="BL86" i="17"/>
  <c r="BG85" i="17"/>
  <c r="BH106" i="17"/>
  <c r="BI104" i="17"/>
  <c r="BK102" i="17"/>
  <c r="BL100" i="17"/>
  <c r="BG99" i="17"/>
  <c r="BI97" i="17"/>
  <c r="BJ95" i="17"/>
  <c r="BK93" i="17"/>
  <c r="BG92" i="17"/>
  <c r="BH90" i="17"/>
  <c r="BI88" i="17"/>
  <c r="BK86" i="17"/>
  <c r="BL84" i="17"/>
  <c r="BK107" i="17"/>
  <c r="BG106" i="17"/>
  <c r="BH104" i="17"/>
  <c r="BI102" i="17"/>
  <c r="BK100" i="17"/>
  <c r="BL98" i="17"/>
  <c r="BG97" i="17"/>
  <c r="BI95" i="17"/>
  <c r="BJ93" i="17"/>
  <c r="BK91" i="17"/>
  <c r="BG90" i="17"/>
  <c r="BH88" i="17"/>
  <c r="BI86" i="17"/>
  <c r="BH86" i="17"/>
  <c r="BK84" i="17"/>
  <c r="BI84" i="17"/>
  <c r="C256" i="17"/>
  <c r="F251" i="17"/>
  <c r="E118" i="17"/>
  <c r="C100" i="17"/>
  <c r="C7" i="17" s="1"/>
  <c r="B256" i="17"/>
  <c r="AB97" i="16"/>
  <c r="AB99" i="16" s="1"/>
  <c r="AB100" i="16" s="1"/>
  <c r="AB108" i="16"/>
  <c r="B252" i="19" l="1"/>
  <c r="B118" i="19"/>
  <c r="R252" i="18"/>
  <c r="R118" i="18"/>
  <c r="S246" i="18"/>
  <c r="G251" i="17"/>
  <c r="F118" i="17"/>
  <c r="J246" i="17"/>
  <c r="AI99" i="17"/>
  <c r="AH99" i="17"/>
  <c r="K6" i="17"/>
  <c r="AH108" i="17"/>
  <c r="AI108" i="17"/>
  <c r="G247" i="17"/>
  <c r="F252" i="17"/>
  <c r="T123" i="16"/>
  <c r="AH118" i="19" l="1"/>
  <c r="AI118" i="19"/>
  <c r="S252" i="18"/>
  <c r="T246" i="18"/>
  <c r="AI100" i="17"/>
  <c r="AH100" i="17"/>
  <c r="B7" i="17"/>
  <c r="A7" i="17" s="1"/>
  <c r="K246" i="17"/>
  <c r="H247" i="17"/>
  <c r="G252" i="17"/>
  <c r="H251" i="17"/>
  <c r="G118" i="17"/>
  <c r="Q123" i="16"/>
  <c r="Q57" i="16"/>
  <c r="T252" i="18" l="1"/>
  <c r="U246" i="18"/>
  <c r="I251" i="17"/>
  <c r="H118" i="17"/>
  <c r="I247" i="17"/>
  <c r="H252" i="17"/>
  <c r="L246" i="17"/>
  <c r="P123" i="16"/>
  <c r="P57" i="16"/>
  <c r="O123" i="16"/>
  <c r="O57" i="16"/>
  <c r="N123" i="16"/>
  <c r="N57" i="16"/>
  <c r="V246" i="18" l="1"/>
  <c r="U252" i="18"/>
  <c r="M246" i="17"/>
  <c r="J247" i="17"/>
  <c r="I252" i="17"/>
  <c r="J251" i="17"/>
  <c r="I118" i="17"/>
  <c r="L123" i="16"/>
  <c r="L57" i="16"/>
  <c r="K123" i="16"/>
  <c r="K57" i="16"/>
  <c r="J123" i="16"/>
  <c r="J57" i="16"/>
  <c r="I123" i="16"/>
  <c r="I57" i="16"/>
  <c r="H123" i="16"/>
  <c r="H57" i="16"/>
  <c r="G123" i="16"/>
  <c r="G57" i="16"/>
  <c r="W246" i="18" l="1"/>
  <c r="V252" i="18"/>
  <c r="K251" i="17"/>
  <c r="J118" i="17"/>
  <c r="K247" i="17"/>
  <c r="J252" i="17"/>
  <c r="N246" i="17"/>
  <c r="F123" i="16"/>
  <c r="F57" i="16"/>
  <c r="X246" i="18" l="1"/>
  <c r="W252" i="18"/>
  <c r="O246" i="17"/>
  <c r="L247" i="17"/>
  <c r="K252" i="17"/>
  <c r="L251" i="17"/>
  <c r="K118" i="17"/>
  <c r="E123" i="16"/>
  <c r="E57" i="16"/>
  <c r="Y246" i="18" l="1"/>
  <c r="X252" i="18"/>
  <c r="M251" i="17"/>
  <c r="L118" i="17"/>
  <c r="M247" i="17"/>
  <c r="L252" i="17"/>
  <c r="P246" i="17"/>
  <c r="D123" i="16"/>
  <c r="D58" i="16"/>
  <c r="D62" i="16"/>
  <c r="D76" i="16"/>
  <c r="D80" i="16"/>
  <c r="D92" i="16"/>
  <c r="D101" i="16"/>
  <c r="D102" i="16"/>
  <c r="D103" i="16"/>
  <c r="D104" i="16"/>
  <c r="D107" i="16" s="1"/>
  <c r="D105" i="16"/>
  <c r="D118" i="16"/>
  <c r="C123" i="16"/>
  <c r="C58" i="16"/>
  <c r="C62" i="16"/>
  <c r="C76" i="16"/>
  <c r="C80" i="16"/>
  <c r="C92" i="16"/>
  <c r="C101" i="16"/>
  <c r="C102" i="16"/>
  <c r="C103" i="16"/>
  <c r="C104" i="16"/>
  <c r="C105" i="16"/>
  <c r="C107" i="16" s="1"/>
  <c r="C118" i="16"/>
  <c r="Y252" i="18" l="1"/>
  <c r="Z246" i="18"/>
  <c r="Q246" i="17"/>
  <c r="N247" i="17"/>
  <c r="M252" i="17"/>
  <c r="N251" i="17"/>
  <c r="M118" i="17"/>
  <c r="D97" i="16"/>
  <c r="D99" i="16" s="1"/>
  <c r="D100" i="16"/>
  <c r="D108" i="16"/>
  <c r="C97" i="16"/>
  <c r="C99" i="16" s="1"/>
  <c r="C108" i="16"/>
  <c r="C100" i="16"/>
  <c r="B123" i="16"/>
  <c r="B118" i="16"/>
  <c r="B105" i="16"/>
  <c r="B104" i="16"/>
  <c r="B103" i="16"/>
  <c r="B102" i="16"/>
  <c r="B101" i="16"/>
  <c r="B107" i="16" s="1"/>
  <c r="B92" i="16"/>
  <c r="B108" i="16" s="1"/>
  <c r="B80" i="16"/>
  <c r="B76" i="16"/>
  <c r="B62" i="16"/>
  <c r="AM17" i="16" s="1"/>
  <c r="B58" i="16"/>
  <c r="AG252" i="16"/>
  <c r="C252" i="16"/>
  <c r="D251" i="16"/>
  <c r="E251" i="16" s="1"/>
  <c r="F251" i="16" s="1"/>
  <c r="G251" i="16" s="1"/>
  <c r="H251" i="16" s="1"/>
  <c r="I251" i="16" s="1"/>
  <c r="J251" i="16" s="1"/>
  <c r="K251" i="16" s="1"/>
  <c r="L251" i="16" s="1"/>
  <c r="M251" i="16" s="1"/>
  <c r="N251" i="16" s="1"/>
  <c r="O251" i="16" s="1"/>
  <c r="P251" i="16" s="1"/>
  <c r="Q251" i="16" s="1"/>
  <c r="R251" i="16" s="1"/>
  <c r="S251" i="16" s="1"/>
  <c r="T251" i="16" s="1"/>
  <c r="U251" i="16" s="1"/>
  <c r="V251" i="16" s="1"/>
  <c r="W251" i="16" s="1"/>
  <c r="X251" i="16" s="1"/>
  <c r="Y251" i="16" s="1"/>
  <c r="Z251" i="16" s="1"/>
  <c r="AA251" i="16" s="1"/>
  <c r="AB251" i="16" s="1"/>
  <c r="AC251" i="16" s="1"/>
  <c r="AD251" i="16" s="1"/>
  <c r="AE251" i="16" s="1"/>
  <c r="AF251" i="16" s="1"/>
  <c r="B251" i="16" s="1"/>
  <c r="J250" i="16"/>
  <c r="K250" i="16" s="1"/>
  <c r="L250" i="16" s="1"/>
  <c r="M250" i="16" s="1"/>
  <c r="N250" i="16" s="1"/>
  <c r="O250" i="16" s="1"/>
  <c r="P250" i="16" s="1"/>
  <c r="Q250" i="16" s="1"/>
  <c r="R250" i="16" s="1"/>
  <c r="S250" i="16" s="1"/>
  <c r="T250" i="16" s="1"/>
  <c r="U250" i="16" s="1"/>
  <c r="V250" i="16" s="1"/>
  <c r="W250" i="16" s="1"/>
  <c r="X250" i="16" s="1"/>
  <c r="Y250" i="16" s="1"/>
  <c r="Z250" i="16" s="1"/>
  <c r="AA250" i="16" s="1"/>
  <c r="AB250" i="16" s="1"/>
  <c r="AC250" i="16" s="1"/>
  <c r="AD250" i="16" s="1"/>
  <c r="AE250" i="16" s="1"/>
  <c r="AF250" i="16" s="1"/>
  <c r="B250" i="16" s="1"/>
  <c r="D250" i="16"/>
  <c r="E250" i="16" s="1"/>
  <c r="F250" i="16" s="1"/>
  <c r="G250" i="16" s="1"/>
  <c r="H250" i="16" s="1"/>
  <c r="I250" i="16" s="1"/>
  <c r="H249" i="16"/>
  <c r="I249" i="16" s="1"/>
  <c r="J249" i="16" s="1"/>
  <c r="K249" i="16" s="1"/>
  <c r="L249" i="16" s="1"/>
  <c r="M249" i="16" s="1"/>
  <c r="N249" i="16" s="1"/>
  <c r="O249" i="16" s="1"/>
  <c r="P249" i="16" s="1"/>
  <c r="Q249" i="16" s="1"/>
  <c r="R249" i="16" s="1"/>
  <c r="S249" i="16" s="1"/>
  <c r="T249" i="16" s="1"/>
  <c r="U249" i="16" s="1"/>
  <c r="V249" i="16" s="1"/>
  <c r="W249" i="16" s="1"/>
  <c r="X249" i="16" s="1"/>
  <c r="Y249" i="16" s="1"/>
  <c r="Z249" i="16" s="1"/>
  <c r="AA249" i="16" s="1"/>
  <c r="AB249" i="16" s="1"/>
  <c r="AC249" i="16" s="1"/>
  <c r="AD249" i="16" s="1"/>
  <c r="AE249" i="16" s="1"/>
  <c r="AF249" i="16" s="1"/>
  <c r="B249" i="16" s="1"/>
  <c r="D249" i="16"/>
  <c r="E249" i="16" s="1"/>
  <c r="F249" i="16" s="1"/>
  <c r="G249" i="16" s="1"/>
  <c r="H248" i="16"/>
  <c r="I248" i="16" s="1"/>
  <c r="J248" i="16" s="1"/>
  <c r="K248" i="16" s="1"/>
  <c r="L248" i="16" s="1"/>
  <c r="M248" i="16" s="1"/>
  <c r="N248" i="16" s="1"/>
  <c r="O248" i="16" s="1"/>
  <c r="P248" i="16" s="1"/>
  <c r="Q248" i="16" s="1"/>
  <c r="R248" i="16" s="1"/>
  <c r="S248" i="16" s="1"/>
  <c r="T248" i="16" s="1"/>
  <c r="U248" i="16" s="1"/>
  <c r="V248" i="16" s="1"/>
  <c r="W248" i="16" s="1"/>
  <c r="X248" i="16" s="1"/>
  <c r="Y248" i="16" s="1"/>
  <c r="Z248" i="16" s="1"/>
  <c r="AA248" i="16" s="1"/>
  <c r="AB248" i="16" s="1"/>
  <c r="AC248" i="16" s="1"/>
  <c r="AD248" i="16" s="1"/>
  <c r="AE248" i="16" s="1"/>
  <c r="AF248" i="16" s="1"/>
  <c r="B248" i="16" s="1"/>
  <c r="F248" i="16"/>
  <c r="G248" i="16" s="1"/>
  <c r="E248" i="16"/>
  <c r="D248" i="16"/>
  <c r="F247" i="16"/>
  <c r="G247" i="16" s="1"/>
  <c r="H247" i="16" s="1"/>
  <c r="I247" i="16" s="1"/>
  <c r="J247" i="16" s="1"/>
  <c r="K247" i="16" s="1"/>
  <c r="L247" i="16" s="1"/>
  <c r="M247" i="16" s="1"/>
  <c r="N247" i="16" s="1"/>
  <c r="O247" i="16" s="1"/>
  <c r="P247" i="16" s="1"/>
  <c r="Q247" i="16" s="1"/>
  <c r="R247" i="16" s="1"/>
  <c r="S247" i="16" s="1"/>
  <c r="T247" i="16" s="1"/>
  <c r="U247" i="16" s="1"/>
  <c r="V247" i="16" s="1"/>
  <c r="W247" i="16" s="1"/>
  <c r="X247" i="16" s="1"/>
  <c r="Y247" i="16" s="1"/>
  <c r="Z247" i="16" s="1"/>
  <c r="AA247" i="16" s="1"/>
  <c r="AB247" i="16" s="1"/>
  <c r="AC247" i="16" s="1"/>
  <c r="AD247" i="16" s="1"/>
  <c r="AE247" i="16" s="1"/>
  <c r="AF247" i="16" s="1"/>
  <c r="B247" i="16" s="1"/>
  <c r="D247" i="16"/>
  <c r="E247" i="16" s="1"/>
  <c r="D246" i="16"/>
  <c r="AG244" i="16"/>
  <c r="AF244" i="16"/>
  <c r="AE244" i="16"/>
  <c r="AD244" i="16"/>
  <c r="AC244" i="16"/>
  <c r="AB244" i="16"/>
  <c r="AA244" i="16"/>
  <c r="Z244" i="16"/>
  <c r="Y244" i="16"/>
  <c r="X244" i="16"/>
  <c r="W244" i="16"/>
  <c r="V244" i="16"/>
  <c r="U244" i="16"/>
  <c r="T244" i="16"/>
  <c r="S244" i="16"/>
  <c r="R244" i="16"/>
  <c r="Q244" i="16"/>
  <c r="P244" i="16"/>
  <c r="O244" i="16"/>
  <c r="N244" i="16"/>
  <c r="M244" i="16"/>
  <c r="L244" i="16"/>
  <c r="K244" i="16"/>
  <c r="J244" i="16"/>
  <c r="I244" i="16"/>
  <c r="H244" i="16"/>
  <c r="G244" i="16"/>
  <c r="F244" i="16"/>
  <c r="E244" i="16"/>
  <c r="D244" i="16"/>
  <c r="C244" i="16"/>
  <c r="B244" i="16"/>
  <c r="AI130" i="16"/>
  <c r="AH130" i="16"/>
  <c r="AI129" i="16"/>
  <c r="AH129" i="16"/>
  <c r="AI128" i="16"/>
  <c r="AH128" i="16"/>
  <c r="AI127" i="16"/>
  <c r="AH127" i="16"/>
  <c r="AI126" i="16"/>
  <c r="AH126" i="16"/>
  <c r="AI123" i="16"/>
  <c r="AH123" i="16"/>
  <c r="AI122" i="16"/>
  <c r="AH122" i="16"/>
  <c r="AI121" i="16"/>
  <c r="AH121" i="16"/>
  <c r="AI120" i="16"/>
  <c r="AH120" i="16"/>
  <c r="AI119" i="16"/>
  <c r="AH119" i="16"/>
  <c r="Z118" i="16"/>
  <c r="Y118" i="16"/>
  <c r="AI117" i="16"/>
  <c r="AH117" i="16"/>
  <c r="AI116" i="16"/>
  <c r="AH116" i="16"/>
  <c r="AI115" i="16"/>
  <c r="AH115" i="16"/>
  <c r="AI114" i="16"/>
  <c r="AH114" i="16"/>
  <c r="AI113" i="16"/>
  <c r="AH113" i="16"/>
  <c r="AI112" i="16"/>
  <c r="AH112" i="16"/>
  <c r="AI111" i="16"/>
  <c r="AH111" i="16"/>
  <c r="AI110" i="16"/>
  <c r="AH110" i="16"/>
  <c r="AI109" i="16"/>
  <c r="AH109" i="16"/>
  <c r="AA107" i="16"/>
  <c r="AA108" i="16" s="1"/>
  <c r="AI106" i="16"/>
  <c r="AH106" i="16"/>
  <c r="AF105" i="16"/>
  <c r="AE105" i="16"/>
  <c r="AD105" i="16"/>
  <c r="AC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AO23" i="16"/>
  <c r="AF104" i="16"/>
  <c r="AE104" i="16"/>
  <c r="AD104" i="16"/>
  <c r="AC104" i="16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AF103" i="16"/>
  <c r="AE103" i="16"/>
  <c r="AD103" i="16"/>
  <c r="AC103" i="16"/>
  <c r="AA103" i="16"/>
  <c r="Z103" i="16"/>
  <c r="Y103" i="16"/>
  <c r="X103" i="16"/>
  <c r="W103" i="16"/>
  <c r="V103" i="16"/>
  <c r="U103" i="16"/>
  <c r="T103" i="16"/>
  <c r="S103" i="16"/>
  <c r="R103" i="16"/>
  <c r="Q103" i="16"/>
  <c r="P103" i="16"/>
  <c r="O103" i="16"/>
  <c r="N103" i="16"/>
  <c r="M103" i="16"/>
  <c r="L103" i="16"/>
  <c r="K103" i="16"/>
  <c r="J103" i="16"/>
  <c r="I103" i="16"/>
  <c r="H103" i="16"/>
  <c r="G103" i="16"/>
  <c r="F103" i="16"/>
  <c r="E103" i="16"/>
  <c r="AF102" i="16"/>
  <c r="AE102" i="16"/>
  <c r="AD102" i="16"/>
  <c r="AC102" i="16"/>
  <c r="AA102" i="16"/>
  <c r="Z102" i="16"/>
  <c r="Y102" i="16"/>
  <c r="Y107" i="16" s="1"/>
  <c r="X102" i="16"/>
  <c r="W102" i="16"/>
  <c r="V102" i="16"/>
  <c r="U102" i="16"/>
  <c r="T102" i="16"/>
  <c r="S102" i="16"/>
  <c r="R102" i="16"/>
  <c r="Q102" i="16"/>
  <c r="P102" i="16"/>
  <c r="O102" i="16"/>
  <c r="N102" i="16"/>
  <c r="M102" i="16"/>
  <c r="L102" i="16"/>
  <c r="K102" i="16"/>
  <c r="J102" i="16"/>
  <c r="I102" i="16"/>
  <c r="H102" i="16"/>
  <c r="G102" i="16"/>
  <c r="F102" i="16"/>
  <c r="E102" i="16"/>
  <c r="AF101" i="16"/>
  <c r="AE101" i="16"/>
  <c r="AD101" i="16"/>
  <c r="AC101" i="16"/>
  <c r="AA101" i="16"/>
  <c r="Z101" i="16"/>
  <c r="Y101" i="16"/>
  <c r="X101" i="16"/>
  <c r="W101" i="16"/>
  <c r="V101" i="16"/>
  <c r="U101" i="16"/>
  <c r="T101" i="16"/>
  <c r="S101" i="16"/>
  <c r="R101" i="16"/>
  <c r="Q101" i="16"/>
  <c r="P101" i="16"/>
  <c r="P107" i="16" s="1"/>
  <c r="AX23" i="16" s="1"/>
  <c r="O101" i="16"/>
  <c r="N101" i="16"/>
  <c r="M101" i="16"/>
  <c r="L101" i="16"/>
  <c r="K101" i="16"/>
  <c r="J101" i="16"/>
  <c r="J107" i="16" s="1"/>
  <c r="I101" i="16"/>
  <c r="H101" i="16"/>
  <c r="H107" i="16" s="1"/>
  <c r="G101" i="16"/>
  <c r="F101" i="16"/>
  <c r="E101" i="16"/>
  <c r="AI98" i="16"/>
  <c r="AH98" i="16"/>
  <c r="AI96" i="16"/>
  <c r="AH96" i="16"/>
  <c r="AG96" i="16"/>
  <c r="AI95" i="16"/>
  <c r="AH95" i="16"/>
  <c r="AI94" i="16"/>
  <c r="AH94" i="16"/>
  <c r="AI93" i="16"/>
  <c r="AH93" i="16"/>
  <c r="AG92" i="16"/>
  <c r="AF92" i="16"/>
  <c r="AE5" i="16" s="1"/>
  <c r="AE92" i="16"/>
  <c r="AE97" i="16" s="1"/>
  <c r="AE99" i="16" s="1"/>
  <c r="AD92" i="16"/>
  <c r="AC5" i="16" s="1"/>
  <c r="AC92" i="16"/>
  <c r="AB5" i="16" s="1"/>
  <c r="AA92" i="16"/>
  <c r="Z5" i="16" s="1"/>
  <c r="Z92" i="16"/>
  <c r="Y92" i="16"/>
  <c r="X92" i="16"/>
  <c r="W5" i="16" s="1"/>
  <c r="W92" i="16"/>
  <c r="V5" i="16" s="1"/>
  <c r="V92" i="16"/>
  <c r="U92" i="16"/>
  <c r="T5" i="16" s="1"/>
  <c r="T92" i="16"/>
  <c r="S92" i="16"/>
  <c r="R92" i="16"/>
  <c r="Q92" i="16"/>
  <c r="P5" i="16" s="1"/>
  <c r="P92" i="16"/>
  <c r="O5" i="16" s="1"/>
  <c r="O92" i="16"/>
  <c r="AW19" i="16" s="1"/>
  <c r="N92" i="16"/>
  <c r="AV19" i="16" s="1"/>
  <c r="M92" i="16"/>
  <c r="AU19" i="16" s="1"/>
  <c r="L92" i="16"/>
  <c r="K92" i="16"/>
  <c r="AT19" i="16" s="1"/>
  <c r="J92" i="16"/>
  <c r="I5" i="16" s="1"/>
  <c r="I92" i="16"/>
  <c r="H5" i="16" s="1"/>
  <c r="H92" i="16"/>
  <c r="G92" i="16"/>
  <c r="AR19" i="16" s="1"/>
  <c r="F92" i="16"/>
  <c r="E92" i="16"/>
  <c r="AP19" i="16" s="1"/>
  <c r="AI91" i="16"/>
  <c r="AH91" i="16"/>
  <c r="AI90" i="16"/>
  <c r="AH90" i="16"/>
  <c r="AI89" i="16"/>
  <c r="AH89" i="16"/>
  <c r="AI88" i="16"/>
  <c r="AH88" i="16"/>
  <c r="AI87" i="16"/>
  <c r="AH87" i="16"/>
  <c r="AI86" i="16"/>
  <c r="AH86" i="16"/>
  <c r="AI85" i="16"/>
  <c r="AH85" i="16"/>
  <c r="AI84" i="16"/>
  <c r="AH84" i="16"/>
  <c r="AI83" i="16"/>
  <c r="AH83" i="16"/>
  <c r="AI82" i="16"/>
  <c r="AH82" i="16"/>
  <c r="AI81" i="16"/>
  <c r="AH81" i="16"/>
  <c r="AZ80" i="16"/>
  <c r="AG80" i="16"/>
  <c r="AD80" i="16"/>
  <c r="AC80" i="16"/>
  <c r="AA80" i="16"/>
  <c r="Z80" i="16"/>
  <c r="Y80" i="16"/>
  <c r="X80" i="16"/>
  <c r="W80" i="16"/>
  <c r="V80" i="16"/>
  <c r="U80" i="16"/>
  <c r="T80" i="16"/>
  <c r="S80" i="16"/>
  <c r="R80" i="16"/>
  <c r="Q80" i="16"/>
  <c r="P80" i="16"/>
  <c r="O80" i="16"/>
  <c r="N80" i="16"/>
  <c r="M80" i="16"/>
  <c r="AU20" i="16" s="1"/>
  <c r="L80" i="16"/>
  <c r="K80" i="16"/>
  <c r="AT20" i="16" s="1"/>
  <c r="J80" i="16"/>
  <c r="I80" i="16"/>
  <c r="AS20" i="16" s="1"/>
  <c r="H80" i="16"/>
  <c r="F80" i="16"/>
  <c r="E80" i="16"/>
  <c r="AP20" i="16" s="1"/>
  <c r="BR79" i="16"/>
  <c r="BB79" i="16"/>
  <c r="AI79" i="16"/>
  <c r="AH79" i="16"/>
  <c r="AI78" i="16"/>
  <c r="AH78" i="16"/>
  <c r="BN77" i="16"/>
  <c r="BM77" i="16"/>
  <c r="AI77" i="16"/>
  <c r="AH77" i="16"/>
  <c r="BW76" i="16"/>
  <c r="BR76" i="16"/>
  <c r="BP76" i="16"/>
  <c r="BJ76" i="16"/>
  <c r="BI76" i="16"/>
  <c r="BH76" i="16"/>
  <c r="BG76" i="16"/>
  <c r="BC76" i="16"/>
  <c r="AG76" i="16"/>
  <c r="AG3" i="16" s="1"/>
  <c r="AD76" i="16"/>
  <c r="AC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AX18" i="16" s="1"/>
  <c r="O76" i="16"/>
  <c r="AW18" i="16" s="1"/>
  <c r="N76" i="16"/>
  <c r="AV18" i="16" s="1"/>
  <c r="M76" i="16"/>
  <c r="AU18" i="16" s="1"/>
  <c r="L76" i="16"/>
  <c r="K76" i="16"/>
  <c r="AT18" i="16" s="1"/>
  <c r="J76" i="16"/>
  <c r="I76" i="16"/>
  <c r="AS18" i="16" s="1"/>
  <c r="H76" i="16"/>
  <c r="G76" i="16"/>
  <c r="F76" i="16"/>
  <c r="AQ18" i="16" s="1"/>
  <c r="E76" i="16"/>
  <c r="AO18" i="16"/>
  <c r="AN18" i="16"/>
  <c r="AI75" i="16"/>
  <c r="AH75" i="16"/>
  <c r="AG75" i="16"/>
  <c r="AI74" i="16"/>
  <c r="AH74" i="16"/>
  <c r="BW73" i="16"/>
  <c r="BW80" i="16" s="1"/>
  <c r="BV73" i="16"/>
  <c r="BV80" i="16" s="1"/>
  <c r="BU73" i="16"/>
  <c r="BU80" i="16" s="1"/>
  <c r="BT73" i="16"/>
  <c r="BT80" i="16" s="1"/>
  <c r="BS73" i="16"/>
  <c r="BS80" i="16" s="1"/>
  <c r="BR73" i="16"/>
  <c r="BR80" i="16" s="1"/>
  <c r="BQ73" i="16"/>
  <c r="BQ80" i="16" s="1"/>
  <c r="BP73" i="16"/>
  <c r="BP80" i="16" s="1"/>
  <c r="BO73" i="16"/>
  <c r="BO80" i="16" s="1"/>
  <c r="BN73" i="16"/>
  <c r="BN80" i="16" s="1"/>
  <c r="BM73" i="16"/>
  <c r="BM80" i="16" s="1"/>
  <c r="BL73" i="16"/>
  <c r="BL80" i="16" s="1"/>
  <c r="BK73" i="16"/>
  <c r="BK80" i="16" s="1"/>
  <c r="BJ73" i="16"/>
  <c r="BJ80" i="16" s="1"/>
  <c r="BI73" i="16"/>
  <c r="BI80" i="16" s="1"/>
  <c r="BH73" i="16"/>
  <c r="BH80" i="16" s="1"/>
  <c r="BG73" i="16"/>
  <c r="BG80" i="16" s="1"/>
  <c r="BF73" i="16"/>
  <c r="BF80" i="16" s="1"/>
  <c r="BE73" i="16"/>
  <c r="BE80" i="16" s="1"/>
  <c r="BD73" i="16"/>
  <c r="BD80" i="16" s="1"/>
  <c r="BC73" i="16"/>
  <c r="BC80" i="16" s="1"/>
  <c r="BB73" i="16"/>
  <c r="BB80" i="16" s="1"/>
  <c r="BA73" i="16"/>
  <c r="BA80" i="16" s="1"/>
  <c r="AZ73" i="16"/>
  <c r="AI73" i="16"/>
  <c r="AH73" i="16"/>
  <c r="BW72" i="16"/>
  <c r="BW79" i="16" s="1"/>
  <c r="BV72" i="16"/>
  <c r="BV79" i="16" s="1"/>
  <c r="BU72" i="16"/>
  <c r="BU79" i="16" s="1"/>
  <c r="BT72" i="16"/>
  <c r="BT79" i="16" s="1"/>
  <c r="BS72" i="16"/>
  <c r="BS79" i="16" s="1"/>
  <c r="BR72" i="16"/>
  <c r="BQ72" i="16"/>
  <c r="BQ79" i="16" s="1"/>
  <c r="BP72" i="16"/>
  <c r="BP79" i="16" s="1"/>
  <c r="BO72" i="16"/>
  <c r="BO79" i="16" s="1"/>
  <c r="BN72" i="16"/>
  <c r="BN79" i="16" s="1"/>
  <c r="BM72" i="16"/>
  <c r="BM79" i="16" s="1"/>
  <c r="BL72" i="16"/>
  <c r="BL79" i="16" s="1"/>
  <c r="BK72" i="16"/>
  <c r="BK79" i="16" s="1"/>
  <c r="BJ72" i="16"/>
  <c r="BJ79" i="16" s="1"/>
  <c r="BI72" i="16"/>
  <c r="BI79" i="16" s="1"/>
  <c r="BH72" i="16"/>
  <c r="BH79" i="16" s="1"/>
  <c r="BG72" i="16"/>
  <c r="BG79" i="16" s="1"/>
  <c r="BF72" i="16"/>
  <c r="BF79" i="16" s="1"/>
  <c r="BE72" i="16"/>
  <c r="BE79" i="16" s="1"/>
  <c r="BD72" i="16"/>
  <c r="BD79" i="16" s="1"/>
  <c r="BC72" i="16"/>
  <c r="BC79" i="16" s="1"/>
  <c r="BB72" i="16"/>
  <c r="BA72" i="16"/>
  <c r="BA79" i="16" s="1"/>
  <c r="AZ72" i="16"/>
  <c r="AZ79" i="16" s="1"/>
  <c r="AI72" i="16"/>
  <c r="AH72" i="16"/>
  <c r="BW71" i="16"/>
  <c r="BW78" i="16" s="1"/>
  <c r="BV71" i="16"/>
  <c r="BV78" i="16" s="1"/>
  <c r="BU71" i="16"/>
  <c r="BU78" i="16" s="1"/>
  <c r="BT71" i="16"/>
  <c r="BT78" i="16" s="1"/>
  <c r="BS71" i="16"/>
  <c r="BS78" i="16" s="1"/>
  <c r="BR71" i="16"/>
  <c r="BR78" i="16" s="1"/>
  <c r="BQ71" i="16"/>
  <c r="BQ78" i="16" s="1"/>
  <c r="BP71" i="16"/>
  <c r="BP78" i="16" s="1"/>
  <c r="BO71" i="16"/>
  <c r="BO78" i="16" s="1"/>
  <c r="BN71" i="16"/>
  <c r="BN78" i="16" s="1"/>
  <c r="BM71" i="16"/>
  <c r="BM78" i="16" s="1"/>
  <c r="BL71" i="16"/>
  <c r="BL78" i="16" s="1"/>
  <c r="BK71" i="16"/>
  <c r="BK78" i="16" s="1"/>
  <c r="BJ71" i="16"/>
  <c r="BJ78" i="16" s="1"/>
  <c r="BI71" i="16"/>
  <c r="BI78" i="16" s="1"/>
  <c r="BH71" i="16"/>
  <c r="BH78" i="16" s="1"/>
  <c r="BG71" i="16"/>
  <c r="BG78" i="16" s="1"/>
  <c r="BF71" i="16"/>
  <c r="BF78" i="16" s="1"/>
  <c r="BE71" i="16"/>
  <c r="BE78" i="16" s="1"/>
  <c r="BD71" i="16"/>
  <c r="BD78" i="16" s="1"/>
  <c r="BC71" i="16"/>
  <c r="BC78" i="16" s="1"/>
  <c r="BB71" i="16"/>
  <c r="BB78" i="16" s="1"/>
  <c r="BA71" i="16"/>
  <c r="BA78" i="16" s="1"/>
  <c r="AZ71" i="16"/>
  <c r="AZ78" i="16" s="1"/>
  <c r="AI71" i="16"/>
  <c r="AH71" i="16"/>
  <c r="BW70" i="16"/>
  <c r="BW77" i="16" s="1"/>
  <c r="BV70" i="16"/>
  <c r="BV77" i="16" s="1"/>
  <c r="BU70" i="16"/>
  <c r="BU77" i="16" s="1"/>
  <c r="BT70" i="16"/>
  <c r="BT77" i="16" s="1"/>
  <c r="BS70" i="16"/>
  <c r="BS77" i="16" s="1"/>
  <c r="BR70" i="16"/>
  <c r="BR77" i="16" s="1"/>
  <c r="BQ70" i="16"/>
  <c r="BQ77" i="16" s="1"/>
  <c r="BP70" i="16"/>
  <c r="BP77" i="16" s="1"/>
  <c r="BO70" i="16"/>
  <c r="BO77" i="16" s="1"/>
  <c r="BN70" i="16"/>
  <c r="BM70" i="16"/>
  <c r="BL70" i="16"/>
  <c r="BL77" i="16" s="1"/>
  <c r="BK70" i="16"/>
  <c r="BK77" i="16" s="1"/>
  <c r="BJ70" i="16"/>
  <c r="BJ77" i="16" s="1"/>
  <c r="BI70" i="16"/>
  <c r="BI77" i="16" s="1"/>
  <c r="BH70" i="16"/>
  <c r="BH77" i="16" s="1"/>
  <c r="BG70" i="16"/>
  <c r="BG77" i="16" s="1"/>
  <c r="BF70" i="16"/>
  <c r="BF77" i="16" s="1"/>
  <c r="BE70" i="16"/>
  <c r="BE77" i="16" s="1"/>
  <c r="BD70" i="16"/>
  <c r="BD77" i="16" s="1"/>
  <c r="BC70" i="16"/>
  <c r="BC77" i="16" s="1"/>
  <c r="BB70" i="16"/>
  <c r="BB77" i="16" s="1"/>
  <c r="BA70" i="16"/>
  <c r="BA77" i="16" s="1"/>
  <c r="AZ70" i="16"/>
  <c r="AZ77" i="16" s="1"/>
  <c r="AI70" i="16"/>
  <c r="AH70" i="16"/>
  <c r="BW69" i="16"/>
  <c r="BV69" i="16"/>
  <c r="BV76" i="16" s="1"/>
  <c r="BU69" i="16"/>
  <c r="BU76" i="16" s="1"/>
  <c r="BT69" i="16"/>
  <c r="BT76" i="16" s="1"/>
  <c r="BS69" i="16"/>
  <c r="BS76" i="16" s="1"/>
  <c r="BR69" i="16"/>
  <c r="BQ69" i="16"/>
  <c r="BQ76" i="16" s="1"/>
  <c r="BP69" i="16"/>
  <c r="BO69" i="16"/>
  <c r="BO76" i="16" s="1"/>
  <c r="BN69" i="16"/>
  <c r="BN76" i="16" s="1"/>
  <c r="BM69" i="16"/>
  <c r="BM76" i="16" s="1"/>
  <c r="BL69" i="16"/>
  <c r="BL76" i="16" s="1"/>
  <c r="BK69" i="16"/>
  <c r="BK76" i="16" s="1"/>
  <c r="BJ69" i="16"/>
  <c r="BI69" i="16"/>
  <c r="BH69" i="16"/>
  <c r="BG69" i="16"/>
  <c r="BF69" i="16"/>
  <c r="BF76" i="16" s="1"/>
  <c r="BE69" i="16"/>
  <c r="BE76" i="16" s="1"/>
  <c r="BD69" i="16"/>
  <c r="BD76" i="16" s="1"/>
  <c r="BC69" i="16"/>
  <c r="BB69" i="16"/>
  <c r="BB76" i="16" s="1"/>
  <c r="BA69" i="16"/>
  <c r="BA76" i="16" s="1"/>
  <c r="AZ69" i="16"/>
  <c r="AZ76" i="16" s="1"/>
  <c r="AI69" i="16"/>
  <c r="AH69" i="16"/>
  <c r="BW68" i="16"/>
  <c r="BW75" i="16" s="1"/>
  <c r="BV68" i="16"/>
  <c r="BV75" i="16" s="1"/>
  <c r="BU68" i="16"/>
  <c r="BU75" i="16" s="1"/>
  <c r="BT68" i="16"/>
  <c r="BT75" i="16" s="1"/>
  <c r="BS68" i="16"/>
  <c r="BS75" i="16" s="1"/>
  <c r="BR68" i="16"/>
  <c r="BR75" i="16" s="1"/>
  <c r="BQ68" i="16"/>
  <c r="BQ75" i="16" s="1"/>
  <c r="BP68" i="16"/>
  <c r="BP75" i="16" s="1"/>
  <c r="BO68" i="16"/>
  <c r="BO75" i="16" s="1"/>
  <c r="BN68" i="16"/>
  <c r="BN75" i="16" s="1"/>
  <c r="BM68" i="16"/>
  <c r="BM75" i="16" s="1"/>
  <c r="BL68" i="16"/>
  <c r="BL75" i="16" s="1"/>
  <c r="BK68" i="16"/>
  <c r="BK75" i="16" s="1"/>
  <c r="BJ68" i="16"/>
  <c r="BJ75" i="16" s="1"/>
  <c r="BI68" i="16"/>
  <c r="BI75" i="16" s="1"/>
  <c r="BH68" i="16"/>
  <c r="BH75" i="16" s="1"/>
  <c r="BG68" i="16"/>
  <c r="BG75" i="16" s="1"/>
  <c r="BF68" i="16"/>
  <c r="BF75" i="16" s="1"/>
  <c r="BE68" i="16"/>
  <c r="BE75" i="16" s="1"/>
  <c r="BD68" i="16"/>
  <c r="BD75" i="16" s="1"/>
  <c r="BC68" i="16"/>
  <c r="BC75" i="16" s="1"/>
  <c r="BB68" i="16"/>
  <c r="BB75" i="16" s="1"/>
  <c r="BA68" i="16"/>
  <c r="BA75" i="16" s="1"/>
  <c r="AZ68" i="16"/>
  <c r="AZ75" i="16" s="1"/>
  <c r="AI68" i="16"/>
  <c r="AH68" i="16"/>
  <c r="AI67" i="16"/>
  <c r="AH67" i="16"/>
  <c r="AI66" i="16"/>
  <c r="AH66" i="16"/>
  <c r="AI65" i="16"/>
  <c r="AH65" i="16"/>
  <c r="AI64" i="16"/>
  <c r="AH64" i="16"/>
  <c r="AI63" i="16"/>
  <c r="AH63" i="16"/>
  <c r="AG62" i="16"/>
  <c r="AD62" i="16"/>
  <c r="AC62" i="16"/>
  <c r="AA62" i="16"/>
  <c r="Z62" i="16"/>
  <c r="Y62" i="16"/>
  <c r="X62" i="16"/>
  <c r="W62" i="16"/>
  <c r="V62" i="16"/>
  <c r="U62" i="16"/>
  <c r="T62" i="16"/>
  <c r="S62" i="16"/>
  <c r="R62" i="16"/>
  <c r="Q62" i="16"/>
  <c r="P62" i="16"/>
  <c r="AX17" i="16" s="1"/>
  <c r="O62" i="16"/>
  <c r="AW17" i="16" s="1"/>
  <c r="N62" i="16"/>
  <c r="AV17" i="16" s="1"/>
  <c r="M62" i="16"/>
  <c r="AU17" i="16" s="1"/>
  <c r="L62" i="16"/>
  <c r="K62" i="16"/>
  <c r="AT17" i="16" s="1"/>
  <c r="J62" i="16"/>
  <c r="I62" i="16"/>
  <c r="H62" i="16"/>
  <c r="G62" i="16"/>
  <c r="AR17" i="16" s="1"/>
  <c r="F62" i="16"/>
  <c r="AQ17" i="16" s="1"/>
  <c r="E62" i="16"/>
  <c r="AI61" i="16"/>
  <c r="AH61" i="16"/>
  <c r="AI60" i="16"/>
  <c r="AH60" i="16"/>
  <c r="AI59" i="16"/>
  <c r="AH59" i="16"/>
  <c r="AG58" i="16"/>
  <c r="AG2" i="16" s="1"/>
  <c r="AG6" i="16" s="1"/>
  <c r="AD58" i="16"/>
  <c r="AC58" i="16"/>
  <c r="AA58" i="16"/>
  <c r="Z58" i="16"/>
  <c r="Y58" i="16"/>
  <c r="X58" i="16"/>
  <c r="W58" i="16"/>
  <c r="V58" i="16"/>
  <c r="U58" i="16"/>
  <c r="T58" i="16"/>
  <c r="S58" i="16"/>
  <c r="R58" i="16"/>
  <c r="Q58" i="16"/>
  <c r="P58" i="16"/>
  <c r="O58" i="16"/>
  <c r="N58" i="16"/>
  <c r="M58" i="16"/>
  <c r="AU16" i="16" s="1"/>
  <c r="L58" i="16"/>
  <c r="K58" i="16"/>
  <c r="J58" i="16"/>
  <c r="I58" i="16"/>
  <c r="AS16" i="16" s="1"/>
  <c r="H58" i="16"/>
  <c r="G58" i="16"/>
  <c r="F58" i="16"/>
  <c r="E58" i="16"/>
  <c r="AI57" i="16"/>
  <c r="AH57" i="16"/>
  <c r="AI56" i="16"/>
  <c r="AH56" i="16"/>
  <c r="AI55" i="16"/>
  <c r="AH55" i="16"/>
  <c r="AI54" i="16"/>
  <c r="AH54" i="16"/>
  <c r="AI53" i="16"/>
  <c r="AH53" i="16"/>
  <c r="AI52" i="16"/>
  <c r="AH52" i="16"/>
  <c r="AI51" i="16"/>
  <c r="AH51" i="16"/>
  <c r="AI50" i="16"/>
  <c r="AH50" i="16"/>
  <c r="AI49" i="16"/>
  <c r="AH49" i="16"/>
  <c r="AI48" i="16"/>
  <c r="AH48" i="16"/>
  <c r="AI47" i="16"/>
  <c r="AH47" i="16"/>
  <c r="AI46" i="16"/>
  <c r="AH46" i="16"/>
  <c r="AI45" i="16"/>
  <c r="AH45" i="16"/>
  <c r="AI44" i="16"/>
  <c r="AH44" i="16"/>
  <c r="AI43" i="16"/>
  <c r="AH43" i="16"/>
  <c r="AI42" i="16"/>
  <c r="AH42" i="16"/>
  <c r="AI41" i="16"/>
  <c r="AH41" i="16"/>
  <c r="AI40" i="16"/>
  <c r="AH40" i="16"/>
  <c r="AI39" i="16"/>
  <c r="AH39" i="16"/>
  <c r="AI38" i="16"/>
  <c r="AH38" i="16"/>
  <c r="AI37" i="16"/>
  <c r="AH37" i="16"/>
  <c r="AI36" i="16"/>
  <c r="AH36" i="16"/>
  <c r="AI35" i="16"/>
  <c r="AH35" i="16"/>
  <c r="AI34" i="16"/>
  <c r="AH34" i="16"/>
  <c r="AI33" i="16"/>
  <c r="AH33" i="16"/>
  <c r="AI32" i="16"/>
  <c r="AH32" i="16"/>
  <c r="AI31" i="16"/>
  <c r="AH31" i="16"/>
  <c r="AI30" i="16"/>
  <c r="AH30" i="16"/>
  <c r="AI29" i="16"/>
  <c r="AH29" i="16"/>
  <c r="AI28" i="16"/>
  <c r="AH28" i="16"/>
  <c r="AI27" i="16"/>
  <c r="AH27" i="16"/>
  <c r="AI26" i="16"/>
  <c r="AH26" i="16"/>
  <c r="AI25" i="16"/>
  <c r="AH25" i="16"/>
  <c r="AI24" i="16"/>
  <c r="AH24" i="16"/>
  <c r="AI23" i="16"/>
  <c r="AH23" i="16"/>
  <c r="AI22" i="16"/>
  <c r="AH22" i="16"/>
  <c r="AX21" i="16"/>
  <c r="AW21" i="16"/>
  <c r="AV21" i="16"/>
  <c r="AU21" i="16"/>
  <c r="AT21" i="16"/>
  <c r="AS21" i="16"/>
  <c r="AR21" i="16"/>
  <c r="AQ21" i="16"/>
  <c r="AP21" i="16"/>
  <c r="AO21" i="16"/>
  <c r="AN21" i="16"/>
  <c r="AM21" i="16"/>
  <c r="AI21" i="16"/>
  <c r="AH21" i="16"/>
  <c r="AX20" i="16"/>
  <c r="AW20" i="16"/>
  <c r="AV20" i="16"/>
  <c r="AR20" i="16"/>
  <c r="AQ20" i="16"/>
  <c r="AO20" i="16"/>
  <c r="AN20" i="16"/>
  <c r="AM20" i="16"/>
  <c r="AI20" i="16"/>
  <c r="AH20" i="16"/>
  <c r="AQ19" i="16"/>
  <c r="AO19" i="16"/>
  <c r="AN19" i="16"/>
  <c r="AM19" i="16"/>
  <c r="AI19" i="16"/>
  <c r="AH19" i="16"/>
  <c r="AR18" i="16"/>
  <c r="AM18" i="16"/>
  <c r="AI18" i="16"/>
  <c r="AH18" i="16"/>
  <c r="AS17" i="16"/>
  <c r="AP17" i="16"/>
  <c r="AO17" i="16"/>
  <c r="AN17" i="16"/>
  <c r="AI17" i="16"/>
  <c r="AH17" i="16"/>
  <c r="AW16" i="16"/>
  <c r="AT16" i="16"/>
  <c r="AR16" i="16"/>
  <c r="AP16" i="16"/>
  <c r="AO16" i="16"/>
  <c r="AO22" i="16" s="1"/>
  <c r="AN16" i="16"/>
  <c r="AM16" i="16"/>
  <c r="AI16" i="16"/>
  <c r="AH16" i="16"/>
  <c r="AI15" i="16"/>
  <c r="AH15" i="16"/>
  <c r="AI14" i="16"/>
  <c r="AH14" i="16"/>
  <c r="AI13" i="16"/>
  <c r="AH13" i="16"/>
  <c r="AL12" i="16"/>
  <c r="AI12" i="16"/>
  <c r="AH12" i="16"/>
  <c r="AI11" i="16"/>
  <c r="AH11" i="16"/>
  <c r="AF5" i="16"/>
  <c r="Y5" i="16"/>
  <c r="X5" i="16"/>
  <c r="U5" i="16"/>
  <c r="R5" i="16"/>
  <c r="J5" i="16"/>
  <c r="G5" i="16"/>
  <c r="F5" i="16"/>
  <c r="E5" i="16"/>
  <c r="B5" i="16"/>
  <c r="AG4" i="16"/>
  <c r="K4" i="16"/>
  <c r="E4" i="16"/>
  <c r="H4" i="16" s="1"/>
  <c r="B4" i="16"/>
  <c r="D258" i="16" s="1"/>
  <c r="AF123" i="14"/>
  <c r="AF58" i="14"/>
  <c r="AF62" i="14"/>
  <c r="AF76" i="14"/>
  <c r="AF80" i="14"/>
  <c r="AF92" i="14"/>
  <c r="AF101" i="14"/>
  <c r="AF102" i="14"/>
  <c r="AF103" i="14"/>
  <c r="AF104" i="14"/>
  <c r="AF105" i="14"/>
  <c r="AF118" i="14"/>
  <c r="AE123" i="14"/>
  <c r="AE58" i="14"/>
  <c r="AE62" i="14"/>
  <c r="AE76" i="14"/>
  <c r="AE80" i="14"/>
  <c r="AE92" i="14"/>
  <c r="AE101" i="14"/>
  <c r="AE102" i="14"/>
  <c r="AE103" i="14"/>
  <c r="AE104" i="14"/>
  <c r="AE107" i="14" s="1"/>
  <c r="AE105" i="14"/>
  <c r="AE118" i="14"/>
  <c r="AD123" i="14"/>
  <c r="AD58" i="14"/>
  <c r="AD62" i="14"/>
  <c r="AD76" i="14"/>
  <c r="AD80" i="14"/>
  <c r="AD92" i="14"/>
  <c r="AD101" i="14"/>
  <c r="AD102" i="14"/>
  <c r="AD103" i="14"/>
  <c r="AD104" i="14"/>
  <c r="AD107" i="14" s="1"/>
  <c r="AD105" i="14"/>
  <c r="AD118" i="14"/>
  <c r="AC123" i="14"/>
  <c r="AC58" i="14"/>
  <c r="AC62" i="14"/>
  <c r="AC76" i="14"/>
  <c r="AC80" i="14"/>
  <c r="AC92" i="14"/>
  <c r="AC101" i="14"/>
  <c r="AC107" i="14" s="1"/>
  <c r="AC102" i="14"/>
  <c r="AC103" i="14"/>
  <c r="AC104" i="14"/>
  <c r="AC105" i="14"/>
  <c r="AC118" i="14"/>
  <c r="AB123" i="14"/>
  <c r="AB58" i="14"/>
  <c r="AB62" i="14"/>
  <c r="AB76" i="14"/>
  <c r="AB80" i="14"/>
  <c r="AB92" i="14"/>
  <c r="AB101" i="14"/>
  <c r="AB102" i="14"/>
  <c r="AB103" i="14"/>
  <c r="AB104" i="14"/>
  <c r="AB107" i="14" s="1"/>
  <c r="AB105" i="14"/>
  <c r="AB118" i="14"/>
  <c r="Z123" i="14"/>
  <c r="Y123" i="14"/>
  <c r="X123" i="14"/>
  <c r="Z252" i="18" l="1"/>
  <c r="AA246" i="18"/>
  <c r="O251" i="17"/>
  <c r="N118" i="17"/>
  <c r="O247" i="17"/>
  <c r="N252" i="17"/>
  <c r="R246" i="17"/>
  <c r="AF97" i="16"/>
  <c r="AF99" i="16" s="1"/>
  <c r="AF107" i="16"/>
  <c r="AF108" i="16" s="1"/>
  <c r="AD5" i="16"/>
  <c r="AH102" i="16"/>
  <c r="AD97" i="16"/>
  <c r="AD99" i="16" s="1"/>
  <c r="AC107" i="16"/>
  <c r="AC108" i="16" s="1"/>
  <c r="Z107" i="16"/>
  <c r="Z108" i="16" s="1"/>
  <c r="Z97" i="16"/>
  <c r="Z99" i="16" s="1"/>
  <c r="Z100" i="16" s="1"/>
  <c r="Z7" i="16" s="1"/>
  <c r="Y97" i="16"/>
  <c r="Y99" i="16" s="1"/>
  <c r="Y100" i="16" s="1"/>
  <c r="Y7" i="16" s="1"/>
  <c r="X107" i="16"/>
  <c r="X108" i="16"/>
  <c r="X97" i="16"/>
  <c r="X99" i="16" s="1"/>
  <c r="X100" i="16" s="1"/>
  <c r="X7" i="16" s="1"/>
  <c r="W97" i="16"/>
  <c r="W99" i="16" s="1"/>
  <c r="V97" i="16"/>
  <c r="V99" i="16" s="1"/>
  <c r="U107" i="16"/>
  <c r="T107" i="16"/>
  <c r="T108" i="16" s="1"/>
  <c r="S107" i="16"/>
  <c r="S108" i="16" s="1"/>
  <c r="R107" i="16"/>
  <c r="R108" i="16" s="1"/>
  <c r="Q5" i="16"/>
  <c r="R97" i="16"/>
  <c r="R99" i="16" s="1"/>
  <c r="Q107" i="16"/>
  <c r="Q97" i="16"/>
  <c r="Q99" i="16" s="1"/>
  <c r="Q100" i="16" s="1"/>
  <c r="Q7" i="16" s="1"/>
  <c r="P108" i="16"/>
  <c r="AX19" i="16"/>
  <c r="P97" i="16"/>
  <c r="P99" i="16" s="1"/>
  <c r="P100" i="16" s="1"/>
  <c r="P7" i="16" s="1"/>
  <c r="N5" i="16"/>
  <c r="O97" i="16"/>
  <c r="O99" i="16" s="1"/>
  <c r="AW22" i="16"/>
  <c r="M5" i="16"/>
  <c r="N97" i="16"/>
  <c r="N99" i="16" s="1"/>
  <c r="L5" i="16"/>
  <c r="M107" i="16"/>
  <c r="AU23" i="16" s="1"/>
  <c r="L107" i="16"/>
  <c r="K107" i="16"/>
  <c r="AT22" i="16"/>
  <c r="J108" i="16"/>
  <c r="J97" i="16"/>
  <c r="J99" i="16" s="1"/>
  <c r="J100" i="16" s="1"/>
  <c r="J7" i="16" s="1"/>
  <c r="I107" i="16"/>
  <c r="AS23" i="16" s="1"/>
  <c r="AS19" i="16"/>
  <c r="AS22" i="16" s="1"/>
  <c r="I97" i="16"/>
  <c r="I99" i="16" s="1"/>
  <c r="H108" i="16"/>
  <c r="H97" i="16"/>
  <c r="H99" i="16" s="1"/>
  <c r="H100" i="16" s="1"/>
  <c r="H7" i="16" s="1"/>
  <c r="AI80" i="16"/>
  <c r="G97" i="16"/>
  <c r="G99" i="16" s="1"/>
  <c r="AR22" i="16"/>
  <c r="AH76" i="16"/>
  <c r="F97" i="16"/>
  <c r="F99" i="16" s="1"/>
  <c r="F100" i="16" s="1"/>
  <c r="F7" i="16" s="1"/>
  <c r="AH58" i="16"/>
  <c r="D5" i="16"/>
  <c r="E107" i="16"/>
  <c r="AP23" i="16" s="1"/>
  <c r="AP18" i="16"/>
  <c r="AO24" i="16"/>
  <c r="AN22" i="16"/>
  <c r="B97" i="16"/>
  <c r="B99" i="16" s="1"/>
  <c r="B100" i="16" s="1"/>
  <c r="AH62" i="16"/>
  <c r="AI62" i="16"/>
  <c r="AM22" i="16"/>
  <c r="AP22" i="16"/>
  <c r="AP24" i="16" s="1"/>
  <c r="AN23" i="16"/>
  <c r="AT23" i="16"/>
  <c r="AT24" i="16" s="1"/>
  <c r="K108" i="16"/>
  <c r="AU22" i="16"/>
  <c r="L108" i="16"/>
  <c r="AH101" i="16"/>
  <c r="AI102" i="16"/>
  <c r="AH103" i="16"/>
  <c r="AI105" i="16"/>
  <c r="AX16" i="16"/>
  <c r="AX22" i="16" s="1"/>
  <c r="AX24" i="16" s="1"/>
  <c r="E108" i="16"/>
  <c r="U108" i="16"/>
  <c r="AI103" i="16"/>
  <c r="AI104" i="16"/>
  <c r="AG97" i="16"/>
  <c r="AI76" i="16"/>
  <c r="F107" i="16"/>
  <c r="AQ23" i="16" s="1"/>
  <c r="N107" i="16"/>
  <c r="AV23" i="16" s="1"/>
  <c r="V107" i="16"/>
  <c r="V100" i="16" s="1"/>
  <c r="V7" i="16" s="1"/>
  <c r="AD107" i="16"/>
  <c r="AD108" i="16" s="1"/>
  <c r="BG84" i="16" a="1"/>
  <c r="C7" i="16"/>
  <c r="K97" i="16"/>
  <c r="K99" i="16" s="1"/>
  <c r="K100" i="16" s="1"/>
  <c r="K7" i="16" s="1"/>
  <c r="S97" i="16"/>
  <c r="S99" i="16" s="1"/>
  <c r="S100" i="16" s="1"/>
  <c r="S7" i="16" s="1"/>
  <c r="AA97" i="16"/>
  <c r="AA99" i="16" s="1"/>
  <c r="AA100" i="16" s="1"/>
  <c r="AA7" i="16" s="1"/>
  <c r="AI58" i="16"/>
  <c r="AH80" i="16"/>
  <c r="Q108" i="16"/>
  <c r="Y108" i="16"/>
  <c r="AG99" i="16"/>
  <c r="G107" i="16"/>
  <c r="AR23" i="16" s="1"/>
  <c r="O107" i="16"/>
  <c r="AW23" i="16" s="1"/>
  <c r="W107" i="16"/>
  <c r="W108" i="16" s="1"/>
  <c r="AE107" i="16"/>
  <c r="AE100" i="16" s="1"/>
  <c r="AE7" i="16" s="1"/>
  <c r="K5" i="16"/>
  <c r="AA5" i="16"/>
  <c r="D7" i="16"/>
  <c r="L97" i="16"/>
  <c r="L99" i="16" s="1"/>
  <c r="L100" i="16" s="1"/>
  <c r="L7" i="16" s="1"/>
  <c r="T97" i="16"/>
  <c r="T99" i="16" s="1"/>
  <c r="T100" i="16" s="1"/>
  <c r="T7" i="16" s="1"/>
  <c r="AB7" i="16"/>
  <c r="AI92" i="16"/>
  <c r="AH92" i="16"/>
  <c r="D252" i="16"/>
  <c r="E246" i="16"/>
  <c r="AQ16" i="16"/>
  <c r="AQ22" i="16" s="1"/>
  <c r="AQ24" i="16" s="1"/>
  <c r="F108" i="16"/>
  <c r="C5" i="16"/>
  <c r="S5" i="16"/>
  <c r="AL13" i="16"/>
  <c r="AV16" i="16"/>
  <c r="AV22" i="16" s="1"/>
  <c r="E97" i="16"/>
  <c r="E99" i="16" s="1"/>
  <c r="E100" i="16" s="1"/>
  <c r="E7" i="16" s="1"/>
  <c r="M97" i="16"/>
  <c r="M99" i="16" s="1"/>
  <c r="U97" i="16"/>
  <c r="U99" i="16" s="1"/>
  <c r="U100" i="16" s="1"/>
  <c r="U7" i="16" s="1"/>
  <c r="AC97" i="16"/>
  <c r="AC99" i="16" s="1"/>
  <c r="AC100" i="16" s="1"/>
  <c r="AC7" i="16" s="1"/>
  <c r="AI101" i="16"/>
  <c r="AH104" i="16"/>
  <c r="AH105" i="16"/>
  <c r="AF107" i="14"/>
  <c r="AF97" i="14"/>
  <c r="AF99" i="14" s="1"/>
  <c r="AF100" i="14" s="1"/>
  <c r="AF108" i="14"/>
  <c r="AD108" i="14"/>
  <c r="AE97" i="14"/>
  <c r="AE99" i="14" s="1"/>
  <c r="AE100" i="14" s="1"/>
  <c r="AE108" i="14"/>
  <c r="AD97" i="14"/>
  <c r="AD99" i="14" s="1"/>
  <c r="AD100" i="14" s="1"/>
  <c r="AC97" i="14"/>
  <c r="AC99" i="14" s="1"/>
  <c r="AC100" i="14" s="1"/>
  <c r="AC108" i="14"/>
  <c r="AB97" i="14"/>
  <c r="AB99" i="14" s="1"/>
  <c r="AB100" i="14"/>
  <c r="AB108" i="14"/>
  <c r="AA252" i="18" l="1"/>
  <c r="AB246" i="18"/>
  <c r="S246" i="17"/>
  <c r="P247" i="17"/>
  <c r="O252" i="17"/>
  <c r="P251" i="17"/>
  <c r="Q251" i="17" s="1"/>
  <c r="O118" i="17"/>
  <c r="AF100" i="16"/>
  <c r="AF7" i="16" s="1"/>
  <c r="W100" i="16"/>
  <c r="W7" i="16" s="1"/>
  <c r="R100" i="16"/>
  <c r="R7" i="16" s="1"/>
  <c r="AW24" i="16"/>
  <c r="O108" i="16"/>
  <c r="N108" i="16"/>
  <c r="AV24" i="16"/>
  <c r="AU24" i="16"/>
  <c r="M100" i="16"/>
  <c r="M7" i="16" s="1"/>
  <c r="M108" i="16"/>
  <c r="I100" i="16"/>
  <c r="I7" i="16" s="1"/>
  <c r="I108" i="16"/>
  <c r="AS24" i="16"/>
  <c r="B256" i="16"/>
  <c r="AR24" i="16"/>
  <c r="AT8" i="16"/>
  <c r="AN24" i="16"/>
  <c r="BJ107" i="16"/>
  <c r="BH106" i="16"/>
  <c r="BL104" i="16"/>
  <c r="BJ103" i="16"/>
  <c r="BH102" i="16"/>
  <c r="BL100" i="16"/>
  <c r="BJ99" i="16"/>
  <c r="BH98" i="16"/>
  <c r="BL96" i="16"/>
  <c r="BJ95" i="16"/>
  <c r="BH94" i="16"/>
  <c r="BL92" i="16"/>
  <c r="BJ91" i="16"/>
  <c r="BH90" i="16"/>
  <c r="BL88" i="16"/>
  <c r="BJ87" i="16"/>
  <c r="BH86" i="16"/>
  <c r="BL84" i="16"/>
  <c r="BI107" i="16"/>
  <c r="BG106" i="16"/>
  <c r="BK104" i="16"/>
  <c r="BI103" i="16"/>
  <c r="BG102" i="16"/>
  <c r="BK100" i="16"/>
  <c r="BI99" i="16"/>
  <c r="BG98" i="16"/>
  <c r="BK96" i="16"/>
  <c r="BI95" i="16"/>
  <c r="BG94" i="16"/>
  <c r="BK92" i="16"/>
  <c r="BI91" i="16"/>
  <c r="BG90" i="16"/>
  <c r="BK88" i="16"/>
  <c r="BI87" i="16"/>
  <c r="BG86" i="16"/>
  <c r="BK84" i="16"/>
  <c r="BH107" i="16"/>
  <c r="BL105" i="16"/>
  <c r="BJ104" i="16"/>
  <c r="BH103" i="16"/>
  <c r="BL101" i="16"/>
  <c r="BJ100" i="16"/>
  <c r="BH99" i="16"/>
  <c r="BL97" i="16"/>
  <c r="BJ96" i="16"/>
  <c r="BH95" i="16"/>
  <c r="BL93" i="16"/>
  <c r="BJ92" i="16"/>
  <c r="BH91" i="16"/>
  <c r="BL89" i="16"/>
  <c r="BJ88" i="16"/>
  <c r="BH87" i="16"/>
  <c r="BL85" i="16"/>
  <c r="BJ84" i="16"/>
  <c r="BG107" i="16"/>
  <c r="BK105" i="16"/>
  <c r="BI104" i="16"/>
  <c r="BG103" i="16"/>
  <c r="BK101" i="16"/>
  <c r="BI100" i="16"/>
  <c r="BG99" i="16"/>
  <c r="BK97" i="16"/>
  <c r="BI96" i="16"/>
  <c r="BG95" i="16"/>
  <c r="BK93" i="16"/>
  <c r="BI92" i="16"/>
  <c r="BG91" i="16"/>
  <c r="BK89" i="16"/>
  <c r="BI88" i="16"/>
  <c r="BG87" i="16"/>
  <c r="BK85" i="16"/>
  <c r="BI84" i="16"/>
  <c r="BL107" i="16"/>
  <c r="BJ106" i="16"/>
  <c r="BH105" i="16"/>
  <c r="BL103" i="16"/>
  <c r="BJ102" i="16"/>
  <c r="BH101" i="16"/>
  <c r="BL99" i="16"/>
  <c r="BJ98" i="16"/>
  <c r="BH97" i="16"/>
  <c r="BL95" i="16"/>
  <c r="BJ94" i="16"/>
  <c r="BH93" i="16"/>
  <c r="BL91" i="16"/>
  <c r="BJ90" i="16"/>
  <c r="BH89" i="16"/>
  <c r="BL87" i="16"/>
  <c r="BJ86" i="16"/>
  <c r="BH85" i="16"/>
  <c r="BK107" i="16"/>
  <c r="BG104" i="16"/>
  <c r="BH100" i="16"/>
  <c r="BG97" i="16"/>
  <c r="BI93" i="16"/>
  <c r="BJ89" i="16"/>
  <c r="BI86" i="16"/>
  <c r="BI98" i="16"/>
  <c r="BL106" i="16"/>
  <c r="BK103" i="16"/>
  <c r="BG100" i="16"/>
  <c r="BH96" i="16"/>
  <c r="BG93" i="16"/>
  <c r="BI89" i="16"/>
  <c r="BJ85" i="16"/>
  <c r="BL90" i="16"/>
  <c r="BK106" i="16"/>
  <c r="BL102" i="16"/>
  <c r="BK99" i="16"/>
  <c r="BG96" i="16"/>
  <c r="BH92" i="16"/>
  <c r="BG89" i="16"/>
  <c r="BI85" i="16"/>
  <c r="BI106" i="16"/>
  <c r="BK102" i="16"/>
  <c r="BL98" i="16"/>
  <c r="BK95" i="16"/>
  <c r="BG92" i="16"/>
  <c r="BH88" i="16"/>
  <c r="BG85" i="16"/>
  <c r="BI105" i="16"/>
  <c r="BJ101" i="16"/>
  <c r="BK94" i="16"/>
  <c r="BK87" i="16"/>
  <c r="BG84" i="16"/>
  <c r="BJ105" i="16"/>
  <c r="BI102" i="16"/>
  <c r="BK98" i="16"/>
  <c r="BL94" i="16"/>
  <c r="BK91" i="16"/>
  <c r="BG88" i="16"/>
  <c r="BH84" i="16"/>
  <c r="BG105" i="16"/>
  <c r="BI101" i="16"/>
  <c r="BJ97" i="16"/>
  <c r="BI94" i="16"/>
  <c r="BK90" i="16"/>
  <c r="BL86" i="16"/>
  <c r="BH104" i="16"/>
  <c r="BG101" i="16"/>
  <c r="BI97" i="16"/>
  <c r="BJ93" i="16"/>
  <c r="BI90" i="16"/>
  <c r="BK86" i="16"/>
  <c r="N100" i="16"/>
  <c r="N7" i="16" s="1"/>
  <c r="V108" i="16"/>
  <c r="AE108" i="16"/>
  <c r="AI97" i="16"/>
  <c r="G100" i="16"/>
  <c r="G7" i="16" s="1"/>
  <c r="AI107" i="16"/>
  <c r="AH107" i="16"/>
  <c r="AM23" i="16"/>
  <c r="AM24" i="16" s="1"/>
  <c r="AH97" i="16"/>
  <c r="AH99" i="16"/>
  <c r="AI99" i="16"/>
  <c r="C256" i="16"/>
  <c r="K6" i="16" s="1"/>
  <c r="AD100" i="16"/>
  <c r="AD7" i="16" s="1"/>
  <c r="O100" i="16"/>
  <c r="O7" i="16" s="1"/>
  <c r="F246" i="16"/>
  <c r="E252" i="16"/>
  <c r="E118" i="16"/>
  <c r="G108" i="16"/>
  <c r="AB252" i="18" l="1"/>
  <c r="AB118" i="18"/>
  <c r="AC246" i="18"/>
  <c r="R251" i="17"/>
  <c r="Q118" i="17"/>
  <c r="Q247" i="17"/>
  <c r="P252" i="17"/>
  <c r="T246" i="17"/>
  <c r="AI108" i="16"/>
  <c r="AT9" i="16"/>
  <c r="AH108" i="16"/>
  <c r="AI100" i="16"/>
  <c r="AH100" i="16"/>
  <c r="B7" i="16"/>
  <c r="A7" i="16" s="1"/>
  <c r="G246" i="16"/>
  <c r="F252" i="16"/>
  <c r="F118" i="16"/>
  <c r="AC118" i="18" l="1"/>
  <c r="AD246" i="18"/>
  <c r="AC252" i="18"/>
  <c r="U246" i="17"/>
  <c r="R247" i="17"/>
  <c r="Q252" i="17"/>
  <c r="S251" i="17"/>
  <c r="R118" i="17"/>
  <c r="H246" i="16"/>
  <c r="G118" i="16"/>
  <c r="G252" i="16"/>
  <c r="AE246" i="18" l="1"/>
  <c r="AD252" i="18"/>
  <c r="AD118" i="18"/>
  <c r="T251" i="17"/>
  <c r="S247" i="17"/>
  <c r="R252" i="17"/>
  <c r="V246" i="17"/>
  <c r="I246" i="16"/>
  <c r="H252" i="16"/>
  <c r="H118" i="16"/>
  <c r="AF246" i="18" l="1"/>
  <c r="AE252" i="18"/>
  <c r="AE118" i="18"/>
  <c r="W246" i="17"/>
  <c r="T247" i="17"/>
  <c r="S252" i="17"/>
  <c r="U251" i="17"/>
  <c r="I252" i="16"/>
  <c r="I118" i="16"/>
  <c r="J246" i="16"/>
  <c r="V123" i="14"/>
  <c r="V57" i="14"/>
  <c r="U123" i="14"/>
  <c r="U57" i="14"/>
  <c r="AF252" i="18" l="1"/>
  <c r="AF118" i="18"/>
  <c r="B246" i="18"/>
  <c r="V251" i="17"/>
  <c r="U247" i="17"/>
  <c r="T252" i="17"/>
  <c r="X246" i="17"/>
  <c r="J252" i="16"/>
  <c r="J118" i="16"/>
  <c r="K246" i="16"/>
  <c r="T123" i="14"/>
  <c r="T57" i="14"/>
  <c r="B252" i="18" l="1"/>
  <c r="B118" i="18"/>
  <c r="Y246" i="17"/>
  <c r="V247" i="17"/>
  <c r="U252" i="17"/>
  <c r="W251" i="17"/>
  <c r="K252" i="16"/>
  <c r="K118" i="16"/>
  <c r="L246" i="16"/>
  <c r="S123" i="14"/>
  <c r="S57" i="14"/>
  <c r="AI118" i="18" l="1"/>
  <c r="AH118" i="18"/>
  <c r="X251" i="17"/>
  <c r="W247" i="17"/>
  <c r="V252" i="17"/>
  <c r="Z246" i="17"/>
  <c r="L252" i="16"/>
  <c r="L118" i="16"/>
  <c r="M246" i="16"/>
  <c r="R123" i="14"/>
  <c r="R57" i="14"/>
  <c r="Q123" i="14"/>
  <c r="Q57" i="14"/>
  <c r="P123" i="14"/>
  <c r="P57" i="14"/>
  <c r="AA246" i="17" l="1"/>
  <c r="X247" i="17"/>
  <c r="W252" i="17"/>
  <c r="Y251" i="17"/>
  <c r="Z251" i="17" s="1"/>
  <c r="AA251" i="17" s="1"/>
  <c r="AB251" i="17" s="1"/>
  <c r="AC251" i="17" s="1"/>
  <c r="AD251" i="17" s="1"/>
  <c r="AE251" i="17" s="1"/>
  <c r="AF251" i="17" s="1"/>
  <c r="B251" i="17" s="1"/>
  <c r="N246" i="16"/>
  <c r="M252" i="16"/>
  <c r="M118" i="16"/>
  <c r="O123" i="14"/>
  <c r="O57" i="14"/>
  <c r="O58" i="14"/>
  <c r="O62" i="14"/>
  <c r="O76" i="14"/>
  <c r="O80" i="14"/>
  <c r="O92" i="14"/>
  <c r="O101" i="14"/>
  <c r="O102" i="14"/>
  <c r="O103" i="14"/>
  <c r="O104" i="14"/>
  <c r="O105" i="14"/>
  <c r="N123" i="14"/>
  <c r="N57" i="14"/>
  <c r="N58" i="14"/>
  <c r="N62" i="14"/>
  <c r="M123" i="14"/>
  <c r="M121" i="14"/>
  <c r="M57" i="14"/>
  <c r="M58" i="14"/>
  <c r="M62" i="14"/>
  <c r="M76" i="14"/>
  <c r="M80" i="14"/>
  <c r="Y247" i="17" l="1"/>
  <c r="X252" i="17"/>
  <c r="AB246" i="17"/>
  <c r="O246" i="16"/>
  <c r="N252" i="16"/>
  <c r="N118" i="16"/>
  <c r="O107" i="14"/>
  <c r="O108" i="14" s="1"/>
  <c r="O97" i="14"/>
  <c r="O99" i="14" s="1"/>
  <c r="L123" i="14"/>
  <c r="K123" i="14"/>
  <c r="J123" i="14"/>
  <c r="I123" i="14"/>
  <c r="H123" i="14"/>
  <c r="H58" i="14"/>
  <c r="H62" i="14"/>
  <c r="G123" i="14"/>
  <c r="F123" i="14"/>
  <c r="E123" i="14"/>
  <c r="D123" i="14"/>
  <c r="C123" i="14"/>
  <c r="B123" i="14"/>
  <c r="AG252" i="14"/>
  <c r="C252" i="14"/>
  <c r="D251" i="14"/>
  <c r="E251" i="14" s="1"/>
  <c r="F251" i="14" s="1"/>
  <c r="G251" i="14" s="1"/>
  <c r="H251" i="14" s="1"/>
  <c r="I251" i="14" s="1"/>
  <c r="J251" i="14" s="1"/>
  <c r="K251" i="14" s="1"/>
  <c r="L251" i="14" s="1"/>
  <c r="M251" i="14" s="1"/>
  <c r="N251" i="14" s="1"/>
  <c r="O251" i="14" s="1"/>
  <c r="P251" i="14" s="1"/>
  <c r="Q251" i="14" s="1"/>
  <c r="R251" i="14" s="1"/>
  <c r="S251" i="14" s="1"/>
  <c r="T251" i="14" s="1"/>
  <c r="U251" i="14" s="1"/>
  <c r="V251" i="14" s="1"/>
  <c r="W251" i="14" s="1"/>
  <c r="X251" i="14" s="1"/>
  <c r="Y251" i="14" s="1"/>
  <c r="Z251" i="14" s="1"/>
  <c r="AA251" i="14" s="1"/>
  <c r="AB251" i="14" s="1"/>
  <c r="AC251" i="14" s="1"/>
  <c r="AD251" i="14" s="1"/>
  <c r="AE251" i="14" s="1"/>
  <c r="AF251" i="14" s="1"/>
  <c r="B251" i="14" s="1"/>
  <c r="J250" i="14"/>
  <c r="K250" i="14" s="1"/>
  <c r="L250" i="14" s="1"/>
  <c r="M250" i="14" s="1"/>
  <c r="N250" i="14" s="1"/>
  <c r="O250" i="14" s="1"/>
  <c r="P250" i="14" s="1"/>
  <c r="Q250" i="14" s="1"/>
  <c r="R250" i="14" s="1"/>
  <c r="S250" i="14" s="1"/>
  <c r="T250" i="14" s="1"/>
  <c r="U250" i="14" s="1"/>
  <c r="V250" i="14" s="1"/>
  <c r="W250" i="14" s="1"/>
  <c r="X250" i="14" s="1"/>
  <c r="Y250" i="14" s="1"/>
  <c r="Z250" i="14" s="1"/>
  <c r="AA250" i="14" s="1"/>
  <c r="AB250" i="14" s="1"/>
  <c r="AC250" i="14" s="1"/>
  <c r="AD250" i="14" s="1"/>
  <c r="AE250" i="14" s="1"/>
  <c r="AF250" i="14" s="1"/>
  <c r="B250" i="14" s="1"/>
  <c r="D250" i="14"/>
  <c r="E250" i="14" s="1"/>
  <c r="F250" i="14" s="1"/>
  <c r="G250" i="14" s="1"/>
  <c r="H250" i="14" s="1"/>
  <c r="I250" i="14" s="1"/>
  <c r="D249" i="14"/>
  <c r="E249" i="14" s="1"/>
  <c r="F249" i="14" s="1"/>
  <c r="G249" i="14" s="1"/>
  <c r="H249" i="14" s="1"/>
  <c r="I249" i="14" s="1"/>
  <c r="J249" i="14" s="1"/>
  <c r="K249" i="14" s="1"/>
  <c r="L249" i="14" s="1"/>
  <c r="M249" i="14" s="1"/>
  <c r="N249" i="14" s="1"/>
  <c r="O249" i="14" s="1"/>
  <c r="P249" i="14" s="1"/>
  <c r="Q249" i="14" s="1"/>
  <c r="R249" i="14" s="1"/>
  <c r="S249" i="14" s="1"/>
  <c r="T249" i="14" s="1"/>
  <c r="U249" i="14" s="1"/>
  <c r="V249" i="14" s="1"/>
  <c r="W249" i="14" s="1"/>
  <c r="X249" i="14" s="1"/>
  <c r="Y249" i="14" s="1"/>
  <c r="Z249" i="14" s="1"/>
  <c r="AA249" i="14" s="1"/>
  <c r="AB249" i="14" s="1"/>
  <c r="AC249" i="14" s="1"/>
  <c r="AD249" i="14" s="1"/>
  <c r="AE249" i="14" s="1"/>
  <c r="AF249" i="14" s="1"/>
  <c r="B249" i="14" s="1"/>
  <c r="E248" i="14"/>
  <c r="F248" i="14" s="1"/>
  <c r="G248" i="14" s="1"/>
  <c r="H248" i="14" s="1"/>
  <c r="I248" i="14" s="1"/>
  <c r="J248" i="14" s="1"/>
  <c r="K248" i="14" s="1"/>
  <c r="L248" i="14" s="1"/>
  <c r="M248" i="14" s="1"/>
  <c r="N248" i="14" s="1"/>
  <c r="O248" i="14" s="1"/>
  <c r="P248" i="14" s="1"/>
  <c r="Q248" i="14" s="1"/>
  <c r="R248" i="14" s="1"/>
  <c r="S248" i="14" s="1"/>
  <c r="T248" i="14" s="1"/>
  <c r="U248" i="14" s="1"/>
  <c r="V248" i="14" s="1"/>
  <c r="W248" i="14" s="1"/>
  <c r="X248" i="14" s="1"/>
  <c r="Y248" i="14" s="1"/>
  <c r="Z248" i="14" s="1"/>
  <c r="AA248" i="14" s="1"/>
  <c r="AB248" i="14" s="1"/>
  <c r="AC248" i="14" s="1"/>
  <c r="AD248" i="14" s="1"/>
  <c r="AE248" i="14" s="1"/>
  <c r="AF248" i="14" s="1"/>
  <c r="B248" i="14" s="1"/>
  <c r="D248" i="14"/>
  <c r="D247" i="14"/>
  <c r="E247" i="14" s="1"/>
  <c r="F247" i="14" s="1"/>
  <c r="G247" i="14" s="1"/>
  <c r="H247" i="14" s="1"/>
  <c r="I247" i="14" s="1"/>
  <c r="J247" i="14" s="1"/>
  <c r="K247" i="14" s="1"/>
  <c r="L247" i="14" s="1"/>
  <c r="M247" i="14" s="1"/>
  <c r="N247" i="14" s="1"/>
  <c r="O247" i="14" s="1"/>
  <c r="P247" i="14" s="1"/>
  <c r="Q247" i="14" s="1"/>
  <c r="R247" i="14" s="1"/>
  <c r="S247" i="14" s="1"/>
  <c r="T247" i="14" s="1"/>
  <c r="U247" i="14" s="1"/>
  <c r="V247" i="14" s="1"/>
  <c r="W247" i="14" s="1"/>
  <c r="X247" i="14" s="1"/>
  <c r="Y247" i="14" s="1"/>
  <c r="Z247" i="14" s="1"/>
  <c r="AA247" i="14" s="1"/>
  <c r="AB247" i="14" s="1"/>
  <c r="AC247" i="14" s="1"/>
  <c r="AD247" i="14" s="1"/>
  <c r="AE247" i="14" s="1"/>
  <c r="AF247" i="14" s="1"/>
  <c r="B247" i="14" s="1"/>
  <c r="D246" i="14"/>
  <c r="AG244" i="14"/>
  <c r="AF244" i="14"/>
  <c r="AE244" i="14"/>
  <c r="AD244" i="14"/>
  <c r="AC244" i="14"/>
  <c r="AB244" i="14"/>
  <c r="AA244" i="14"/>
  <c r="Z244" i="14"/>
  <c r="Y244" i="14"/>
  <c r="Y118" i="14" s="1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AI130" i="14"/>
  <c r="AH130" i="14"/>
  <c r="AI129" i="14"/>
  <c r="AH129" i="14"/>
  <c r="AI128" i="14"/>
  <c r="AH128" i="14"/>
  <c r="AI127" i="14"/>
  <c r="AH127" i="14"/>
  <c r="AI126" i="14"/>
  <c r="AH126" i="14"/>
  <c r="AI123" i="14"/>
  <c r="AH123" i="14"/>
  <c r="AI122" i="14"/>
  <c r="AH122" i="14"/>
  <c r="AI121" i="14"/>
  <c r="AH121" i="14"/>
  <c r="AI120" i="14"/>
  <c r="AH120" i="14"/>
  <c r="AI119" i="14"/>
  <c r="AH119" i="14"/>
  <c r="Z118" i="14"/>
  <c r="C118" i="14"/>
  <c r="AI117" i="14"/>
  <c r="AH117" i="14"/>
  <c r="AI116" i="14"/>
  <c r="AH116" i="14"/>
  <c r="AI115" i="14"/>
  <c r="AH115" i="14"/>
  <c r="AI114" i="14"/>
  <c r="AH114" i="14"/>
  <c r="AI113" i="14"/>
  <c r="AH113" i="14"/>
  <c r="AI112" i="14"/>
  <c r="AH112" i="14"/>
  <c r="AI111" i="14"/>
  <c r="AH111" i="14"/>
  <c r="AI110" i="14"/>
  <c r="AH110" i="14"/>
  <c r="AI109" i="14"/>
  <c r="AH109" i="14"/>
  <c r="AI106" i="14"/>
  <c r="AH106" i="14"/>
  <c r="AA105" i="14"/>
  <c r="Z105" i="14"/>
  <c r="Y105" i="14"/>
  <c r="X105" i="14"/>
  <c r="W105" i="14"/>
  <c r="V105" i="14"/>
  <c r="U105" i="14"/>
  <c r="T105" i="14"/>
  <c r="S105" i="14"/>
  <c r="R105" i="14"/>
  <c r="Q105" i="14"/>
  <c r="P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AA104" i="14"/>
  <c r="Z104" i="14"/>
  <c r="Y104" i="14"/>
  <c r="X104" i="14"/>
  <c r="W104" i="14"/>
  <c r="V104" i="14"/>
  <c r="U104" i="14"/>
  <c r="T104" i="14"/>
  <c r="S104" i="14"/>
  <c r="R104" i="14"/>
  <c r="Q104" i="14"/>
  <c r="Q107" i="14" s="1"/>
  <c r="P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AA103" i="14"/>
  <c r="Z103" i="14"/>
  <c r="Y103" i="14"/>
  <c r="X103" i="14"/>
  <c r="W103" i="14"/>
  <c r="V103" i="14"/>
  <c r="U103" i="14"/>
  <c r="T103" i="14"/>
  <c r="S103" i="14"/>
  <c r="R103" i="14"/>
  <c r="Q103" i="14"/>
  <c r="P103" i="14"/>
  <c r="N103" i="14"/>
  <c r="M103" i="14"/>
  <c r="L103" i="14"/>
  <c r="K103" i="14"/>
  <c r="J103" i="14"/>
  <c r="I103" i="14"/>
  <c r="H103" i="14"/>
  <c r="G103" i="14"/>
  <c r="F103" i="14"/>
  <c r="E103" i="14"/>
  <c r="D103" i="14"/>
  <c r="C103" i="14"/>
  <c r="B103" i="14"/>
  <c r="AA102" i="14"/>
  <c r="Z102" i="14"/>
  <c r="Y102" i="14"/>
  <c r="X102" i="14"/>
  <c r="W102" i="14"/>
  <c r="V102" i="14"/>
  <c r="U102" i="14"/>
  <c r="T102" i="14"/>
  <c r="S102" i="14"/>
  <c r="R102" i="14"/>
  <c r="Q102" i="14"/>
  <c r="P102" i="14"/>
  <c r="N102" i="14"/>
  <c r="M102" i="14"/>
  <c r="L102" i="14"/>
  <c r="K102" i="14"/>
  <c r="J102" i="14"/>
  <c r="I102" i="14"/>
  <c r="H102" i="14"/>
  <c r="G102" i="14"/>
  <c r="F102" i="14"/>
  <c r="E102" i="14"/>
  <c r="D102" i="14"/>
  <c r="C102" i="14"/>
  <c r="B102" i="14"/>
  <c r="AA101" i="14"/>
  <c r="Z101" i="14"/>
  <c r="Y101" i="14"/>
  <c r="X101" i="14"/>
  <c r="X107" i="14" s="1"/>
  <c r="W101" i="14"/>
  <c r="V101" i="14"/>
  <c r="U101" i="14"/>
  <c r="T101" i="14"/>
  <c r="S101" i="14"/>
  <c r="S107" i="14" s="1"/>
  <c r="R101" i="14"/>
  <c r="Q101" i="14"/>
  <c r="P101" i="14"/>
  <c r="P107" i="14" s="1"/>
  <c r="N101" i="14"/>
  <c r="M101" i="14"/>
  <c r="L101" i="14"/>
  <c r="K101" i="14"/>
  <c r="J101" i="14"/>
  <c r="I101" i="14"/>
  <c r="H101" i="14"/>
  <c r="G101" i="14"/>
  <c r="F101" i="14"/>
  <c r="E101" i="14"/>
  <c r="D101" i="14"/>
  <c r="C101" i="14"/>
  <c r="B101" i="14"/>
  <c r="AI98" i="14"/>
  <c r="AH98" i="14"/>
  <c r="AI96" i="14"/>
  <c r="AH96" i="14"/>
  <c r="AG96" i="14"/>
  <c r="AI95" i="14"/>
  <c r="AH95" i="14"/>
  <c r="AI94" i="14"/>
  <c r="AH94" i="14"/>
  <c r="AI93" i="14"/>
  <c r="AH93" i="14"/>
  <c r="AG92" i="14"/>
  <c r="AB5" i="14"/>
  <c r="AA92" i="14"/>
  <c r="Z5" i="14" s="1"/>
  <c r="Z92" i="14"/>
  <c r="Y92" i="14"/>
  <c r="X92" i="14"/>
  <c r="W5" i="14" s="1"/>
  <c r="W92" i="14"/>
  <c r="V92" i="14"/>
  <c r="U5" i="14" s="1"/>
  <c r="U92" i="14"/>
  <c r="T5" i="14" s="1"/>
  <c r="T92" i="14"/>
  <c r="S92" i="14"/>
  <c r="R92" i="14"/>
  <c r="Q5" i="14" s="1"/>
  <c r="Q92" i="14"/>
  <c r="P92" i="14"/>
  <c r="N92" i="14"/>
  <c r="M5" i="14" s="1"/>
  <c r="M92" i="14"/>
  <c r="AU19" i="14" s="1"/>
  <c r="L92" i="14"/>
  <c r="K92" i="14"/>
  <c r="J92" i="14"/>
  <c r="I5" i="14" s="1"/>
  <c r="I92" i="14"/>
  <c r="AS19" i="14" s="1"/>
  <c r="H92" i="14"/>
  <c r="G92" i="14"/>
  <c r="F92" i="14"/>
  <c r="E5" i="14" s="1"/>
  <c r="E92" i="14"/>
  <c r="AP19" i="14" s="1"/>
  <c r="D92" i="14"/>
  <c r="C5" i="14" s="1"/>
  <c r="C92" i="14"/>
  <c r="B92" i="14"/>
  <c r="AM19" i="14" s="1"/>
  <c r="AI91" i="14"/>
  <c r="AH91" i="14"/>
  <c r="AI90" i="14"/>
  <c r="AH90" i="14"/>
  <c r="AI89" i="14"/>
  <c r="AH89" i="14"/>
  <c r="AI88" i="14"/>
  <c r="AH88" i="14"/>
  <c r="AI87" i="14"/>
  <c r="AH87" i="14"/>
  <c r="AI86" i="14"/>
  <c r="AH86" i="14"/>
  <c r="AI85" i="14"/>
  <c r="AH85" i="14"/>
  <c r="AI84" i="14"/>
  <c r="AH84" i="14"/>
  <c r="AI83" i="14"/>
  <c r="AH83" i="14"/>
  <c r="AI82" i="14"/>
  <c r="AH82" i="14"/>
  <c r="AI81" i="14"/>
  <c r="AH81" i="14"/>
  <c r="BB80" i="14"/>
  <c r="AG80" i="14"/>
  <c r="AA80" i="14"/>
  <c r="Z80" i="14"/>
  <c r="Y80" i="14"/>
  <c r="X80" i="14"/>
  <c r="W80" i="14"/>
  <c r="V80" i="14"/>
  <c r="U80" i="14"/>
  <c r="T80" i="14"/>
  <c r="S80" i="14"/>
  <c r="R80" i="14"/>
  <c r="Q80" i="14"/>
  <c r="P80" i="14"/>
  <c r="N80" i="14"/>
  <c r="AV20" i="14" s="1"/>
  <c r="L80" i="14"/>
  <c r="K80" i="14"/>
  <c r="J80" i="14"/>
  <c r="I80" i="14"/>
  <c r="AS20" i="14" s="1"/>
  <c r="H80" i="14"/>
  <c r="G80" i="14"/>
  <c r="F80" i="14"/>
  <c r="AQ20" i="14" s="1"/>
  <c r="E80" i="14"/>
  <c r="D80" i="14"/>
  <c r="C80" i="14"/>
  <c r="B80" i="14"/>
  <c r="BR79" i="14"/>
  <c r="AI79" i="14"/>
  <c r="AH79" i="14"/>
  <c r="BD78" i="14"/>
  <c r="BA78" i="14"/>
  <c r="AI78" i="14"/>
  <c r="AH78" i="14"/>
  <c r="AI77" i="14"/>
  <c r="AH77" i="14"/>
  <c r="BP76" i="14"/>
  <c r="BJ76" i="14"/>
  <c r="B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AX18" i="14" s="1"/>
  <c r="AW18" i="14"/>
  <c r="N76" i="14"/>
  <c r="AV18" i="14" s="1"/>
  <c r="L76" i="14"/>
  <c r="K76" i="14"/>
  <c r="J76" i="14"/>
  <c r="I76" i="14"/>
  <c r="AS18" i="14" s="1"/>
  <c r="H76" i="14"/>
  <c r="G76" i="14"/>
  <c r="AR18" i="14" s="1"/>
  <c r="F76" i="14"/>
  <c r="AQ18" i="14" s="1"/>
  <c r="E76" i="14"/>
  <c r="D76" i="14"/>
  <c r="AO18" i="14" s="1"/>
  <c r="C76" i="14"/>
  <c r="AN18" i="14" s="1"/>
  <c r="B76" i="14"/>
  <c r="AI75" i="14"/>
  <c r="AH75" i="14"/>
  <c r="AG75" i="14"/>
  <c r="AG76" i="14" s="1"/>
  <c r="AG3" i="14" s="1"/>
  <c r="AI74" i="14"/>
  <c r="AH74" i="14"/>
  <c r="BW73" i="14"/>
  <c r="BW80" i="14" s="1"/>
  <c r="BV73" i="14"/>
  <c r="BV80" i="14" s="1"/>
  <c r="BU73" i="14"/>
  <c r="BU80" i="14" s="1"/>
  <c r="BT73" i="14"/>
  <c r="BT80" i="14" s="1"/>
  <c r="BS73" i="14"/>
  <c r="BS80" i="14" s="1"/>
  <c r="BR73" i="14"/>
  <c r="BR80" i="14" s="1"/>
  <c r="BQ73" i="14"/>
  <c r="BQ80" i="14" s="1"/>
  <c r="BP73" i="14"/>
  <c r="BP80" i="14" s="1"/>
  <c r="BO73" i="14"/>
  <c r="BO80" i="14" s="1"/>
  <c r="BN73" i="14"/>
  <c r="BN80" i="14" s="1"/>
  <c r="BM73" i="14"/>
  <c r="BM80" i="14" s="1"/>
  <c r="BL73" i="14"/>
  <c r="BL80" i="14" s="1"/>
  <c r="BK73" i="14"/>
  <c r="BK80" i="14" s="1"/>
  <c r="BJ73" i="14"/>
  <c r="BJ80" i="14" s="1"/>
  <c r="BI73" i="14"/>
  <c r="BI80" i="14" s="1"/>
  <c r="BH73" i="14"/>
  <c r="BH80" i="14" s="1"/>
  <c r="BG73" i="14"/>
  <c r="BG80" i="14" s="1"/>
  <c r="BF73" i="14"/>
  <c r="BF80" i="14" s="1"/>
  <c r="BE73" i="14"/>
  <c r="BE80" i="14" s="1"/>
  <c r="BD73" i="14"/>
  <c r="BD80" i="14" s="1"/>
  <c r="BC73" i="14"/>
  <c r="BC80" i="14" s="1"/>
  <c r="BB73" i="14"/>
  <c r="BA73" i="14"/>
  <c r="BA80" i="14" s="1"/>
  <c r="AZ73" i="14"/>
  <c r="AZ80" i="14" s="1"/>
  <c r="AI73" i="14"/>
  <c r="AH73" i="14"/>
  <c r="BW72" i="14"/>
  <c r="BW79" i="14" s="1"/>
  <c r="BV72" i="14"/>
  <c r="BV79" i="14" s="1"/>
  <c r="BU72" i="14"/>
  <c r="BU79" i="14" s="1"/>
  <c r="BT72" i="14"/>
  <c r="BT79" i="14" s="1"/>
  <c r="BS72" i="14"/>
  <c r="BS79" i="14" s="1"/>
  <c r="BR72" i="14"/>
  <c r="BQ72" i="14"/>
  <c r="BQ79" i="14" s="1"/>
  <c r="BP72" i="14"/>
  <c r="BP79" i="14" s="1"/>
  <c r="BO72" i="14"/>
  <c r="BO79" i="14" s="1"/>
  <c r="BN72" i="14"/>
  <c r="BN79" i="14" s="1"/>
  <c r="BM72" i="14"/>
  <c r="BM79" i="14" s="1"/>
  <c r="BL72" i="14"/>
  <c r="BL79" i="14" s="1"/>
  <c r="BK72" i="14"/>
  <c r="BK79" i="14" s="1"/>
  <c r="BJ72" i="14"/>
  <c r="BJ79" i="14" s="1"/>
  <c r="BI72" i="14"/>
  <c r="BI79" i="14" s="1"/>
  <c r="BH72" i="14"/>
  <c r="BH79" i="14" s="1"/>
  <c r="BG72" i="14"/>
  <c r="BG79" i="14" s="1"/>
  <c r="BF72" i="14"/>
  <c r="BF79" i="14" s="1"/>
  <c r="BE72" i="14"/>
  <c r="BE79" i="14" s="1"/>
  <c r="BD72" i="14"/>
  <c r="BD79" i="14" s="1"/>
  <c r="BC72" i="14"/>
  <c r="BC79" i="14" s="1"/>
  <c r="BB72" i="14"/>
  <c r="BB79" i="14" s="1"/>
  <c r="BA72" i="14"/>
  <c r="BA79" i="14" s="1"/>
  <c r="AZ72" i="14"/>
  <c r="AZ79" i="14" s="1"/>
  <c r="AI72" i="14"/>
  <c r="AH72" i="14"/>
  <c r="BW71" i="14"/>
  <c r="BW78" i="14" s="1"/>
  <c r="BV71" i="14"/>
  <c r="BV78" i="14" s="1"/>
  <c r="BU71" i="14"/>
  <c r="BU78" i="14" s="1"/>
  <c r="BT71" i="14"/>
  <c r="BT78" i="14" s="1"/>
  <c r="BS71" i="14"/>
  <c r="BS78" i="14" s="1"/>
  <c r="BR71" i="14"/>
  <c r="BR78" i="14" s="1"/>
  <c r="BQ71" i="14"/>
  <c r="BQ78" i="14" s="1"/>
  <c r="BP71" i="14"/>
  <c r="BP78" i="14" s="1"/>
  <c r="BO71" i="14"/>
  <c r="BO78" i="14" s="1"/>
  <c r="BN71" i="14"/>
  <c r="BN78" i="14" s="1"/>
  <c r="BM71" i="14"/>
  <c r="BM78" i="14" s="1"/>
  <c r="BL71" i="14"/>
  <c r="BL78" i="14" s="1"/>
  <c r="BK71" i="14"/>
  <c r="BK78" i="14" s="1"/>
  <c r="BJ71" i="14"/>
  <c r="BJ78" i="14" s="1"/>
  <c r="BI71" i="14"/>
  <c r="BI78" i="14" s="1"/>
  <c r="BH71" i="14"/>
  <c r="BH78" i="14" s="1"/>
  <c r="BG71" i="14"/>
  <c r="BG78" i="14" s="1"/>
  <c r="BF71" i="14"/>
  <c r="BF78" i="14" s="1"/>
  <c r="BE71" i="14"/>
  <c r="BE78" i="14" s="1"/>
  <c r="BD71" i="14"/>
  <c r="BC71" i="14"/>
  <c r="BC78" i="14" s="1"/>
  <c r="BB71" i="14"/>
  <c r="BB78" i="14" s="1"/>
  <c r="BA71" i="14"/>
  <c r="AZ71" i="14"/>
  <c r="AZ78" i="14" s="1"/>
  <c r="AI71" i="14"/>
  <c r="AH71" i="14"/>
  <c r="BW70" i="14"/>
  <c r="BW77" i="14" s="1"/>
  <c r="BV70" i="14"/>
  <c r="BV77" i="14" s="1"/>
  <c r="BU70" i="14"/>
  <c r="BU77" i="14" s="1"/>
  <c r="BT70" i="14"/>
  <c r="BT77" i="14" s="1"/>
  <c r="BS70" i="14"/>
  <c r="BS77" i="14" s="1"/>
  <c r="BR70" i="14"/>
  <c r="BR77" i="14" s="1"/>
  <c r="BQ70" i="14"/>
  <c r="BQ77" i="14" s="1"/>
  <c r="BP70" i="14"/>
  <c r="BP77" i="14" s="1"/>
  <c r="BO70" i="14"/>
  <c r="BO77" i="14" s="1"/>
  <c r="BN70" i="14"/>
  <c r="BN77" i="14" s="1"/>
  <c r="BM70" i="14"/>
  <c r="BM77" i="14" s="1"/>
  <c r="BL70" i="14"/>
  <c r="BL77" i="14" s="1"/>
  <c r="BK70" i="14"/>
  <c r="BK77" i="14" s="1"/>
  <c r="BJ70" i="14"/>
  <c r="BJ77" i="14" s="1"/>
  <c r="BI70" i="14"/>
  <c r="BI77" i="14" s="1"/>
  <c r="BH70" i="14"/>
  <c r="BH77" i="14" s="1"/>
  <c r="BG70" i="14"/>
  <c r="BG77" i="14" s="1"/>
  <c r="BF70" i="14"/>
  <c r="BF77" i="14" s="1"/>
  <c r="BE70" i="14"/>
  <c r="BE77" i="14" s="1"/>
  <c r="BD70" i="14"/>
  <c r="BD77" i="14" s="1"/>
  <c r="BC70" i="14"/>
  <c r="BC77" i="14" s="1"/>
  <c r="BB70" i="14"/>
  <c r="BB77" i="14" s="1"/>
  <c r="BA70" i="14"/>
  <c r="BA77" i="14" s="1"/>
  <c r="AZ70" i="14"/>
  <c r="AZ77" i="14" s="1"/>
  <c r="AI70" i="14"/>
  <c r="AH70" i="14"/>
  <c r="BW69" i="14"/>
  <c r="BW76" i="14" s="1"/>
  <c r="BV69" i="14"/>
  <c r="BV76" i="14" s="1"/>
  <c r="BU69" i="14"/>
  <c r="BU76" i="14" s="1"/>
  <c r="BT69" i="14"/>
  <c r="BT76" i="14" s="1"/>
  <c r="BS69" i="14"/>
  <c r="BS76" i="14" s="1"/>
  <c r="BR69" i="14"/>
  <c r="BR76" i="14" s="1"/>
  <c r="BQ69" i="14"/>
  <c r="BQ76" i="14" s="1"/>
  <c r="BP69" i="14"/>
  <c r="BO69" i="14"/>
  <c r="BO76" i="14" s="1"/>
  <c r="BN69" i="14"/>
  <c r="BN76" i="14" s="1"/>
  <c r="BM69" i="14"/>
  <c r="BM76" i="14" s="1"/>
  <c r="BL69" i="14"/>
  <c r="BL76" i="14" s="1"/>
  <c r="BK69" i="14"/>
  <c r="BK76" i="14" s="1"/>
  <c r="BJ69" i="14"/>
  <c r="BI69" i="14"/>
  <c r="BI76" i="14" s="1"/>
  <c r="BH69" i="14"/>
  <c r="BH76" i="14" s="1"/>
  <c r="BG69" i="14"/>
  <c r="BG76" i="14" s="1"/>
  <c r="BF69" i="14"/>
  <c r="BF76" i="14" s="1"/>
  <c r="BE69" i="14"/>
  <c r="BE76" i="14" s="1"/>
  <c r="BD69" i="14"/>
  <c r="BD76" i="14" s="1"/>
  <c r="BC69" i="14"/>
  <c r="BC76" i="14" s="1"/>
  <c r="BB69" i="14"/>
  <c r="BA69" i="14"/>
  <c r="BA76" i="14" s="1"/>
  <c r="AZ69" i="14"/>
  <c r="AZ76" i="14" s="1"/>
  <c r="AI69" i="14"/>
  <c r="AH69" i="14"/>
  <c r="BW68" i="14"/>
  <c r="BW75" i="14" s="1"/>
  <c r="BV68" i="14"/>
  <c r="BV75" i="14" s="1"/>
  <c r="BU68" i="14"/>
  <c r="BU75" i="14" s="1"/>
  <c r="BT68" i="14"/>
  <c r="BT75" i="14" s="1"/>
  <c r="BS68" i="14"/>
  <c r="BS75" i="14" s="1"/>
  <c r="BR68" i="14"/>
  <c r="BR75" i="14" s="1"/>
  <c r="BQ68" i="14"/>
  <c r="BQ75" i="14" s="1"/>
  <c r="BP68" i="14"/>
  <c r="BP75" i="14" s="1"/>
  <c r="BO68" i="14"/>
  <c r="BO75" i="14" s="1"/>
  <c r="BN68" i="14"/>
  <c r="BN75" i="14" s="1"/>
  <c r="BM68" i="14"/>
  <c r="BM75" i="14" s="1"/>
  <c r="BL68" i="14"/>
  <c r="BL75" i="14" s="1"/>
  <c r="BK68" i="14"/>
  <c r="BK75" i="14" s="1"/>
  <c r="BJ68" i="14"/>
  <c r="BJ75" i="14" s="1"/>
  <c r="BI68" i="14"/>
  <c r="BI75" i="14" s="1"/>
  <c r="BH68" i="14"/>
  <c r="BH75" i="14" s="1"/>
  <c r="BG68" i="14"/>
  <c r="BG75" i="14" s="1"/>
  <c r="BF68" i="14"/>
  <c r="BF75" i="14" s="1"/>
  <c r="BE68" i="14"/>
  <c r="BE75" i="14" s="1"/>
  <c r="BD68" i="14"/>
  <c r="BD75" i="14" s="1"/>
  <c r="BC68" i="14"/>
  <c r="BC75" i="14" s="1"/>
  <c r="BB68" i="14"/>
  <c r="BB75" i="14" s="1"/>
  <c r="BA68" i="14"/>
  <c r="BA75" i="14" s="1"/>
  <c r="AZ68" i="14"/>
  <c r="AI68" i="14"/>
  <c r="AH68" i="14"/>
  <c r="AI67" i="14"/>
  <c r="AH67" i="14"/>
  <c r="AI66" i="14"/>
  <c r="AH66" i="14"/>
  <c r="AI65" i="14"/>
  <c r="AH65" i="14"/>
  <c r="AI64" i="14"/>
  <c r="AH64" i="14"/>
  <c r="AI63" i="14"/>
  <c r="AH63" i="14"/>
  <c r="AG62" i="14"/>
  <c r="AA62" i="14"/>
  <c r="Z62" i="14"/>
  <c r="Y62" i="14"/>
  <c r="X62" i="14"/>
  <c r="W62" i="14"/>
  <c r="V62" i="14"/>
  <c r="U62" i="14"/>
  <c r="T62" i="14"/>
  <c r="S62" i="14"/>
  <c r="R62" i="14"/>
  <c r="Q62" i="14"/>
  <c r="P62" i="14"/>
  <c r="AX17" i="14" s="1"/>
  <c r="AW17" i="14"/>
  <c r="L62" i="14"/>
  <c r="K62" i="14"/>
  <c r="AT17" i="14" s="1"/>
  <c r="J62" i="14"/>
  <c r="I62" i="14"/>
  <c r="AS17" i="14" s="1"/>
  <c r="G62" i="14"/>
  <c r="AR17" i="14" s="1"/>
  <c r="F62" i="14"/>
  <c r="AQ17" i="14" s="1"/>
  <c r="E62" i="14"/>
  <c r="AP17" i="14" s="1"/>
  <c r="D62" i="14"/>
  <c r="AO17" i="14" s="1"/>
  <c r="C62" i="14"/>
  <c r="AN17" i="14" s="1"/>
  <c r="B62" i="14"/>
  <c r="AI61" i="14"/>
  <c r="AH61" i="14"/>
  <c r="AI60" i="14"/>
  <c r="AH60" i="14"/>
  <c r="AI59" i="14"/>
  <c r="AH59" i="14"/>
  <c r="AG58" i="14"/>
  <c r="AG2" i="14" s="1"/>
  <c r="AG6" i="14" s="1"/>
  <c r="AB7" i="14"/>
  <c r="AA58" i="14"/>
  <c r="Z58" i="14"/>
  <c r="Y58" i="14"/>
  <c r="X58" i="14"/>
  <c r="W58" i="14"/>
  <c r="V58" i="14"/>
  <c r="U58" i="14"/>
  <c r="T58" i="14"/>
  <c r="S58" i="14"/>
  <c r="R58" i="14"/>
  <c r="Q58" i="14"/>
  <c r="P58" i="14"/>
  <c r="AX16" i="14" s="1"/>
  <c r="AV16" i="14"/>
  <c r="L58" i="14"/>
  <c r="K58" i="14"/>
  <c r="AT16" i="14" s="1"/>
  <c r="J58" i="14"/>
  <c r="I58" i="14"/>
  <c r="AS16" i="14" s="1"/>
  <c r="G58" i="14"/>
  <c r="F58" i="14"/>
  <c r="AQ16" i="14" s="1"/>
  <c r="E58" i="14"/>
  <c r="AP16" i="14" s="1"/>
  <c r="D58" i="14"/>
  <c r="C58" i="14"/>
  <c r="B58" i="14"/>
  <c r="AM16" i="14" s="1"/>
  <c r="AI57" i="14"/>
  <c r="AH57" i="14"/>
  <c r="AI56" i="14"/>
  <c r="AH56" i="14"/>
  <c r="AI55" i="14"/>
  <c r="AH55" i="14"/>
  <c r="AI54" i="14"/>
  <c r="AH54" i="14"/>
  <c r="AI53" i="14"/>
  <c r="AH53" i="14"/>
  <c r="AI52" i="14"/>
  <c r="AH52" i="14"/>
  <c r="AI51" i="14"/>
  <c r="AH51" i="14"/>
  <c r="AI50" i="14"/>
  <c r="AH50" i="14"/>
  <c r="AI49" i="14"/>
  <c r="AH49" i="14"/>
  <c r="AI48" i="14"/>
  <c r="AH48" i="14"/>
  <c r="AI47" i="14"/>
  <c r="AH47" i="14"/>
  <c r="AI46" i="14"/>
  <c r="AH46" i="14"/>
  <c r="AI45" i="14"/>
  <c r="AH45" i="14"/>
  <c r="AI44" i="14"/>
  <c r="AH44" i="14"/>
  <c r="AI43" i="14"/>
  <c r="AH43" i="14"/>
  <c r="AI42" i="14"/>
  <c r="AH42" i="14"/>
  <c r="AI41" i="14"/>
  <c r="AH41" i="14"/>
  <c r="AI40" i="14"/>
  <c r="AH40" i="14"/>
  <c r="AI39" i="14"/>
  <c r="AH39" i="14"/>
  <c r="AI38" i="14"/>
  <c r="AH38" i="14"/>
  <c r="AI37" i="14"/>
  <c r="AH37" i="14"/>
  <c r="AI36" i="14"/>
  <c r="AH36" i="14"/>
  <c r="AI35" i="14"/>
  <c r="AH35" i="14"/>
  <c r="AI34" i="14"/>
  <c r="AH34" i="14"/>
  <c r="AI33" i="14"/>
  <c r="AH33" i="14"/>
  <c r="AI32" i="14"/>
  <c r="AH32" i="14"/>
  <c r="AI31" i="14"/>
  <c r="AH31" i="14"/>
  <c r="AI30" i="14"/>
  <c r="AH30" i="14"/>
  <c r="AI29" i="14"/>
  <c r="AH29" i="14"/>
  <c r="AI28" i="14"/>
  <c r="AH28" i="14"/>
  <c r="AI27" i="14"/>
  <c r="AH27" i="14"/>
  <c r="AI26" i="14"/>
  <c r="AH26" i="14"/>
  <c r="AI25" i="14"/>
  <c r="AH25" i="14"/>
  <c r="AI24" i="14"/>
  <c r="AH24" i="14"/>
  <c r="AW23" i="14"/>
  <c r="AI23" i="14"/>
  <c r="AH23" i="14"/>
  <c r="AI22" i="14"/>
  <c r="AH22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I21" i="14"/>
  <c r="AH21" i="14"/>
  <c r="AX20" i="14"/>
  <c r="AW20" i="14"/>
  <c r="AU20" i="14"/>
  <c r="AT20" i="14"/>
  <c r="AR20" i="14"/>
  <c r="AP20" i="14"/>
  <c r="AO20" i="14"/>
  <c r="AN20" i="14"/>
  <c r="AM20" i="14"/>
  <c r="AI20" i="14"/>
  <c r="AH20" i="14"/>
  <c r="AX19" i="14"/>
  <c r="AW19" i="14"/>
  <c r="AR19" i="14"/>
  <c r="AN19" i="14"/>
  <c r="AI19" i="14"/>
  <c r="AH19" i="14"/>
  <c r="AU18" i="14"/>
  <c r="AT18" i="14"/>
  <c r="AP18" i="14"/>
  <c r="AM18" i="14"/>
  <c r="AI18" i="14"/>
  <c r="AH18" i="14"/>
  <c r="AV17" i="14"/>
  <c r="AU17" i="14"/>
  <c r="AI17" i="14"/>
  <c r="AH17" i="14"/>
  <c r="AU16" i="14"/>
  <c r="AI16" i="14"/>
  <c r="AH16" i="14"/>
  <c r="AI15" i="14"/>
  <c r="AH15" i="14"/>
  <c r="AI14" i="14"/>
  <c r="AH14" i="14"/>
  <c r="AI13" i="14"/>
  <c r="AH13" i="14"/>
  <c r="AL12" i="14"/>
  <c r="AI12" i="14"/>
  <c r="AH12" i="14"/>
  <c r="AI11" i="14"/>
  <c r="AH11" i="14"/>
  <c r="AE5" i="14"/>
  <c r="AD5" i="14"/>
  <c r="AC5" i="14"/>
  <c r="AA5" i="14"/>
  <c r="Y5" i="14"/>
  <c r="X5" i="14"/>
  <c r="V5" i="14"/>
  <c r="S5" i="14"/>
  <c r="R5" i="14"/>
  <c r="O5" i="14"/>
  <c r="N5" i="14"/>
  <c r="L5" i="14"/>
  <c r="J5" i="14"/>
  <c r="F5" i="14"/>
  <c r="B5" i="14"/>
  <c r="AG4" i="14"/>
  <c r="K4" i="14"/>
  <c r="E4" i="14"/>
  <c r="H4" i="14" s="1"/>
  <c r="B4" i="14"/>
  <c r="D258" i="14" s="1"/>
  <c r="AC246" i="17" l="1"/>
  <c r="Z247" i="17"/>
  <c r="Y252" i="17"/>
  <c r="P246" i="16"/>
  <c r="O252" i="16"/>
  <c r="O118" i="16"/>
  <c r="AA107" i="14"/>
  <c r="Y107" i="14"/>
  <c r="X108" i="14"/>
  <c r="T107" i="14"/>
  <c r="T97" i="14"/>
  <c r="T99" i="14" s="1"/>
  <c r="P108" i="14"/>
  <c r="AX22" i="14"/>
  <c r="AO19" i="14"/>
  <c r="V107" i="14"/>
  <c r="AH102" i="14"/>
  <c r="P97" i="14"/>
  <c r="P99" i="14" s="1"/>
  <c r="P100" i="14" s="1"/>
  <c r="P7" i="14" s="1"/>
  <c r="X97" i="14"/>
  <c r="X99" i="14" s="1"/>
  <c r="X100" i="14" s="1"/>
  <c r="X7" i="14" s="1"/>
  <c r="AF7" i="14"/>
  <c r="AI80" i="14"/>
  <c r="H97" i="14"/>
  <c r="H99" i="14" s="1"/>
  <c r="Q108" i="14"/>
  <c r="Y108" i="14"/>
  <c r="F107" i="14"/>
  <c r="AQ23" i="14" s="1"/>
  <c r="W107" i="14"/>
  <c r="R108" i="14"/>
  <c r="S108" i="14"/>
  <c r="R97" i="14"/>
  <c r="R99" i="14" s="1"/>
  <c r="R100" i="14" s="1"/>
  <c r="R7" i="14" s="1"/>
  <c r="T108" i="14"/>
  <c r="R107" i="14"/>
  <c r="Z107" i="14"/>
  <c r="Z108" i="14" s="1"/>
  <c r="Y97" i="14"/>
  <c r="Y99" i="14" s="1"/>
  <c r="Y100" i="14" s="1"/>
  <c r="Y7" i="14" s="1"/>
  <c r="AG97" i="14"/>
  <c r="Z97" i="14"/>
  <c r="Z99" i="14" s="1"/>
  <c r="O100" i="14"/>
  <c r="N107" i="14"/>
  <c r="AV23" i="14" s="1"/>
  <c r="AV19" i="14"/>
  <c r="AU22" i="14"/>
  <c r="L107" i="14"/>
  <c r="L108" i="14" s="1"/>
  <c r="K5" i="14"/>
  <c r="L97" i="14"/>
  <c r="L99" i="14" s="1"/>
  <c r="L100" i="14" s="1"/>
  <c r="L7" i="14" s="1"/>
  <c r="K107" i="14"/>
  <c r="AT23" i="14" s="1"/>
  <c r="K108" i="14"/>
  <c r="AT19" i="14"/>
  <c r="AT22" i="14" s="1"/>
  <c r="J107" i="14"/>
  <c r="J108" i="14" s="1"/>
  <c r="J97" i="14"/>
  <c r="J99" i="14" s="1"/>
  <c r="J100" i="14" s="1"/>
  <c r="J7" i="14" s="1"/>
  <c r="I107" i="14"/>
  <c r="AS23" i="14" s="1"/>
  <c r="I97" i="14"/>
  <c r="I99" i="14" s="1"/>
  <c r="G5" i="14"/>
  <c r="H107" i="14"/>
  <c r="H108" i="14" s="1"/>
  <c r="H100" i="14"/>
  <c r="H7" i="14" s="1"/>
  <c r="G107" i="14"/>
  <c r="AR23" i="14" s="1"/>
  <c r="D5" i="14"/>
  <c r="AH104" i="14"/>
  <c r="AQ19" i="14"/>
  <c r="AQ22" i="14" s="1"/>
  <c r="AQ24" i="14" s="1"/>
  <c r="AI105" i="14"/>
  <c r="AP22" i="14"/>
  <c r="D97" i="14"/>
  <c r="D99" i="14" s="1"/>
  <c r="D107" i="14"/>
  <c r="AO23" i="14" s="1"/>
  <c r="AI101" i="14"/>
  <c r="C107" i="14"/>
  <c r="AN23" i="14" s="1"/>
  <c r="AH76" i="14"/>
  <c r="AH62" i="14"/>
  <c r="AI58" i="14"/>
  <c r="AI76" i="14"/>
  <c r="AI62" i="14"/>
  <c r="AM17" i="14"/>
  <c r="AM22" i="14" s="1"/>
  <c r="AF5" i="14"/>
  <c r="B97" i="14"/>
  <c r="B99" i="14" s="1"/>
  <c r="AV22" i="14"/>
  <c r="AV24" i="14" s="1"/>
  <c r="BG84" i="14" a="1"/>
  <c r="AZ75" i="14"/>
  <c r="G97" i="14"/>
  <c r="G99" i="14" s="1"/>
  <c r="AR16" i="14"/>
  <c r="AR22" i="14" s="1"/>
  <c r="AR24" i="14" s="1"/>
  <c r="O7" i="14"/>
  <c r="AW16" i="14"/>
  <c r="AW22" i="14" s="1"/>
  <c r="AW24" i="14" s="1"/>
  <c r="W97" i="14"/>
  <c r="W99" i="14" s="1"/>
  <c r="W100" i="14" s="1"/>
  <c r="W7" i="14" s="1"/>
  <c r="AE7" i="14"/>
  <c r="AG99" i="14"/>
  <c r="AS22" i="14"/>
  <c r="C97" i="14"/>
  <c r="C99" i="14" s="1"/>
  <c r="C100" i="14" s="1"/>
  <c r="C7" i="14" s="1"/>
  <c r="AN16" i="14"/>
  <c r="AN22" i="14" s="1"/>
  <c r="AN24" i="14" s="1"/>
  <c r="K97" i="14"/>
  <c r="K99" i="14" s="1"/>
  <c r="K100" i="14" s="1"/>
  <c r="K7" i="14" s="1"/>
  <c r="S97" i="14"/>
  <c r="S99" i="14" s="1"/>
  <c r="S100" i="14" s="1"/>
  <c r="S7" i="14" s="1"/>
  <c r="AA97" i="14"/>
  <c r="AA99" i="14" s="1"/>
  <c r="AA100" i="14" s="1"/>
  <c r="AA7" i="14" s="1"/>
  <c r="I108" i="14"/>
  <c r="Q97" i="14"/>
  <c r="Q99" i="14" s="1"/>
  <c r="Q100" i="14" s="1"/>
  <c r="Q7" i="14" s="1"/>
  <c r="H5" i="14"/>
  <c r="P5" i="14"/>
  <c r="AX23" i="14"/>
  <c r="AX24" i="14" s="1"/>
  <c r="AI92" i="14"/>
  <c r="AH92" i="14"/>
  <c r="AI104" i="14"/>
  <c r="AH105" i="14"/>
  <c r="AH58" i="14"/>
  <c r="AA108" i="14"/>
  <c r="B107" i="14"/>
  <c r="AH101" i="14"/>
  <c r="AI102" i="14"/>
  <c r="AI103" i="14"/>
  <c r="AH80" i="14"/>
  <c r="AL13" i="14"/>
  <c r="E97" i="14"/>
  <c r="E99" i="14" s="1"/>
  <c r="M97" i="14"/>
  <c r="M99" i="14" s="1"/>
  <c r="U97" i="14"/>
  <c r="U99" i="14" s="1"/>
  <c r="F108" i="14"/>
  <c r="N108" i="14"/>
  <c r="V108" i="14"/>
  <c r="E107" i="14"/>
  <c r="AP23" i="14" s="1"/>
  <c r="AP24" i="14" s="1"/>
  <c r="M107" i="14"/>
  <c r="AU23" i="14" s="1"/>
  <c r="AU24" i="14" s="1"/>
  <c r="U107" i="14"/>
  <c r="U108" i="14" s="1"/>
  <c r="AO16" i="14"/>
  <c r="F97" i="14"/>
  <c r="F99" i="14" s="1"/>
  <c r="F100" i="14" s="1"/>
  <c r="F7" i="14" s="1"/>
  <c r="N97" i="14"/>
  <c r="N99" i="14" s="1"/>
  <c r="N100" i="14" s="1"/>
  <c r="N7" i="14" s="1"/>
  <c r="V97" i="14"/>
  <c r="V99" i="14" s="1"/>
  <c r="AD7" i="14"/>
  <c r="G108" i="14"/>
  <c r="W108" i="14"/>
  <c r="AH103" i="14"/>
  <c r="D252" i="14"/>
  <c r="E246" i="14"/>
  <c r="D118" i="14"/>
  <c r="AF123" i="13"/>
  <c r="AA247" i="17" l="1"/>
  <c r="Z252" i="17"/>
  <c r="AC118" i="17"/>
  <c r="AD246" i="17"/>
  <c r="Q246" i="16"/>
  <c r="P252" i="16"/>
  <c r="T100" i="14"/>
  <c r="T7" i="14" s="1"/>
  <c r="V100" i="14"/>
  <c r="V7" i="14" s="1"/>
  <c r="AS24" i="14"/>
  <c r="I100" i="14"/>
  <c r="I7" i="14" s="1"/>
  <c r="AO22" i="14"/>
  <c r="AO24" i="14" s="1"/>
  <c r="AT24" i="14"/>
  <c r="Z100" i="14"/>
  <c r="Z7" i="14" s="1"/>
  <c r="M100" i="14"/>
  <c r="M7" i="14" s="1"/>
  <c r="E100" i="14"/>
  <c r="E7" i="14" s="1"/>
  <c r="D100" i="14"/>
  <c r="D7" i="14" s="1"/>
  <c r="D108" i="14"/>
  <c r="C108" i="14"/>
  <c r="BI107" i="14"/>
  <c r="BG106" i="14"/>
  <c r="BK104" i="14"/>
  <c r="BI103" i="14"/>
  <c r="BG102" i="14"/>
  <c r="BK100" i="14"/>
  <c r="BI99" i="14"/>
  <c r="BG98" i="14"/>
  <c r="BK96" i="14"/>
  <c r="BI95" i="14"/>
  <c r="BG94" i="14"/>
  <c r="BK92" i="14"/>
  <c r="BH107" i="14"/>
  <c r="BL105" i="14"/>
  <c r="BJ104" i="14"/>
  <c r="BH103" i="14"/>
  <c r="BL101" i="14"/>
  <c r="BJ100" i="14"/>
  <c r="BH99" i="14"/>
  <c r="BL97" i="14"/>
  <c r="BJ96" i="14"/>
  <c r="BH95" i="14"/>
  <c r="BL93" i="14"/>
  <c r="BJ92" i="14"/>
  <c r="BH91" i="14"/>
  <c r="BL89" i="14"/>
  <c r="BJ88" i="14"/>
  <c r="BH87" i="14"/>
  <c r="BL85" i="14"/>
  <c r="BJ84" i="14"/>
  <c r="BL107" i="14"/>
  <c r="BJ106" i="14"/>
  <c r="BH105" i="14"/>
  <c r="BL103" i="14"/>
  <c r="BJ102" i="14"/>
  <c r="BH101" i="14"/>
  <c r="BL99" i="14"/>
  <c r="BJ98" i="14"/>
  <c r="BH97" i="14"/>
  <c r="BL95" i="14"/>
  <c r="BJ94" i="14"/>
  <c r="BH93" i="14"/>
  <c r="BL91" i="14"/>
  <c r="BJ90" i="14"/>
  <c r="BH89" i="14"/>
  <c r="BL87" i="14"/>
  <c r="BJ86" i="14"/>
  <c r="BH85" i="14"/>
  <c r="BL106" i="14"/>
  <c r="BL104" i="14"/>
  <c r="BK102" i="14"/>
  <c r="BI100" i="14"/>
  <c r="BI98" i="14"/>
  <c r="BH96" i="14"/>
  <c r="BH94" i="14"/>
  <c r="BG92" i="14"/>
  <c r="BH90" i="14"/>
  <c r="BI88" i="14"/>
  <c r="BK86" i="14"/>
  <c r="BL84" i="14"/>
  <c r="BK106" i="14"/>
  <c r="BI104" i="14"/>
  <c r="BI102" i="14"/>
  <c r="BH100" i="14"/>
  <c r="BH98" i="14"/>
  <c r="BG96" i="14"/>
  <c r="BK93" i="14"/>
  <c r="BK91" i="14"/>
  <c r="BG90" i="14"/>
  <c r="BH88" i="14"/>
  <c r="BI86" i="14"/>
  <c r="BK84" i="14"/>
  <c r="BI106" i="14"/>
  <c r="BH104" i="14"/>
  <c r="BH102" i="14"/>
  <c r="BG100" i="14"/>
  <c r="BK97" i="14"/>
  <c r="BK95" i="14"/>
  <c r="BJ93" i="14"/>
  <c r="BJ91" i="14"/>
  <c r="BK89" i="14"/>
  <c r="BG88" i="14"/>
  <c r="BH86" i="14"/>
  <c r="BI84" i="14"/>
  <c r="BH106" i="14"/>
  <c r="BG104" i="14"/>
  <c r="BK101" i="14"/>
  <c r="BK99" i="14"/>
  <c r="BJ97" i="14"/>
  <c r="BJ95" i="14"/>
  <c r="BI93" i="14"/>
  <c r="BI91" i="14"/>
  <c r="BJ89" i="14"/>
  <c r="BK87" i="14"/>
  <c r="BG86" i="14"/>
  <c r="BH84" i="14"/>
  <c r="BK105" i="14"/>
  <c r="BK103" i="14"/>
  <c r="BJ101" i="14"/>
  <c r="BJ99" i="14"/>
  <c r="BI97" i="14"/>
  <c r="BG95" i="14"/>
  <c r="BG93" i="14"/>
  <c r="BG91" i="14"/>
  <c r="BI89" i="14"/>
  <c r="BJ87" i="14"/>
  <c r="BK85" i="14"/>
  <c r="BG84" i="14"/>
  <c r="BK107" i="14"/>
  <c r="BJ105" i="14"/>
  <c r="BJ103" i="14"/>
  <c r="BI101" i="14"/>
  <c r="BG99" i="14"/>
  <c r="BG97" i="14"/>
  <c r="BL94" i="14"/>
  <c r="BL92" i="14"/>
  <c r="BL90" i="14"/>
  <c r="BG89" i="14"/>
  <c r="BI87" i="14"/>
  <c r="BJ85" i="14"/>
  <c r="BJ107" i="14"/>
  <c r="BI105" i="14"/>
  <c r="BG103" i="14"/>
  <c r="BG101" i="14"/>
  <c r="BL98" i="14"/>
  <c r="BL96" i="14"/>
  <c r="BK94" i="14"/>
  <c r="BI92" i="14"/>
  <c r="BK90" i="14"/>
  <c r="BL88" i="14"/>
  <c r="BG87" i="14"/>
  <c r="BI85" i="14"/>
  <c r="BG107" i="14"/>
  <c r="BG105" i="14"/>
  <c r="BL102" i="14"/>
  <c r="BL100" i="14"/>
  <c r="BK98" i="14"/>
  <c r="BI96" i="14"/>
  <c r="BI94" i="14"/>
  <c r="BH92" i="14"/>
  <c r="BI90" i="14"/>
  <c r="BK88" i="14"/>
  <c r="BL86" i="14"/>
  <c r="BG85" i="14"/>
  <c r="AI107" i="14"/>
  <c r="AM23" i="14"/>
  <c r="AM24" i="14" s="1"/>
  <c r="AH107" i="14"/>
  <c r="M108" i="14"/>
  <c r="AT8" i="14"/>
  <c r="AC7" i="14"/>
  <c r="E108" i="14"/>
  <c r="B108" i="14"/>
  <c r="AH99" i="14"/>
  <c r="B100" i="14"/>
  <c r="AI99" i="14"/>
  <c r="F246" i="14"/>
  <c r="E118" i="14"/>
  <c r="E252" i="14"/>
  <c r="U100" i="14"/>
  <c r="U7" i="14" s="1"/>
  <c r="AH97" i="14"/>
  <c r="AI97" i="14"/>
  <c r="C256" i="14"/>
  <c r="G100" i="14"/>
  <c r="G7" i="14" s="1"/>
  <c r="B256" i="14"/>
  <c r="AE123" i="13"/>
  <c r="AD123" i="13"/>
  <c r="AC123" i="13"/>
  <c r="AB123" i="13"/>
  <c r="AA123" i="13"/>
  <c r="AA58" i="13"/>
  <c r="AA62" i="13"/>
  <c r="AA76" i="13"/>
  <c r="AA80" i="13"/>
  <c r="AA92" i="13"/>
  <c r="AA101" i="13"/>
  <c r="AA102" i="13"/>
  <c r="AA103" i="13"/>
  <c r="AA104" i="13"/>
  <c r="AA105" i="13"/>
  <c r="AA118" i="13"/>
  <c r="Z123" i="13"/>
  <c r="Z118" i="13"/>
  <c r="Z105" i="13"/>
  <c r="Z104" i="13"/>
  <c r="Z107" i="13" s="1"/>
  <c r="Z103" i="13"/>
  <c r="Z102" i="13"/>
  <c r="Z101" i="13"/>
  <c r="Z92" i="13"/>
  <c r="Z108" i="13" s="1"/>
  <c r="Z80" i="13"/>
  <c r="Z76" i="13"/>
  <c r="Z62" i="13"/>
  <c r="Z58" i="13"/>
  <c r="AE246" i="17" l="1"/>
  <c r="AB247" i="17"/>
  <c r="AA252" i="17"/>
  <c r="Q252" i="16"/>
  <c r="Q118" i="16"/>
  <c r="R246" i="16"/>
  <c r="AT9" i="14"/>
  <c r="AH108" i="14"/>
  <c r="AI108" i="14"/>
  <c r="K6" i="14"/>
  <c r="G246" i="14"/>
  <c r="F252" i="14"/>
  <c r="F118" i="14"/>
  <c r="AI100" i="14"/>
  <c r="B7" i="14"/>
  <c r="A7" i="14" s="1"/>
  <c r="AH100" i="14"/>
  <c r="Z97" i="13"/>
  <c r="Z99" i="13" s="1"/>
  <c r="Z100" i="13" s="1"/>
  <c r="AA107" i="13"/>
  <c r="AA97" i="13"/>
  <c r="AA99" i="13" s="1"/>
  <c r="AA100" i="13" s="1"/>
  <c r="AA108" i="13"/>
  <c r="Y123" i="13"/>
  <c r="Y58" i="13"/>
  <c r="Y62" i="13"/>
  <c r="Y76" i="13"/>
  <c r="Y80" i="13"/>
  <c r="Y92" i="13"/>
  <c r="Y101" i="13"/>
  <c r="Y107" i="13" s="1"/>
  <c r="Y102" i="13"/>
  <c r="Y103" i="13"/>
  <c r="Y104" i="13"/>
  <c r="Y105" i="13"/>
  <c r="Y118" i="13"/>
  <c r="X123" i="13"/>
  <c r="X58" i="13"/>
  <c r="X62" i="13"/>
  <c r="X76" i="13"/>
  <c r="X80" i="13"/>
  <c r="X92" i="13"/>
  <c r="X101" i="13"/>
  <c r="X107" i="13" s="1"/>
  <c r="X102" i="13"/>
  <c r="X103" i="13"/>
  <c r="X104" i="13"/>
  <c r="X105" i="13"/>
  <c r="X118" i="13"/>
  <c r="W123" i="13"/>
  <c r="W58" i="13"/>
  <c r="W62" i="13"/>
  <c r="W76" i="13"/>
  <c r="W80" i="13"/>
  <c r="W92" i="13"/>
  <c r="W101" i="13"/>
  <c r="W107" i="13" s="1"/>
  <c r="W102" i="13"/>
  <c r="W103" i="13"/>
  <c r="W104" i="13"/>
  <c r="W105" i="13"/>
  <c r="W118" i="13"/>
  <c r="V123" i="13"/>
  <c r="V58" i="13"/>
  <c r="V62" i="13"/>
  <c r="V76" i="13"/>
  <c r="V80" i="13"/>
  <c r="V92" i="13"/>
  <c r="V101" i="13"/>
  <c r="V102" i="13"/>
  <c r="V103" i="13"/>
  <c r="V104" i="13"/>
  <c r="V105" i="13"/>
  <c r="V118" i="13"/>
  <c r="U123" i="13"/>
  <c r="U58" i="13"/>
  <c r="U62" i="13"/>
  <c r="U76" i="13"/>
  <c r="U80" i="13"/>
  <c r="U92" i="13"/>
  <c r="U101" i="13"/>
  <c r="U102" i="13"/>
  <c r="U103" i="13"/>
  <c r="U104" i="13"/>
  <c r="U105" i="13"/>
  <c r="U118" i="13"/>
  <c r="T123" i="13"/>
  <c r="T58" i="13"/>
  <c r="T62" i="13"/>
  <c r="T76" i="13"/>
  <c r="T80" i="13"/>
  <c r="T92" i="13"/>
  <c r="T101" i="13"/>
  <c r="T102" i="13"/>
  <c r="T103" i="13"/>
  <c r="T104" i="13"/>
  <c r="T105" i="13"/>
  <c r="T118" i="13"/>
  <c r="S123" i="13"/>
  <c r="S58" i="13"/>
  <c r="S62" i="13"/>
  <c r="S76" i="13"/>
  <c r="S80" i="13"/>
  <c r="S92" i="13"/>
  <c r="S101" i="13"/>
  <c r="S102" i="13"/>
  <c r="S103" i="13"/>
  <c r="S104" i="13"/>
  <c r="S105" i="13"/>
  <c r="S118" i="13"/>
  <c r="AC247" i="17" l="1"/>
  <c r="AB252" i="17"/>
  <c r="AF246" i="17"/>
  <c r="R252" i="16"/>
  <c r="R118" i="16"/>
  <c r="S246" i="16"/>
  <c r="H246" i="14"/>
  <c r="G252" i="14"/>
  <c r="G118" i="14"/>
  <c r="Y97" i="13"/>
  <c r="Y99" i="13" s="1"/>
  <c r="Y100" i="13" s="1"/>
  <c r="Y108" i="13"/>
  <c r="X97" i="13"/>
  <c r="X99" i="13" s="1"/>
  <c r="X100" i="13" s="1"/>
  <c r="X108" i="13"/>
  <c r="W108" i="13"/>
  <c r="W97" i="13"/>
  <c r="W99" i="13" s="1"/>
  <c r="W100" i="13" s="1"/>
  <c r="V107" i="13"/>
  <c r="V97" i="13"/>
  <c r="V99" i="13" s="1"/>
  <c r="V100" i="13" s="1"/>
  <c r="V108" i="13"/>
  <c r="U107" i="13"/>
  <c r="U108" i="13" s="1"/>
  <c r="U97" i="13"/>
  <c r="U99" i="13" s="1"/>
  <c r="T107" i="13"/>
  <c r="T108" i="13" s="1"/>
  <c r="T97" i="13"/>
  <c r="T99" i="13" s="1"/>
  <c r="S107" i="13"/>
  <c r="S108" i="13" s="1"/>
  <c r="S97" i="13"/>
  <c r="S99" i="13" s="1"/>
  <c r="S100" i="13" s="1"/>
  <c r="B246" i="17" l="1"/>
  <c r="AD247" i="17"/>
  <c r="AC252" i="17"/>
  <c r="S252" i="16"/>
  <c r="S118" i="16"/>
  <c r="T246" i="16"/>
  <c r="I246" i="14"/>
  <c r="H252" i="14"/>
  <c r="H118" i="14"/>
  <c r="U100" i="13"/>
  <c r="T100" i="13"/>
  <c r="AE247" i="17" l="1"/>
  <c r="AD252" i="17"/>
  <c r="T252" i="16"/>
  <c r="T118" i="16"/>
  <c r="U246" i="16"/>
  <c r="I252" i="14"/>
  <c r="I118" i="14"/>
  <c r="J246" i="14"/>
  <c r="R123" i="13"/>
  <c r="R121" i="13"/>
  <c r="R57" i="13"/>
  <c r="Q123" i="13"/>
  <c r="Q121" i="13"/>
  <c r="Q57" i="13"/>
  <c r="P123" i="13"/>
  <c r="P121" i="13"/>
  <c r="P57" i="13"/>
  <c r="P58" i="13"/>
  <c r="P62" i="13"/>
  <c r="O123" i="13"/>
  <c r="O57" i="13"/>
  <c r="N123" i="13"/>
  <c r="AI123" i="13" s="1"/>
  <c r="N121" i="13"/>
  <c r="AI121" i="13" s="1"/>
  <c r="N57" i="13"/>
  <c r="AI57" i="13" s="1"/>
  <c r="D123" i="13"/>
  <c r="C123" i="13"/>
  <c r="B123" i="13"/>
  <c r="AG252" i="13"/>
  <c r="C252" i="13"/>
  <c r="D251" i="13"/>
  <c r="D250" i="13"/>
  <c r="E250" i="13" s="1"/>
  <c r="F250" i="13" s="1"/>
  <c r="G250" i="13" s="1"/>
  <c r="H250" i="13" s="1"/>
  <c r="I250" i="13" s="1"/>
  <c r="J250" i="13" s="1"/>
  <c r="K250" i="13" s="1"/>
  <c r="L250" i="13" s="1"/>
  <c r="M250" i="13" s="1"/>
  <c r="N250" i="13" s="1"/>
  <c r="O250" i="13" s="1"/>
  <c r="P250" i="13" s="1"/>
  <c r="Q250" i="13" s="1"/>
  <c r="R250" i="13" s="1"/>
  <c r="S250" i="13" s="1"/>
  <c r="T250" i="13" s="1"/>
  <c r="U250" i="13" s="1"/>
  <c r="V250" i="13" s="1"/>
  <c r="W250" i="13" s="1"/>
  <c r="X250" i="13" s="1"/>
  <c r="Y250" i="13" s="1"/>
  <c r="Z250" i="13" s="1"/>
  <c r="AA250" i="13" s="1"/>
  <c r="AB250" i="13" s="1"/>
  <c r="AC250" i="13" s="1"/>
  <c r="AD250" i="13" s="1"/>
  <c r="AE250" i="13" s="1"/>
  <c r="AF250" i="13" s="1"/>
  <c r="B250" i="13" s="1"/>
  <c r="D249" i="13"/>
  <c r="E249" i="13" s="1"/>
  <c r="F249" i="13" s="1"/>
  <c r="G249" i="13" s="1"/>
  <c r="H249" i="13" s="1"/>
  <c r="I249" i="13" s="1"/>
  <c r="J249" i="13" s="1"/>
  <c r="K249" i="13" s="1"/>
  <c r="L249" i="13" s="1"/>
  <c r="M249" i="13" s="1"/>
  <c r="N249" i="13" s="1"/>
  <c r="O249" i="13" s="1"/>
  <c r="P249" i="13" s="1"/>
  <c r="Q249" i="13" s="1"/>
  <c r="R249" i="13" s="1"/>
  <c r="S249" i="13" s="1"/>
  <c r="T249" i="13" s="1"/>
  <c r="U249" i="13" s="1"/>
  <c r="V249" i="13" s="1"/>
  <c r="W249" i="13" s="1"/>
  <c r="X249" i="13" s="1"/>
  <c r="Y249" i="13" s="1"/>
  <c r="Z249" i="13" s="1"/>
  <c r="AA249" i="13" s="1"/>
  <c r="AB249" i="13" s="1"/>
  <c r="AC249" i="13" s="1"/>
  <c r="AD249" i="13" s="1"/>
  <c r="AE249" i="13" s="1"/>
  <c r="AF249" i="13" s="1"/>
  <c r="B249" i="13" s="1"/>
  <c r="E248" i="13"/>
  <c r="F248" i="13" s="1"/>
  <c r="G248" i="13" s="1"/>
  <c r="H248" i="13" s="1"/>
  <c r="I248" i="13" s="1"/>
  <c r="J248" i="13" s="1"/>
  <c r="K248" i="13" s="1"/>
  <c r="L248" i="13" s="1"/>
  <c r="M248" i="13" s="1"/>
  <c r="N248" i="13" s="1"/>
  <c r="O248" i="13" s="1"/>
  <c r="P248" i="13" s="1"/>
  <c r="Q248" i="13" s="1"/>
  <c r="R248" i="13" s="1"/>
  <c r="S248" i="13" s="1"/>
  <c r="T248" i="13" s="1"/>
  <c r="U248" i="13" s="1"/>
  <c r="V248" i="13" s="1"/>
  <c r="W248" i="13" s="1"/>
  <c r="X248" i="13" s="1"/>
  <c r="Y248" i="13" s="1"/>
  <c r="Z248" i="13" s="1"/>
  <c r="AA248" i="13" s="1"/>
  <c r="AB248" i="13" s="1"/>
  <c r="AC248" i="13" s="1"/>
  <c r="AD248" i="13" s="1"/>
  <c r="AE248" i="13" s="1"/>
  <c r="AF248" i="13" s="1"/>
  <c r="B248" i="13" s="1"/>
  <c r="D248" i="13"/>
  <c r="D247" i="13"/>
  <c r="E247" i="13" s="1"/>
  <c r="F247" i="13" s="1"/>
  <c r="G247" i="13" s="1"/>
  <c r="H247" i="13" s="1"/>
  <c r="I247" i="13" s="1"/>
  <c r="J247" i="13" s="1"/>
  <c r="K247" i="13" s="1"/>
  <c r="L247" i="13" s="1"/>
  <c r="M247" i="13" s="1"/>
  <c r="N247" i="13" s="1"/>
  <c r="O247" i="13" s="1"/>
  <c r="P247" i="13" s="1"/>
  <c r="Q247" i="13" s="1"/>
  <c r="R247" i="13" s="1"/>
  <c r="S247" i="13" s="1"/>
  <c r="T247" i="13" s="1"/>
  <c r="U247" i="13" s="1"/>
  <c r="V247" i="13" s="1"/>
  <c r="W247" i="13" s="1"/>
  <c r="X247" i="13" s="1"/>
  <c r="Y247" i="13" s="1"/>
  <c r="Z247" i="13" s="1"/>
  <c r="AA247" i="13" s="1"/>
  <c r="AB247" i="13" s="1"/>
  <c r="AC247" i="13" s="1"/>
  <c r="AD247" i="13" s="1"/>
  <c r="AE247" i="13" s="1"/>
  <c r="AF247" i="13" s="1"/>
  <c r="B247" i="13" s="1"/>
  <c r="D246" i="13"/>
  <c r="AG244" i="13"/>
  <c r="AF244" i="13"/>
  <c r="AE244" i="13"/>
  <c r="AD244" i="13"/>
  <c r="AC244" i="13"/>
  <c r="AB244" i="13"/>
  <c r="AA244" i="13"/>
  <c r="Z244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AI130" i="13"/>
  <c r="AH130" i="13"/>
  <c r="AI129" i="13"/>
  <c r="AH129" i="13"/>
  <c r="AI128" i="13"/>
  <c r="AH128" i="13"/>
  <c r="AI127" i="13"/>
  <c r="AH127" i="13"/>
  <c r="AI126" i="13"/>
  <c r="AH126" i="13"/>
  <c r="AI122" i="13"/>
  <c r="AH122" i="13"/>
  <c r="AI120" i="13"/>
  <c r="AH120" i="13"/>
  <c r="AI119" i="13"/>
  <c r="AH119" i="13"/>
  <c r="C118" i="13"/>
  <c r="AI117" i="13"/>
  <c r="AH117" i="13"/>
  <c r="AI116" i="13"/>
  <c r="AH116" i="13"/>
  <c r="AI115" i="13"/>
  <c r="AH115" i="13"/>
  <c r="AI114" i="13"/>
  <c r="AH114" i="13"/>
  <c r="AI113" i="13"/>
  <c r="AH113" i="13"/>
  <c r="AI112" i="13"/>
  <c r="AH112" i="13"/>
  <c r="AI111" i="13"/>
  <c r="AH111" i="13"/>
  <c r="AI110" i="13"/>
  <c r="AH110" i="13"/>
  <c r="AI109" i="13"/>
  <c r="AH109" i="13"/>
  <c r="AI106" i="13"/>
  <c r="AH106" i="13"/>
  <c r="AF105" i="13"/>
  <c r="AE105" i="13"/>
  <c r="AD105" i="13"/>
  <c r="AC105" i="13"/>
  <c r="AB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B105" i="13"/>
  <c r="AF104" i="13"/>
  <c r="AE104" i="13"/>
  <c r="AD104" i="13"/>
  <c r="AC104" i="13"/>
  <c r="AB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B104" i="13"/>
  <c r="AF103" i="13"/>
  <c r="AE103" i="13"/>
  <c r="AD103" i="13"/>
  <c r="AC103" i="13"/>
  <c r="AB103" i="13"/>
  <c r="R103" i="13"/>
  <c r="Q103" i="13"/>
  <c r="P103" i="13"/>
  <c r="O103" i="13"/>
  <c r="N103" i="13"/>
  <c r="M103" i="13"/>
  <c r="L103" i="13"/>
  <c r="K103" i="13"/>
  <c r="J103" i="13"/>
  <c r="I103" i="13"/>
  <c r="H103" i="13"/>
  <c r="G103" i="13"/>
  <c r="F103" i="13"/>
  <c r="E103" i="13"/>
  <c r="D103" i="13"/>
  <c r="C103" i="13"/>
  <c r="B103" i="13"/>
  <c r="AF102" i="13"/>
  <c r="AE102" i="13"/>
  <c r="AD102" i="13"/>
  <c r="AC102" i="13"/>
  <c r="AB102" i="13"/>
  <c r="R102" i="13"/>
  <c r="Q102" i="13"/>
  <c r="P102" i="13"/>
  <c r="O102" i="13"/>
  <c r="N102" i="13"/>
  <c r="M102" i="13"/>
  <c r="L102" i="13"/>
  <c r="K102" i="13"/>
  <c r="J102" i="13"/>
  <c r="I102" i="13"/>
  <c r="H102" i="13"/>
  <c r="G102" i="13"/>
  <c r="F102" i="13"/>
  <c r="E102" i="13"/>
  <c r="D102" i="13"/>
  <c r="C102" i="13"/>
  <c r="B102" i="13"/>
  <c r="AF101" i="13"/>
  <c r="AE101" i="13"/>
  <c r="AD101" i="13"/>
  <c r="AC101" i="13"/>
  <c r="AB101" i="13"/>
  <c r="R101" i="13"/>
  <c r="Q101" i="13"/>
  <c r="Q107" i="13" s="1"/>
  <c r="P101" i="13"/>
  <c r="O101" i="13"/>
  <c r="N101" i="13"/>
  <c r="M101" i="13"/>
  <c r="L101" i="13"/>
  <c r="K101" i="13"/>
  <c r="J101" i="13"/>
  <c r="I101" i="13"/>
  <c r="H101" i="13"/>
  <c r="G101" i="13"/>
  <c r="F101" i="13"/>
  <c r="E101" i="13"/>
  <c r="D101" i="13"/>
  <c r="C101" i="13"/>
  <c r="B101" i="13"/>
  <c r="AI98" i="13"/>
  <c r="AH98" i="13"/>
  <c r="AI96" i="13"/>
  <c r="AH96" i="13"/>
  <c r="AG96" i="13"/>
  <c r="AI95" i="13"/>
  <c r="AH95" i="13"/>
  <c r="AI94" i="13"/>
  <c r="AH94" i="13"/>
  <c r="AI93" i="13"/>
  <c r="AH93" i="13"/>
  <c r="AG92" i="13"/>
  <c r="AF92" i="13"/>
  <c r="AE5" i="13" s="1"/>
  <c r="AE92" i="13"/>
  <c r="AD5" i="13" s="1"/>
  <c r="AD92" i="13"/>
  <c r="AC5" i="13" s="1"/>
  <c r="AC92" i="13"/>
  <c r="AB5" i="13" s="1"/>
  <c r="AB92" i="13"/>
  <c r="AA5" i="13" s="1"/>
  <c r="U5" i="13"/>
  <c r="R92" i="13"/>
  <c r="Q92" i="13"/>
  <c r="P5" i="13" s="1"/>
  <c r="P92" i="13"/>
  <c r="AX19" i="13" s="1"/>
  <c r="O92" i="13"/>
  <c r="N5" i="13" s="1"/>
  <c r="N92" i="13"/>
  <c r="AV19" i="13" s="1"/>
  <c r="M92" i="13"/>
  <c r="L5" i="13" s="1"/>
  <c r="L92" i="13"/>
  <c r="K92" i="13"/>
  <c r="AT19" i="13" s="1"/>
  <c r="J92" i="13"/>
  <c r="I92" i="13"/>
  <c r="H5" i="13" s="1"/>
  <c r="H92" i="13"/>
  <c r="G5" i="13" s="1"/>
  <c r="G92" i="13"/>
  <c r="F5" i="13" s="1"/>
  <c r="F92" i="13"/>
  <c r="AQ19" i="13" s="1"/>
  <c r="E92" i="13"/>
  <c r="D5" i="13" s="1"/>
  <c r="D92" i="13"/>
  <c r="C92" i="13"/>
  <c r="AN19" i="13" s="1"/>
  <c r="B92" i="13"/>
  <c r="AM19" i="13" s="1"/>
  <c r="AI91" i="13"/>
  <c r="AH91" i="13"/>
  <c r="AI90" i="13"/>
  <c r="AH90" i="13"/>
  <c r="AI89" i="13"/>
  <c r="AH89" i="13"/>
  <c r="AI88" i="13"/>
  <c r="AH88" i="13"/>
  <c r="AI87" i="13"/>
  <c r="AH87" i="13"/>
  <c r="AI86" i="13"/>
  <c r="AH86" i="13"/>
  <c r="AI85" i="13"/>
  <c r="AH85" i="13"/>
  <c r="AI84" i="13"/>
  <c r="AH84" i="13"/>
  <c r="AI83" i="13"/>
  <c r="AH83" i="13"/>
  <c r="AI82" i="13"/>
  <c r="AH82" i="13"/>
  <c r="AI81" i="13"/>
  <c r="AH81" i="13"/>
  <c r="AG80" i="13"/>
  <c r="AF80" i="13"/>
  <c r="AE80" i="13"/>
  <c r="AD80" i="13"/>
  <c r="AC80" i="13"/>
  <c r="AB80" i="13"/>
  <c r="R80" i="13"/>
  <c r="Q80" i="13"/>
  <c r="P80" i="13"/>
  <c r="O80" i="13"/>
  <c r="N80" i="13"/>
  <c r="AV20" i="13" s="1"/>
  <c r="M80" i="13"/>
  <c r="L80" i="13"/>
  <c r="K80" i="13"/>
  <c r="AT20" i="13" s="1"/>
  <c r="J80" i="13"/>
  <c r="I80" i="13"/>
  <c r="H80" i="13"/>
  <c r="G80" i="13"/>
  <c r="F80" i="13"/>
  <c r="E80" i="13"/>
  <c r="D80" i="13"/>
  <c r="C80" i="13"/>
  <c r="AN20" i="13" s="1"/>
  <c r="B80" i="13"/>
  <c r="BP79" i="13"/>
  <c r="AI79" i="13"/>
  <c r="AH79" i="13"/>
  <c r="BE78" i="13"/>
  <c r="AI78" i="13"/>
  <c r="AH78" i="13"/>
  <c r="AI77" i="13"/>
  <c r="AH77" i="13"/>
  <c r="AF76" i="13"/>
  <c r="AE76" i="13"/>
  <c r="AD76" i="13"/>
  <c r="AC76" i="13"/>
  <c r="AB76" i="13"/>
  <c r="R76" i="13"/>
  <c r="Q76" i="13"/>
  <c r="P76" i="13"/>
  <c r="AX18" i="13" s="1"/>
  <c r="O76" i="13"/>
  <c r="AW18" i="13" s="1"/>
  <c r="N76" i="13"/>
  <c r="AV18" i="13" s="1"/>
  <c r="M76" i="13"/>
  <c r="AU18" i="13" s="1"/>
  <c r="L76" i="13"/>
  <c r="K76" i="13"/>
  <c r="AT18" i="13" s="1"/>
  <c r="J76" i="13"/>
  <c r="I76" i="13"/>
  <c r="AS18" i="13" s="1"/>
  <c r="H76" i="13"/>
  <c r="G76" i="13"/>
  <c r="AR18" i="13" s="1"/>
  <c r="F76" i="13"/>
  <c r="AQ18" i="13" s="1"/>
  <c r="E76" i="13"/>
  <c r="AP18" i="13" s="1"/>
  <c r="D76" i="13"/>
  <c r="AO18" i="13" s="1"/>
  <c r="C76" i="13"/>
  <c r="AN18" i="13" s="1"/>
  <c r="B76" i="13"/>
  <c r="BK75" i="13"/>
  <c r="AI75" i="13"/>
  <c r="AH75" i="13"/>
  <c r="AG75" i="13"/>
  <c r="AG76" i="13" s="1"/>
  <c r="AG3" i="13" s="1"/>
  <c r="AI74" i="13"/>
  <c r="AH74" i="13"/>
  <c r="BW73" i="13"/>
  <c r="BW80" i="13" s="1"/>
  <c r="BV73" i="13"/>
  <c r="BV80" i="13" s="1"/>
  <c r="BU73" i="13"/>
  <c r="BU80" i="13" s="1"/>
  <c r="BT73" i="13"/>
  <c r="BT80" i="13" s="1"/>
  <c r="BS73" i="13"/>
  <c r="BS80" i="13" s="1"/>
  <c r="BR73" i="13"/>
  <c r="BR80" i="13" s="1"/>
  <c r="BQ73" i="13"/>
  <c r="BQ80" i="13" s="1"/>
  <c r="BP73" i="13"/>
  <c r="BP80" i="13" s="1"/>
  <c r="BO73" i="13"/>
  <c r="BO80" i="13" s="1"/>
  <c r="BN73" i="13"/>
  <c r="BN80" i="13" s="1"/>
  <c r="BM73" i="13"/>
  <c r="BM80" i="13" s="1"/>
  <c r="BL73" i="13"/>
  <c r="BL80" i="13" s="1"/>
  <c r="BK73" i="13"/>
  <c r="BK80" i="13" s="1"/>
  <c r="BJ73" i="13"/>
  <c r="BJ80" i="13" s="1"/>
  <c r="BI73" i="13"/>
  <c r="BI80" i="13" s="1"/>
  <c r="BH73" i="13"/>
  <c r="BH80" i="13" s="1"/>
  <c r="BG73" i="13"/>
  <c r="BG80" i="13" s="1"/>
  <c r="BF73" i="13"/>
  <c r="BF80" i="13" s="1"/>
  <c r="BE73" i="13"/>
  <c r="BE80" i="13" s="1"/>
  <c r="BD73" i="13"/>
  <c r="BD80" i="13" s="1"/>
  <c r="BC73" i="13"/>
  <c r="BC80" i="13" s="1"/>
  <c r="BB73" i="13"/>
  <c r="BB80" i="13" s="1"/>
  <c r="BA73" i="13"/>
  <c r="BA80" i="13" s="1"/>
  <c r="AZ73" i="13"/>
  <c r="AZ80" i="13" s="1"/>
  <c r="AI73" i="13"/>
  <c r="AH73" i="13"/>
  <c r="BW72" i="13"/>
  <c r="BW79" i="13" s="1"/>
  <c r="BV72" i="13"/>
  <c r="BV79" i="13" s="1"/>
  <c r="BU72" i="13"/>
  <c r="BU79" i="13" s="1"/>
  <c r="BT72" i="13"/>
  <c r="BT79" i="13" s="1"/>
  <c r="BS72" i="13"/>
  <c r="BS79" i="13" s="1"/>
  <c r="BR72" i="13"/>
  <c r="BR79" i="13" s="1"/>
  <c r="BQ72" i="13"/>
  <c r="BQ79" i="13" s="1"/>
  <c r="BP72" i="13"/>
  <c r="BO72" i="13"/>
  <c r="BO79" i="13" s="1"/>
  <c r="BN72" i="13"/>
  <c r="BN79" i="13" s="1"/>
  <c r="BM72" i="13"/>
  <c r="BM79" i="13" s="1"/>
  <c r="BL72" i="13"/>
  <c r="BL79" i="13" s="1"/>
  <c r="BK72" i="13"/>
  <c r="BK79" i="13" s="1"/>
  <c r="BJ72" i="13"/>
  <c r="BJ79" i="13" s="1"/>
  <c r="BI72" i="13"/>
  <c r="BI79" i="13" s="1"/>
  <c r="BH72" i="13"/>
  <c r="BH79" i="13" s="1"/>
  <c r="BG72" i="13"/>
  <c r="BG79" i="13" s="1"/>
  <c r="BF72" i="13"/>
  <c r="BF79" i="13" s="1"/>
  <c r="BE72" i="13"/>
  <c r="BE79" i="13" s="1"/>
  <c r="BD72" i="13"/>
  <c r="BD79" i="13" s="1"/>
  <c r="BC72" i="13"/>
  <c r="BC79" i="13" s="1"/>
  <c r="BB72" i="13"/>
  <c r="BB79" i="13" s="1"/>
  <c r="BA72" i="13"/>
  <c r="BA79" i="13" s="1"/>
  <c r="AZ72" i="13"/>
  <c r="AZ79" i="13" s="1"/>
  <c r="AI72" i="13"/>
  <c r="AH72" i="13"/>
  <c r="BW71" i="13"/>
  <c r="BW78" i="13" s="1"/>
  <c r="BV71" i="13"/>
  <c r="BV78" i="13" s="1"/>
  <c r="BU71" i="13"/>
  <c r="BU78" i="13" s="1"/>
  <c r="BT71" i="13"/>
  <c r="BT78" i="13" s="1"/>
  <c r="BS71" i="13"/>
  <c r="BS78" i="13" s="1"/>
  <c r="BR71" i="13"/>
  <c r="BR78" i="13" s="1"/>
  <c r="BQ71" i="13"/>
  <c r="BQ78" i="13" s="1"/>
  <c r="BP71" i="13"/>
  <c r="BP78" i="13" s="1"/>
  <c r="BO71" i="13"/>
  <c r="BO78" i="13" s="1"/>
  <c r="BN71" i="13"/>
  <c r="BN78" i="13" s="1"/>
  <c r="BM71" i="13"/>
  <c r="BM78" i="13" s="1"/>
  <c r="BL71" i="13"/>
  <c r="BL78" i="13" s="1"/>
  <c r="BK71" i="13"/>
  <c r="BK78" i="13" s="1"/>
  <c r="BJ71" i="13"/>
  <c r="BJ78" i="13" s="1"/>
  <c r="BI71" i="13"/>
  <c r="BI78" i="13" s="1"/>
  <c r="BH71" i="13"/>
  <c r="BH78" i="13" s="1"/>
  <c r="BG71" i="13"/>
  <c r="BG78" i="13" s="1"/>
  <c r="BF71" i="13"/>
  <c r="BF78" i="13" s="1"/>
  <c r="BE71" i="13"/>
  <c r="BD71" i="13"/>
  <c r="BD78" i="13" s="1"/>
  <c r="BC71" i="13"/>
  <c r="BC78" i="13" s="1"/>
  <c r="BB71" i="13"/>
  <c r="BB78" i="13" s="1"/>
  <c r="BA71" i="13"/>
  <c r="BA78" i="13" s="1"/>
  <c r="AZ71" i="13"/>
  <c r="AZ78" i="13" s="1"/>
  <c r="AI71" i="13"/>
  <c r="AH71" i="13"/>
  <c r="BW70" i="13"/>
  <c r="BW77" i="13" s="1"/>
  <c r="BV70" i="13"/>
  <c r="BV77" i="13" s="1"/>
  <c r="BU70" i="13"/>
  <c r="BU77" i="13" s="1"/>
  <c r="BT70" i="13"/>
  <c r="BT77" i="13" s="1"/>
  <c r="BS70" i="13"/>
  <c r="BS77" i="13" s="1"/>
  <c r="BR70" i="13"/>
  <c r="BR77" i="13" s="1"/>
  <c r="BQ70" i="13"/>
  <c r="BQ77" i="13" s="1"/>
  <c r="BP70" i="13"/>
  <c r="BP77" i="13" s="1"/>
  <c r="BO70" i="13"/>
  <c r="BO77" i="13" s="1"/>
  <c r="BN70" i="13"/>
  <c r="BN77" i="13" s="1"/>
  <c r="BM70" i="13"/>
  <c r="BM77" i="13" s="1"/>
  <c r="BL70" i="13"/>
  <c r="BL77" i="13" s="1"/>
  <c r="BK70" i="13"/>
  <c r="BK77" i="13" s="1"/>
  <c r="BJ70" i="13"/>
  <c r="BJ77" i="13" s="1"/>
  <c r="BI70" i="13"/>
  <c r="BI77" i="13" s="1"/>
  <c r="BH70" i="13"/>
  <c r="BH77" i="13" s="1"/>
  <c r="BG70" i="13"/>
  <c r="BG77" i="13" s="1"/>
  <c r="BF70" i="13"/>
  <c r="BF77" i="13" s="1"/>
  <c r="BE70" i="13"/>
  <c r="BE77" i="13" s="1"/>
  <c r="BD70" i="13"/>
  <c r="BD77" i="13" s="1"/>
  <c r="BC70" i="13"/>
  <c r="BC77" i="13" s="1"/>
  <c r="BB70" i="13"/>
  <c r="BB77" i="13" s="1"/>
  <c r="BA70" i="13"/>
  <c r="BA77" i="13" s="1"/>
  <c r="AZ70" i="13"/>
  <c r="AZ77" i="13" s="1"/>
  <c r="AI70" i="13"/>
  <c r="AH70" i="13"/>
  <c r="BW69" i="13"/>
  <c r="BW76" i="13" s="1"/>
  <c r="BV69" i="13"/>
  <c r="BV76" i="13" s="1"/>
  <c r="BU69" i="13"/>
  <c r="BU76" i="13" s="1"/>
  <c r="BT69" i="13"/>
  <c r="BT76" i="13" s="1"/>
  <c r="BS69" i="13"/>
  <c r="BS76" i="13" s="1"/>
  <c r="BR69" i="13"/>
  <c r="BR76" i="13" s="1"/>
  <c r="BQ69" i="13"/>
  <c r="BQ76" i="13" s="1"/>
  <c r="BP69" i="13"/>
  <c r="BP76" i="13" s="1"/>
  <c r="BO69" i="13"/>
  <c r="BO76" i="13" s="1"/>
  <c r="BN69" i="13"/>
  <c r="BN76" i="13" s="1"/>
  <c r="BM69" i="13"/>
  <c r="BM76" i="13" s="1"/>
  <c r="BL69" i="13"/>
  <c r="BL76" i="13" s="1"/>
  <c r="BK69" i="13"/>
  <c r="BK76" i="13" s="1"/>
  <c r="BJ69" i="13"/>
  <c r="BJ76" i="13" s="1"/>
  <c r="BI69" i="13"/>
  <c r="BI76" i="13" s="1"/>
  <c r="BH69" i="13"/>
  <c r="BH76" i="13" s="1"/>
  <c r="BG69" i="13"/>
  <c r="BG76" i="13" s="1"/>
  <c r="BF69" i="13"/>
  <c r="BF76" i="13" s="1"/>
  <c r="BE69" i="13"/>
  <c r="BE76" i="13" s="1"/>
  <c r="BD69" i="13"/>
  <c r="BD76" i="13" s="1"/>
  <c r="BC69" i="13"/>
  <c r="BC76" i="13" s="1"/>
  <c r="BB69" i="13"/>
  <c r="BB76" i="13" s="1"/>
  <c r="BA69" i="13"/>
  <c r="BA76" i="13" s="1"/>
  <c r="AZ69" i="13"/>
  <c r="AZ76" i="13" s="1"/>
  <c r="AI69" i="13"/>
  <c r="AH69" i="13"/>
  <c r="BW68" i="13"/>
  <c r="BW75" i="13" s="1"/>
  <c r="BV68" i="13"/>
  <c r="BV75" i="13" s="1"/>
  <c r="BU68" i="13"/>
  <c r="BU75" i="13" s="1"/>
  <c r="BT68" i="13"/>
  <c r="BT75" i="13" s="1"/>
  <c r="BS68" i="13"/>
  <c r="BS75" i="13" s="1"/>
  <c r="BR68" i="13"/>
  <c r="BR75" i="13" s="1"/>
  <c r="BQ68" i="13"/>
  <c r="BQ75" i="13" s="1"/>
  <c r="BP68" i="13"/>
  <c r="BP75" i="13" s="1"/>
  <c r="BO68" i="13"/>
  <c r="BO75" i="13" s="1"/>
  <c r="BN68" i="13"/>
  <c r="BN75" i="13" s="1"/>
  <c r="BM68" i="13"/>
  <c r="BM75" i="13" s="1"/>
  <c r="BL68" i="13"/>
  <c r="BL75" i="13" s="1"/>
  <c r="BK68" i="13"/>
  <c r="BJ68" i="13"/>
  <c r="BJ75" i="13" s="1"/>
  <c r="BI68" i="13"/>
  <c r="BI75" i="13" s="1"/>
  <c r="BH68" i="13"/>
  <c r="BH75" i="13" s="1"/>
  <c r="BG68" i="13"/>
  <c r="BG75" i="13" s="1"/>
  <c r="BF68" i="13"/>
  <c r="BF75" i="13" s="1"/>
  <c r="BE68" i="13"/>
  <c r="BE75" i="13" s="1"/>
  <c r="BD68" i="13"/>
  <c r="BD75" i="13" s="1"/>
  <c r="BC68" i="13"/>
  <c r="BC75" i="13" s="1"/>
  <c r="BB68" i="13"/>
  <c r="BB75" i="13" s="1"/>
  <c r="BA68" i="13"/>
  <c r="BA75" i="13" s="1"/>
  <c r="AZ68" i="13"/>
  <c r="AZ75" i="13" s="1"/>
  <c r="AI68" i="13"/>
  <c r="AH68" i="13"/>
  <c r="AI67" i="13"/>
  <c r="AH67" i="13"/>
  <c r="AI66" i="13"/>
  <c r="AH66" i="13"/>
  <c r="AI65" i="13"/>
  <c r="AH65" i="13"/>
  <c r="AI64" i="13"/>
  <c r="AH64" i="13"/>
  <c r="AI63" i="13"/>
  <c r="AH63" i="13"/>
  <c r="AG62" i="13"/>
  <c r="AF62" i="13"/>
  <c r="AE62" i="13"/>
  <c r="AD62" i="13"/>
  <c r="AC62" i="13"/>
  <c r="AB62" i="13"/>
  <c r="R62" i="13"/>
  <c r="Q62" i="13"/>
  <c r="O62" i="13"/>
  <c r="AW17" i="13" s="1"/>
  <c r="N62" i="13"/>
  <c r="AV17" i="13" s="1"/>
  <c r="M62" i="13"/>
  <c r="AU17" i="13" s="1"/>
  <c r="L62" i="13"/>
  <c r="K62" i="13"/>
  <c r="AT17" i="13" s="1"/>
  <c r="J62" i="13"/>
  <c r="I62" i="13"/>
  <c r="AS17" i="13" s="1"/>
  <c r="H62" i="13"/>
  <c r="G62" i="13"/>
  <c r="F62" i="13"/>
  <c r="AQ17" i="13" s="1"/>
  <c r="E62" i="13"/>
  <c r="AP17" i="13" s="1"/>
  <c r="D62" i="13"/>
  <c r="C62" i="13"/>
  <c r="AN17" i="13" s="1"/>
  <c r="B62" i="13"/>
  <c r="AM17" i="13" s="1"/>
  <c r="AI61" i="13"/>
  <c r="AH61" i="13"/>
  <c r="AI60" i="13"/>
  <c r="AH60" i="13"/>
  <c r="AI59" i="13"/>
  <c r="AH59" i="13"/>
  <c r="AG58" i="13"/>
  <c r="AF58" i="13"/>
  <c r="AF97" i="13" s="1"/>
  <c r="AF99" i="13" s="1"/>
  <c r="AE58" i="13"/>
  <c r="AD58" i="13"/>
  <c r="AC58" i="13"/>
  <c r="AB58" i="13"/>
  <c r="R58" i="13"/>
  <c r="Q58" i="13"/>
  <c r="O58" i="13"/>
  <c r="AW16" i="13" s="1"/>
  <c r="N58" i="13"/>
  <c r="M58" i="13"/>
  <c r="AU16" i="13" s="1"/>
  <c r="L58" i="13"/>
  <c r="K58" i="13"/>
  <c r="AT16" i="13" s="1"/>
  <c r="J58" i="13"/>
  <c r="I58" i="13"/>
  <c r="H58" i="13"/>
  <c r="G58" i="13"/>
  <c r="F58" i="13"/>
  <c r="E58" i="13"/>
  <c r="AP16" i="13" s="1"/>
  <c r="D58" i="13"/>
  <c r="C58" i="13"/>
  <c r="B58" i="13"/>
  <c r="AI56" i="13"/>
  <c r="AH56" i="13"/>
  <c r="AI55" i="13"/>
  <c r="AH55" i="13"/>
  <c r="AI54" i="13"/>
  <c r="AH54" i="13"/>
  <c r="AI53" i="13"/>
  <c r="AH53" i="13"/>
  <c r="AI52" i="13"/>
  <c r="AH52" i="13"/>
  <c r="AI51" i="13"/>
  <c r="AH51" i="13"/>
  <c r="AI50" i="13"/>
  <c r="AH50" i="13"/>
  <c r="AI49" i="13"/>
  <c r="AH49" i="13"/>
  <c r="AI48" i="13"/>
  <c r="AH48" i="13"/>
  <c r="AI47" i="13"/>
  <c r="AH47" i="13"/>
  <c r="AI46" i="13"/>
  <c r="AH46" i="13"/>
  <c r="AI45" i="13"/>
  <c r="AH45" i="13"/>
  <c r="AI44" i="13"/>
  <c r="AH44" i="13"/>
  <c r="AI43" i="13"/>
  <c r="AH43" i="13"/>
  <c r="AI42" i="13"/>
  <c r="AH42" i="13"/>
  <c r="AI41" i="13"/>
  <c r="AH41" i="13"/>
  <c r="AI40" i="13"/>
  <c r="AH40" i="13"/>
  <c r="AI39" i="13"/>
  <c r="AH39" i="13"/>
  <c r="AI38" i="13"/>
  <c r="AH38" i="13"/>
  <c r="AI37" i="13"/>
  <c r="AH37" i="13"/>
  <c r="AI36" i="13"/>
  <c r="AH36" i="13"/>
  <c r="AI35" i="13"/>
  <c r="AH35" i="13"/>
  <c r="AI34" i="13"/>
  <c r="AH34" i="13"/>
  <c r="AI33" i="13"/>
  <c r="AH33" i="13"/>
  <c r="AI32" i="13"/>
  <c r="AH32" i="13"/>
  <c r="AI31" i="13"/>
  <c r="AH31" i="13"/>
  <c r="AI30" i="13"/>
  <c r="AH30" i="13"/>
  <c r="AI29" i="13"/>
  <c r="AH29" i="13"/>
  <c r="AI28" i="13"/>
  <c r="AH28" i="13"/>
  <c r="AI27" i="13"/>
  <c r="AH27" i="13"/>
  <c r="AI26" i="13"/>
  <c r="AH26" i="13"/>
  <c r="AI25" i="13"/>
  <c r="AH25" i="13"/>
  <c r="AI24" i="13"/>
  <c r="AH24" i="13"/>
  <c r="AI23" i="13"/>
  <c r="AH23" i="13"/>
  <c r="AI22" i="13"/>
  <c r="AH22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I21" i="13"/>
  <c r="AH21" i="13"/>
  <c r="AX20" i="13"/>
  <c r="AW20" i="13"/>
  <c r="AU20" i="13"/>
  <c r="AS20" i="13"/>
  <c r="AR20" i="13"/>
  <c r="AQ20" i="13"/>
  <c r="AP20" i="13"/>
  <c r="AO20" i="13"/>
  <c r="AM20" i="13"/>
  <c r="AI20" i="13"/>
  <c r="AH20" i="13"/>
  <c r="AI19" i="13"/>
  <c r="AH19" i="13"/>
  <c r="AI18" i="13"/>
  <c r="AH18" i="13"/>
  <c r="AX17" i="13"/>
  <c r="AR17" i="13"/>
  <c r="AO17" i="13"/>
  <c r="AI17" i="13"/>
  <c r="AH17" i="13"/>
  <c r="AO16" i="13"/>
  <c r="AN16" i="13"/>
  <c r="AI16" i="13"/>
  <c r="AH16" i="13"/>
  <c r="AI15" i="13"/>
  <c r="AH15" i="13"/>
  <c r="AI14" i="13"/>
  <c r="AH14" i="13"/>
  <c r="AI13" i="13"/>
  <c r="AH13" i="13"/>
  <c r="AL12" i="13"/>
  <c r="AI12" i="13"/>
  <c r="AH12" i="13"/>
  <c r="AI11" i="13"/>
  <c r="AH11" i="13"/>
  <c r="Z5" i="13"/>
  <c r="X5" i="13"/>
  <c r="W5" i="13"/>
  <c r="V5" i="13"/>
  <c r="T5" i="13"/>
  <c r="S5" i="13"/>
  <c r="R5" i="13"/>
  <c r="AG4" i="13"/>
  <c r="K4" i="13"/>
  <c r="E4" i="13"/>
  <c r="H4" i="13" s="1"/>
  <c r="B4" i="13"/>
  <c r="D258" i="13" s="1"/>
  <c r="AG2" i="13"/>
  <c r="AF123" i="12"/>
  <c r="AE123" i="12"/>
  <c r="AF247" i="17" l="1"/>
  <c r="AE252" i="17"/>
  <c r="AI118" i="17"/>
  <c r="AH118" i="17"/>
  <c r="U118" i="16"/>
  <c r="V246" i="16"/>
  <c r="U252" i="16"/>
  <c r="J252" i="14"/>
  <c r="J118" i="14"/>
  <c r="K246" i="14"/>
  <c r="AD97" i="13"/>
  <c r="AD99" i="13" s="1"/>
  <c r="AC107" i="13"/>
  <c r="R97" i="13"/>
  <c r="R99" i="13" s="1"/>
  <c r="AI80" i="13"/>
  <c r="AE107" i="13"/>
  <c r="W7" i="13"/>
  <c r="AE97" i="13"/>
  <c r="AE99" i="13" s="1"/>
  <c r="AE100" i="13" s="1"/>
  <c r="AE7" i="13" s="1"/>
  <c r="AI102" i="13"/>
  <c r="AH123" i="13"/>
  <c r="R107" i="13"/>
  <c r="AH57" i="13"/>
  <c r="Z7" i="13"/>
  <c r="AH102" i="13"/>
  <c r="Q97" i="13"/>
  <c r="Q99" i="13" s="1"/>
  <c r="Q100" i="13" s="1"/>
  <c r="Q7" i="13" s="1"/>
  <c r="O5" i="13"/>
  <c r="P97" i="13"/>
  <c r="P99" i="13" s="1"/>
  <c r="AX16" i="13"/>
  <c r="AX22" i="13" s="1"/>
  <c r="O107" i="13"/>
  <c r="AW23" i="13" s="1"/>
  <c r="AW19" i="13"/>
  <c r="O97" i="13"/>
  <c r="O99" i="13" s="1"/>
  <c r="AH121" i="13"/>
  <c r="M5" i="13"/>
  <c r="N97" i="13"/>
  <c r="N99" i="13" s="1"/>
  <c r="AV16" i="13"/>
  <c r="AV22" i="13" s="1"/>
  <c r="AU19" i="13"/>
  <c r="M107" i="13"/>
  <c r="AU23" i="13" s="1"/>
  <c r="AU22" i="13"/>
  <c r="K107" i="13"/>
  <c r="AT23" i="13" s="1"/>
  <c r="J5" i="13"/>
  <c r="AT22" i="13"/>
  <c r="J107" i="13"/>
  <c r="J108" i="13" s="1"/>
  <c r="I5" i="13"/>
  <c r="J97" i="13"/>
  <c r="J99" i="13" s="1"/>
  <c r="I107" i="13"/>
  <c r="AS23" i="13" s="1"/>
  <c r="AS19" i="13"/>
  <c r="I97" i="13"/>
  <c r="I99" i="13" s="1"/>
  <c r="AS16" i="13"/>
  <c r="AS22" i="13" s="1"/>
  <c r="AS24" i="13" s="1"/>
  <c r="H97" i="13"/>
  <c r="H99" i="13" s="1"/>
  <c r="AR19" i="13"/>
  <c r="G107" i="13"/>
  <c r="AR23" i="13" s="1"/>
  <c r="AH103" i="13"/>
  <c r="AI103" i="13"/>
  <c r="E5" i="13"/>
  <c r="E107" i="13"/>
  <c r="AP23" i="13" s="1"/>
  <c r="B5" i="13"/>
  <c r="AI58" i="13"/>
  <c r="AM16" i="13"/>
  <c r="B97" i="13"/>
  <c r="B99" i="13" s="1"/>
  <c r="C107" i="13"/>
  <c r="AN23" i="13" s="1"/>
  <c r="AI101" i="13"/>
  <c r="AQ16" i="13"/>
  <c r="AQ22" i="13" s="1"/>
  <c r="F97" i="13"/>
  <c r="F99" i="13" s="1"/>
  <c r="AI62" i="13"/>
  <c r="AO19" i="13"/>
  <c r="AO22" i="13" s="1"/>
  <c r="C5" i="13"/>
  <c r="K5" i="13"/>
  <c r="AG97" i="13"/>
  <c r="D97" i="13"/>
  <c r="D99" i="13" s="1"/>
  <c r="L97" i="13"/>
  <c r="L99" i="13" s="1"/>
  <c r="AB97" i="13"/>
  <c r="AB99" i="13" s="1"/>
  <c r="AH80" i="13"/>
  <c r="AM18" i="13"/>
  <c r="AM22" i="13" s="1"/>
  <c r="AI76" i="13"/>
  <c r="AH76" i="13"/>
  <c r="AW22" i="13"/>
  <c r="AL13" i="13"/>
  <c r="AN22" i="13"/>
  <c r="AI92" i="13"/>
  <c r="AF5" i="13"/>
  <c r="Q5" i="13"/>
  <c r="R108" i="13"/>
  <c r="Y5" i="13"/>
  <c r="AH92" i="13"/>
  <c r="AG6" i="13"/>
  <c r="AR16" i="13"/>
  <c r="AR22" i="13" s="1"/>
  <c r="AR24" i="13" s="1"/>
  <c r="G97" i="13"/>
  <c r="G99" i="13" s="1"/>
  <c r="E97" i="13"/>
  <c r="E99" i="13" s="1"/>
  <c r="M97" i="13"/>
  <c r="M99" i="13" s="1"/>
  <c r="M100" i="13" s="1"/>
  <c r="M7" i="13" s="1"/>
  <c r="U7" i="13"/>
  <c r="AC97" i="13"/>
  <c r="AC99" i="13" s="1"/>
  <c r="AC100" i="13" s="1"/>
  <c r="AC7" i="13" s="1"/>
  <c r="K108" i="13"/>
  <c r="D107" i="13"/>
  <c r="AO23" i="13" s="1"/>
  <c r="L107" i="13"/>
  <c r="L108" i="13" s="1"/>
  <c r="AB107" i="13"/>
  <c r="AB108" i="13" s="1"/>
  <c r="E108" i="13"/>
  <c r="AC108" i="13"/>
  <c r="F107" i="13"/>
  <c r="AQ23" i="13" s="1"/>
  <c r="N107" i="13"/>
  <c r="AV23" i="13" s="1"/>
  <c r="V7" i="13"/>
  <c r="AD107" i="13"/>
  <c r="AD100" i="13" s="1"/>
  <c r="AD7" i="13" s="1"/>
  <c r="BG84" i="13" a="1"/>
  <c r="AP19" i="13"/>
  <c r="AP22" i="13" s="1"/>
  <c r="G108" i="13"/>
  <c r="AE108" i="13"/>
  <c r="H107" i="13"/>
  <c r="H108" i="13" s="1"/>
  <c r="P107" i="13"/>
  <c r="X7" i="13"/>
  <c r="AF107" i="13"/>
  <c r="AF108" i="13" s="1"/>
  <c r="AI105" i="13"/>
  <c r="D252" i="13"/>
  <c r="D118" i="13"/>
  <c r="E251" i="13"/>
  <c r="F251" i="13" s="1"/>
  <c r="G251" i="13" s="1"/>
  <c r="H251" i="13" s="1"/>
  <c r="I251" i="13" s="1"/>
  <c r="J251" i="13" s="1"/>
  <c r="K251" i="13" s="1"/>
  <c r="L251" i="13" s="1"/>
  <c r="M251" i="13" s="1"/>
  <c r="N251" i="13" s="1"/>
  <c r="O251" i="13" s="1"/>
  <c r="P251" i="13" s="1"/>
  <c r="Q251" i="13" s="1"/>
  <c r="R251" i="13" s="1"/>
  <c r="S251" i="13" s="1"/>
  <c r="T251" i="13" s="1"/>
  <c r="U251" i="13" s="1"/>
  <c r="V251" i="13" s="1"/>
  <c r="W251" i="13" s="1"/>
  <c r="X251" i="13" s="1"/>
  <c r="Y251" i="13" s="1"/>
  <c r="Z251" i="13" s="1"/>
  <c r="AA251" i="13" s="1"/>
  <c r="AB251" i="13" s="1"/>
  <c r="AC251" i="13" s="1"/>
  <c r="AD251" i="13" s="1"/>
  <c r="AE251" i="13" s="1"/>
  <c r="AF251" i="13" s="1"/>
  <c r="B251" i="13" s="1"/>
  <c r="AH58" i="13"/>
  <c r="AH62" i="13"/>
  <c r="C97" i="13"/>
  <c r="C99" i="13" s="1"/>
  <c r="K97" i="13"/>
  <c r="K99" i="13" s="1"/>
  <c r="K100" i="13" s="1"/>
  <c r="K7" i="13" s="1"/>
  <c r="S7" i="13"/>
  <c r="AA7" i="13"/>
  <c r="Q108" i="13"/>
  <c r="AG99" i="13"/>
  <c r="B107" i="13"/>
  <c r="AH101" i="13"/>
  <c r="AI104" i="13"/>
  <c r="E246" i="13"/>
  <c r="AH104" i="13"/>
  <c r="AH105" i="13"/>
  <c r="B247" i="17" l="1"/>
  <c r="B252" i="17" s="1"/>
  <c r="AF252" i="17"/>
  <c r="W246" i="16"/>
  <c r="V252" i="16"/>
  <c r="V118" i="16"/>
  <c r="K252" i="14"/>
  <c r="K118" i="14"/>
  <c r="L246" i="14"/>
  <c r="AD108" i="13"/>
  <c r="R100" i="13"/>
  <c r="R7" i="13" s="1"/>
  <c r="I108" i="13"/>
  <c r="E100" i="13"/>
  <c r="E7" i="13" s="1"/>
  <c r="O108" i="13"/>
  <c r="AP24" i="13"/>
  <c r="AT24" i="13"/>
  <c r="Y7" i="13"/>
  <c r="M108" i="13"/>
  <c r="I100" i="13"/>
  <c r="I7" i="13" s="1"/>
  <c r="O100" i="13"/>
  <c r="O7" i="13" s="1"/>
  <c r="AW24" i="13"/>
  <c r="N100" i="13"/>
  <c r="N7" i="13" s="1"/>
  <c r="N108" i="13"/>
  <c r="AV24" i="13"/>
  <c r="AU24" i="13"/>
  <c r="J100" i="13"/>
  <c r="J7" i="13" s="1"/>
  <c r="F100" i="13"/>
  <c r="F7" i="13" s="1"/>
  <c r="D100" i="13"/>
  <c r="D7" i="13" s="1"/>
  <c r="AO24" i="13"/>
  <c r="C100" i="13"/>
  <c r="C7" i="13" s="1"/>
  <c r="C108" i="13"/>
  <c r="AT8" i="13"/>
  <c r="BG107" i="13"/>
  <c r="BK105" i="13"/>
  <c r="BI104" i="13"/>
  <c r="BG103" i="13"/>
  <c r="BK101" i="13"/>
  <c r="BI100" i="13"/>
  <c r="BG99" i="13"/>
  <c r="BK97" i="13"/>
  <c r="BI96" i="13"/>
  <c r="BG95" i="13"/>
  <c r="BK93" i="13"/>
  <c r="BI92" i="13"/>
  <c r="BG91" i="13"/>
  <c r="BK89" i="13"/>
  <c r="BI88" i="13"/>
  <c r="BG87" i="13"/>
  <c r="BK85" i="13"/>
  <c r="BI84" i="13"/>
  <c r="BL107" i="13"/>
  <c r="BJ106" i="13"/>
  <c r="BH105" i="13"/>
  <c r="BL103" i="13"/>
  <c r="BJ102" i="13"/>
  <c r="BH101" i="13"/>
  <c r="BL99" i="13"/>
  <c r="BJ98" i="13"/>
  <c r="BH97" i="13"/>
  <c r="BL95" i="13"/>
  <c r="BJ94" i="13"/>
  <c r="BH93" i="13"/>
  <c r="BL91" i="13"/>
  <c r="BJ90" i="13"/>
  <c r="BH89" i="13"/>
  <c r="BL87" i="13"/>
  <c r="BJ86" i="13"/>
  <c r="BH85" i="13"/>
  <c r="BI107" i="13"/>
  <c r="BJ105" i="13"/>
  <c r="BK103" i="13"/>
  <c r="BG102" i="13"/>
  <c r="BH100" i="13"/>
  <c r="BI98" i="13"/>
  <c r="BK96" i="13"/>
  <c r="BL94" i="13"/>
  <c r="BG93" i="13"/>
  <c r="BI91" i="13"/>
  <c r="BJ89" i="13"/>
  <c r="BK87" i="13"/>
  <c r="BG86" i="13"/>
  <c r="BH84" i="13"/>
  <c r="BH107" i="13"/>
  <c r="BI105" i="13"/>
  <c r="BJ103" i="13"/>
  <c r="BL101" i="13"/>
  <c r="BG100" i="13"/>
  <c r="BH98" i="13"/>
  <c r="BJ96" i="13"/>
  <c r="BK94" i="13"/>
  <c r="BL92" i="13"/>
  <c r="BH91" i="13"/>
  <c r="BI89" i="13"/>
  <c r="BJ87" i="13"/>
  <c r="BL85" i="13"/>
  <c r="BG84" i="13"/>
  <c r="BL106" i="13"/>
  <c r="BG105" i="13"/>
  <c r="BI103" i="13"/>
  <c r="BJ101" i="13"/>
  <c r="BK99" i="13"/>
  <c r="BG98" i="13"/>
  <c r="BH96" i="13"/>
  <c r="BI94" i="13"/>
  <c r="BK92" i="13"/>
  <c r="BL90" i="13"/>
  <c r="BG89" i="13"/>
  <c r="BI87" i="13"/>
  <c r="BJ85" i="13"/>
  <c r="BK106" i="13"/>
  <c r="BL104" i="13"/>
  <c r="BH103" i="13"/>
  <c r="BI101" i="13"/>
  <c r="BJ99" i="13"/>
  <c r="BL97" i="13"/>
  <c r="BG96" i="13"/>
  <c r="BH94" i="13"/>
  <c r="BJ92" i="13"/>
  <c r="BK90" i="13"/>
  <c r="BL88" i="13"/>
  <c r="BH87" i="13"/>
  <c r="BI85" i="13"/>
  <c r="BI106" i="13"/>
  <c r="BK104" i="13"/>
  <c r="BL102" i="13"/>
  <c r="BG101" i="13"/>
  <c r="BI99" i="13"/>
  <c r="BJ97" i="13"/>
  <c r="BK95" i="13"/>
  <c r="BG94" i="13"/>
  <c r="BH92" i="13"/>
  <c r="BI90" i="13"/>
  <c r="BK88" i="13"/>
  <c r="BL86" i="13"/>
  <c r="BG85" i="13"/>
  <c r="BK107" i="13"/>
  <c r="BG106" i="13"/>
  <c r="BH104" i="13"/>
  <c r="BI102" i="13"/>
  <c r="BK100" i="13"/>
  <c r="BL98" i="13"/>
  <c r="BG97" i="13"/>
  <c r="BI95" i="13"/>
  <c r="BJ93" i="13"/>
  <c r="BK91" i="13"/>
  <c r="BG90" i="13"/>
  <c r="BH88" i="13"/>
  <c r="BI86" i="13"/>
  <c r="BK84" i="13"/>
  <c r="BJ107" i="13"/>
  <c r="BJ100" i="13"/>
  <c r="BI93" i="13"/>
  <c r="BH86" i="13"/>
  <c r="BH106" i="13"/>
  <c r="BH99" i="13"/>
  <c r="BG92" i="13"/>
  <c r="BL84" i="13"/>
  <c r="BL105" i="13"/>
  <c r="BK98" i="13"/>
  <c r="BJ91" i="13"/>
  <c r="BJ84" i="13"/>
  <c r="BG104" i="13"/>
  <c r="BL96" i="13"/>
  <c r="BL89" i="13"/>
  <c r="BJ104" i="13"/>
  <c r="BI97" i="13"/>
  <c r="BH90" i="13"/>
  <c r="BH102" i="13"/>
  <c r="BH95" i="13"/>
  <c r="BG88" i="13"/>
  <c r="BL100" i="13"/>
  <c r="BL93" i="13"/>
  <c r="BK86" i="13"/>
  <c r="BK102" i="13"/>
  <c r="BJ95" i="13"/>
  <c r="BJ88" i="13"/>
  <c r="F246" i="13"/>
  <c r="E252" i="13"/>
  <c r="E118" i="13"/>
  <c r="D108" i="13"/>
  <c r="AQ24" i="13"/>
  <c r="AF100" i="13"/>
  <c r="AF7" i="13" s="1"/>
  <c r="AI107" i="13"/>
  <c r="AH107" i="13"/>
  <c r="AM23" i="13"/>
  <c r="AM24" i="13" s="1"/>
  <c r="AH97" i="13"/>
  <c r="AX23" i="13"/>
  <c r="AX24" i="13" s="1"/>
  <c r="P108" i="13"/>
  <c r="C256" i="13"/>
  <c r="G100" i="13"/>
  <c r="G7" i="13" s="1"/>
  <c r="B256" i="13"/>
  <c r="AN24" i="13"/>
  <c r="AB100" i="13"/>
  <c r="AB7" i="13" s="1"/>
  <c r="P100" i="13"/>
  <c r="P7" i="13" s="1"/>
  <c r="B100" i="13"/>
  <c r="AI99" i="13"/>
  <c r="AH99" i="13"/>
  <c r="T7" i="13"/>
  <c r="H100" i="13"/>
  <c r="H7" i="13" s="1"/>
  <c r="AI97" i="13"/>
  <c r="F108" i="13"/>
  <c r="B108" i="13"/>
  <c r="L100" i="13"/>
  <c r="L7" i="13" s="1"/>
  <c r="X246" i="16" l="1"/>
  <c r="W118" i="16"/>
  <c r="W252" i="16"/>
  <c r="L252" i="14"/>
  <c r="L118" i="14"/>
  <c r="M246" i="14"/>
  <c r="K6" i="13"/>
  <c r="AT9" i="13"/>
  <c r="AI100" i="13"/>
  <c r="AH100" i="13"/>
  <c r="B7" i="13"/>
  <c r="A7" i="13" s="1"/>
  <c r="AH108" i="13"/>
  <c r="AI108" i="13"/>
  <c r="G246" i="13"/>
  <c r="F252" i="13"/>
  <c r="F118" i="13"/>
  <c r="AD123" i="12"/>
  <c r="AC123" i="12"/>
  <c r="AA123" i="12"/>
  <c r="AA58" i="12"/>
  <c r="AA62" i="12"/>
  <c r="AA76" i="12"/>
  <c r="AA80" i="12"/>
  <c r="AA92" i="12"/>
  <c r="AA101" i="12"/>
  <c r="AA102" i="12"/>
  <c r="AA103" i="12"/>
  <c r="AA104" i="12"/>
  <c r="AA105" i="12"/>
  <c r="Z123" i="12"/>
  <c r="Z105" i="12"/>
  <c r="Z104" i="12"/>
  <c r="Z103" i="12"/>
  <c r="Z102" i="12"/>
  <c r="Z101" i="12"/>
  <c r="Z92" i="12"/>
  <c r="Z80" i="12"/>
  <c r="Z76" i="12"/>
  <c r="Z62" i="12"/>
  <c r="Z58" i="12"/>
  <c r="Y123" i="12"/>
  <c r="Y58" i="12"/>
  <c r="Y62" i="12"/>
  <c r="Y76" i="12"/>
  <c r="Y80" i="12"/>
  <c r="Y92" i="12"/>
  <c r="Y101" i="12"/>
  <c r="Y102" i="12"/>
  <c r="Y103" i="12"/>
  <c r="Y104" i="12"/>
  <c r="Y105" i="12"/>
  <c r="X123" i="12"/>
  <c r="X58" i="12"/>
  <c r="X62" i="12"/>
  <c r="X76" i="12"/>
  <c r="X80" i="12"/>
  <c r="X92" i="12"/>
  <c r="X101" i="12"/>
  <c r="X102" i="12"/>
  <c r="X103" i="12"/>
  <c r="X104" i="12"/>
  <c r="X105" i="12"/>
  <c r="W123" i="12"/>
  <c r="W58" i="12"/>
  <c r="W62" i="12"/>
  <c r="W76" i="12"/>
  <c r="W80" i="12"/>
  <c r="W92" i="12"/>
  <c r="W101" i="12"/>
  <c r="W102" i="12"/>
  <c r="W103" i="12"/>
  <c r="W104" i="12"/>
  <c r="W105" i="12"/>
  <c r="V123" i="12"/>
  <c r="V58" i="12"/>
  <c r="V62" i="12"/>
  <c r="V76" i="12"/>
  <c r="V80" i="12"/>
  <c r="V92" i="12"/>
  <c r="V101" i="12"/>
  <c r="V102" i="12"/>
  <c r="V103" i="12"/>
  <c r="V104" i="12"/>
  <c r="V105" i="12"/>
  <c r="U58" i="12"/>
  <c r="U62" i="12"/>
  <c r="U76" i="12"/>
  <c r="U80" i="12"/>
  <c r="U92" i="12"/>
  <c r="U101" i="12"/>
  <c r="U102" i="12"/>
  <c r="U103" i="12"/>
  <c r="U104" i="12"/>
  <c r="U105" i="12"/>
  <c r="T123" i="12"/>
  <c r="T58" i="12"/>
  <c r="T62" i="12"/>
  <c r="T76" i="12"/>
  <c r="T80" i="12"/>
  <c r="T92" i="12"/>
  <c r="T101" i="12"/>
  <c r="T102" i="12"/>
  <c r="T103" i="12"/>
  <c r="T104" i="12"/>
  <c r="T105" i="12"/>
  <c r="S123" i="12"/>
  <c r="S58" i="12"/>
  <c r="S62" i="12"/>
  <c r="S76" i="12"/>
  <c r="S80" i="12"/>
  <c r="S92" i="12"/>
  <c r="S101" i="12"/>
  <c r="S102" i="12"/>
  <c r="S103" i="12"/>
  <c r="S104" i="12"/>
  <c r="S105" i="12"/>
  <c r="R123" i="12"/>
  <c r="R57" i="12"/>
  <c r="Q123" i="12"/>
  <c r="Q121" i="12"/>
  <c r="Q57" i="12"/>
  <c r="Q58" i="12"/>
  <c r="Q62" i="12"/>
  <c r="P123" i="12"/>
  <c r="O123" i="12"/>
  <c r="N123" i="12"/>
  <c r="M123" i="12"/>
  <c r="L58" i="12"/>
  <c r="L62" i="12"/>
  <c r="L76" i="12"/>
  <c r="L80" i="12"/>
  <c r="L92" i="12"/>
  <c r="L101" i="12"/>
  <c r="L102" i="12"/>
  <c r="L103" i="12"/>
  <c r="L104" i="12"/>
  <c r="L105" i="12"/>
  <c r="L123" i="12"/>
  <c r="K123" i="12"/>
  <c r="Y246" i="16" l="1"/>
  <c r="X252" i="16"/>
  <c r="X118" i="16"/>
  <c r="N246" i="14"/>
  <c r="M118" i="14"/>
  <c r="M252" i="14"/>
  <c r="H246" i="13"/>
  <c r="G252" i="13"/>
  <c r="G118" i="13"/>
  <c r="X107" i="12"/>
  <c r="X108" i="12" s="1"/>
  <c r="Z108" i="12"/>
  <c r="Z107" i="12"/>
  <c r="AA107" i="12"/>
  <c r="AA97" i="12"/>
  <c r="AA99" i="12" s="1"/>
  <c r="AA100" i="12" s="1"/>
  <c r="AA108" i="12"/>
  <c r="Z97" i="12"/>
  <c r="Z99" i="12" s="1"/>
  <c r="Z100" i="12" s="1"/>
  <c r="Y97" i="12"/>
  <c r="Y99" i="12" s="1"/>
  <c r="Y107" i="12"/>
  <c r="X97" i="12"/>
  <c r="X99" i="12" s="1"/>
  <c r="W107" i="12"/>
  <c r="W97" i="12"/>
  <c r="W99" i="12" s="1"/>
  <c r="W108" i="12"/>
  <c r="V97" i="12"/>
  <c r="V99" i="12" s="1"/>
  <c r="V107" i="12"/>
  <c r="U97" i="12"/>
  <c r="U99" i="12" s="1"/>
  <c r="U107" i="12"/>
  <c r="U108" i="12" s="1"/>
  <c r="T107" i="12"/>
  <c r="T108" i="12" s="1"/>
  <c r="T97" i="12"/>
  <c r="T99" i="12" s="1"/>
  <c r="S97" i="12"/>
  <c r="S99" i="12" s="1"/>
  <c r="S107" i="12"/>
  <c r="S108" i="12" s="1"/>
  <c r="L107" i="12"/>
  <c r="L108" i="12" s="1"/>
  <c r="L97" i="12"/>
  <c r="L99" i="12" s="1"/>
  <c r="L100" i="12" s="1"/>
  <c r="Y252" i="16" l="1"/>
  <c r="Z246" i="16"/>
  <c r="O246" i="14"/>
  <c r="O118" i="14" s="1"/>
  <c r="N252" i="14"/>
  <c r="N118" i="14"/>
  <c r="I246" i="13"/>
  <c r="H252" i="13"/>
  <c r="H118" i="13"/>
  <c r="S100" i="12"/>
  <c r="W100" i="12"/>
  <c r="T100" i="12"/>
  <c r="X100" i="12"/>
  <c r="Y100" i="12"/>
  <c r="Y108" i="12"/>
  <c r="V100" i="12"/>
  <c r="V108" i="12"/>
  <c r="U100" i="12"/>
  <c r="Z252" i="16" l="1"/>
  <c r="AA246" i="16"/>
  <c r="P246" i="14"/>
  <c r="O252" i="14"/>
  <c r="I252" i="13"/>
  <c r="I118" i="13"/>
  <c r="J246" i="13"/>
  <c r="AA252" i="16" l="1"/>
  <c r="AA118" i="16"/>
  <c r="AB246" i="16"/>
  <c r="Q246" i="14"/>
  <c r="P252" i="14"/>
  <c r="J252" i="13"/>
  <c r="J118" i="13"/>
  <c r="K246" i="13"/>
  <c r="AB252" i="16" l="1"/>
  <c r="AC246" i="16"/>
  <c r="Q252" i="14"/>
  <c r="Q118" i="14"/>
  <c r="R246" i="14"/>
  <c r="K252" i="13"/>
  <c r="K118" i="13"/>
  <c r="L246" i="13"/>
  <c r="AC118" i="16" l="1"/>
  <c r="AD246" i="16"/>
  <c r="AC252" i="16"/>
  <c r="R252" i="14"/>
  <c r="R118" i="14"/>
  <c r="S246" i="14"/>
  <c r="L252" i="13"/>
  <c r="L118" i="13"/>
  <c r="M246" i="13"/>
  <c r="AE246" i="16" l="1"/>
  <c r="AD252" i="16"/>
  <c r="AD118" i="16"/>
  <c r="S252" i="14"/>
  <c r="S118" i="14"/>
  <c r="T246" i="14"/>
  <c r="N246" i="13"/>
  <c r="M118" i="13"/>
  <c r="M252" i="13"/>
  <c r="AF246" i="16" l="1"/>
  <c r="AE118" i="16"/>
  <c r="AE252" i="16"/>
  <c r="T252" i="14"/>
  <c r="T118" i="14"/>
  <c r="U246" i="14"/>
  <c r="O246" i="13"/>
  <c r="N252" i="13"/>
  <c r="N118" i="13"/>
  <c r="AF252" i="16" l="1"/>
  <c r="B246" i="16"/>
  <c r="AF118" i="16"/>
  <c r="U118" i="14"/>
  <c r="V246" i="14"/>
  <c r="U252" i="14"/>
  <c r="P246" i="13"/>
  <c r="O252" i="13"/>
  <c r="O118" i="13"/>
  <c r="B252" i="16" l="1"/>
  <c r="W246" i="14"/>
  <c r="V252" i="14"/>
  <c r="V118" i="14"/>
  <c r="Q246" i="13"/>
  <c r="P252" i="13"/>
  <c r="AI118" i="16" l="1"/>
  <c r="AH118" i="16"/>
  <c r="X246" i="14"/>
  <c r="W252" i="14"/>
  <c r="W118" i="14"/>
  <c r="Q252" i="13"/>
  <c r="Q118" i="13"/>
  <c r="R246" i="13"/>
  <c r="Y246" i="14" l="1"/>
  <c r="X252" i="14"/>
  <c r="X118" i="14"/>
  <c r="R252" i="13"/>
  <c r="R118" i="13"/>
  <c r="S246" i="13"/>
  <c r="Y252" i="14" l="1"/>
  <c r="Z246" i="14"/>
  <c r="S252" i="13"/>
  <c r="T246" i="13"/>
  <c r="Z252" i="14" l="1"/>
  <c r="AA246" i="14"/>
  <c r="T252" i="13"/>
  <c r="U246" i="13"/>
  <c r="AA252" i="14" l="1"/>
  <c r="AA118" i="14"/>
  <c r="AB246" i="14"/>
  <c r="V246" i="13"/>
  <c r="U252" i="13"/>
  <c r="AB252" i="14" l="1"/>
  <c r="AC246" i="14"/>
  <c r="W246" i="13"/>
  <c r="V252" i="13"/>
  <c r="AD246" i="14" l="1"/>
  <c r="AC252" i="14"/>
  <c r="X246" i="13"/>
  <c r="W252" i="13"/>
  <c r="AE246" i="14" l="1"/>
  <c r="AD252" i="14"/>
  <c r="Y246" i="13"/>
  <c r="X252" i="13"/>
  <c r="AF246" i="14" l="1"/>
  <c r="AE252" i="14"/>
  <c r="Y252" i="13"/>
  <c r="Z246" i="13"/>
  <c r="AF252" i="14" l="1"/>
  <c r="B246" i="14"/>
  <c r="Z252" i="13"/>
  <c r="AA246" i="13"/>
  <c r="B252" i="14" l="1"/>
  <c r="B118" i="14"/>
  <c r="AA252" i="13"/>
  <c r="AB246" i="13"/>
  <c r="AI118" i="14" l="1"/>
  <c r="AH118" i="14"/>
  <c r="AB252" i="13"/>
  <c r="AB118" i="13"/>
  <c r="AC246" i="13"/>
  <c r="AC118" i="13" l="1"/>
  <c r="AD246" i="13"/>
  <c r="AC252" i="13"/>
  <c r="AE246" i="13" l="1"/>
  <c r="AD252" i="13"/>
  <c r="AD118" i="13"/>
  <c r="AF246" i="13" l="1"/>
  <c r="AE252" i="13"/>
  <c r="AE118" i="13"/>
  <c r="AF252" i="13" l="1"/>
  <c r="AF118" i="13"/>
  <c r="B246" i="13"/>
  <c r="B252" i="13" l="1"/>
  <c r="B118" i="13"/>
  <c r="AI118" i="13" l="1"/>
  <c r="AH118" i="13"/>
  <c r="J123" i="12" l="1"/>
  <c r="I123" i="12"/>
  <c r="H123" i="12"/>
  <c r="G123" i="12"/>
  <c r="AI123" i="12" s="1"/>
  <c r="F123" i="12"/>
  <c r="E123" i="12"/>
  <c r="C58" i="12"/>
  <c r="C62" i="12"/>
  <c r="C76" i="12"/>
  <c r="AN18" i="12" s="1"/>
  <c r="C80" i="12"/>
  <c r="C92" i="12"/>
  <c r="C108" i="12" s="1"/>
  <c r="C101" i="12"/>
  <c r="C102" i="12"/>
  <c r="C103" i="12"/>
  <c r="C104" i="12"/>
  <c r="C105" i="12"/>
  <c r="C118" i="12"/>
  <c r="B105" i="12"/>
  <c r="B104" i="12"/>
  <c r="B103" i="12"/>
  <c r="B102" i="12"/>
  <c r="B101" i="12"/>
  <c r="B92" i="12"/>
  <c r="B108" i="12" s="1"/>
  <c r="B80" i="12"/>
  <c r="B76" i="12"/>
  <c r="AM18" i="12" s="1"/>
  <c r="B62" i="12"/>
  <c r="AM17" i="12" s="1"/>
  <c r="B58" i="12"/>
  <c r="AM16" i="12" s="1"/>
  <c r="AG252" i="12"/>
  <c r="C252" i="12"/>
  <c r="D251" i="12"/>
  <c r="E251" i="12" s="1"/>
  <c r="F251" i="12" s="1"/>
  <c r="G251" i="12" s="1"/>
  <c r="H251" i="12" s="1"/>
  <c r="I251" i="12" s="1"/>
  <c r="J251" i="12" s="1"/>
  <c r="K251" i="12" s="1"/>
  <c r="L251" i="12" s="1"/>
  <c r="M251" i="12" s="1"/>
  <c r="N251" i="12" s="1"/>
  <c r="O251" i="12" s="1"/>
  <c r="P251" i="12" s="1"/>
  <c r="Q251" i="12" s="1"/>
  <c r="R251" i="12" s="1"/>
  <c r="S251" i="12" s="1"/>
  <c r="T251" i="12" s="1"/>
  <c r="U251" i="12" s="1"/>
  <c r="V251" i="12" s="1"/>
  <c r="W251" i="12" s="1"/>
  <c r="X251" i="12" s="1"/>
  <c r="Y251" i="12" s="1"/>
  <c r="Z251" i="12" s="1"/>
  <c r="AA251" i="12" s="1"/>
  <c r="AB251" i="12" s="1"/>
  <c r="AC251" i="12" s="1"/>
  <c r="AD251" i="12" s="1"/>
  <c r="AE251" i="12" s="1"/>
  <c r="AF251" i="12" s="1"/>
  <c r="B251" i="12" s="1"/>
  <c r="D250" i="12"/>
  <c r="E250" i="12" s="1"/>
  <c r="F250" i="12" s="1"/>
  <c r="G250" i="12" s="1"/>
  <c r="H250" i="12" s="1"/>
  <c r="I250" i="12" s="1"/>
  <c r="J250" i="12" s="1"/>
  <c r="K250" i="12" s="1"/>
  <c r="L250" i="12" s="1"/>
  <c r="M250" i="12" s="1"/>
  <c r="N250" i="12" s="1"/>
  <c r="O250" i="12" s="1"/>
  <c r="P250" i="12" s="1"/>
  <c r="Q250" i="12" s="1"/>
  <c r="R250" i="12" s="1"/>
  <c r="S250" i="12" s="1"/>
  <c r="T250" i="12" s="1"/>
  <c r="U250" i="12" s="1"/>
  <c r="V250" i="12" s="1"/>
  <c r="W250" i="12" s="1"/>
  <c r="X250" i="12" s="1"/>
  <c r="Y250" i="12" s="1"/>
  <c r="Z250" i="12" s="1"/>
  <c r="AA250" i="12" s="1"/>
  <c r="AB250" i="12" s="1"/>
  <c r="AC250" i="12" s="1"/>
  <c r="AD250" i="12" s="1"/>
  <c r="AE250" i="12" s="1"/>
  <c r="AF250" i="12" s="1"/>
  <c r="B250" i="12" s="1"/>
  <c r="D249" i="12"/>
  <c r="E249" i="12" s="1"/>
  <c r="F249" i="12" s="1"/>
  <c r="G249" i="12" s="1"/>
  <c r="H249" i="12" s="1"/>
  <c r="I249" i="12" s="1"/>
  <c r="J249" i="12" s="1"/>
  <c r="K249" i="12" s="1"/>
  <c r="L249" i="12" s="1"/>
  <c r="M249" i="12" s="1"/>
  <c r="N249" i="12" s="1"/>
  <c r="O249" i="12" s="1"/>
  <c r="P249" i="12" s="1"/>
  <c r="Q249" i="12" s="1"/>
  <c r="R249" i="12" s="1"/>
  <c r="S249" i="12" s="1"/>
  <c r="T249" i="12" s="1"/>
  <c r="U249" i="12" s="1"/>
  <c r="V249" i="12" s="1"/>
  <c r="W249" i="12" s="1"/>
  <c r="X249" i="12" s="1"/>
  <c r="Y249" i="12" s="1"/>
  <c r="Z249" i="12" s="1"/>
  <c r="AA249" i="12" s="1"/>
  <c r="AB249" i="12" s="1"/>
  <c r="AC249" i="12" s="1"/>
  <c r="AD249" i="12" s="1"/>
  <c r="AE249" i="12" s="1"/>
  <c r="AF249" i="12" s="1"/>
  <c r="B249" i="12" s="1"/>
  <c r="D248" i="12"/>
  <c r="E248" i="12" s="1"/>
  <c r="F248" i="12" s="1"/>
  <c r="G248" i="12" s="1"/>
  <c r="H248" i="12" s="1"/>
  <c r="I248" i="12" s="1"/>
  <c r="J248" i="12" s="1"/>
  <c r="K248" i="12" s="1"/>
  <c r="L248" i="12" s="1"/>
  <c r="M248" i="12" s="1"/>
  <c r="N248" i="12" s="1"/>
  <c r="O248" i="12" s="1"/>
  <c r="P248" i="12" s="1"/>
  <c r="Q248" i="12" s="1"/>
  <c r="R248" i="12" s="1"/>
  <c r="S248" i="12" s="1"/>
  <c r="T248" i="12" s="1"/>
  <c r="U248" i="12" s="1"/>
  <c r="V248" i="12" s="1"/>
  <c r="W248" i="12" s="1"/>
  <c r="X248" i="12" s="1"/>
  <c r="Y248" i="12" s="1"/>
  <c r="Z248" i="12" s="1"/>
  <c r="AA248" i="12" s="1"/>
  <c r="AB248" i="12" s="1"/>
  <c r="AC248" i="12" s="1"/>
  <c r="AD248" i="12" s="1"/>
  <c r="AE248" i="12" s="1"/>
  <c r="AF248" i="12" s="1"/>
  <c r="B248" i="12" s="1"/>
  <c r="D247" i="12"/>
  <c r="E247" i="12" s="1"/>
  <c r="F247" i="12" s="1"/>
  <c r="G247" i="12" s="1"/>
  <c r="H247" i="12" s="1"/>
  <c r="I247" i="12" s="1"/>
  <c r="J247" i="12" s="1"/>
  <c r="K247" i="12" s="1"/>
  <c r="L247" i="12" s="1"/>
  <c r="M247" i="12" s="1"/>
  <c r="N247" i="12" s="1"/>
  <c r="O247" i="12" s="1"/>
  <c r="P247" i="12" s="1"/>
  <c r="Q247" i="12" s="1"/>
  <c r="R247" i="12" s="1"/>
  <c r="S247" i="12" s="1"/>
  <c r="T247" i="12" s="1"/>
  <c r="U247" i="12" s="1"/>
  <c r="V247" i="12" s="1"/>
  <c r="W247" i="12" s="1"/>
  <c r="X247" i="12" s="1"/>
  <c r="Y247" i="12" s="1"/>
  <c r="Z247" i="12" s="1"/>
  <c r="AA247" i="12" s="1"/>
  <c r="AB247" i="12" s="1"/>
  <c r="AC247" i="12" s="1"/>
  <c r="AD247" i="12" s="1"/>
  <c r="AE247" i="12" s="1"/>
  <c r="AF247" i="12" s="1"/>
  <c r="B247" i="12" s="1"/>
  <c r="D246" i="12"/>
  <c r="AG244" i="12"/>
  <c r="AF244" i="12"/>
  <c r="AE244" i="12"/>
  <c r="AD244" i="12"/>
  <c r="AC244" i="12"/>
  <c r="AB244" i="12"/>
  <c r="AA244" i="12"/>
  <c r="Z244" i="12"/>
  <c r="Y244" i="12"/>
  <c r="X244" i="12"/>
  <c r="W244" i="12"/>
  <c r="V244" i="12"/>
  <c r="U244" i="12"/>
  <c r="T244" i="12"/>
  <c r="S244" i="12"/>
  <c r="R244" i="12"/>
  <c r="Q244" i="12"/>
  <c r="P244" i="12"/>
  <c r="O244" i="12"/>
  <c r="N244" i="12"/>
  <c r="M244" i="12"/>
  <c r="L244" i="12"/>
  <c r="K244" i="12"/>
  <c r="J244" i="12"/>
  <c r="I244" i="12"/>
  <c r="H244" i="12"/>
  <c r="G244" i="12"/>
  <c r="F244" i="12"/>
  <c r="E244" i="12"/>
  <c r="D244" i="12"/>
  <c r="C244" i="12"/>
  <c r="B244" i="12"/>
  <c r="AI130" i="12"/>
  <c r="AH130" i="12"/>
  <c r="AI129" i="12"/>
  <c r="AH129" i="12"/>
  <c r="AI128" i="12"/>
  <c r="AH128" i="12"/>
  <c r="AI127" i="12"/>
  <c r="AH127" i="12"/>
  <c r="AI126" i="12"/>
  <c r="AH126" i="12"/>
  <c r="AI122" i="12"/>
  <c r="AH122" i="12"/>
  <c r="AI121" i="12"/>
  <c r="AH121" i="12"/>
  <c r="AI120" i="12"/>
  <c r="AH120" i="12"/>
  <c r="AI119" i="12"/>
  <c r="AH119" i="12"/>
  <c r="D118" i="12"/>
  <c r="AI117" i="12"/>
  <c r="AH117" i="12"/>
  <c r="AI116" i="12"/>
  <c r="AH116" i="12"/>
  <c r="AI115" i="12"/>
  <c r="AH115" i="12"/>
  <c r="AI114" i="12"/>
  <c r="AH114" i="12"/>
  <c r="AI113" i="12"/>
  <c r="AH113" i="12"/>
  <c r="AI112" i="12"/>
  <c r="AH112" i="12"/>
  <c r="AI111" i="12"/>
  <c r="AH111" i="12"/>
  <c r="AI110" i="12"/>
  <c r="AH110" i="12"/>
  <c r="AI109" i="12"/>
  <c r="AH109" i="12"/>
  <c r="AI106" i="12"/>
  <c r="AH106" i="12"/>
  <c r="AF105" i="12"/>
  <c r="AE105" i="12"/>
  <c r="AD105" i="12"/>
  <c r="AC105" i="12"/>
  <c r="AB105" i="12"/>
  <c r="R105" i="12"/>
  <c r="Q105" i="12"/>
  <c r="P105" i="12"/>
  <c r="O105" i="12"/>
  <c r="N105" i="12"/>
  <c r="M105" i="12"/>
  <c r="K105" i="12"/>
  <c r="J105" i="12"/>
  <c r="I105" i="12"/>
  <c r="H105" i="12"/>
  <c r="G105" i="12"/>
  <c r="F105" i="12"/>
  <c r="E105" i="12"/>
  <c r="D105" i="12"/>
  <c r="AF104" i="12"/>
  <c r="AE104" i="12"/>
  <c r="AD104" i="12"/>
  <c r="AC104" i="12"/>
  <c r="AB104" i="12"/>
  <c r="R104" i="12"/>
  <c r="Q104" i="12"/>
  <c r="P104" i="12"/>
  <c r="O104" i="12"/>
  <c r="N104" i="12"/>
  <c r="M104" i="12"/>
  <c r="K104" i="12"/>
  <c r="J104" i="12"/>
  <c r="I104" i="12"/>
  <c r="H104" i="12"/>
  <c r="G104" i="12"/>
  <c r="F104" i="12"/>
  <c r="E104" i="12"/>
  <c r="D104" i="12"/>
  <c r="AF103" i="12"/>
  <c r="AE103" i="12"/>
  <c r="AD103" i="12"/>
  <c r="AC103" i="12"/>
  <c r="AB103" i="12"/>
  <c r="R103" i="12"/>
  <c r="Q103" i="12"/>
  <c r="P103" i="12"/>
  <c r="O103" i="12"/>
  <c r="N103" i="12"/>
  <c r="M103" i="12"/>
  <c r="K103" i="12"/>
  <c r="J103" i="12"/>
  <c r="I103" i="12"/>
  <c r="H103" i="12"/>
  <c r="G103" i="12"/>
  <c r="F103" i="12"/>
  <c r="E103" i="12"/>
  <c r="D103" i="12"/>
  <c r="AF102" i="12"/>
  <c r="AE102" i="12"/>
  <c r="AD102" i="12"/>
  <c r="AC102" i="12"/>
  <c r="AB102" i="12"/>
  <c r="R102" i="12"/>
  <c r="Q102" i="12"/>
  <c r="P102" i="12"/>
  <c r="O102" i="12"/>
  <c r="N102" i="12"/>
  <c r="M102" i="12"/>
  <c r="K102" i="12"/>
  <c r="J102" i="12"/>
  <c r="I102" i="12"/>
  <c r="H102" i="12"/>
  <c r="G102" i="12"/>
  <c r="F102" i="12"/>
  <c r="E102" i="12"/>
  <c r="D102" i="12"/>
  <c r="AF101" i="12"/>
  <c r="AE101" i="12"/>
  <c r="AD101" i="12"/>
  <c r="AC101" i="12"/>
  <c r="AB101" i="12"/>
  <c r="R101" i="12"/>
  <c r="Q101" i="12"/>
  <c r="P101" i="12"/>
  <c r="O101" i="12"/>
  <c r="O107" i="12" s="1"/>
  <c r="AW23" i="12" s="1"/>
  <c r="N101" i="12"/>
  <c r="M101" i="12"/>
  <c r="K101" i="12"/>
  <c r="J101" i="12"/>
  <c r="I101" i="12"/>
  <c r="H101" i="12"/>
  <c r="G101" i="12"/>
  <c r="F101" i="12"/>
  <c r="E101" i="12"/>
  <c r="D101" i="12"/>
  <c r="AI98" i="12"/>
  <c r="AH98" i="12"/>
  <c r="AI96" i="12"/>
  <c r="AH96" i="12"/>
  <c r="AG96" i="12"/>
  <c r="AI95" i="12"/>
  <c r="AH95" i="12"/>
  <c r="AI94" i="12"/>
  <c r="AH94" i="12"/>
  <c r="AI93" i="12"/>
  <c r="AH93" i="12"/>
  <c r="AG92" i="12"/>
  <c r="AF92" i="12"/>
  <c r="AE92" i="12"/>
  <c r="AD92" i="12"/>
  <c r="AC5" i="12" s="1"/>
  <c r="AC92" i="12"/>
  <c r="AB5" i="12" s="1"/>
  <c r="AB92" i="12"/>
  <c r="AA5" i="12" s="1"/>
  <c r="S5" i="12"/>
  <c r="R92" i="12"/>
  <c r="Q5" i="12" s="1"/>
  <c r="Q92" i="12"/>
  <c r="P5" i="12" s="1"/>
  <c r="P92" i="12"/>
  <c r="AX19" i="12" s="1"/>
  <c r="O92" i="12"/>
  <c r="N92" i="12"/>
  <c r="AV19" i="12" s="1"/>
  <c r="M92" i="12"/>
  <c r="AU19" i="12" s="1"/>
  <c r="K92" i="12"/>
  <c r="J5" i="12" s="1"/>
  <c r="J92" i="12"/>
  <c r="I5" i="12" s="1"/>
  <c r="I92" i="12"/>
  <c r="AS19" i="12" s="1"/>
  <c r="H92" i="12"/>
  <c r="G5" i="12" s="1"/>
  <c r="G92" i="12"/>
  <c r="F5" i="12" s="1"/>
  <c r="F92" i="12"/>
  <c r="E5" i="12" s="1"/>
  <c r="E92" i="12"/>
  <c r="AP19" i="12" s="1"/>
  <c r="D92" i="12"/>
  <c r="AI91" i="12"/>
  <c r="AH91" i="12"/>
  <c r="AI90" i="12"/>
  <c r="AH90" i="12"/>
  <c r="AI89" i="12"/>
  <c r="AH89" i="12"/>
  <c r="AI88" i="12"/>
  <c r="AH88" i="12"/>
  <c r="AI87" i="12"/>
  <c r="AH87" i="12"/>
  <c r="AI86" i="12"/>
  <c r="AH86" i="12"/>
  <c r="AI85" i="12"/>
  <c r="AH85" i="12"/>
  <c r="AI84" i="12"/>
  <c r="AH84" i="12"/>
  <c r="AI83" i="12"/>
  <c r="AH83" i="12"/>
  <c r="AI82" i="12"/>
  <c r="AH82" i="12"/>
  <c r="AI81" i="12"/>
  <c r="AH81" i="12"/>
  <c r="AG80" i="12"/>
  <c r="AF80" i="12"/>
  <c r="AE80" i="12"/>
  <c r="AD80" i="12"/>
  <c r="AC80" i="12"/>
  <c r="AB80" i="12"/>
  <c r="R80" i="12"/>
  <c r="Q80" i="12"/>
  <c r="P80" i="12"/>
  <c r="AX20" i="12" s="1"/>
  <c r="O80" i="12"/>
  <c r="AW20" i="12" s="1"/>
  <c r="N80" i="12"/>
  <c r="M80" i="12"/>
  <c r="AU20" i="12" s="1"/>
  <c r="K80" i="12"/>
  <c r="J80" i="12"/>
  <c r="I80" i="12"/>
  <c r="H80" i="12"/>
  <c r="G80" i="12"/>
  <c r="F80" i="12"/>
  <c r="E80" i="12"/>
  <c r="AP20" i="12" s="1"/>
  <c r="D80" i="12"/>
  <c r="AO20" i="12" s="1"/>
  <c r="AI79" i="12"/>
  <c r="AH79" i="12"/>
  <c r="AI78" i="12"/>
  <c r="AH78" i="12"/>
  <c r="AI77" i="12"/>
  <c r="AH77" i="12"/>
  <c r="BD76" i="12"/>
  <c r="AF76" i="12"/>
  <c r="AE76" i="12"/>
  <c r="AD76" i="12"/>
  <c r="AC76" i="12"/>
  <c r="AB76" i="12"/>
  <c r="R76" i="12"/>
  <c r="Q76" i="12"/>
  <c r="P76" i="12"/>
  <c r="AX18" i="12" s="1"/>
  <c r="O76" i="12"/>
  <c r="AW18" i="12" s="1"/>
  <c r="N76" i="12"/>
  <c r="AV18" i="12" s="1"/>
  <c r="M76" i="12"/>
  <c r="AU18" i="12" s="1"/>
  <c r="K76" i="12"/>
  <c r="AT18" i="12" s="1"/>
  <c r="J76" i="12"/>
  <c r="I76" i="12"/>
  <c r="H76" i="12"/>
  <c r="G76" i="12"/>
  <c r="AR18" i="12" s="1"/>
  <c r="F76" i="12"/>
  <c r="AQ18" i="12" s="1"/>
  <c r="E76" i="12"/>
  <c r="AP18" i="12" s="1"/>
  <c r="D76" i="12"/>
  <c r="BF75" i="12"/>
  <c r="AI75" i="12"/>
  <c r="AH75" i="12"/>
  <c r="AG75" i="12"/>
  <c r="AG76" i="12" s="1"/>
  <c r="AI74" i="12"/>
  <c r="AH74" i="12"/>
  <c r="BW73" i="12"/>
  <c r="BW80" i="12" s="1"/>
  <c r="BV73" i="12"/>
  <c r="BV80" i="12" s="1"/>
  <c r="BU73" i="12"/>
  <c r="BU80" i="12" s="1"/>
  <c r="BT73" i="12"/>
  <c r="BT80" i="12" s="1"/>
  <c r="BS73" i="12"/>
  <c r="BS80" i="12" s="1"/>
  <c r="BR73" i="12"/>
  <c r="BR80" i="12" s="1"/>
  <c r="BQ73" i="12"/>
  <c r="BQ80" i="12" s="1"/>
  <c r="BP73" i="12"/>
  <c r="BP80" i="12" s="1"/>
  <c r="BO73" i="12"/>
  <c r="BO80" i="12" s="1"/>
  <c r="BN73" i="12"/>
  <c r="BN80" i="12" s="1"/>
  <c r="BM73" i="12"/>
  <c r="BM80" i="12" s="1"/>
  <c r="BL73" i="12"/>
  <c r="BL80" i="12" s="1"/>
  <c r="BK73" i="12"/>
  <c r="BK80" i="12" s="1"/>
  <c r="BJ73" i="12"/>
  <c r="BJ80" i="12" s="1"/>
  <c r="BI73" i="12"/>
  <c r="BI80" i="12" s="1"/>
  <c r="BH73" i="12"/>
  <c r="BH80" i="12" s="1"/>
  <c r="BG73" i="12"/>
  <c r="BG80" i="12" s="1"/>
  <c r="BF73" i="12"/>
  <c r="BF80" i="12" s="1"/>
  <c r="BE73" i="12"/>
  <c r="BE80" i="12" s="1"/>
  <c r="BD73" i="12"/>
  <c r="BD80" i="12" s="1"/>
  <c r="BC73" i="12"/>
  <c r="BC80" i="12" s="1"/>
  <c r="BB73" i="12"/>
  <c r="BB80" i="12" s="1"/>
  <c r="BA73" i="12"/>
  <c r="BA80" i="12" s="1"/>
  <c r="AZ73" i="12"/>
  <c r="AZ80" i="12" s="1"/>
  <c r="AI73" i="12"/>
  <c r="AH73" i="12"/>
  <c r="BW72" i="12"/>
  <c r="BW79" i="12" s="1"/>
  <c r="BV72" i="12"/>
  <c r="BV79" i="12" s="1"/>
  <c r="BU72" i="12"/>
  <c r="BU79" i="12" s="1"/>
  <c r="BT72" i="12"/>
  <c r="BT79" i="12" s="1"/>
  <c r="BS72" i="12"/>
  <c r="BS79" i="12" s="1"/>
  <c r="BR72" i="12"/>
  <c r="BR79" i="12" s="1"/>
  <c r="BQ72" i="12"/>
  <c r="BQ79" i="12" s="1"/>
  <c r="BP72" i="12"/>
  <c r="BP79" i="12" s="1"/>
  <c r="BO72" i="12"/>
  <c r="BO79" i="12" s="1"/>
  <c r="BN72" i="12"/>
  <c r="BN79" i="12" s="1"/>
  <c r="BM72" i="12"/>
  <c r="BM79" i="12" s="1"/>
  <c r="BL72" i="12"/>
  <c r="BL79" i="12" s="1"/>
  <c r="BK72" i="12"/>
  <c r="BK79" i="12" s="1"/>
  <c r="BJ72" i="12"/>
  <c r="BJ79" i="12" s="1"/>
  <c r="BI72" i="12"/>
  <c r="BI79" i="12" s="1"/>
  <c r="BH72" i="12"/>
  <c r="BH79" i="12" s="1"/>
  <c r="BG72" i="12"/>
  <c r="BG79" i="12" s="1"/>
  <c r="BF72" i="12"/>
  <c r="BF79" i="12" s="1"/>
  <c r="BE72" i="12"/>
  <c r="BE79" i="12" s="1"/>
  <c r="BD72" i="12"/>
  <c r="BD79" i="12" s="1"/>
  <c r="BC72" i="12"/>
  <c r="BC79" i="12" s="1"/>
  <c r="BB72" i="12"/>
  <c r="BB79" i="12" s="1"/>
  <c r="BA72" i="12"/>
  <c r="BA79" i="12" s="1"/>
  <c r="AZ72" i="12"/>
  <c r="AZ79" i="12" s="1"/>
  <c r="AI72" i="12"/>
  <c r="AH72" i="12"/>
  <c r="BW71" i="12"/>
  <c r="BW78" i="12" s="1"/>
  <c r="BV71" i="12"/>
  <c r="BV78" i="12" s="1"/>
  <c r="BU71" i="12"/>
  <c r="BU78" i="12" s="1"/>
  <c r="BT71" i="12"/>
  <c r="BT78" i="12" s="1"/>
  <c r="BS71" i="12"/>
  <c r="BS78" i="12" s="1"/>
  <c r="BR71" i="12"/>
  <c r="BR78" i="12" s="1"/>
  <c r="BQ71" i="12"/>
  <c r="BQ78" i="12" s="1"/>
  <c r="BP71" i="12"/>
  <c r="BP78" i="12" s="1"/>
  <c r="BO71" i="12"/>
  <c r="BO78" i="12" s="1"/>
  <c r="BN71" i="12"/>
  <c r="BN78" i="12" s="1"/>
  <c r="BM71" i="12"/>
  <c r="BM78" i="12" s="1"/>
  <c r="BL71" i="12"/>
  <c r="BL78" i="12" s="1"/>
  <c r="BK71" i="12"/>
  <c r="BK78" i="12" s="1"/>
  <c r="BJ71" i="12"/>
  <c r="BJ78" i="12" s="1"/>
  <c r="BI71" i="12"/>
  <c r="BI78" i="12" s="1"/>
  <c r="BH71" i="12"/>
  <c r="BH78" i="12" s="1"/>
  <c r="BG71" i="12"/>
  <c r="BG78" i="12" s="1"/>
  <c r="BF71" i="12"/>
  <c r="BF78" i="12" s="1"/>
  <c r="BE71" i="12"/>
  <c r="BE78" i="12" s="1"/>
  <c r="BD71" i="12"/>
  <c r="BD78" i="12" s="1"/>
  <c r="BC71" i="12"/>
  <c r="BC78" i="12" s="1"/>
  <c r="BB71" i="12"/>
  <c r="BB78" i="12" s="1"/>
  <c r="BA71" i="12"/>
  <c r="BA78" i="12" s="1"/>
  <c r="AZ71" i="12"/>
  <c r="AZ78" i="12" s="1"/>
  <c r="AI71" i="12"/>
  <c r="AH71" i="12"/>
  <c r="BW70" i="12"/>
  <c r="BW77" i="12" s="1"/>
  <c r="BV70" i="12"/>
  <c r="BV77" i="12" s="1"/>
  <c r="BU70" i="12"/>
  <c r="BU77" i="12" s="1"/>
  <c r="BT70" i="12"/>
  <c r="BT77" i="12" s="1"/>
  <c r="BS70" i="12"/>
  <c r="BS77" i="12" s="1"/>
  <c r="BR70" i="12"/>
  <c r="BR77" i="12" s="1"/>
  <c r="BQ70" i="12"/>
  <c r="BQ77" i="12" s="1"/>
  <c r="BP70" i="12"/>
  <c r="BP77" i="12" s="1"/>
  <c r="BO70" i="12"/>
  <c r="BO77" i="12" s="1"/>
  <c r="BN70" i="12"/>
  <c r="BN77" i="12" s="1"/>
  <c r="BM70" i="12"/>
  <c r="BM77" i="12" s="1"/>
  <c r="BL70" i="12"/>
  <c r="BL77" i="12" s="1"/>
  <c r="BK70" i="12"/>
  <c r="BK77" i="12" s="1"/>
  <c r="BJ70" i="12"/>
  <c r="BJ77" i="12" s="1"/>
  <c r="BI70" i="12"/>
  <c r="BI77" i="12" s="1"/>
  <c r="BH70" i="12"/>
  <c r="BH77" i="12" s="1"/>
  <c r="BG70" i="12"/>
  <c r="BG77" i="12" s="1"/>
  <c r="BF70" i="12"/>
  <c r="BF77" i="12" s="1"/>
  <c r="BE70" i="12"/>
  <c r="BE77" i="12" s="1"/>
  <c r="BD70" i="12"/>
  <c r="BD77" i="12" s="1"/>
  <c r="BC70" i="12"/>
  <c r="BC77" i="12" s="1"/>
  <c r="BB70" i="12"/>
  <c r="BB77" i="12" s="1"/>
  <c r="BA70" i="12"/>
  <c r="BA77" i="12" s="1"/>
  <c r="AZ70" i="12"/>
  <c r="AZ77" i="12" s="1"/>
  <c r="AI70" i="12"/>
  <c r="AH70" i="12"/>
  <c r="BW69" i="12"/>
  <c r="BW76" i="12" s="1"/>
  <c r="BV69" i="12"/>
  <c r="BV76" i="12" s="1"/>
  <c r="BU69" i="12"/>
  <c r="BU76" i="12" s="1"/>
  <c r="BT69" i="12"/>
  <c r="BT76" i="12" s="1"/>
  <c r="BS69" i="12"/>
  <c r="BS76" i="12" s="1"/>
  <c r="BR69" i="12"/>
  <c r="BR76" i="12" s="1"/>
  <c r="BQ69" i="12"/>
  <c r="BQ76" i="12" s="1"/>
  <c r="BP69" i="12"/>
  <c r="BP76" i="12" s="1"/>
  <c r="BO69" i="12"/>
  <c r="BO76" i="12" s="1"/>
  <c r="BN69" i="12"/>
  <c r="BN76" i="12" s="1"/>
  <c r="BM69" i="12"/>
  <c r="BM76" i="12" s="1"/>
  <c r="BL69" i="12"/>
  <c r="BL76" i="12" s="1"/>
  <c r="BK69" i="12"/>
  <c r="BK76" i="12" s="1"/>
  <c r="BJ69" i="12"/>
  <c r="BJ76" i="12" s="1"/>
  <c r="BI69" i="12"/>
  <c r="BI76" i="12" s="1"/>
  <c r="BH69" i="12"/>
  <c r="BH76" i="12" s="1"/>
  <c r="BG69" i="12"/>
  <c r="BG76" i="12" s="1"/>
  <c r="BF69" i="12"/>
  <c r="BF76" i="12" s="1"/>
  <c r="BE69" i="12"/>
  <c r="BE76" i="12" s="1"/>
  <c r="BD69" i="12"/>
  <c r="BC69" i="12"/>
  <c r="BC76" i="12" s="1"/>
  <c r="BB69" i="12"/>
  <c r="BB76" i="12" s="1"/>
  <c r="BA69" i="12"/>
  <c r="BA76" i="12" s="1"/>
  <c r="AZ69" i="12"/>
  <c r="AZ76" i="12" s="1"/>
  <c r="AI69" i="12"/>
  <c r="AH69" i="12"/>
  <c r="BW68" i="12"/>
  <c r="BW75" i="12" s="1"/>
  <c r="BV68" i="12"/>
  <c r="BV75" i="12" s="1"/>
  <c r="BU68" i="12"/>
  <c r="BU75" i="12" s="1"/>
  <c r="BT68" i="12"/>
  <c r="BT75" i="12" s="1"/>
  <c r="BS68" i="12"/>
  <c r="BS75" i="12" s="1"/>
  <c r="BR68" i="12"/>
  <c r="BR75" i="12" s="1"/>
  <c r="BQ68" i="12"/>
  <c r="BQ75" i="12" s="1"/>
  <c r="BP68" i="12"/>
  <c r="BP75" i="12" s="1"/>
  <c r="BO68" i="12"/>
  <c r="BO75" i="12" s="1"/>
  <c r="BN68" i="12"/>
  <c r="BN75" i="12" s="1"/>
  <c r="BM68" i="12"/>
  <c r="BM75" i="12" s="1"/>
  <c r="BL68" i="12"/>
  <c r="BL75" i="12" s="1"/>
  <c r="BK68" i="12"/>
  <c r="BK75" i="12" s="1"/>
  <c r="BJ68" i="12"/>
  <c r="BJ75" i="12" s="1"/>
  <c r="BI68" i="12"/>
  <c r="BI75" i="12" s="1"/>
  <c r="BH68" i="12"/>
  <c r="BH75" i="12" s="1"/>
  <c r="BG68" i="12"/>
  <c r="BG75" i="12" s="1"/>
  <c r="BF68" i="12"/>
  <c r="BE68" i="12"/>
  <c r="BE75" i="12" s="1"/>
  <c r="BD68" i="12"/>
  <c r="BD75" i="12" s="1"/>
  <c r="BC68" i="12"/>
  <c r="BC75" i="12" s="1"/>
  <c r="BB68" i="12"/>
  <c r="BB75" i="12" s="1"/>
  <c r="BA68" i="12"/>
  <c r="BA75" i="12" s="1"/>
  <c r="AZ68" i="12"/>
  <c r="AI68" i="12"/>
  <c r="AH68" i="12"/>
  <c r="AI67" i="12"/>
  <c r="AH67" i="12"/>
  <c r="AI66" i="12"/>
  <c r="AH66" i="12"/>
  <c r="AI65" i="12"/>
  <c r="AH65" i="12"/>
  <c r="AI64" i="12"/>
  <c r="AH64" i="12"/>
  <c r="AI63" i="12"/>
  <c r="AH63" i="12"/>
  <c r="AG62" i="12"/>
  <c r="AF62" i="12"/>
  <c r="AE62" i="12"/>
  <c r="AD62" i="12"/>
  <c r="AC62" i="12"/>
  <c r="AB62" i="12"/>
  <c r="R62" i="12"/>
  <c r="P62" i="12"/>
  <c r="AX17" i="12" s="1"/>
  <c r="O62" i="12"/>
  <c r="AW17" i="12" s="1"/>
  <c r="N62" i="12"/>
  <c r="AV17" i="12" s="1"/>
  <c r="M62" i="12"/>
  <c r="AU17" i="12" s="1"/>
  <c r="K62" i="12"/>
  <c r="AT17" i="12" s="1"/>
  <c r="J62" i="12"/>
  <c r="I62" i="12"/>
  <c r="AS17" i="12" s="1"/>
  <c r="H62" i="12"/>
  <c r="G62" i="12"/>
  <c r="AR17" i="12" s="1"/>
  <c r="F62" i="12"/>
  <c r="AQ17" i="12" s="1"/>
  <c r="E62" i="12"/>
  <c r="AP17" i="12" s="1"/>
  <c r="D62" i="12"/>
  <c r="AO17" i="12" s="1"/>
  <c r="AI61" i="12"/>
  <c r="AH61" i="12"/>
  <c r="AI60" i="12"/>
  <c r="AH60" i="12"/>
  <c r="AI59" i="12"/>
  <c r="AH59" i="12"/>
  <c r="AG58" i="12"/>
  <c r="AF58" i="12"/>
  <c r="AE58" i="12"/>
  <c r="AD58" i="12"/>
  <c r="AC58" i="12"/>
  <c r="AB58" i="12"/>
  <c r="T7" i="12"/>
  <c r="R58" i="12"/>
  <c r="P58" i="12"/>
  <c r="AX16" i="12" s="1"/>
  <c r="O58" i="12"/>
  <c r="AW16" i="12" s="1"/>
  <c r="N58" i="12"/>
  <c r="M58" i="12"/>
  <c r="L7" i="12"/>
  <c r="K58" i="12"/>
  <c r="AT16" i="12" s="1"/>
  <c r="J58" i="12"/>
  <c r="I58" i="12"/>
  <c r="H58" i="12"/>
  <c r="G58" i="12"/>
  <c r="AR16" i="12" s="1"/>
  <c r="F58" i="12"/>
  <c r="E58" i="12"/>
  <c r="AP16" i="12" s="1"/>
  <c r="D58" i="12"/>
  <c r="AI57" i="12"/>
  <c r="AH57" i="12"/>
  <c r="AI56" i="12"/>
  <c r="AH56" i="12"/>
  <c r="AI55" i="12"/>
  <c r="AH55" i="12"/>
  <c r="AI54" i="12"/>
  <c r="AH54" i="12"/>
  <c r="AI53" i="12"/>
  <c r="AH53" i="12"/>
  <c r="AI52" i="12"/>
  <c r="AH52" i="12"/>
  <c r="AI51" i="12"/>
  <c r="AH51" i="12"/>
  <c r="AI50" i="12"/>
  <c r="AH50" i="12"/>
  <c r="AI49" i="12"/>
  <c r="AH49" i="12"/>
  <c r="AI48" i="12"/>
  <c r="AH48" i="12"/>
  <c r="AI47" i="12"/>
  <c r="AH47" i="12"/>
  <c r="AI46" i="12"/>
  <c r="AH46" i="12"/>
  <c r="AI45" i="12"/>
  <c r="AH45" i="12"/>
  <c r="AI44" i="12"/>
  <c r="AH44" i="12"/>
  <c r="AI43" i="12"/>
  <c r="AH43" i="12"/>
  <c r="AI42" i="12"/>
  <c r="AH42" i="12"/>
  <c r="AI41" i="12"/>
  <c r="AH41" i="12"/>
  <c r="AI40" i="12"/>
  <c r="AH40" i="12"/>
  <c r="AI39" i="12"/>
  <c r="AH39" i="12"/>
  <c r="AI38" i="12"/>
  <c r="AH38" i="12"/>
  <c r="AI37" i="12"/>
  <c r="AH37" i="12"/>
  <c r="AI36" i="12"/>
  <c r="AH36" i="12"/>
  <c r="AI35" i="12"/>
  <c r="AH35" i="12"/>
  <c r="AI34" i="12"/>
  <c r="AH34" i="12"/>
  <c r="AI33" i="12"/>
  <c r="AH33" i="12"/>
  <c r="AI32" i="12"/>
  <c r="AH32" i="12"/>
  <c r="AI31" i="12"/>
  <c r="AH31" i="12"/>
  <c r="AI30" i="12"/>
  <c r="AH30" i="12"/>
  <c r="AI29" i="12"/>
  <c r="AH29" i="12"/>
  <c r="AI28" i="12"/>
  <c r="AH28" i="12"/>
  <c r="AI27" i="12"/>
  <c r="AH27" i="12"/>
  <c r="AI26" i="12"/>
  <c r="AH26" i="12"/>
  <c r="AI25" i="12"/>
  <c r="AH25" i="12"/>
  <c r="AI24" i="12"/>
  <c r="AH24" i="12"/>
  <c r="AI23" i="12"/>
  <c r="AH23" i="12"/>
  <c r="AI22" i="12"/>
  <c r="AH22" i="12"/>
  <c r="AX21" i="12"/>
  <c r="AW21" i="12"/>
  <c r="AV21" i="12"/>
  <c r="AU21" i="12"/>
  <c r="AT21" i="12"/>
  <c r="AS21" i="12"/>
  <c r="AR21" i="12"/>
  <c r="AQ21" i="12"/>
  <c r="AP21" i="12"/>
  <c r="AO21" i="12"/>
  <c r="AN21" i="12"/>
  <c r="AM21" i="12"/>
  <c r="AI21" i="12"/>
  <c r="AH21" i="12"/>
  <c r="AV20" i="12"/>
  <c r="AT20" i="12"/>
  <c r="AS20" i="12"/>
  <c r="AR20" i="12"/>
  <c r="AQ20" i="12"/>
  <c r="AN20" i="12"/>
  <c r="AM20" i="12"/>
  <c r="AI20" i="12"/>
  <c r="AH20" i="12"/>
  <c r="AI19" i="12"/>
  <c r="AH19" i="12"/>
  <c r="AS18" i="12"/>
  <c r="AO18" i="12"/>
  <c r="AI18" i="12"/>
  <c r="AH18" i="12"/>
  <c r="AI17" i="12"/>
  <c r="AH17" i="12"/>
  <c r="AV16" i="12"/>
  <c r="AI16" i="12"/>
  <c r="AH16" i="12"/>
  <c r="AI15" i="12"/>
  <c r="AH15" i="12"/>
  <c r="AI14" i="12"/>
  <c r="AH14" i="12"/>
  <c r="AI13" i="12"/>
  <c r="AH13" i="12"/>
  <c r="AL12" i="12"/>
  <c r="AI12" i="12"/>
  <c r="AH12" i="12"/>
  <c r="AI11" i="12"/>
  <c r="AH11" i="12"/>
  <c r="AF5" i="12"/>
  <c r="Z5" i="12"/>
  <c r="Y5" i="12"/>
  <c r="X5" i="12"/>
  <c r="W5" i="12"/>
  <c r="U5" i="12"/>
  <c r="T5" i="12"/>
  <c r="R5" i="12"/>
  <c r="B5" i="12"/>
  <c r="AG4" i="12"/>
  <c r="K4" i="12"/>
  <c r="E4" i="12"/>
  <c r="H4" i="12" s="1"/>
  <c r="B4" i="12"/>
  <c r="D258" i="12" s="1"/>
  <c r="AG3" i="12"/>
  <c r="AG2" i="12"/>
  <c r="AE5" i="12" l="1"/>
  <c r="AE107" i="12"/>
  <c r="AE108" i="12" s="1"/>
  <c r="AH123" i="12"/>
  <c r="AC107" i="12"/>
  <c r="AC108" i="12" s="1"/>
  <c r="M107" i="12"/>
  <c r="AU23" i="12" s="1"/>
  <c r="AD107" i="12"/>
  <c r="AD108" i="12" s="1"/>
  <c r="AF107" i="12"/>
  <c r="AF108" i="12" s="1"/>
  <c r="AG6" i="12"/>
  <c r="AG99" i="12"/>
  <c r="O108" i="12"/>
  <c r="D252" i="12"/>
  <c r="AC97" i="12"/>
  <c r="AC99" i="12" s="1"/>
  <c r="AC100" i="12" s="1"/>
  <c r="AC7" i="12" s="1"/>
  <c r="AB107" i="12"/>
  <c r="AB108" i="12"/>
  <c r="AB97" i="12"/>
  <c r="AB99" i="12" s="1"/>
  <c r="AB100" i="12" s="1"/>
  <c r="AB7" i="12" s="1"/>
  <c r="R97" i="12"/>
  <c r="R99" i="12" s="1"/>
  <c r="P107" i="12"/>
  <c r="AX23" i="12" s="1"/>
  <c r="O5" i="12"/>
  <c r="AX22" i="12"/>
  <c r="N107" i="12"/>
  <c r="AV23" i="12" s="1"/>
  <c r="M5" i="12"/>
  <c r="AI105" i="12"/>
  <c r="N108" i="12"/>
  <c r="N97" i="12"/>
  <c r="N99" i="12" s="1"/>
  <c r="N100" i="12" s="1"/>
  <c r="N7" i="12" s="1"/>
  <c r="M108" i="12"/>
  <c r="L5" i="12"/>
  <c r="AT19" i="12"/>
  <c r="AT22" i="12" s="1"/>
  <c r="AT24" i="12" s="1"/>
  <c r="J97" i="12"/>
  <c r="J99" i="12" s="1"/>
  <c r="H5" i="12"/>
  <c r="AI104" i="12"/>
  <c r="H107" i="12"/>
  <c r="H108" i="12" s="1"/>
  <c r="G107" i="12"/>
  <c r="AR23" i="12" s="1"/>
  <c r="AR19" i="12"/>
  <c r="AR22" i="12" s="1"/>
  <c r="AR24" i="12" s="1"/>
  <c r="F107" i="12"/>
  <c r="AQ23" i="12" s="1"/>
  <c r="E107" i="12"/>
  <c r="E108" i="12" s="1"/>
  <c r="D107" i="12"/>
  <c r="AO23" i="12" s="1"/>
  <c r="D5" i="12"/>
  <c r="AH104" i="12"/>
  <c r="AI103" i="12"/>
  <c r="AH80" i="12"/>
  <c r="AN19" i="12"/>
  <c r="C97" i="12"/>
  <c r="C99" i="12" s="1"/>
  <c r="C100" i="12" s="1"/>
  <c r="AN16" i="12"/>
  <c r="AI58" i="12"/>
  <c r="AM19" i="12"/>
  <c r="B97" i="12"/>
  <c r="B99" i="12" s="1"/>
  <c r="B100" i="12" s="1"/>
  <c r="AI62" i="12"/>
  <c r="AM22" i="12"/>
  <c r="AP22" i="12"/>
  <c r="BG84" i="12" a="1"/>
  <c r="AO19" i="12"/>
  <c r="E97" i="12"/>
  <c r="E99" i="12" s="1"/>
  <c r="AO16" i="12"/>
  <c r="K97" i="12"/>
  <c r="K99" i="12" s="1"/>
  <c r="AN17" i="12"/>
  <c r="AQ19" i="12"/>
  <c r="AP23" i="12"/>
  <c r="U7" i="12"/>
  <c r="D97" i="12"/>
  <c r="D99" i="12" s="1"/>
  <c r="D100" i="12" s="1"/>
  <c r="D7" i="12" s="1"/>
  <c r="AN22" i="12"/>
  <c r="K5" i="12"/>
  <c r="AH62" i="12"/>
  <c r="M97" i="12"/>
  <c r="M99" i="12" s="1"/>
  <c r="M100" i="12" s="1"/>
  <c r="M7" i="12" s="1"/>
  <c r="F97" i="12"/>
  <c r="F99" i="12" s="1"/>
  <c r="F100" i="12" s="1"/>
  <c r="F7" i="12" s="1"/>
  <c r="AQ16" i="12"/>
  <c r="AU16" i="12"/>
  <c r="AU22" i="12" s="1"/>
  <c r="AU24" i="12" s="1"/>
  <c r="AL13" i="12"/>
  <c r="C5" i="12"/>
  <c r="AV22" i="12"/>
  <c r="V7" i="12"/>
  <c r="N5" i="12"/>
  <c r="V5" i="12"/>
  <c r="AD5" i="12"/>
  <c r="G97" i="12"/>
  <c r="G99" i="12" s="1"/>
  <c r="O97" i="12"/>
  <c r="O99" i="12" s="1"/>
  <c r="O100" i="12" s="1"/>
  <c r="O7" i="12" s="1"/>
  <c r="W7" i="12"/>
  <c r="AE97" i="12"/>
  <c r="AE99" i="12" s="1"/>
  <c r="AE100" i="12" s="1"/>
  <c r="AE7" i="12" s="1"/>
  <c r="AZ75" i="12"/>
  <c r="AI76" i="12"/>
  <c r="AH76" i="12"/>
  <c r="AH103" i="12"/>
  <c r="AH105" i="12"/>
  <c r="I107" i="12"/>
  <c r="AS23" i="12" s="1"/>
  <c r="Q107" i="12"/>
  <c r="Q108" i="12" s="1"/>
  <c r="AI102" i="12"/>
  <c r="X7" i="12"/>
  <c r="I97" i="12"/>
  <c r="I99" i="12" s="1"/>
  <c r="Q97" i="12"/>
  <c r="Q99" i="12" s="1"/>
  <c r="Y7" i="12"/>
  <c r="AG97" i="12"/>
  <c r="AI101" i="12"/>
  <c r="J107" i="12"/>
  <c r="J108" i="12" s="1"/>
  <c r="R107" i="12"/>
  <c r="R108" i="12" s="1"/>
  <c r="AN23" i="12"/>
  <c r="AH102" i="12"/>
  <c r="K107" i="12"/>
  <c r="AT23" i="12" s="1"/>
  <c r="AA7" i="12"/>
  <c r="AD97" i="12"/>
  <c r="AD99" i="12" s="1"/>
  <c r="AD100" i="12" s="1"/>
  <c r="AD7" i="12" s="1"/>
  <c r="AW19" i="12"/>
  <c r="AW22" i="12" s="1"/>
  <c r="AW24" i="12" s="1"/>
  <c r="H97" i="12"/>
  <c r="H99" i="12" s="1"/>
  <c r="P97" i="12"/>
  <c r="P99" i="12" s="1"/>
  <c r="AF97" i="12"/>
  <c r="AF99" i="12" s="1"/>
  <c r="AS16" i="12"/>
  <c r="AS22" i="12" s="1"/>
  <c r="Z7" i="12"/>
  <c r="AH58" i="12"/>
  <c r="AI80" i="12"/>
  <c r="AH92" i="12"/>
  <c r="AI92" i="12"/>
  <c r="AH101" i="12"/>
  <c r="E246" i="12"/>
  <c r="AF58" i="11"/>
  <c r="AF62" i="11"/>
  <c r="AF76" i="11"/>
  <c r="AF80" i="11"/>
  <c r="AF92" i="11"/>
  <c r="AF108" i="11" s="1"/>
  <c r="AF101" i="11"/>
  <c r="AF102" i="11"/>
  <c r="AF103" i="11"/>
  <c r="AF104" i="11"/>
  <c r="AF105" i="11"/>
  <c r="AF118" i="11"/>
  <c r="AE58" i="11"/>
  <c r="AE62" i="11"/>
  <c r="AE76" i="11"/>
  <c r="AE80" i="11"/>
  <c r="AE92" i="11"/>
  <c r="AE101" i="11"/>
  <c r="AE102" i="11"/>
  <c r="AE103" i="11"/>
  <c r="AE104" i="11"/>
  <c r="AE105" i="11"/>
  <c r="AE118" i="11"/>
  <c r="AF100" i="12" l="1"/>
  <c r="AF7" i="12" s="1"/>
  <c r="P100" i="12"/>
  <c r="P7" i="12" s="1"/>
  <c r="P108" i="12"/>
  <c r="H100" i="12"/>
  <c r="H7" i="12" s="1"/>
  <c r="E100" i="12"/>
  <c r="E7" i="12" s="1"/>
  <c r="G108" i="12"/>
  <c r="AV24" i="12"/>
  <c r="F108" i="12"/>
  <c r="R100" i="12"/>
  <c r="R7" i="12" s="1"/>
  <c r="AX24" i="12"/>
  <c r="J100" i="12"/>
  <c r="J7" i="12" s="1"/>
  <c r="D108" i="12"/>
  <c r="AH97" i="12"/>
  <c r="BJ107" i="12"/>
  <c r="BH106" i="12"/>
  <c r="BL104" i="12"/>
  <c r="BJ103" i="12"/>
  <c r="BH102" i="12"/>
  <c r="BL100" i="12"/>
  <c r="BJ99" i="12"/>
  <c r="BH98" i="12"/>
  <c r="BL96" i="12"/>
  <c r="BJ95" i="12"/>
  <c r="BH94" i="12"/>
  <c r="BL92" i="12"/>
  <c r="BJ91" i="12"/>
  <c r="BH90" i="12"/>
  <c r="BL88" i="12"/>
  <c r="BJ87" i="12"/>
  <c r="BH86" i="12"/>
  <c r="BL84" i="12"/>
  <c r="BL106" i="12"/>
  <c r="BJ105" i="12"/>
  <c r="BH104" i="12"/>
  <c r="BL102" i="12"/>
  <c r="BJ101" i="12"/>
  <c r="BH100" i="12"/>
  <c r="BL98" i="12"/>
  <c r="BJ97" i="12"/>
  <c r="BH96" i="12"/>
  <c r="BL94" i="12"/>
  <c r="BJ93" i="12"/>
  <c r="BH92" i="12"/>
  <c r="BL90" i="12"/>
  <c r="BJ89" i="12"/>
  <c r="BH88" i="12"/>
  <c r="BL86" i="12"/>
  <c r="BJ85" i="12"/>
  <c r="BH84" i="12"/>
  <c r="BL107" i="12"/>
  <c r="BJ106" i="12"/>
  <c r="BH105" i="12"/>
  <c r="BL103" i="12"/>
  <c r="BJ102" i="12"/>
  <c r="BH101" i="12"/>
  <c r="BL99" i="12"/>
  <c r="BJ98" i="12"/>
  <c r="BH97" i="12"/>
  <c r="BL95" i="12"/>
  <c r="BJ94" i="12"/>
  <c r="BH93" i="12"/>
  <c r="BL91" i="12"/>
  <c r="BJ90" i="12"/>
  <c r="BH89" i="12"/>
  <c r="BL87" i="12"/>
  <c r="BJ86" i="12"/>
  <c r="BH85" i="12"/>
  <c r="BK107" i="12"/>
  <c r="BI106" i="12"/>
  <c r="BG105" i="12"/>
  <c r="BK103" i="12"/>
  <c r="BI102" i="12"/>
  <c r="BG101" i="12"/>
  <c r="BK99" i="12"/>
  <c r="BI98" i="12"/>
  <c r="BG97" i="12"/>
  <c r="BK95" i="12"/>
  <c r="BI94" i="12"/>
  <c r="BG93" i="12"/>
  <c r="BK91" i="12"/>
  <c r="BI90" i="12"/>
  <c r="BG89" i="12"/>
  <c r="BK87" i="12"/>
  <c r="BI86" i="12"/>
  <c r="BG85" i="12"/>
  <c r="BI107" i="12"/>
  <c r="BK104" i="12"/>
  <c r="BG102" i="12"/>
  <c r="BI99" i="12"/>
  <c r="BK96" i="12"/>
  <c r="BG94" i="12"/>
  <c r="BI91" i="12"/>
  <c r="BK88" i="12"/>
  <c r="BG86" i="12"/>
  <c r="BG98" i="12"/>
  <c r="BG90" i="12"/>
  <c r="BK84" i="12"/>
  <c r="BH107" i="12"/>
  <c r="BJ104" i="12"/>
  <c r="BL101" i="12"/>
  <c r="BH99" i="12"/>
  <c r="BJ96" i="12"/>
  <c r="BL93" i="12"/>
  <c r="BH91" i="12"/>
  <c r="BJ88" i="12"/>
  <c r="BL85" i="12"/>
  <c r="BG107" i="12"/>
  <c r="BI104" i="12"/>
  <c r="BK101" i="12"/>
  <c r="BG99" i="12"/>
  <c r="BI96" i="12"/>
  <c r="BK93" i="12"/>
  <c r="BG91" i="12"/>
  <c r="BI88" i="12"/>
  <c r="BK85" i="12"/>
  <c r="BK106" i="12"/>
  <c r="BG104" i="12"/>
  <c r="BI101" i="12"/>
  <c r="BK98" i="12"/>
  <c r="BG96" i="12"/>
  <c r="BI93" i="12"/>
  <c r="BK90" i="12"/>
  <c r="BG88" i="12"/>
  <c r="BI85" i="12"/>
  <c r="BG106" i="12"/>
  <c r="BI103" i="12"/>
  <c r="BK100" i="12"/>
  <c r="BI95" i="12"/>
  <c r="BK92" i="12"/>
  <c r="BI87" i="12"/>
  <c r="BI105" i="12"/>
  <c r="BK97" i="12"/>
  <c r="BL89" i="12"/>
  <c r="BG84" i="12"/>
  <c r="BK105" i="12"/>
  <c r="BI84" i="12"/>
  <c r="BH103" i="12"/>
  <c r="BI97" i="12"/>
  <c r="BK89" i="12"/>
  <c r="BI92" i="12"/>
  <c r="BG103" i="12"/>
  <c r="BH95" i="12"/>
  <c r="BI89" i="12"/>
  <c r="BI100" i="12"/>
  <c r="BK86" i="12"/>
  <c r="BL105" i="12"/>
  <c r="BG100" i="12"/>
  <c r="BJ84" i="12"/>
  <c r="BL97" i="12"/>
  <c r="BG92" i="12"/>
  <c r="BK102" i="12"/>
  <c r="BG95" i="12"/>
  <c r="BH87" i="12"/>
  <c r="BJ100" i="12"/>
  <c r="BK94" i="12"/>
  <c r="BG87" i="12"/>
  <c r="BJ92" i="12"/>
  <c r="I100" i="12"/>
  <c r="I7" i="12" s="1"/>
  <c r="I108" i="12"/>
  <c r="AN24" i="12"/>
  <c r="AP24" i="12"/>
  <c r="Q100" i="12"/>
  <c r="Q7" i="12" s="1"/>
  <c r="E252" i="12"/>
  <c r="E118" i="12"/>
  <c r="F246" i="12"/>
  <c r="K108" i="12"/>
  <c r="AS24" i="12"/>
  <c r="K100" i="12"/>
  <c r="K7" i="12" s="1"/>
  <c r="C7" i="12"/>
  <c r="AI97" i="12"/>
  <c r="AQ22" i="12"/>
  <c r="AQ24" i="12" s="1"/>
  <c r="AO22" i="12"/>
  <c r="AO24" i="12" s="1"/>
  <c r="C256" i="12"/>
  <c r="B256" i="12"/>
  <c r="G100" i="12"/>
  <c r="G7" i="12" s="1"/>
  <c r="AI107" i="12"/>
  <c r="AH107" i="12"/>
  <c r="AM23" i="12"/>
  <c r="AM24" i="12" s="1"/>
  <c r="S7" i="12"/>
  <c r="AF97" i="11"/>
  <c r="AF99" i="11" s="1"/>
  <c r="AF100" i="11" s="1"/>
  <c r="AE108" i="11"/>
  <c r="AE97" i="11"/>
  <c r="AE99" i="11" s="1"/>
  <c r="AD58" i="11"/>
  <c r="AD62" i="11"/>
  <c r="AD76" i="11"/>
  <c r="AD80" i="11"/>
  <c r="AD92" i="11"/>
  <c r="AD101" i="11"/>
  <c r="AD107" i="11" s="1"/>
  <c r="AD102" i="11"/>
  <c r="AD103" i="11"/>
  <c r="AD104" i="11"/>
  <c r="AD105" i="11"/>
  <c r="AD118" i="11"/>
  <c r="AC58" i="11"/>
  <c r="AC62" i="11"/>
  <c r="AC76" i="11"/>
  <c r="AC80" i="11"/>
  <c r="AC92" i="11"/>
  <c r="AC101" i="11"/>
  <c r="AC102" i="11"/>
  <c r="AC103" i="11"/>
  <c r="AC104" i="11"/>
  <c r="AC105" i="11"/>
  <c r="AC118" i="11"/>
  <c r="AB58" i="11"/>
  <c r="AB62" i="11"/>
  <c r="AB76" i="11"/>
  <c r="AB80" i="11"/>
  <c r="AB92" i="11"/>
  <c r="AB101" i="11"/>
  <c r="AB102" i="11"/>
  <c r="AB103" i="11"/>
  <c r="AB104" i="11"/>
  <c r="AB105" i="11"/>
  <c r="AB118" i="11"/>
  <c r="AA123" i="11"/>
  <c r="AA58" i="11"/>
  <c r="AA62" i="11"/>
  <c r="AA76" i="11"/>
  <c r="AA80" i="11"/>
  <c r="AA92" i="11"/>
  <c r="AA101" i="11"/>
  <c r="AA102" i="11"/>
  <c r="AA103" i="11"/>
  <c r="AA104" i="11"/>
  <c r="AA105" i="11"/>
  <c r="AA118" i="11"/>
  <c r="Z123" i="11"/>
  <c r="Z118" i="11"/>
  <c r="Z105" i="11"/>
  <c r="Z104" i="11"/>
  <c r="Z103" i="11"/>
  <c r="Z102" i="11"/>
  <c r="Z101" i="11"/>
  <c r="Z107" i="11" s="1"/>
  <c r="Z92" i="11"/>
  <c r="Z80" i="11"/>
  <c r="Z76" i="11"/>
  <c r="Z62" i="11"/>
  <c r="Z58" i="11"/>
  <c r="Y123" i="11"/>
  <c r="Y58" i="11"/>
  <c r="Y62" i="11"/>
  <c r="Y76" i="11"/>
  <c r="Y80" i="11"/>
  <c r="Y92" i="11"/>
  <c r="Y101" i="11"/>
  <c r="Y102" i="11"/>
  <c r="Y103" i="11"/>
  <c r="Y104" i="11"/>
  <c r="Y105" i="11"/>
  <c r="Y107" i="11"/>
  <c r="Y118" i="11"/>
  <c r="AI108" i="12" l="1"/>
  <c r="AH108" i="12"/>
  <c r="K6" i="12"/>
  <c r="AT8" i="12"/>
  <c r="AT9" i="12"/>
  <c r="G246" i="12"/>
  <c r="F252" i="12"/>
  <c r="F118" i="12"/>
  <c r="AI99" i="12"/>
  <c r="AI100" i="12"/>
  <c r="AH100" i="12"/>
  <c r="B7" i="12"/>
  <c r="A7" i="12" s="1"/>
  <c r="AH99" i="12"/>
  <c r="AE100" i="11"/>
  <c r="AD108" i="11"/>
  <c r="AD97" i="11"/>
  <c r="AD99" i="11" s="1"/>
  <c r="AD100" i="11" s="1"/>
  <c r="AC107" i="11"/>
  <c r="AC108" i="11" s="1"/>
  <c r="AC97" i="11"/>
  <c r="AC99" i="11" s="1"/>
  <c r="AC100" i="11" s="1"/>
  <c r="AB107" i="11"/>
  <c r="AB108" i="11" s="1"/>
  <c r="AB97" i="11"/>
  <c r="AB99" i="11" s="1"/>
  <c r="AA107" i="11"/>
  <c r="AA108" i="11" s="1"/>
  <c r="AA97" i="11"/>
  <c r="AA99" i="11" s="1"/>
  <c r="Z108" i="11"/>
  <c r="Z97" i="11"/>
  <c r="Z99" i="11" s="1"/>
  <c r="Z100" i="11" s="1"/>
  <c r="Y97" i="11"/>
  <c r="Y99" i="11" s="1"/>
  <c r="Y100" i="11" s="1"/>
  <c r="Y108" i="11"/>
  <c r="H246" i="12" l="1"/>
  <c r="G252" i="12"/>
  <c r="G118" i="12"/>
  <c r="AB100" i="11"/>
  <c r="AA100" i="11"/>
  <c r="I246" i="12" l="1"/>
  <c r="H252" i="12"/>
  <c r="H118" i="12"/>
  <c r="X123" i="11"/>
  <c r="W58" i="11"/>
  <c r="X58" i="11"/>
  <c r="W62" i="11"/>
  <c r="W97" i="11" s="1"/>
  <c r="W99" i="11" s="1"/>
  <c r="X62" i="11"/>
  <c r="W76" i="11"/>
  <c r="X76" i="11"/>
  <c r="W80" i="11"/>
  <c r="X80" i="11"/>
  <c r="W92" i="11"/>
  <c r="X92" i="11"/>
  <c r="W101" i="11"/>
  <c r="X101" i="11"/>
  <c r="W102" i="11"/>
  <c r="X102" i="11"/>
  <c r="W103" i="11"/>
  <c r="W107" i="11" s="1"/>
  <c r="W108" i="11" s="1"/>
  <c r="X103" i="11"/>
  <c r="W104" i="11"/>
  <c r="X104" i="11"/>
  <c r="W105" i="11"/>
  <c r="X105" i="11"/>
  <c r="W118" i="11"/>
  <c r="X118" i="11"/>
  <c r="W123" i="11"/>
  <c r="V123" i="11"/>
  <c r="J246" i="12" l="1"/>
  <c r="I252" i="12"/>
  <c r="I118" i="12"/>
  <c r="X97" i="11"/>
  <c r="X99" i="11" s="1"/>
  <c r="X107" i="11"/>
  <c r="X108" i="11" s="1"/>
  <c r="W100" i="11"/>
  <c r="U123" i="11"/>
  <c r="U58" i="11"/>
  <c r="U62" i="11"/>
  <c r="U76" i="11"/>
  <c r="U80" i="11"/>
  <c r="U92" i="11"/>
  <c r="U101" i="11"/>
  <c r="U107" i="11" s="1"/>
  <c r="U102" i="11"/>
  <c r="U103" i="11"/>
  <c r="U104" i="11"/>
  <c r="U105" i="11"/>
  <c r="U118" i="11"/>
  <c r="T123" i="11"/>
  <c r="T58" i="11"/>
  <c r="T62" i="11"/>
  <c r="T76" i="11"/>
  <c r="T80" i="11"/>
  <c r="T92" i="11"/>
  <c r="T101" i="11"/>
  <c r="T102" i="11"/>
  <c r="T103" i="11"/>
  <c r="T104" i="11"/>
  <c r="T105" i="11"/>
  <c r="T118" i="11"/>
  <c r="S123" i="11"/>
  <c r="S57" i="11"/>
  <c r="S58" i="11"/>
  <c r="S62" i="11"/>
  <c r="S76" i="11"/>
  <c r="S80" i="11"/>
  <c r="S92" i="11"/>
  <c r="S101" i="11"/>
  <c r="S107" i="11" s="1"/>
  <c r="S102" i="11"/>
  <c r="S103" i="11"/>
  <c r="S104" i="11"/>
  <c r="S105" i="11"/>
  <c r="S118" i="11"/>
  <c r="J252" i="12" l="1"/>
  <c r="K246" i="12"/>
  <c r="J118" i="12"/>
  <c r="X100" i="11"/>
  <c r="U108" i="11"/>
  <c r="U97" i="11"/>
  <c r="U99" i="11" s="1"/>
  <c r="U100" i="11" s="1"/>
  <c r="T107" i="11"/>
  <c r="T108" i="11" s="1"/>
  <c r="T97" i="11"/>
  <c r="T99" i="11" s="1"/>
  <c r="T100" i="11" s="1"/>
  <c r="S97" i="11"/>
  <c r="S99" i="11" s="1"/>
  <c r="S100" i="11" s="1"/>
  <c r="S108" i="11"/>
  <c r="R123" i="11"/>
  <c r="R59" i="11"/>
  <c r="R57" i="11"/>
  <c r="Q123" i="11"/>
  <c r="Q57" i="11"/>
  <c r="P123" i="11"/>
  <c r="K252" i="12" l="1"/>
  <c r="K118" i="12"/>
  <c r="L246" i="12"/>
  <c r="L118" i="12" s="1"/>
  <c r="P57" i="11"/>
  <c r="L252" i="12" l="1"/>
  <c r="M246" i="12"/>
  <c r="M252" i="12" l="1"/>
  <c r="M118" i="12"/>
  <c r="N246" i="12"/>
  <c r="O123" i="11"/>
  <c r="O57" i="11"/>
  <c r="N57" i="11"/>
  <c r="O246" i="12" l="1"/>
  <c r="N252" i="12"/>
  <c r="N118" i="12"/>
  <c r="P246" i="12" l="1"/>
  <c r="O252" i="12"/>
  <c r="O118" i="12"/>
  <c r="Q246" i="12" l="1"/>
  <c r="P252" i="12"/>
  <c r="M57" i="11"/>
  <c r="L123" i="11"/>
  <c r="L121" i="11"/>
  <c r="L57" i="11"/>
  <c r="K121" i="11"/>
  <c r="K57" i="11"/>
  <c r="J121" i="11"/>
  <c r="I57" i="11"/>
  <c r="H121" i="11"/>
  <c r="I121" i="11"/>
  <c r="H57" i="11"/>
  <c r="G121" i="11"/>
  <c r="G57" i="11"/>
  <c r="F123" i="11"/>
  <c r="F121" i="11"/>
  <c r="F57" i="11"/>
  <c r="F58" i="11"/>
  <c r="F62" i="11"/>
  <c r="Q118" i="12" l="1"/>
  <c r="R246" i="12"/>
  <c r="Q252" i="12"/>
  <c r="E123" i="11"/>
  <c r="E121" i="11"/>
  <c r="E57" i="11"/>
  <c r="D127" i="11"/>
  <c r="D123" i="11"/>
  <c r="D57" i="11"/>
  <c r="C57" i="11"/>
  <c r="C58" i="11"/>
  <c r="D58" i="11"/>
  <c r="C62" i="11"/>
  <c r="D62" i="11"/>
  <c r="C76" i="11"/>
  <c r="D76" i="11"/>
  <c r="C80" i="11"/>
  <c r="D80" i="11"/>
  <c r="C92" i="11"/>
  <c r="D92" i="11"/>
  <c r="C101" i="11"/>
  <c r="D101" i="11"/>
  <c r="C102" i="11"/>
  <c r="D102" i="11"/>
  <c r="C103" i="11"/>
  <c r="D103" i="11"/>
  <c r="C104" i="11"/>
  <c r="D104" i="11"/>
  <c r="C105" i="11"/>
  <c r="D105" i="11"/>
  <c r="R252" i="12" l="1"/>
  <c r="S246" i="12"/>
  <c r="S118" i="12" s="1"/>
  <c r="R118" i="12"/>
  <c r="C107" i="11"/>
  <c r="C108" i="11" s="1"/>
  <c r="D97" i="11"/>
  <c r="D99" i="11" s="1"/>
  <c r="D107" i="11"/>
  <c r="D108" i="11" s="1"/>
  <c r="C97" i="11"/>
  <c r="C99" i="11" s="1"/>
  <c r="C100" i="11" s="1"/>
  <c r="S252" i="12" l="1"/>
  <c r="T246" i="12"/>
  <c r="T118" i="12" s="1"/>
  <c r="D100" i="11"/>
  <c r="T252" i="12" l="1"/>
  <c r="U246" i="12"/>
  <c r="U118" i="12" s="1"/>
  <c r="B123" i="11"/>
  <c r="B57" i="11"/>
  <c r="B105" i="11"/>
  <c r="B104" i="11"/>
  <c r="B103" i="11"/>
  <c r="B102" i="11"/>
  <c r="B101" i="11"/>
  <c r="B92" i="11"/>
  <c r="B80" i="11"/>
  <c r="B76" i="11"/>
  <c r="AM18" i="11" s="1"/>
  <c r="B62" i="11"/>
  <c r="B58" i="11"/>
  <c r="AG252" i="11"/>
  <c r="C252" i="11"/>
  <c r="D251" i="11"/>
  <c r="E251" i="11" s="1"/>
  <c r="F251" i="11" s="1"/>
  <c r="G251" i="11" s="1"/>
  <c r="H251" i="11" s="1"/>
  <c r="I251" i="11" s="1"/>
  <c r="J251" i="11" s="1"/>
  <c r="K251" i="11" s="1"/>
  <c r="L251" i="11" s="1"/>
  <c r="M251" i="11" s="1"/>
  <c r="N251" i="11" s="1"/>
  <c r="O251" i="11" s="1"/>
  <c r="P251" i="11" s="1"/>
  <c r="Q251" i="11" s="1"/>
  <c r="R251" i="11" s="1"/>
  <c r="S251" i="11" s="1"/>
  <c r="T251" i="11" s="1"/>
  <c r="U251" i="11" s="1"/>
  <c r="V251" i="11" s="1"/>
  <c r="W251" i="11" s="1"/>
  <c r="X251" i="11" s="1"/>
  <c r="Y251" i="11" s="1"/>
  <c r="Z251" i="11" s="1"/>
  <c r="AA251" i="11" s="1"/>
  <c r="AB251" i="11" s="1"/>
  <c r="AC251" i="11" s="1"/>
  <c r="AD251" i="11" s="1"/>
  <c r="AE251" i="11" s="1"/>
  <c r="AF251" i="11" s="1"/>
  <c r="B251" i="11" s="1"/>
  <c r="D250" i="11"/>
  <c r="E250" i="11" s="1"/>
  <c r="F250" i="11" s="1"/>
  <c r="G250" i="11" s="1"/>
  <c r="H250" i="11" s="1"/>
  <c r="I250" i="11" s="1"/>
  <c r="J250" i="11" s="1"/>
  <c r="K250" i="11" s="1"/>
  <c r="L250" i="11" s="1"/>
  <c r="M250" i="11" s="1"/>
  <c r="N250" i="11" s="1"/>
  <c r="O250" i="11" s="1"/>
  <c r="P250" i="11" s="1"/>
  <c r="Q250" i="11" s="1"/>
  <c r="R250" i="11" s="1"/>
  <c r="S250" i="11" s="1"/>
  <c r="T250" i="11" s="1"/>
  <c r="U250" i="11" s="1"/>
  <c r="V250" i="11" s="1"/>
  <c r="W250" i="11" s="1"/>
  <c r="X250" i="11" s="1"/>
  <c r="Y250" i="11" s="1"/>
  <c r="Z250" i="11" s="1"/>
  <c r="AA250" i="11" s="1"/>
  <c r="AB250" i="11" s="1"/>
  <c r="AC250" i="11" s="1"/>
  <c r="AD250" i="11" s="1"/>
  <c r="AE250" i="11" s="1"/>
  <c r="AF250" i="11" s="1"/>
  <c r="B250" i="11" s="1"/>
  <c r="D249" i="11"/>
  <c r="E249" i="11" s="1"/>
  <c r="F249" i="11" s="1"/>
  <c r="G249" i="11" s="1"/>
  <c r="H249" i="11" s="1"/>
  <c r="I249" i="11" s="1"/>
  <c r="J249" i="11" s="1"/>
  <c r="K249" i="11" s="1"/>
  <c r="L249" i="11" s="1"/>
  <c r="M249" i="11" s="1"/>
  <c r="N249" i="11" s="1"/>
  <c r="O249" i="11" s="1"/>
  <c r="P249" i="11" s="1"/>
  <c r="Q249" i="11" s="1"/>
  <c r="R249" i="11" s="1"/>
  <c r="S249" i="11" s="1"/>
  <c r="T249" i="11" s="1"/>
  <c r="U249" i="11" s="1"/>
  <c r="V249" i="11" s="1"/>
  <c r="W249" i="11" s="1"/>
  <c r="X249" i="11" s="1"/>
  <c r="Y249" i="11" s="1"/>
  <c r="Z249" i="11" s="1"/>
  <c r="AA249" i="11" s="1"/>
  <c r="AB249" i="11" s="1"/>
  <c r="AC249" i="11" s="1"/>
  <c r="AD249" i="11" s="1"/>
  <c r="AE249" i="11" s="1"/>
  <c r="AF249" i="11" s="1"/>
  <c r="B249" i="11" s="1"/>
  <c r="D248" i="11"/>
  <c r="E248" i="11" s="1"/>
  <c r="F248" i="11" s="1"/>
  <c r="G248" i="11" s="1"/>
  <c r="H248" i="11" s="1"/>
  <c r="I248" i="11" s="1"/>
  <c r="J248" i="11" s="1"/>
  <c r="K248" i="11" s="1"/>
  <c r="L248" i="11" s="1"/>
  <c r="M248" i="11" s="1"/>
  <c r="N248" i="11" s="1"/>
  <c r="O248" i="11" s="1"/>
  <c r="P248" i="11" s="1"/>
  <c r="Q248" i="11" s="1"/>
  <c r="R248" i="11" s="1"/>
  <c r="S248" i="11" s="1"/>
  <c r="T248" i="11" s="1"/>
  <c r="U248" i="11" s="1"/>
  <c r="V248" i="11" s="1"/>
  <c r="W248" i="11" s="1"/>
  <c r="X248" i="11" s="1"/>
  <c r="Y248" i="11" s="1"/>
  <c r="Z248" i="11" s="1"/>
  <c r="AA248" i="11" s="1"/>
  <c r="AB248" i="11" s="1"/>
  <c r="AC248" i="11" s="1"/>
  <c r="AD248" i="11" s="1"/>
  <c r="AE248" i="11" s="1"/>
  <c r="AF248" i="11" s="1"/>
  <c r="B248" i="11" s="1"/>
  <c r="D247" i="11"/>
  <c r="E247" i="11" s="1"/>
  <c r="F247" i="11" s="1"/>
  <c r="G247" i="11" s="1"/>
  <c r="H247" i="11" s="1"/>
  <c r="I247" i="11" s="1"/>
  <c r="J247" i="11" s="1"/>
  <c r="K247" i="11" s="1"/>
  <c r="L247" i="11" s="1"/>
  <c r="M247" i="11" s="1"/>
  <c r="N247" i="11" s="1"/>
  <c r="O247" i="11" s="1"/>
  <c r="P247" i="11" s="1"/>
  <c r="Q247" i="11" s="1"/>
  <c r="R247" i="11" s="1"/>
  <c r="S247" i="11" s="1"/>
  <c r="T247" i="11" s="1"/>
  <c r="U247" i="11" s="1"/>
  <c r="V247" i="11" s="1"/>
  <c r="W247" i="11" s="1"/>
  <c r="X247" i="11" s="1"/>
  <c r="Y247" i="11" s="1"/>
  <c r="Z247" i="11" s="1"/>
  <c r="AA247" i="11" s="1"/>
  <c r="AB247" i="11" s="1"/>
  <c r="AC247" i="11" s="1"/>
  <c r="AD247" i="11" s="1"/>
  <c r="AE247" i="11" s="1"/>
  <c r="AF247" i="11" s="1"/>
  <c r="B247" i="11" s="1"/>
  <c r="D246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I130" i="11"/>
  <c r="AH130" i="11"/>
  <c r="AI129" i="11"/>
  <c r="AH129" i="11"/>
  <c r="AI128" i="11"/>
  <c r="AH128" i="11"/>
  <c r="AI127" i="11"/>
  <c r="AH127" i="11"/>
  <c r="AI126" i="11"/>
  <c r="AH126" i="11"/>
  <c r="AI123" i="11"/>
  <c r="AH123" i="11"/>
  <c r="AI122" i="11"/>
  <c r="AH122" i="11"/>
  <c r="AI121" i="11"/>
  <c r="AH121" i="11"/>
  <c r="AI120" i="11"/>
  <c r="AH120" i="11"/>
  <c r="AI119" i="11"/>
  <c r="AH119" i="11"/>
  <c r="C118" i="11"/>
  <c r="AI117" i="11"/>
  <c r="AH117" i="11"/>
  <c r="AI116" i="11"/>
  <c r="AH116" i="11"/>
  <c r="AI115" i="11"/>
  <c r="AH115" i="11"/>
  <c r="AI114" i="11"/>
  <c r="AH114" i="11"/>
  <c r="AI113" i="11"/>
  <c r="AH113" i="11"/>
  <c r="AI112" i="11"/>
  <c r="AH112" i="11"/>
  <c r="AI111" i="11"/>
  <c r="AH111" i="11"/>
  <c r="AI110" i="11"/>
  <c r="AH110" i="11"/>
  <c r="AI109" i="11"/>
  <c r="AH109" i="11"/>
  <c r="AI106" i="11"/>
  <c r="AH106" i="11"/>
  <c r="V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AO23" i="11"/>
  <c r="V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V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V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AI102" i="11" s="1"/>
  <c r="E102" i="11"/>
  <c r="V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AI98" i="11"/>
  <c r="AH98" i="11"/>
  <c r="AI96" i="11"/>
  <c r="AH96" i="11"/>
  <c r="AG96" i="11"/>
  <c r="AI95" i="11"/>
  <c r="AH95" i="11"/>
  <c r="AI94" i="11"/>
  <c r="AH94" i="11"/>
  <c r="AI93" i="11"/>
  <c r="AH93" i="11"/>
  <c r="AG92" i="11"/>
  <c r="AD5" i="11"/>
  <c r="AA5" i="11"/>
  <c r="V5" i="11"/>
  <c r="V92" i="11"/>
  <c r="U5" i="11" s="1"/>
  <c r="R92" i="11"/>
  <c r="Q5" i="11" s="1"/>
  <c r="Q92" i="11"/>
  <c r="P5" i="11" s="1"/>
  <c r="P92" i="11"/>
  <c r="O5" i="11" s="1"/>
  <c r="O92" i="11"/>
  <c r="AW19" i="11" s="1"/>
  <c r="N92" i="11"/>
  <c r="M5" i="11" s="1"/>
  <c r="M92" i="11"/>
  <c r="L92" i="11"/>
  <c r="K92" i="11"/>
  <c r="AT19" i="11" s="1"/>
  <c r="J92" i="11"/>
  <c r="I5" i="11" s="1"/>
  <c r="I92" i="11"/>
  <c r="AS19" i="11" s="1"/>
  <c r="H92" i="11"/>
  <c r="G5" i="11" s="1"/>
  <c r="G92" i="11"/>
  <c r="AR19" i="11" s="1"/>
  <c r="F92" i="11"/>
  <c r="AQ19" i="11" s="1"/>
  <c r="E92" i="11"/>
  <c r="D5" i="11" s="1"/>
  <c r="AI91" i="11"/>
  <c r="AH91" i="11"/>
  <c r="AI90" i="11"/>
  <c r="AH90" i="11"/>
  <c r="AI89" i="11"/>
  <c r="AH89" i="11"/>
  <c r="AI88" i="11"/>
  <c r="AH88" i="11"/>
  <c r="AI87" i="11"/>
  <c r="AH87" i="11"/>
  <c r="AI86" i="11"/>
  <c r="AH86" i="11"/>
  <c r="AI85" i="11"/>
  <c r="AH85" i="11"/>
  <c r="AI84" i="11"/>
  <c r="AH84" i="11"/>
  <c r="AI83" i="11"/>
  <c r="AH83" i="11"/>
  <c r="AI82" i="11"/>
  <c r="AH82" i="11"/>
  <c r="AI81" i="11"/>
  <c r="AH81" i="11"/>
  <c r="AG80" i="11"/>
  <c r="V80" i="11"/>
  <c r="R80" i="11"/>
  <c r="Q80" i="11"/>
  <c r="P80" i="11"/>
  <c r="O80" i="11"/>
  <c r="N80" i="11"/>
  <c r="M80" i="11"/>
  <c r="AU20" i="11" s="1"/>
  <c r="L80" i="11"/>
  <c r="K80" i="11"/>
  <c r="J80" i="11"/>
  <c r="I80" i="11"/>
  <c r="H80" i="11"/>
  <c r="G80" i="11"/>
  <c r="AR20" i="11" s="1"/>
  <c r="F80" i="11"/>
  <c r="E80" i="11"/>
  <c r="AP20" i="11" s="1"/>
  <c r="AO20" i="11"/>
  <c r="BI79" i="11"/>
  <c r="AI79" i="11"/>
  <c r="AH79" i="11"/>
  <c r="AI78" i="11"/>
  <c r="AH78" i="11"/>
  <c r="AI77" i="11"/>
  <c r="AH77" i="11"/>
  <c r="V76" i="11"/>
  <c r="R76" i="11"/>
  <c r="Q76" i="11"/>
  <c r="P76" i="11"/>
  <c r="AX18" i="11" s="1"/>
  <c r="O76" i="11"/>
  <c r="AW18" i="11" s="1"/>
  <c r="N76" i="11"/>
  <c r="AV18" i="11" s="1"/>
  <c r="M76" i="11"/>
  <c r="AU18" i="11" s="1"/>
  <c r="L76" i="11"/>
  <c r="K76" i="11"/>
  <c r="AT18" i="11" s="1"/>
  <c r="J76" i="11"/>
  <c r="I76" i="11"/>
  <c r="AS18" i="11" s="1"/>
  <c r="H76" i="11"/>
  <c r="G76" i="11"/>
  <c r="F76" i="11"/>
  <c r="AQ18" i="11" s="1"/>
  <c r="E76" i="11"/>
  <c r="AP18" i="11" s="1"/>
  <c r="BQ75" i="11"/>
  <c r="AI75" i="11"/>
  <c r="AH75" i="11"/>
  <c r="AG75" i="11"/>
  <c r="AG76" i="11" s="1"/>
  <c r="AG3" i="11" s="1"/>
  <c r="AI74" i="11"/>
  <c r="AH74" i="11"/>
  <c r="BW73" i="11"/>
  <c r="BW80" i="11" s="1"/>
  <c r="BV73" i="11"/>
  <c r="BV80" i="11" s="1"/>
  <c r="BU73" i="11"/>
  <c r="BU80" i="11" s="1"/>
  <c r="BT73" i="11"/>
  <c r="BT80" i="11" s="1"/>
  <c r="BS73" i="11"/>
  <c r="BS80" i="11" s="1"/>
  <c r="BR73" i="11"/>
  <c r="BR80" i="11" s="1"/>
  <c r="BQ73" i="11"/>
  <c r="BQ80" i="11" s="1"/>
  <c r="BP73" i="11"/>
  <c r="BP80" i="11" s="1"/>
  <c r="BO73" i="11"/>
  <c r="BO80" i="11" s="1"/>
  <c r="BN73" i="11"/>
  <c r="BN80" i="11" s="1"/>
  <c r="BM73" i="11"/>
  <c r="BM80" i="11" s="1"/>
  <c r="BL73" i="11"/>
  <c r="BL80" i="11" s="1"/>
  <c r="BK73" i="11"/>
  <c r="BK80" i="11" s="1"/>
  <c r="BJ73" i="11"/>
  <c r="BJ80" i="11" s="1"/>
  <c r="BI73" i="11"/>
  <c r="BI80" i="11" s="1"/>
  <c r="BH73" i="11"/>
  <c r="BH80" i="11" s="1"/>
  <c r="BG73" i="11"/>
  <c r="BG80" i="11" s="1"/>
  <c r="BF73" i="11"/>
  <c r="BF80" i="11" s="1"/>
  <c r="BE73" i="11"/>
  <c r="BE80" i="11" s="1"/>
  <c r="BD73" i="11"/>
  <c r="BD80" i="11" s="1"/>
  <c r="BC73" i="11"/>
  <c r="BC80" i="11" s="1"/>
  <c r="BB73" i="11"/>
  <c r="BB80" i="11" s="1"/>
  <c r="BA73" i="11"/>
  <c r="BA80" i="11" s="1"/>
  <c r="AZ73" i="11"/>
  <c r="AZ80" i="11" s="1"/>
  <c r="AI73" i="11"/>
  <c r="AH73" i="11"/>
  <c r="BW72" i="11"/>
  <c r="BW79" i="11" s="1"/>
  <c r="BV72" i="11"/>
  <c r="BV79" i="11" s="1"/>
  <c r="BU72" i="11"/>
  <c r="BU79" i="11" s="1"/>
  <c r="BT72" i="11"/>
  <c r="BT79" i="11" s="1"/>
  <c r="BS72" i="11"/>
  <c r="BS79" i="11" s="1"/>
  <c r="BR72" i="11"/>
  <c r="BR79" i="11" s="1"/>
  <c r="BQ72" i="11"/>
  <c r="BQ79" i="11" s="1"/>
  <c r="BP72" i="11"/>
  <c r="BP79" i="11" s="1"/>
  <c r="BO72" i="11"/>
  <c r="BO79" i="11" s="1"/>
  <c r="BN72" i="11"/>
  <c r="BN79" i="11" s="1"/>
  <c r="BM72" i="11"/>
  <c r="BM79" i="11" s="1"/>
  <c r="BL72" i="11"/>
  <c r="BL79" i="11" s="1"/>
  <c r="BK72" i="11"/>
  <c r="BK79" i="11" s="1"/>
  <c r="BJ72" i="11"/>
  <c r="BJ79" i="11" s="1"/>
  <c r="BI72" i="11"/>
  <c r="BH72" i="11"/>
  <c r="BH79" i="11" s="1"/>
  <c r="BG72" i="11"/>
  <c r="BG79" i="11" s="1"/>
  <c r="BF72" i="11"/>
  <c r="BF79" i="11" s="1"/>
  <c r="BE72" i="11"/>
  <c r="BE79" i="11" s="1"/>
  <c r="BD72" i="11"/>
  <c r="BD79" i="11" s="1"/>
  <c r="BC72" i="11"/>
  <c r="BC79" i="11" s="1"/>
  <c r="BB72" i="11"/>
  <c r="BB79" i="11" s="1"/>
  <c r="BA72" i="11"/>
  <c r="BA79" i="11" s="1"/>
  <c r="AZ72" i="11"/>
  <c r="AZ79" i="11" s="1"/>
  <c r="AI72" i="11"/>
  <c r="AH72" i="11"/>
  <c r="BW71" i="11"/>
  <c r="BW78" i="11" s="1"/>
  <c r="BV71" i="11"/>
  <c r="BV78" i="11" s="1"/>
  <c r="BU71" i="11"/>
  <c r="BU78" i="11" s="1"/>
  <c r="BT71" i="11"/>
  <c r="BT78" i="11" s="1"/>
  <c r="BS71" i="11"/>
  <c r="BS78" i="11" s="1"/>
  <c r="BR71" i="11"/>
  <c r="BR78" i="11" s="1"/>
  <c r="BQ71" i="11"/>
  <c r="BQ78" i="11" s="1"/>
  <c r="BP71" i="11"/>
  <c r="BP78" i="11" s="1"/>
  <c r="BO71" i="11"/>
  <c r="BO78" i="11" s="1"/>
  <c r="BN71" i="11"/>
  <c r="BN78" i="11" s="1"/>
  <c r="BM71" i="11"/>
  <c r="BM78" i="11" s="1"/>
  <c r="BL71" i="11"/>
  <c r="BL78" i="11" s="1"/>
  <c r="BK71" i="11"/>
  <c r="BK78" i="11" s="1"/>
  <c r="BJ71" i="11"/>
  <c r="BJ78" i="11" s="1"/>
  <c r="BI71" i="11"/>
  <c r="BI78" i="11" s="1"/>
  <c r="BH71" i="11"/>
  <c r="BH78" i="11" s="1"/>
  <c r="BG71" i="11"/>
  <c r="BG78" i="11" s="1"/>
  <c r="BF71" i="11"/>
  <c r="BF78" i="11" s="1"/>
  <c r="BE71" i="11"/>
  <c r="BE78" i="11" s="1"/>
  <c r="BD71" i="11"/>
  <c r="BD78" i="11" s="1"/>
  <c r="BC71" i="11"/>
  <c r="BC78" i="11" s="1"/>
  <c r="BB71" i="11"/>
  <c r="BB78" i="11" s="1"/>
  <c r="BA71" i="11"/>
  <c r="BA78" i="11" s="1"/>
  <c r="AZ71" i="11"/>
  <c r="AZ78" i="11" s="1"/>
  <c r="AI71" i="11"/>
  <c r="AH71" i="11"/>
  <c r="BW70" i="11"/>
  <c r="BW77" i="11" s="1"/>
  <c r="BV70" i="11"/>
  <c r="BV77" i="11" s="1"/>
  <c r="BU70" i="11"/>
  <c r="BU77" i="11" s="1"/>
  <c r="BT70" i="11"/>
  <c r="BT77" i="11" s="1"/>
  <c r="BS70" i="11"/>
  <c r="BS77" i="11" s="1"/>
  <c r="BR70" i="11"/>
  <c r="BR77" i="11" s="1"/>
  <c r="BQ70" i="11"/>
  <c r="BQ77" i="11" s="1"/>
  <c r="BP70" i="11"/>
  <c r="BP77" i="11" s="1"/>
  <c r="BO70" i="11"/>
  <c r="BO77" i="11" s="1"/>
  <c r="BN70" i="11"/>
  <c r="BN77" i="11" s="1"/>
  <c r="BM70" i="11"/>
  <c r="BM77" i="11" s="1"/>
  <c r="BL70" i="11"/>
  <c r="BL77" i="11" s="1"/>
  <c r="BK70" i="11"/>
  <c r="BK77" i="11" s="1"/>
  <c r="BJ70" i="11"/>
  <c r="BJ77" i="11" s="1"/>
  <c r="BI70" i="11"/>
  <c r="BI77" i="11" s="1"/>
  <c r="BH70" i="11"/>
  <c r="BH77" i="11" s="1"/>
  <c r="BG70" i="11"/>
  <c r="BG77" i="11" s="1"/>
  <c r="BF70" i="11"/>
  <c r="BF77" i="11" s="1"/>
  <c r="BE70" i="11"/>
  <c r="BE77" i="11" s="1"/>
  <c r="BD70" i="11"/>
  <c r="BD77" i="11" s="1"/>
  <c r="BC70" i="11"/>
  <c r="BC77" i="11" s="1"/>
  <c r="BB70" i="11"/>
  <c r="BB77" i="11" s="1"/>
  <c r="BA70" i="11"/>
  <c r="BA77" i="11" s="1"/>
  <c r="AZ70" i="11"/>
  <c r="AZ77" i="11" s="1"/>
  <c r="AI70" i="11"/>
  <c r="AH70" i="11"/>
  <c r="BW69" i="11"/>
  <c r="BW76" i="11" s="1"/>
  <c r="BV69" i="11"/>
  <c r="BV76" i="11" s="1"/>
  <c r="BU69" i="11"/>
  <c r="BU76" i="11" s="1"/>
  <c r="BT69" i="11"/>
  <c r="BT76" i="11" s="1"/>
  <c r="BS69" i="11"/>
  <c r="BS76" i="11" s="1"/>
  <c r="BR69" i="11"/>
  <c r="BR76" i="11" s="1"/>
  <c r="BQ69" i="11"/>
  <c r="BQ76" i="11" s="1"/>
  <c r="BP69" i="11"/>
  <c r="BP76" i="11" s="1"/>
  <c r="BO69" i="11"/>
  <c r="BO76" i="11" s="1"/>
  <c r="BN69" i="11"/>
  <c r="BN76" i="11" s="1"/>
  <c r="BM69" i="11"/>
  <c r="BM76" i="11" s="1"/>
  <c r="BL69" i="11"/>
  <c r="BL76" i="11" s="1"/>
  <c r="BK69" i="11"/>
  <c r="BK76" i="11" s="1"/>
  <c r="BJ69" i="11"/>
  <c r="BJ76" i="11" s="1"/>
  <c r="BI69" i="11"/>
  <c r="BI76" i="11" s="1"/>
  <c r="BH69" i="11"/>
  <c r="BH76" i="11" s="1"/>
  <c r="BG69" i="11"/>
  <c r="BG76" i="11" s="1"/>
  <c r="BF69" i="11"/>
  <c r="BF76" i="11" s="1"/>
  <c r="BE69" i="11"/>
  <c r="BE76" i="11" s="1"/>
  <c r="BD69" i="11"/>
  <c r="BD76" i="11" s="1"/>
  <c r="BC69" i="11"/>
  <c r="BC76" i="11" s="1"/>
  <c r="BB69" i="11"/>
  <c r="BB76" i="11" s="1"/>
  <c r="BA69" i="11"/>
  <c r="BA76" i="11" s="1"/>
  <c r="AZ69" i="11"/>
  <c r="AZ76" i="11" s="1"/>
  <c r="AI69" i="11"/>
  <c r="AH69" i="11"/>
  <c r="BW68" i="11"/>
  <c r="BW75" i="11" s="1"/>
  <c r="BV68" i="11"/>
  <c r="BV75" i="11" s="1"/>
  <c r="BU68" i="11"/>
  <c r="BU75" i="11" s="1"/>
  <c r="BT68" i="11"/>
  <c r="BT75" i="11" s="1"/>
  <c r="BS68" i="11"/>
  <c r="BS75" i="11" s="1"/>
  <c r="BR68" i="11"/>
  <c r="BR75" i="11" s="1"/>
  <c r="BQ68" i="11"/>
  <c r="BP68" i="11"/>
  <c r="BP75" i="11" s="1"/>
  <c r="BO68" i="11"/>
  <c r="BO75" i="11" s="1"/>
  <c r="BN68" i="11"/>
  <c r="BN75" i="11" s="1"/>
  <c r="BM68" i="11"/>
  <c r="BM75" i="11" s="1"/>
  <c r="BL68" i="11"/>
  <c r="BL75" i="11" s="1"/>
  <c r="BK68" i="11"/>
  <c r="BK75" i="11" s="1"/>
  <c r="BJ68" i="11"/>
  <c r="BJ75" i="11" s="1"/>
  <c r="BI68" i="11"/>
  <c r="BI75" i="11" s="1"/>
  <c r="BH68" i="11"/>
  <c r="BH75" i="11" s="1"/>
  <c r="BG68" i="11"/>
  <c r="BG75" i="11" s="1"/>
  <c r="BF68" i="11"/>
  <c r="BF75" i="11" s="1"/>
  <c r="BE68" i="11"/>
  <c r="BE75" i="11" s="1"/>
  <c r="BD68" i="11"/>
  <c r="BD75" i="11" s="1"/>
  <c r="BC68" i="11"/>
  <c r="BC75" i="11" s="1"/>
  <c r="BB68" i="11"/>
  <c r="BB75" i="11" s="1"/>
  <c r="BA68" i="11"/>
  <c r="BA75" i="11" s="1"/>
  <c r="AZ68" i="11"/>
  <c r="AI68" i="11"/>
  <c r="AH68" i="11"/>
  <c r="AI67" i="11"/>
  <c r="AH67" i="11"/>
  <c r="AI66" i="11"/>
  <c r="AH66" i="11"/>
  <c r="AI65" i="11"/>
  <c r="AH65" i="11"/>
  <c r="AI64" i="11"/>
  <c r="AH64" i="11"/>
  <c r="AI63" i="11"/>
  <c r="AH63" i="11"/>
  <c r="AG62" i="11"/>
  <c r="V62" i="11"/>
  <c r="R62" i="11"/>
  <c r="Q62" i="11"/>
  <c r="P62" i="11"/>
  <c r="AX17" i="11" s="1"/>
  <c r="O62" i="11"/>
  <c r="AW17" i="11" s="1"/>
  <c r="N62" i="11"/>
  <c r="AV17" i="11" s="1"/>
  <c r="M62" i="11"/>
  <c r="AU17" i="11" s="1"/>
  <c r="L62" i="11"/>
  <c r="K62" i="11"/>
  <c r="AT17" i="11" s="1"/>
  <c r="J62" i="11"/>
  <c r="I62" i="11"/>
  <c r="AS17" i="11" s="1"/>
  <c r="H62" i="11"/>
  <c r="G62" i="11"/>
  <c r="AR17" i="11" s="1"/>
  <c r="E62" i="11"/>
  <c r="AP17" i="11" s="1"/>
  <c r="AI61" i="11"/>
  <c r="AH61" i="11"/>
  <c r="AI60" i="11"/>
  <c r="AH60" i="11"/>
  <c r="AI59" i="11"/>
  <c r="AH59" i="11"/>
  <c r="AG58" i="11"/>
  <c r="V58" i="11"/>
  <c r="R58" i="11"/>
  <c r="Q58" i="11"/>
  <c r="P58" i="11"/>
  <c r="O58" i="11"/>
  <c r="N58" i="11"/>
  <c r="AV16" i="11" s="1"/>
  <c r="M58" i="11"/>
  <c r="L58" i="11"/>
  <c r="K58" i="11"/>
  <c r="J58" i="11"/>
  <c r="I58" i="11"/>
  <c r="H58" i="11"/>
  <c r="G58" i="11"/>
  <c r="E58" i="11"/>
  <c r="AP16" i="11" s="1"/>
  <c r="AI57" i="11"/>
  <c r="AH57" i="11"/>
  <c r="AI56" i="11"/>
  <c r="AH56" i="11"/>
  <c r="AI55" i="11"/>
  <c r="AH55" i="11"/>
  <c r="AI54" i="11"/>
  <c r="AH54" i="11"/>
  <c r="AI53" i="11"/>
  <c r="AH53" i="11"/>
  <c r="AI52" i="11"/>
  <c r="AH52" i="11"/>
  <c r="AI51" i="11"/>
  <c r="AH51" i="11"/>
  <c r="AI50" i="11"/>
  <c r="AH50" i="11"/>
  <c r="AI49" i="11"/>
  <c r="AH49" i="11"/>
  <c r="AI48" i="11"/>
  <c r="AH48" i="11"/>
  <c r="AI47" i="11"/>
  <c r="AH47" i="11"/>
  <c r="AI46" i="11"/>
  <c r="AH46" i="11"/>
  <c r="AI45" i="11"/>
  <c r="AH45" i="11"/>
  <c r="AI44" i="11"/>
  <c r="AH44" i="11"/>
  <c r="AI43" i="11"/>
  <c r="AH43" i="11"/>
  <c r="AI42" i="11"/>
  <c r="AH42" i="11"/>
  <c r="AI41" i="11"/>
  <c r="AH41" i="11"/>
  <c r="AI40" i="11"/>
  <c r="AH40" i="11"/>
  <c r="AI39" i="11"/>
  <c r="AH39" i="11"/>
  <c r="AI38" i="11"/>
  <c r="AH38" i="11"/>
  <c r="AI37" i="11"/>
  <c r="AH37" i="11"/>
  <c r="AI36" i="11"/>
  <c r="AH36" i="11"/>
  <c r="AI35" i="11"/>
  <c r="AH35" i="11"/>
  <c r="AI34" i="11"/>
  <c r="AH34" i="11"/>
  <c r="AI33" i="11"/>
  <c r="AH33" i="11"/>
  <c r="AI32" i="11"/>
  <c r="AH32" i="11"/>
  <c r="AI31" i="11"/>
  <c r="AH31" i="11"/>
  <c r="AI30" i="11"/>
  <c r="AH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AX21" i="11"/>
  <c r="AW21" i="11"/>
  <c r="AV21" i="11"/>
  <c r="AU21" i="11"/>
  <c r="AT21" i="11"/>
  <c r="AS21" i="11"/>
  <c r="AR21" i="11"/>
  <c r="AQ21" i="11"/>
  <c r="AP21" i="11"/>
  <c r="AO21" i="11"/>
  <c r="AN21" i="11"/>
  <c r="AM21" i="11"/>
  <c r="AI21" i="11"/>
  <c r="AH21" i="11"/>
  <c r="AX20" i="11"/>
  <c r="AW20" i="11"/>
  <c r="AV20" i="11"/>
  <c r="AT20" i="11"/>
  <c r="AS20" i="11"/>
  <c r="AQ20" i="11"/>
  <c r="AN20" i="11"/>
  <c r="AM20" i="11"/>
  <c r="AI20" i="11"/>
  <c r="AH20" i="11"/>
  <c r="AO19" i="11"/>
  <c r="AN19" i="11"/>
  <c r="AI19" i="11"/>
  <c r="AH19" i="11"/>
  <c r="AR18" i="11"/>
  <c r="AO18" i="11"/>
  <c r="AN18" i="11"/>
  <c r="AI18" i="11"/>
  <c r="AH18" i="11"/>
  <c r="AQ17" i="11"/>
  <c r="AO17" i="11"/>
  <c r="AN17" i="11"/>
  <c r="AM17" i="11"/>
  <c r="AI17" i="11"/>
  <c r="AH17" i="11"/>
  <c r="AW16" i="11"/>
  <c r="AU16" i="11"/>
  <c r="AS16" i="11"/>
  <c r="AQ16" i="11"/>
  <c r="AO16" i="11"/>
  <c r="AI16" i="11"/>
  <c r="AH16" i="11"/>
  <c r="AI15" i="11"/>
  <c r="AH15" i="11"/>
  <c r="AI14" i="11"/>
  <c r="AH14" i="11"/>
  <c r="AI13" i="11"/>
  <c r="AH13" i="11"/>
  <c r="AL12" i="11"/>
  <c r="AI12" i="11"/>
  <c r="AH12" i="11"/>
  <c r="AI11" i="11"/>
  <c r="AH11" i="11"/>
  <c r="AE5" i="11"/>
  <c r="AC5" i="11"/>
  <c r="Z5" i="11"/>
  <c r="Y5" i="11"/>
  <c r="X5" i="11"/>
  <c r="W5" i="11"/>
  <c r="R5" i="11"/>
  <c r="B5" i="11"/>
  <c r="AG4" i="11"/>
  <c r="K4" i="11"/>
  <c r="E4" i="11"/>
  <c r="H4" i="11" s="1"/>
  <c r="B4" i="11"/>
  <c r="D258" i="11" s="1"/>
  <c r="AG2" i="11"/>
  <c r="U252" i="12" l="1"/>
  <c r="V246" i="12"/>
  <c r="V118" i="12" s="1"/>
  <c r="R97" i="11"/>
  <c r="R99" i="11" s="1"/>
  <c r="AX19" i="11"/>
  <c r="N5" i="11"/>
  <c r="AV19" i="11"/>
  <c r="AV22" i="11"/>
  <c r="M107" i="11"/>
  <c r="AU23" i="11" s="1"/>
  <c r="L107" i="11"/>
  <c r="L108" i="11" s="1"/>
  <c r="K107" i="11"/>
  <c r="K108" i="11" s="1"/>
  <c r="J5" i="11"/>
  <c r="K97" i="11"/>
  <c r="K99" i="11" s="1"/>
  <c r="AT16" i="11"/>
  <c r="AT22" i="11" s="1"/>
  <c r="J97" i="11"/>
  <c r="J99" i="11" s="1"/>
  <c r="S7" i="11"/>
  <c r="AA7" i="11"/>
  <c r="B107" i="11"/>
  <c r="B108" i="11" s="1"/>
  <c r="Q107" i="11"/>
  <c r="Q108" i="11" s="1"/>
  <c r="Y7" i="11"/>
  <c r="O107" i="11"/>
  <c r="AW23" i="11" s="1"/>
  <c r="W7" i="11"/>
  <c r="AG6" i="11"/>
  <c r="AB5" i="11"/>
  <c r="T5" i="11"/>
  <c r="AU19" i="11"/>
  <c r="O97" i="11"/>
  <c r="O99" i="11" s="1"/>
  <c r="L5" i="11"/>
  <c r="AW22" i="11"/>
  <c r="P97" i="11"/>
  <c r="P99" i="11" s="1"/>
  <c r="P100" i="11" s="1"/>
  <c r="P7" i="11" s="1"/>
  <c r="AI101" i="11"/>
  <c r="Q97" i="11"/>
  <c r="Q99" i="11" s="1"/>
  <c r="AG97" i="11"/>
  <c r="J107" i="11"/>
  <c r="J108" i="11" s="1"/>
  <c r="R107" i="11"/>
  <c r="R108" i="11" s="1"/>
  <c r="Z7" i="11"/>
  <c r="AS22" i="11"/>
  <c r="H5" i="11"/>
  <c r="I107" i="11"/>
  <c r="AS23" i="11" s="1"/>
  <c r="I97" i="11"/>
  <c r="I99" i="11" s="1"/>
  <c r="H97" i="11"/>
  <c r="H99" i="11" s="1"/>
  <c r="G107" i="11"/>
  <c r="AR23" i="11" s="1"/>
  <c r="F5" i="11"/>
  <c r="AI105" i="11"/>
  <c r="G97" i="11"/>
  <c r="G99" i="11" s="1"/>
  <c r="AR16" i="11"/>
  <c r="AR22" i="11" s="1"/>
  <c r="E5" i="11"/>
  <c r="AQ22" i="11"/>
  <c r="E107" i="11"/>
  <c r="AP23" i="11" s="1"/>
  <c r="AP19" i="11"/>
  <c r="AH62" i="11"/>
  <c r="AI58" i="11"/>
  <c r="B97" i="11"/>
  <c r="B99" i="11" s="1"/>
  <c r="B100" i="11" s="1"/>
  <c r="AF5" i="11"/>
  <c r="AM19" i="11"/>
  <c r="AH76" i="11"/>
  <c r="AH103" i="11"/>
  <c r="AI76" i="11"/>
  <c r="AT23" i="11"/>
  <c r="C7" i="11"/>
  <c r="AU22" i="11"/>
  <c r="AU24" i="11" s="1"/>
  <c r="AP22" i="11"/>
  <c r="AN23" i="11"/>
  <c r="AO22" i="11"/>
  <c r="AO24" i="11" s="1"/>
  <c r="BG84" i="11" a="1"/>
  <c r="AH80" i="11"/>
  <c r="AI80" i="11"/>
  <c r="AG99" i="11"/>
  <c r="AH58" i="11"/>
  <c r="AF7" i="11"/>
  <c r="AI92" i="11"/>
  <c r="AH92" i="11"/>
  <c r="H107" i="11"/>
  <c r="H108" i="11" s="1"/>
  <c r="P107" i="11"/>
  <c r="AH102" i="11"/>
  <c r="C5" i="11"/>
  <c r="K5" i="11"/>
  <c r="S5" i="11"/>
  <c r="AM16" i="11"/>
  <c r="AM22" i="11" s="1"/>
  <c r="D7" i="11"/>
  <c r="L97" i="11"/>
  <c r="L99" i="11" s="1"/>
  <c r="T7" i="11"/>
  <c r="AB7" i="11"/>
  <c r="AI103" i="11"/>
  <c r="AI104" i="11"/>
  <c r="AH105" i="11"/>
  <c r="AI62" i="11"/>
  <c r="AH101" i="11"/>
  <c r="AL13" i="11"/>
  <c r="AN16" i="11"/>
  <c r="AN22" i="11" s="1"/>
  <c r="AN24" i="11" s="1"/>
  <c r="E97" i="11"/>
  <c r="E99" i="11" s="1"/>
  <c r="M97" i="11"/>
  <c r="M99" i="11" s="1"/>
  <c r="M100" i="11" s="1"/>
  <c r="M7" i="11" s="1"/>
  <c r="U7" i="11"/>
  <c r="AC7" i="11"/>
  <c r="F97" i="11"/>
  <c r="F99" i="11" s="1"/>
  <c r="N97" i="11"/>
  <c r="N99" i="11" s="1"/>
  <c r="V97" i="11"/>
  <c r="V99" i="11" s="1"/>
  <c r="V100" i="11" s="1"/>
  <c r="V7" i="11" s="1"/>
  <c r="AD7" i="11"/>
  <c r="D252" i="11"/>
  <c r="D118" i="11"/>
  <c r="E246" i="11"/>
  <c r="AX16" i="11"/>
  <c r="AZ75" i="11"/>
  <c r="F107" i="11"/>
  <c r="AQ23" i="11" s="1"/>
  <c r="N107" i="11"/>
  <c r="AV23" i="11" s="1"/>
  <c r="V107" i="11"/>
  <c r="V108" i="11" s="1"/>
  <c r="AH104" i="11"/>
  <c r="W246" i="12" l="1"/>
  <c r="W118" i="12" s="1"/>
  <c r="V252" i="12"/>
  <c r="R100" i="11"/>
  <c r="R7" i="11" s="1"/>
  <c r="AX22" i="11"/>
  <c r="AV24" i="11"/>
  <c r="O108" i="11"/>
  <c r="AW24" i="11"/>
  <c r="M108" i="11"/>
  <c r="L100" i="11"/>
  <c r="L7" i="11" s="1"/>
  <c r="K100" i="11"/>
  <c r="K7" i="11" s="1"/>
  <c r="AT24" i="11"/>
  <c r="Q100" i="11"/>
  <c r="Q7" i="11" s="1"/>
  <c r="AE7" i="11"/>
  <c r="N108" i="11"/>
  <c r="O100" i="11"/>
  <c r="O7" i="11" s="1"/>
  <c r="J100" i="11"/>
  <c r="J7" i="11" s="1"/>
  <c r="I100" i="11"/>
  <c r="I7" i="11" s="1"/>
  <c r="I108" i="11"/>
  <c r="AS24" i="11"/>
  <c r="H100" i="11"/>
  <c r="H7" i="11" s="1"/>
  <c r="AR24" i="11"/>
  <c r="G100" i="11"/>
  <c r="G7" i="11" s="1"/>
  <c r="G108" i="11"/>
  <c r="AQ24" i="11"/>
  <c r="AP24" i="11"/>
  <c r="E100" i="11"/>
  <c r="E7" i="11" s="1"/>
  <c r="E108" i="11"/>
  <c r="F246" i="11"/>
  <c r="E252" i="11"/>
  <c r="E118" i="11"/>
  <c r="F108" i="11"/>
  <c r="AI107" i="11"/>
  <c r="AH107" i="11"/>
  <c r="AM23" i="11"/>
  <c r="AM24" i="11" s="1"/>
  <c r="X7" i="11"/>
  <c r="AI97" i="11"/>
  <c r="AH97" i="11"/>
  <c r="B256" i="11"/>
  <c r="BJ107" i="11"/>
  <c r="BH106" i="11"/>
  <c r="BL104" i="11"/>
  <c r="BJ103" i="11"/>
  <c r="BH102" i="11"/>
  <c r="BL100" i="11"/>
  <c r="BJ99" i="11"/>
  <c r="BH98" i="11"/>
  <c r="BL96" i="11"/>
  <c r="BJ95" i="11"/>
  <c r="BH94" i="11"/>
  <c r="BL92" i="11"/>
  <c r="BJ91" i="11"/>
  <c r="BH90" i="11"/>
  <c r="BL88" i="11"/>
  <c r="BJ87" i="11"/>
  <c r="BH86" i="11"/>
  <c r="BL84" i="11"/>
  <c r="BI107" i="11"/>
  <c r="BG106" i="11"/>
  <c r="BK104" i="11"/>
  <c r="BI103" i="11"/>
  <c r="BG102" i="11"/>
  <c r="BK100" i="11"/>
  <c r="BI99" i="11"/>
  <c r="BG98" i="11"/>
  <c r="BK96" i="11"/>
  <c r="BI95" i="11"/>
  <c r="BG94" i="11"/>
  <c r="BK92" i="11"/>
  <c r="BI91" i="11"/>
  <c r="BG90" i="11"/>
  <c r="BK88" i="11"/>
  <c r="BI87" i="11"/>
  <c r="BG86" i="11"/>
  <c r="BK84" i="11"/>
  <c r="BH107" i="11"/>
  <c r="BL105" i="11"/>
  <c r="BJ104" i="11"/>
  <c r="BH103" i="11"/>
  <c r="BL101" i="11"/>
  <c r="BJ100" i="11"/>
  <c r="BH99" i="11"/>
  <c r="BL97" i="11"/>
  <c r="BJ96" i="11"/>
  <c r="BH95" i="11"/>
  <c r="BL93" i="11"/>
  <c r="BJ92" i="11"/>
  <c r="BH91" i="11"/>
  <c r="BL89" i="11"/>
  <c r="BJ88" i="11"/>
  <c r="BH87" i="11"/>
  <c r="BL85" i="11"/>
  <c r="BJ84" i="11"/>
  <c r="BG107" i="11"/>
  <c r="BK105" i="11"/>
  <c r="BI104" i="11"/>
  <c r="BG103" i="11"/>
  <c r="BK101" i="11"/>
  <c r="BI100" i="11"/>
  <c r="BG99" i="11"/>
  <c r="BK97" i="11"/>
  <c r="BI96" i="11"/>
  <c r="BG95" i="11"/>
  <c r="BK93" i="11"/>
  <c r="BI92" i="11"/>
  <c r="BG91" i="11"/>
  <c r="BK89" i="11"/>
  <c r="BI88" i="11"/>
  <c r="BG87" i="11"/>
  <c r="BK85" i="11"/>
  <c r="BI84" i="11"/>
  <c r="BL107" i="11"/>
  <c r="BJ106" i="11"/>
  <c r="BH105" i="11"/>
  <c r="BL103" i="11"/>
  <c r="BJ102" i="11"/>
  <c r="BH101" i="11"/>
  <c r="BL99" i="11"/>
  <c r="BJ98" i="11"/>
  <c r="BH97" i="11"/>
  <c r="BL95" i="11"/>
  <c r="BJ94" i="11"/>
  <c r="BH93" i="11"/>
  <c r="BL91" i="11"/>
  <c r="BJ90" i="11"/>
  <c r="BH89" i="11"/>
  <c r="BL87" i="11"/>
  <c r="BJ86" i="11"/>
  <c r="BH85" i="11"/>
  <c r="BI106" i="11"/>
  <c r="BK102" i="11"/>
  <c r="BL98" i="11"/>
  <c r="BK95" i="11"/>
  <c r="BG92" i="11"/>
  <c r="BH88" i="11"/>
  <c r="BG85" i="11"/>
  <c r="BJ105" i="11"/>
  <c r="BI102" i="11"/>
  <c r="BK98" i="11"/>
  <c r="BL94" i="11"/>
  <c r="BK91" i="11"/>
  <c r="BG88" i="11"/>
  <c r="BH84" i="11"/>
  <c r="BH100" i="11"/>
  <c r="BJ89" i="11"/>
  <c r="BI105" i="11"/>
  <c r="BJ101" i="11"/>
  <c r="BI98" i="11"/>
  <c r="BK94" i="11"/>
  <c r="BL90" i="11"/>
  <c r="BK87" i="11"/>
  <c r="BG84" i="11"/>
  <c r="BK86" i="11"/>
  <c r="BI93" i="11"/>
  <c r="BG105" i="11"/>
  <c r="BI101" i="11"/>
  <c r="BJ97" i="11"/>
  <c r="BI94" i="11"/>
  <c r="BK90" i="11"/>
  <c r="BL86" i="11"/>
  <c r="BH104" i="11"/>
  <c r="BG101" i="11"/>
  <c r="BI97" i="11"/>
  <c r="BJ93" i="11"/>
  <c r="BI90" i="11"/>
  <c r="BG104" i="11"/>
  <c r="BL106" i="11"/>
  <c r="BK103" i="11"/>
  <c r="BG100" i="11"/>
  <c r="BH96" i="11"/>
  <c r="BG93" i="11"/>
  <c r="BI89" i="11"/>
  <c r="BJ85" i="11"/>
  <c r="BK107" i="11"/>
  <c r="BG97" i="11"/>
  <c r="BI86" i="11"/>
  <c r="BK106" i="11"/>
  <c r="BL102" i="11"/>
  <c r="BK99" i="11"/>
  <c r="BG96" i="11"/>
  <c r="BH92" i="11"/>
  <c r="BG89" i="11"/>
  <c r="BI85" i="11"/>
  <c r="N100" i="11"/>
  <c r="N7" i="11" s="1"/>
  <c r="AT8" i="11"/>
  <c r="P108" i="11"/>
  <c r="AX23" i="11"/>
  <c r="C256" i="11"/>
  <c r="F100" i="11"/>
  <c r="F7" i="11" s="1"/>
  <c r="X246" i="12" l="1"/>
  <c r="X118" i="12" s="1"/>
  <c r="W252" i="12"/>
  <c r="AX24" i="11"/>
  <c r="AH108" i="11"/>
  <c r="AI108" i="11"/>
  <c r="K6" i="11"/>
  <c r="AT9" i="11"/>
  <c r="AH99" i="11"/>
  <c r="AI99" i="11"/>
  <c r="G246" i="11"/>
  <c r="F252" i="11"/>
  <c r="F118" i="11"/>
  <c r="Y246" i="12" l="1"/>
  <c r="Y118" i="12" s="1"/>
  <c r="X252" i="12"/>
  <c r="H246" i="11"/>
  <c r="G118" i="11"/>
  <c r="G252" i="11"/>
  <c r="AI100" i="11"/>
  <c r="B7" i="11"/>
  <c r="A7" i="11" s="1"/>
  <c r="AH100" i="11"/>
  <c r="Y252" i="12" l="1"/>
  <c r="Z246" i="12"/>
  <c r="Z118" i="12" s="1"/>
  <c r="I246" i="11"/>
  <c r="H252" i="11"/>
  <c r="H118" i="11"/>
  <c r="Z252" i="12" l="1"/>
  <c r="AA246" i="12"/>
  <c r="AA118" i="12" s="1"/>
  <c r="I252" i="11"/>
  <c r="I118" i="11"/>
  <c r="J246" i="11"/>
  <c r="AA252" i="12" l="1"/>
  <c r="AB246" i="12"/>
  <c r="J252" i="11"/>
  <c r="J118" i="11"/>
  <c r="K246" i="11"/>
  <c r="AB252" i="12" l="1"/>
  <c r="AB118" i="12"/>
  <c r="AC246" i="12"/>
  <c r="K252" i="11"/>
  <c r="K118" i="11"/>
  <c r="L246" i="11"/>
  <c r="AF127" i="10"/>
  <c r="AF123" i="10"/>
  <c r="AF57" i="10"/>
  <c r="AF58" i="10"/>
  <c r="AF62" i="10"/>
  <c r="AF76" i="10"/>
  <c r="AF80" i="10"/>
  <c r="AF92" i="10"/>
  <c r="AF101" i="10"/>
  <c r="AF102" i="10"/>
  <c r="AF103" i="10"/>
  <c r="AF104" i="10"/>
  <c r="AF105" i="10"/>
  <c r="AF118" i="10"/>
  <c r="AC118" i="12" l="1"/>
  <c r="AC252" i="12"/>
  <c r="AD246" i="12"/>
  <c r="L252" i="11"/>
  <c r="L118" i="11"/>
  <c r="M246" i="11"/>
  <c r="AF107" i="10"/>
  <c r="AF108" i="10" s="1"/>
  <c r="AF97" i="10"/>
  <c r="AF99" i="10" s="1"/>
  <c r="AE123" i="10"/>
  <c r="AE57" i="10"/>
  <c r="AE58" i="10"/>
  <c r="AE62" i="10"/>
  <c r="AE76" i="10"/>
  <c r="AE80" i="10"/>
  <c r="AE92" i="10"/>
  <c r="AE101" i="10"/>
  <c r="AE102" i="10"/>
  <c r="AE103" i="10"/>
  <c r="AE107" i="10" s="1"/>
  <c r="AE104" i="10"/>
  <c r="AE105" i="10"/>
  <c r="AE118" i="10"/>
  <c r="AD123" i="10"/>
  <c r="AD121" i="10"/>
  <c r="AD57" i="10"/>
  <c r="AC123" i="10"/>
  <c r="AC121" i="10"/>
  <c r="AC57" i="10"/>
  <c r="AE246" i="12" l="1"/>
  <c r="AD252" i="12"/>
  <c r="AD118" i="12"/>
  <c r="N246" i="11"/>
  <c r="M118" i="11"/>
  <c r="M252" i="11"/>
  <c r="AF100" i="10"/>
  <c r="AE108" i="10"/>
  <c r="AE97" i="10"/>
  <c r="AE99" i="10" s="1"/>
  <c r="AE100" i="10" s="1"/>
  <c r="AB123" i="10"/>
  <c r="AB121" i="10"/>
  <c r="AB57" i="10"/>
  <c r="AA123" i="10"/>
  <c r="AF246" i="12" l="1"/>
  <c r="AE252" i="12"/>
  <c r="AE118" i="12"/>
  <c r="O246" i="11"/>
  <c r="N252" i="11"/>
  <c r="N118" i="11"/>
  <c r="AF252" i="12" l="1"/>
  <c r="AF118" i="12"/>
  <c r="B246" i="12"/>
  <c r="B118" i="12" s="1"/>
  <c r="P246" i="11"/>
  <c r="O252" i="11"/>
  <c r="O118" i="11"/>
  <c r="B252" i="12" l="1"/>
  <c r="Q246" i="11"/>
  <c r="P252" i="11"/>
  <c r="AH118" i="12" l="1"/>
  <c r="AI118" i="12"/>
  <c r="Q252" i="11"/>
  <c r="Q118" i="11"/>
  <c r="R246" i="11"/>
  <c r="R252" i="11" l="1"/>
  <c r="R118" i="11"/>
  <c r="S246" i="11"/>
  <c r="S252" i="11" l="1"/>
  <c r="T246" i="11"/>
  <c r="T252" i="11" l="1"/>
  <c r="U246" i="11"/>
  <c r="V246" i="11" l="1"/>
  <c r="U252" i="11"/>
  <c r="W246" i="11" l="1"/>
  <c r="V252" i="11"/>
  <c r="V118" i="11"/>
  <c r="X246" i="11" l="1"/>
  <c r="W252" i="11"/>
  <c r="Y246" i="11" l="1"/>
  <c r="X252" i="11"/>
  <c r="Y252" i="11" l="1"/>
  <c r="Z246" i="11"/>
  <c r="Z252" i="11" l="1"/>
  <c r="AA246" i="11"/>
  <c r="AA252" i="11" l="1"/>
  <c r="AB246" i="11"/>
  <c r="AB252" i="11" l="1"/>
  <c r="AC246" i="11"/>
  <c r="AD246" i="11" l="1"/>
  <c r="AC252" i="11"/>
  <c r="AE246" i="11" l="1"/>
  <c r="AD252" i="11"/>
  <c r="AF246" i="11" l="1"/>
  <c r="AE252" i="11"/>
  <c r="AF252" i="11" l="1"/>
  <c r="B246" i="11"/>
  <c r="B118" i="11" s="1"/>
  <c r="B252" i="11" l="1"/>
  <c r="AI118" i="11" l="1"/>
  <c r="AH118" i="11"/>
  <c r="Z123" i="10" l="1"/>
  <c r="Y123" i="10"/>
  <c r="X123" i="10"/>
  <c r="W123" i="10"/>
  <c r="V123" i="10"/>
  <c r="V57" i="10"/>
  <c r="U123" i="10"/>
  <c r="U57" i="10"/>
  <c r="T123" i="10"/>
  <c r="T57" i="10"/>
  <c r="S123" i="10"/>
  <c r="S57" i="10"/>
  <c r="R123" i="10" l="1"/>
  <c r="Q123" i="10"/>
  <c r="R57" i="10"/>
  <c r="Q57" i="10"/>
  <c r="P123" i="10" l="1"/>
  <c r="P57" i="10"/>
  <c r="O123" i="10"/>
  <c r="O57" i="10"/>
  <c r="O58" i="10"/>
  <c r="O62" i="10"/>
  <c r="N123" i="10"/>
  <c r="N57" i="10"/>
  <c r="M123" i="10"/>
  <c r="M57" i="10"/>
  <c r="L123" i="10"/>
  <c r="L57" i="10"/>
  <c r="K123" i="10"/>
  <c r="K57" i="10"/>
  <c r="J123" i="10"/>
  <c r="J57" i="10"/>
  <c r="I123" i="10"/>
  <c r="H123" i="10"/>
  <c r="H57" i="10"/>
  <c r="I57" i="10"/>
  <c r="G123" i="10"/>
  <c r="G57" i="10"/>
  <c r="F123" i="10" l="1"/>
  <c r="F57" i="10"/>
  <c r="E123" i="10"/>
  <c r="E57" i="10"/>
  <c r="D123" i="10"/>
  <c r="D58" i="10"/>
  <c r="AO16" i="10" s="1"/>
  <c r="D62" i="10"/>
  <c r="AO17" i="10" s="1"/>
  <c r="D76" i="10"/>
  <c r="AO18" i="10" s="1"/>
  <c r="D80" i="10"/>
  <c r="D92" i="10"/>
  <c r="AO19" i="10" s="1"/>
  <c r="D101" i="10"/>
  <c r="D102" i="10"/>
  <c r="D103" i="10"/>
  <c r="D104" i="10"/>
  <c r="D105" i="10"/>
  <c r="AI123" i="10"/>
  <c r="C123" i="10"/>
  <c r="C58" i="10"/>
  <c r="C62" i="10"/>
  <c r="C76" i="10"/>
  <c r="C80" i="10"/>
  <c r="AN20" i="10" s="1"/>
  <c r="C92" i="10"/>
  <c r="C101" i="10"/>
  <c r="C102" i="10"/>
  <c r="C103" i="10"/>
  <c r="C104" i="10"/>
  <c r="C105" i="10"/>
  <c r="C118" i="10"/>
  <c r="B123" i="10"/>
  <c r="B105" i="10"/>
  <c r="B104" i="10"/>
  <c r="B103" i="10"/>
  <c r="B102" i="10"/>
  <c r="B101" i="10"/>
  <c r="B92" i="10"/>
  <c r="B80" i="10"/>
  <c r="AM20" i="10" s="1"/>
  <c r="B76" i="10"/>
  <c r="B62" i="10"/>
  <c r="AM17" i="10" s="1"/>
  <c r="B58" i="10"/>
  <c r="AM16" i="10" s="1"/>
  <c r="AG252" i="10"/>
  <c r="C252" i="10"/>
  <c r="E251" i="10"/>
  <c r="F251" i="10" s="1"/>
  <c r="G251" i="10" s="1"/>
  <c r="H251" i="10" s="1"/>
  <c r="I251" i="10" s="1"/>
  <c r="J251" i="10" s="1"/>
  <c r="K251" i="10" s="1"/>
  <c r="L251" i="10" s="1"/>
  <c r="M251" i="10" s="1"/>
  <c r="N251" i="10" s="1"/>
  <c r="O251" i="10" s="1"/>
  <c r="P251" i="10" s="1"/>
  <c r="Q251" i="10" s="1"/>
  <c r="R251" i="10" s="1"/>
  <c r="S251" i="10" s="1"/>
  <c r="T251" i="10" s="1"/>
  <c r="U251" i="10" s="1"/>
  <c r="V251" i="10" s="1"/>
  <c r="W251" i="10" s="1"/>
  <c r="X251" i="10" s="1"/>
  <c r="Y251" i="10" s="1"/>
  <c r="Z251" i="10" s="1"/>
  <c r="AA251" i="10" s="1"/>
  <c r="AB251" i="10" s="1"/>
  <c r="AC251" i="10" s="1"/>
  <c r="AD251" i="10" s="1"/>
  <c r="AE251" i="10" s="1"/>
  <c r="AF251" i="10" s="1"/>
  <c r="B251" i="10" s="1"/>
  <c r="D251" i="10"/>
  <c r="D250" i="10"/>
  <c r="E250" i="10" s="1"/>
  <c r="F250" i="10" s="1"/>
  <c r="G250" i="10" s="1"/>
  <c r="H250" i="10" s="1"/>
  <c r="I250" i="10" s="1"/>
  <c r="J250" i="10" s="1"/>
  <c r="K250" i="10" s="1"/>
  <c r="L250" i="10" s="1"/>
  <c r="M250" i="10" s="1"/>
  <c r="N250" i="10" s="1"/>
  <c r="O250" i="10" s="1"/>
  <c r="P250" i="10" s="1"/>
  <c r="Q250" i="10" s="1"/>
  <c r="R250" i="10" s="1"/>
  <c r="S250" i="10" s="1"/>
  <c r="T250" i="10" s="1"/>
  <c r="U250" i="10" s="1"/>
  <c r="V250" i="10" s="1"/>
  <c r="W250" i="10" s="1"/>
  <c r="X250" i="10" s="1"/>
  <c r="Y250" i="10" s="1"/>
  <c r="Z250" i="10" s="1"/>
  <c r="AA250" i="10" s="1"/>
  <c r="AB250" i="10" s="1"/>
  <c r="AC250" i="10" s="1"/>
  <c r="AD250" i="10" s="1"/>
  <c r="AE250" i="10" s="1"/>
  <c r="AF250" i="10" s="1"/>
  <c r="B250" i="10" s="1"/>
  <c r="D249" i="10"/>
  <c r="E249" i="10" s="1"/>
  <c r="F249" i="10" s="1"/>
  <c r="G249" i="10" s="1"/>
  <c r="H249" i="10" s="1"/>
  <c r="I249" i="10" s="1"/>
  <c r="J249" i="10" s="1"/>
  <c r="K249" i="10" s="1"/>
  <c r="L249" i="10" s="1"/>
  <c r="M249" i="10" s="1"/>
  <c r="N249" i="10" s="1"/>
  <c r="O249" i="10" s="1"/>
  <c r="P249" i="10" s="1"/>
  <c r="Q249" i="10" s="1"/>
  <c r="R249" i="10" s="1"/>
  <c r="S249" i="10" s="1"/>
  <c r="T249" i="10" s="1"/>
  <c r="U249" i="10" s="1"/>
  <c r="V249" i="10" s="1"/>
  <c r="W249" i="10" s="1"/>
  <c r="X249" i="10" s="1"/>
  <c r="Y249" i="10" s="1"/>
  <c r="Z249" i="10" s="1"/>
  <c r="AA249" i="10" s="1"/>
  <c r="AB249" i="10" s="1"/>
  <c r="AC249" i="10" s="1"/>
  <c r="AD249" i="10" s="1"/>
  <c r="AE249" i="10" s="1"/>
  <c r="AF249" i="10" s="1"/>
  <c r="B249" i="10" s="1"/>
  <c r="H248" i="10"/>
  <c r="I248" i="10" s="1"/>
  <c r="J248" i="10" s="1"/>
  <c r="K248" i="10" s="1"/>
  <c r="L248" i="10" s="1"/>
  <c r="M248" i="10" s="1"/>
  <c r="N248" i="10" s="1"/>
  <c r="O248" i="10" s="1"/>
  <c r="P248" i="10" s="1"/>
  <c r="Q248" i="10" s="1"/>
  <c r="R248" i="10" s="1"/>
  <c r="S248" i="10" s="1"/>
  <c r="T248" i="10" s="1"/>
  <c r="U248" i="10" s="1"/>
  <c r="V248" i="10" s="1"/>
  <c r="W248" i="10" s="1"/>
  <c r="X248" i="10" s="1"/>
  <c r="Y248" i="10" s="1"/>
  <c r="Z248" i="10" s="1"/>
  <c r="AA248" i="10" s="1"/>
  <c r="AB248" i="10" s="1"/>
  <c r="AC248" i="10" s="1"/>
  <c r="AD248" i="10" s="1"/>
  <c r="AE248" i="10" s="1"/>
  <c r="AF248" i="10" s="1"/>
  <c r="B248" i="10" s="1"/>
  <c r="D248" i="10"/>
  <c r="E248" i="10" s="1"/>
  <c r="F248" i="10" s="1"/>
  <c r="G248" i="10" s="1"/>
  <c r="E247" i="10"/>
  <c r="F247" i="10" s="1"/>
  <c r="G247" i="10" s="1"/>
  <c r="H247" i="10" s="1"/>
  <c r="I247" i="10" s="1"/>
  <c r="J247" i="10" s="1"/>
  <c r="K247" i="10" s="1"/>
  <c r="L247" i="10" s="1"/>
  <c r="M247" i="10" s="1"/>
  <c r="N247" i="10" s="1"/>
  <c r="O247" i="10" s="1"/>
  <c r="P247" i="10" s="1"/>
  <c r="Q247" i="10" s="1"/>
  <c r="R247" i="10" s="1"/>
  <c r="S247" i="10" s="1"/>
  <c r="T247" i="10" s="1"/>
  <c r="U247" i="10" s="1"/>
  <c r="V247" i="10" s="1"/>
  <c r="W247" i="10" s="1"/>
  <c r="X247" i="10" s="1"/>
  <c r="Y247" i="10" s="1"/>
  <c r="Z247" i="10" s="1"/>
  <c r="AA247" i="10" s="1"/>
  <c r="AB247" i="10" s="1"/>
  <c r="AC247" i="10" s="1"/>
  <c r="AD247" i="10" s="1"/>
  <c r="AE247" i="10" s="1"/>
  <c r="AF247" i="10" s="1"/>
  <c r="B247" i="10" s="1"/>
  <c r="D247" i="10"/>
  <c r="D246" i="10"/>
  <c r="AG244" i="10"/>
  <c r="AF244" i="10"/>
  <c r="AE244" i="10"/>
  <c r="AD244" i="10"/>
  <c r="AC244" i="10"/>
  <c r="AB244" i="10"/>
  <c r="AA244" i="10"/>
  <c r="Z244" i="10"/>
  <c r="Z118" i="10" s="1"/>
  <c r="Y244" i="10"/>
  <c r="Y118" i="10" s="1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I130" i="10"/>
  <c r="AH130" i="10"/>
  <c r="AI129" i="10"/>
  <c r="AH129" i="10"/>
  <c r="AI128" i="10"/>
  <c r="AH128" i="10"/>
  <c r="AI127" i="10"/>
  <c r="AH127" i="10"/>
  <c r="AI126" i="10"/>
  <c r="AH126" i="10"/>
  <c r="AI122" i="10"/>
  <c r="AH122" i="10"/>
  <c r="AI121" i="10"/>
  <c r="AH121" i="10"/>
  <c r="AI120" i="10"/>
  <c r="AH120" i="10"/>
  <c r="AI119" i="10"/>
  <c r="AH119" i="10"/>
  <c r="AI117" i="10"/>
  <c r="AH117" i="10"/>
  <c r="AI116" i="10"/>
  <c r="AH116" i="10"/>
  <c r="AI115" i="10"/>
  <c r="AH115" i="10"/>
  <c r="AI114" i="10"/>
  <c r="AH114" i="10"/>
  <c r="AI113" i="10"/>
  <c r="AH113" i="10"/>
  <c r="AI112" i="10"/>
  <c r="AH112" i="10"/>
  <c r="AI111" i="10"/>
  <c r="AH111" i="10"/>
  <c r="AI110" i="10"/>
  <c r="AH110" i="10"/>
  <c r="AI109" i="10"/>
  <c r="AH109" i="10"/>
  <c r="AI106" i="10"/>
  <c r="AH106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AD101" i="10"/>
  <c r="AC101" i="10"/>
  <c r="AB101" i="10"/>
  <c r="AA101" i="10"/>
  <c r="Z101" i="10"/>
  <c r="Y101" i="10"/>
  <c r="X101" i="10"/>
  <c r="W101" i="10"/>
  <c r="W107" i="10" s="1"/>
  <c r="V101" i="10"/>
  <c r="U101" i="10"/>
  <c r="U107" i="10" s="1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G107" i="10" s="1"/>
  <c r="AR23" i="10" s="1"/>
  <c r="F101" i="10"/>
  <c r="E101" i="10"/>
  <c r="E107" i="10" s="1"/>
  <c r="AP23" i="10" s="1"/>
  <c r="AI98" i="10"/>
  <c r="AH98" i="10"/>
  <c r="AI96" i="10"/>
  <c r="AH96" i="10"/>
  <c r="AG96" i="10"/>
  <c r="AI95" i="10"/>
  <c r="AH95" i="10"/>
  <c r="AI94" i="10"/>
  <c r="AH94" i="10"/>
  <c r="AI93" i="10"/>
  <c r="AH93" i="10"/>
  <c r="AG92" i="10"/>
  <c r="AE5" i="10"/>
  <c r="AD92" i="10"/>
  <c r="AC5" i="10" s="1"/>
  <c r="AC92" i="10"/>
  <c r="AB5" i="10" s="1"/>
  <c r="AB92" i="10"/>
  <c r="AA5" i="10" s="1"/>
  <c r="AA92" i="10"/>
  <c r="Z92" i="10"/>
  <c r="Y5" i="10" s="1"/>
  <c r="Y92" i="10"/>
  <c r="X5" i="10" s="1"/>
  <c r="X92" i="10"/>
  <c r="W5" i="10" s="1"/>
  <c r="W92" i="10"/>
  <c r="W108" i="10" s="1"/>
  <c r="V92" i="10"/>
  <c r="U5" i="10" s="1"/>
  <c r="U92" i="10"/>
  <c r="T5" i="10" s="1"/>
  <c r="T92" i="10"/>
  <c r="S5" i="10" s="1"/>
  <c r="S92" i="10"/>
  <c r="R92" i="10"/>
  <c r="Q5" i="10" s="1"/>
  <c r="Q92" i="10"/>
  <c r="P5" i="10" s="1"/>
  <c r="P92" i="10"/>
  <c r="AX19" i="10" s="1"/>
  <c r="O92" i="10"/>
  <c r="N92" i="10"/>
  <c r="AV19" i="10" s="1"/>
  <c r="M92" i="10"/>
  <c r="L5" i="10" s="1"/>
  <c r="L92" i="10"/>
  <c r="K5" i="10" s="1"/>
  <c r="K92" i="10"/>
  <c r="AT19" i="10" s="1"/>
  <c r="J92" i="10"/>
  <c r="I5" i="10" s="1"/>
  <c r="I92" i="10"/>
  <c r="H92" i="10"/>
  <c r="G5" i="10" s="1"/>
  <c r="G92" i="10"/>
  <c r="F5" i="10" s="1"/>
  <c r="F92" i="10"/>
  <c r="E5" i="10" s="1"/>
  <c r="E92" i="10"/>
  <c r="AP19" i="10" s="1"/>
  <c r="AI91" i="10"/>
  <c r="AH91" i="10"/>
  <c r="AI90" i="10"/>
  <c r="AH90" i="10"/>
  <c r="AI89" i="10"/>
  <c r="AH89" i="10"/>
  <c r="AI88" i="10"/>
  <c r="AH88" i="10"/>
  <c r="AI87" i="10"/>
  <c r="AH87" i="10"/>
  <c r="AI86" i="10"/>
  <c r="AH86" i="10"/>
  <c r="AI85" i="10"/>
  <c r="AH85" i="10"/>
  <c r="AI84" i="10"/>
  <c r="AH84" i="10"/>
  <c r="AI83" i="10"/>
  <c r="AH83" i="10"/>
  <c r="AI82" i="10"/>
  <c r="AH82" i="10"/>
  <c r="AI81" i="10"/>
  <c r="AH81" i="10"/>
  <c r="AG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AV20" i="10" s="1"/>
  <c r="M80" i="10"/>
  <c r="AU20" i="10" s="1"/>
  <c r="L80" i="10"/>
  <c r="K80" i="10"/>
  <c r="AT20" i="10" s="1"/>
  <c r="J80" i="10"/>
  <c r="I80" i="10"/>
  <c r="H80" i="10"/>
  <c r="G80" i="10"/>
  <c r="F80" i="10"/>
  <c r="E80" i="10"/>
  <c r="AP20" i="10" s="1"/>
  <c r="AO20" i="10"/>
  <c r="AI79" i="10"/>
  <c r="AH79" i="10"/>
  <c r="AI78" i="10"/>
  <c r="AH78" i="10"/>
  <c r="AI77" i="10"/>
  <c r="AH77" i="10"/>
  <c r="BS76" i="10"/>
  <c r="BP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AX18" i="10" s="1"/>
  <c r="O76" i="10"/>
  <c r="N76" i="10"/>
  <c r="AV18" i="10" s="1"/>
  <c r="M76" i="10"/>
  <c r="AU18" i="10" s="1"/>
  <c r="L76" i="10"/>
  <c r="K76" i="10"/>
  <c r="J76" i="10"/>
  <c r="I76" i="10"/>
  <c r="H76" i="10"/>
  <c r="G76" i="10"/>
  <c r="AR18" i="10" s="1"/>
  <c r="F76" i="10"/>
  <c r="AQ18" i="10" s="1"/>
  <c r="E76" i="10"/>
  <c r="BN75" i="10"/>
  <c r="BJ75" i="10"/>
  <c r="AI75" i="10"/>
  <c r="AH75" i="10"/>
  <c r="AG75" i="10"/>
  <c r="AG76" i="10" s="1"/>
  <c r="AG3" i="10" s="1"/>
  <c r="AI74" i="10"/>
  <c r="AH74" i="10"/>
  <c r="BW73" i="10"/>
  <c r="BW80" i="10" s="1"/>
  <c r="BV73" i="10"/>
  <c r="BV80" i="10" s="1"/>
  <c r="BU73" i="10"/>
  <c r="BU80" i="10" s="1"/>
  <c r="BT73" i="10"/>
  <c r="BT80" i="10" s="1"/>
  <c r="BS73" i="10"/>
  <c r="BS80" i="10" s="1"/>
  <c r="BR73" i="10"/>
  <c r="BR80" i="10" s="1"/>
  <c r="BQ73" i="10"/>
  <c r="BQ80" i="10" s="1"/>
  <c r="BP73" i="10"/>
  <c r="BP80" i="10" s="1"/>
  <c r="BO73" i="10"/>
  <c r="BO80" i="10" s="1"/>
  <c r="BN73" i="10"/>
  <c r="BN80" i="10" s="1"/>
  <c r="BM73" i="10"/>
  <c r="BM80" i="10" s="1"/>
  <c r="BL73" i="10"/>
  <c r="BL80" i="10" s="1"/>
  <c r="BK73" i="10"/>
  <c r="BK80" i="10" s="1"/>
  <c r="BJ73" i="10"/>
  <c r="BJ80" i="10" s="1"/>
  <c r="BI73" i="10"/>
  <c r="BI80" i="10" s="1"/>
  <c r="BH73" i="10"/>
  <c r="BH80" i="10" s="1"/>
  <c r="BG73" i="10"/>
  <c r="BG80" i="10" s="1"/>
  <c r="BF73" i="10"/>
  <c r="BF80" i="10" s="1"/>
  <c r="BE73" i="10"/>
  <c r="BE80" i="10" s="1"/>
  <c r="BD73" i="10"/>
  <c r="BD80" i="10" s="1"/>
  <c r="BC73" i="10"/>
  <c r="BC80" i="10" s="1"/>
  <c r="BB73" i="10"/>
  <c r="BB80" i="10" s="1"/>
  <c r="BA73" i="10"/>
  <c r="BA80" i="10" s="1"/>
  <c r="AZ73" i="10"/>
  <c r="AZ80" i="10" s="1"/>
  <c r="AI73" i="10"/>
  <c r="AH73" i="10"/>
  <c r="BW72" i="10"/>
  <c r="BW79" i="10" s="1"/>
  <c r="BV72" i="10"/>
  <c r="BV79" i="10" s="1"/>
  <c r="BU72" i="10"/>
  <c r="BU79" i="10" s="1"/>
  <c r="BT72" i="10"/>
  <c r="BT79" i="10" s="1"/>
  <c r="BS72" i="10"/>
  <c r="BS79" i="10" s="1"/>
  <c r="BR72" i="10"/>
  <c r="BR79" i="10" s="1"/>
  <c r="BQ72" i="10"/>
  <c r="BQ79" i="10" s="1"/>
  <c r="BP72" i="10"/>
  <c r="BP79" i="10" s="1"/>
  <c r="BO72" i="10"/>
  <c r="BO79" i="10" s="1"/>
  <c r="BN72" i="10"/>
  <c r="BN79" i="10" s="1"/>
  <c r="BM72" i="10"/>
  <c r="BM79" i="10" s="1"/>
  <c r="BL72" i="10"/>
  <c r="BL79" i="10" s="1"/>
  <c r="BK72" i="10"/>
  <c r="BK79" i="10" s="1"/>
  <c r="BJ72" i="10"/>
  <c r="BJ79" i="10" s="1"/>
  <c r="BI72" i="10"/>
  <c r="BI79" i="10" s="1"/>
  <c r="BH72" i="10"/>
  <c r="BH79" i="10" s="1"/>
  <c r="BG72" i="10"/>
  <c r="BG79" i="10" s="1"/>
  <c r="BF72" i="10"/>
  <c r="BF79" i="10" s="1"/>
  <c r="BE72" i="10"/>
  <c r="BE79" i="10" s="1"/>
  <c r="BD72" i="10"/>
  <c r="BD79" i="10" s="1"/>
  <c r="BC72" i="10"/>
  <c r="BC79" i="10" s="1"/>
  <c r="BB72" i="10"/>
  <c r="BB79" i="10" s="1"/>
  <c r="BA72" i="10"/>
  <c r="BA79" i="10" s="1"/>
  <c r="AZ72" i="10"/>
  <c r="AZ79" i="10" s="1"/>
  <c r="AI72" i="10"/>
  <c r="AH72" i="10"/>
  <c r="BW71" i="10"/>
  <c r="BW78" i="10" s="1"/>
  <c r="BV71" i="10"/>
  <c r="BV78" i="10" s="1"/>
  <c r="BU71" i="10"/>
  <c r="BU78" i="10" s="1"/>
  <c r="BT71" i="10"/>
  <c r="BT78" i="10" s="1"/>
  <c r="BS71" i="10"/>
  <c r="BS78" i="10" s="1"/>
  <c r="BR71" i="10"/>
  <c r="BR78" i="10" s="1"/>
  <c r="BQ71" i="10"/>
  <c r="BQ78" i="10" s="1"/>
  <c r="BP71" i="10"/>
  <c r="BP78" i="10" s="1"/>
  <c r="BO71" i="10"/>
  <c r="BO78" i="10" s="1"/>
  <c r="BN71" i="10"/>
  <c r="BN78" i="10" s="1"/>
  <c r="BM71" i="10"/>
  <c r="BM78" i="10" s="1"/>
  <c r="BL71" i="10"/>
  <c r="BL78" i="10" s="1"/>
  <c r="BK71" i="10"/>
  <c r="BK78" i="10" s="1"/>
  <c r="BJ71" i="10"/>
  <c r="BJ78" i="10" s="1"/>
  <c r="BI71" i="10"/>
  <c r="BI78" i="10" s="1"/>
  <c r="BH71" i="10"/>
  <c r="BH78" i="10" s="1"/>
  <c r="BG71" i="10"/>
  <c r="BG78" i="10" s="1"/>
  <c r="BF71" i="10"/>
  <c r="BF78" i="10" s="1"/>
  <c r="BE71" i="10"/>
  <c r="BE78" i="10" s="1"/>
  <c r="BD71" i="10"/>
  <c r="BD78" i="10" s="1"/>
  <c r="BC71" i="10"/>
  <c r="BC78" i="10" s="1"/>
  <c r="BB71" i="10"/>
  <c r="BB78" i="10" s="1"/>
  <c r="BA71" i="10"/>
  <c r="BA78" i="10" s="1"/>
  <c r="AZ71" i="10"/>
  <c r="AZ78" i="10" s="1"/>
  <c r="AI71" i="10"/>
  <c r="AH71" i="10"/>
  <c r="BW70" i="10"/>
  <c r="BW77" i="10" s="1"/>
  <c r="BV70" i="10"/>
  <c r="BV77" i="10" s="1"/>
  <c r="BU70" i="10"/>
  <c r="BU77" i="10" s="1"/>
  <c r="BT70" i="10"/>
  <c r="BT77" i="10" s="1"/>
  <c r="BS70" i="10"/>
  <c r="BS77" i="10" s="1"/>
  <c r="BR70" i="10"/>
  <c r="BR77" i="10" s="1"/>
  <c r="BQ70" i="10"/>
  <c r="BQ77" i="10" s="1"/>
  <c r="BP70" i="10"/>
  <c r="BP77" i="10" s="1"/>
  <c r="BO70" i="10"/>
  <c r="BO77" i="10" s="1"/>
  <c r="BN70" i="10"/>
  <c r="BN77" i="10" s="1"/>
  <c r="BM70" i="10"/>
  <c r="BM77" i="10" s="1"/>
  <c r="BL70" i="10"/>
  <c r="BL77" i="10" s="1"/>
  <c r="BK70" i="10"/>
  <c r="BK77" i="10" s="1"/>
  <c r="BJ70" i="10"/>
  <c r="BJ77" i="10" s="1"/>
  <c r="BI70" i="10"/>
  <c r="BI77" i="10" s="1"/>
  <c r="BH70" i="10"/>
  <c r="BH77" i="10" s="1"/>
  <c r="BG70" i="10"/>
  <c r="BG77" i="10" s="1"/>
  <c r="BF70" i="10"/>
  <c r="BF77" i="10" s="1"/>
  <c r="BE70" i="10"/>
  <c r="BE77" i="10" s="1"/>
  <c r="BD70" i="10"/>
  <c r="BD77" i="10" s="1"/>
  <c r="BC70" i="10"/>
  <c r="BC77" i="10" s="1"/>
  <c r="BB70" i="10"/>
  <c r="BB77" i="10" s="1"/>
  <c r="BA70" i="10"/>
  <c r="BA77" i="10" s="1"/>
  <c r="AZ70" i="10"/>
  <c r="AZ77" i="10" s="1"/>
  <c r="AI70" i="10"/>
  <c r="AH70" i="10"/>
  <c r="BW69" i="10"/>
  <c r="BW76" i="10" s="1"/>
  <c r="BV69" i="10"/>
  <c r="BV76" i="10" s="1"/>
  <c r="BU69" i="10"/>
  <c r="BU76" i="10" s="1"/>
  <c r="BT69" i="10"/>
  <c r="BT76" i="10" s="1"/>
  <c r="BS69" i="10"/>
  <c r="BR69" i="10"/>
  <c r="BR76" i="10" s="1"/>
  <c r="BQ69" i="10"/>
  <c r="BQ76" i="10" s="1"/>
  <c r="BP69" i="10"/>
  <c r="BO69" i="10"/>
  <c r="BO76" i="10" s="1"/>
  <c r="BN69" i="10"/>
  <c r="BN76" i="10" s="1"/>
  <c r="BM69" i="10"/>
  <c r="BM76" i="10" s="1"/>
  <c r="BL69" i="10"/>
  <c r="BL76" i="10" s="1"/>
  <c r="BK69" i="10"/>
  <c r="BK76" i="10" s="1"/>
  <c r="BJ69" i="10"/>
  <c r="BJ76" i="10" s="1"/>
  <c r="BI69" i="10"/>
  <c r="BI76" i="10" s="1"/>
  <c r="BH69" i="10"/>
  <c r="BH76" i="10" s="1"/>
  <c r="BG69" i="10"/>
  <c r="BG76" i="10" s="1"/>
  <c r="BF69" i="10"/>
  <c r="BF76" i="10" s="1"/>
  <c r="BE69" i="10"/>
  <c r="BE76" i="10" s="1"/>
  <c r="BD69" i="10"/>
  <c r="BD76" i="10" s="1"/>
  <c r="BC69" i="10"/>
  <c r="BC76" i="10" s="1"/>
  <c r="BB69" i="10"/>
  <c r="BB76" i="10" s="1"/>
  <c r="BA69" i="10"/>
  <c r="BA76" i="10" s="1"/>
  <c r="AZ69" i="10"/>
  <c r="AZ76" i="10" s="1"/>
  <c r="AI69" i="10"/>
  <c r="AH69" i="10"/>
  <c r="BW68" i="10"/>
  <c r="BW75" i="10" s="1"/>
  <c r="BV68" i="10"/>
  <c r="BV75" i="10" s="1"/>
  <c r="BU68" i="10"/>
  <c r="BU75" i="10" s="1"/>
  <c r="BT68" i="10"/>
  <c r="BT75" i="10" s="1"/>
  <c r="BS68" i="10"/>
  <c r="BS75" i="10" s="1"/>
  <c r="BR68" i="10"/>
  <c r="BR75" i="10" s="1"/>
  <c r="BQ68" i="10"/>
  <c r="BQ75" i="10" s="1"/>
  <c r="BP68" i="10"/>
  <c r="BP75" i="10" s="1"/>
  <c r="BO68" i="10"/>
  <c r="BO75" i="10" s="1"/>
  <c r="BN68" i="10"/>
  <c r="BM68" i="10"/>
  <c r="BM75" i="10" s="1"/>
  <c r="BL68" i="10"/>
  <c r="BL75" i="10" s="1"/>
  <c r="BK68" i="10"/>
  <c r="BK75" i="10" s="1"/>
  <c r="BJ68" i="10"/>
  <c r="BI68" i="10"/>
  <c r="BI75" i="10" s="1"/>
  <c r="BH68" i="10"/>
  <c r="BH75" i="10" s="1"/>
  <c r="BG68" i="10"/>
  <c r="BG75" i="10" s="1"/>
  <c r="BF68" i="10"/>
  <c r="BF75" i="10" s="1"/>
  <c r="BE68" i="10"/>
  <c r="BE75" i="10" s="1"/>
  <c r="BD68" i="10"/>
  <c r="BD75" i="10" s="1"/>
  <c r="BC68" i="10"/>
  <c r="BC75" i="10" s="1"/>
  <c r="BB68" i="10"/>
  <c r="BB75" i="10" s="1"/>
  <c r="BA68" i="10"/>
  <c r="BA75" i="10" s="1"/>
  <c r="AZ68" i="10"/>
  <c r="AZ75" i="10" s="1"/>
  <c r="AI68" i="10"/>
  <c r="AH68" i="10"/>
  <c r="AI67" i="10"/>
  <c r="AH67" i="10"/>
  <c r="AI66" i="10"/>
  <c r="AH66" i="10"/>
  <c r="AI65" i="10"/>
  <c r="AH65" i="10"/>
  <c r="AI64" i="10"/>
  <c r="AH64" i="10"/>
  <c r="AI63" i="10"/>
  <c r="AH63" i="10"/>
  <c r="AG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AX17" i="10" s="1"/>
  <c r="AW17" i="10"/>
  <c r="N62" i="10"/>
  <c r="AV17" i="10" s="1"/>
  <c r="M62" i="10"/>
  <c r="AU17" i="10" s="1"/>
  <c r="L62" i="10"/>
  <c r="K62" i="10"/>
  <c r="AT17" i="10" s="1"/>
  <c r="J62" i="10"/>
  <c r="I62" i="10"/>
  <c r="AS17" i="10" s="1"/>
  <c r="H62" i="10"/>
  <c r="G62" i="10"/>
  <c r="AR17" i="10" s="1"/>
  <c r="F62" i="10"/>
  <c r="AQ17" i="10" s="1"/>
  <c r="E62" i="10"/>
  <c r="AP17" i="10" s="1"/>
  <c r="AI61" i="10"/>
  <c r="AH61" i="10"/>
  <c r="AI60" i="10"/>
  <c r="AH60" i="10"/>
  <c r="AI59" i="10"/>
  <c r="AH59" i="10"/>
  <c r="AG58" i="10"/>
  <c r="AG2" i="10" s="1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N58" i="10"/>
  <c r="M58" i="10"/>
  <c r="L58" i="10"/>
  <c r="K58" i="10"/>
  <c r="J58" i="10"/>
  <c r="I58" i="10"/>
  <c r="AS16" i="10" s="1"/>
  <c r="H58" i="10"/>
  <c r="G58" i="10"/>
  <c r="F58" i="10"/>
  <c r="AQ16" i="10" s="1"/>
  <c r="E58" i="10"/>
  <c r="AI57" i="10"/>
  <c r="AH57" i="10"/>
  <c r="AI56" i="10"/>
  <c r="AH56" i="10"/>
  <c r="AI55" i="10"/>
  <c r="AH55" i="10"/>
  <c r="AI54" i="10"/>
  <c r="AH54" i="10"/>
  <c r="AI53" i="10"/>
  <c r="AH53" i="10"/>
  <c r="AI52" i="10"/>
  <c r="AH52" i="10"/>
  <c r="AI51" i="10"/>
  <c r="AH51" i="10"/>
  <c r="AI50" i="10"/>
  <c r="AH50" i="10"/>
  <c r="AI49" i="10"/>
  <c r="AH49" i="10"/>
  <c r="AI48" i="10"/>
  <c r="AH48" i="10"/>
  <c r="AI47" i="10"/>
  <c r="AH47" i="10"/>
  <c r="AI46" i="10"/>
  <c r="AH46" i="10"/>
  <c r="AI45" i="10"/>
  <c r="AH45" i="10"/>
  <c r="AI44" i="10"/>
  <c r="AH44" i="10"/>
  <c r="AI43" i="10"/>
  <c r="AH43" i="10"/>
  <c r="AI42" i="10"/>
  <c r="AH42" i="10"/>
  <c r="AI41" i="10"/>
  <c r="AH41" i="10"/>
  <c r="AI40" i="10"/>
  <c r="AH40" i="10"/>
  <c r="AI39" i="10"/>
  <c r="AH39" i="10"/>
  <c r="AI38" i="10"/>
  <c r="AH38" i="10"/>
  <c r="AI37" i="10"/>
  <c r="AH37" i="10"/>
  <c r="AI36" i="10"/>
  <c r="AH36" i="10"/>
  <c r="AI35" i="10"/>
  <c r="AH35" i="10"/>
  <c r="AI34" i="10"/>
  <c r="AH34" i="10"/>
  <c r="AI33" i="10"/>
  <c r="AH33" i="10"/>
  <c r="AI32" i="10"/>
  <c r="AH32" i="10"/>
  <c r="AI31" i="10"/>
  <c r="AH31" i="10"/>
  <c r="AI30" i="10"/>
  <c r="AH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AI23" i="10"/>
  <c r="AH23" i="10"/>
  <c r="AI22" i="10"/>
  <c r="AH22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I21" i="10"/>
  <c r="AH21" i="10"/>
  <c r="AX20" i="10"/>
  <c r="AW20" i="10"/>
  <c r="AS20" i="10"/>
  <c r="AR20" i="10"/>
  <c r="AQ20" i="10"/>
  <c r="AI20" i="10"/>
  <c r="AH20" i="10"/>
  <c r="AI19" i="10"/>
  <c r="AH19" i="10"/>
  <c r="AW18" i="10"/>
  <c r="AT18" i="10"/>
  <c r="AS18" i="10"/>
  <c r="AN18" i="10"/>
  <c r="AI18" i="10"/>
  <c r="AH18" i="10"/>
  <c r="AN17" i="10"/>
  <c r="AI17" i="10"/>
  <c r="AH17" i="10"/>
  <c r="AX16" i="10"/>
  <c r="AV16" i="10"/>
  <c r="AP16" i="10"/>
  <c r="AN16" i="10"/>
  <c r="AI16" i="10"/>
  <c r="AH16" i="10"/>
  <c r="AI15" i="10"/>
  <c r="AH15" i="10"/>
  <c r="AI14" i="10"/>
  <c r="AH14" i="10"/>
  <c r="AI13" i="10"/>
  <c r="AH13" i="10"/>
  <c r="AL12" i="10"/>
  <c r="AI12" i="10"/>
  <c r="AH12" i="10"/>
  <c r="AI11" i="10"/>
  <c r="AH11" i="10"/>
  <c r="Z5" i="10"/>
  <c r="AG4" i="10"/>
  <c r="K4" i="10"/>
  <c r="E4" i="10"/>
  <c r="H4" i="10" s="1"/>
  <c r="B4" i="10"/>
  <c r="D258" i="10" s="1"/>
  <c r="AF123" i="9"/>
  <c r="AF58" i="9"/>
  <c r="AF62" i="9"/>
  <c r="AF76" i="9"/>
  <c r="AF80" i="9"/>
  <c r="AF92" i="9"/>
  <c r="AF101" i="9"/>
  <c r="AF102" i="9"/>
  <c r="AF103" i="9"/>
  <c r="AF104" i="9"/>
  <c r="AF105" i="9"/>
  <c r="AF118" i="9"/>
  <c r="AE123" i="9"/>
  <c r="AE58" i="9"/>
  <c r="AE62" i="9"/>
  <c r="AE76" i="9"/>
  <c r="AE80" i="9"/>
  <c r="AE92" i="9"/>
  <c r="AE101" i="9"/>
  <c r="AE102" i="9"/>
  <c r="AE103" i="9"/>
  <c r="AE104" i="9"/>
  <c r="AE105" i="9"/>
  <c r="AE118" i="9"/>
  <c r="AD123" i="9"/>
  <c r="AD58" i="9"/>
  <c r="AD62" i="9"/>
  <c r="AD76" i="9"/>
  <c r="AD80" i="9"/>
  <c r="AD92" i="9"/>
  <c r="AD101" i="9"/>
  <c r="AD102" i="9"/>
  <c r="AD103" i="9"/>
  <c r="AD104" i="9"/>
  <c r="AD105" i="9"/>
  <c r="AD118" i="9"/>
  <c r="AC123" i="9"/>
  <c r="AC58" i="9"/>
  <c r="AC62" i="9"/>
  <c r="AC76" i="9"/>
  <c r="AC80" i="9"/>
  <c r="AC92" i="9"/>
  <c r="AC101" i="9"/>
  <c r="AC107" i="9" s="1"/>
  <c r="AC102" i="9"/>
  <c r="AC103" i="9"/>
  <c r="AC104" i="9"/>
  <c r="AC105" i="9"/>
  <c r="AC118" i="9"/>
  <c r="AB123" i="9"/>
  <c r="AB58" i="9"/>
  <c r="AB62" i="9"/>
  <c r="AB76" i="9"/>
  <c r="AB80" i="9"/>
  <c r="AB92" i="9"/>
  <c r="AB101" i="9"/>
  <c r="AB102" i="9"/>
  <c r="AB103" i="9"/>
  <c r="AB104" i="9"/>
  <c r="AB105" i="9"/>
  <c r="AB118" i="9"/>
  <c r="AA123" i="9"/>
  <c r="Y123" i="9"/>
  <c r="X58" i="9"/>
  <c r="X62" i="9"/>
  <c r="X76" i="9"/>
  <c r="X80" i="9"/>
  <c r="X92" i="9"/>
  <c r="X108" i="9" s="1"/>
  <c r="X101" i="9"/>
  <c r="X102" i="9"/>
  <c r="X103" i="9"/>
  <c r="X104" i="9"/>
  <c r="X105" i="9"/>
  <c r="X118" i="9"/>
  <c r="W58" i="9"/>
  <c r="W62" i="9"/>
  <c r="W76" i="9"/>
  <c r="W80" i="9"/>
  <c r="W92" i="9"/>
  <c r="W101" i="9"/>
  <c r="W102" i="9"/>
  <c r="W103" i="9"/>
  <c r="W104" i="9"/>
  <c r="W105" i="9"/>
  <c r="W118" i="9"/>
  <c r="V123" i="9"/>
  <c r="U123" i="9"/>
  <c r="U57" i="9"/>
  <c r="T123" i="9"/>
  <c r="T57" i="9"/>
  <c r="S123" i="9"/>
  <c r="R121" i="9"/>
  <c r="R123" i="9"/>
  <c r="R57" i="9"/>
  <c r="S57" i="9"/>
  <c r="AC107" i="10" l="1"/>
  <c r="AB97" i="10"/>
  <c r="AB99" i="10" s="1"/>
  <c r="AA107" i="10"/>
  <c r="Y97" i="10"/>
  <c r="Y99" i="10" s="1"/>
  <c r="S107" i="10"/>
  <c r="AH103" i="10"/>
  <c r="O107" i="10"/>
  <c r="AW23" i="10" s="1"/>
  <c r="M107" i="10"/>
  <c r="AU23" i="10" s="1"/>
  <c r="AU19" i="10"/>
  <c r="L97" i="10"/>
  <c r="L99" i="10" s="1"/>
  <c r="K107" i="10"/>
  <c r="AT23" i="10" s="1"/>
  <c r="K97" i="10"/>
  <c r="K99" i="10" s="1"/>
  <c r="K100" i="10" s="1"/>
  <c r="K7" i="10" s="1"/>
  <c r="M97" i="10"/>
  <c r="M99" i="10" s="1"/>
  <c r="M100" i="10" s="1"/>
  <c r="M7" i="10" s="1"/>
  <c r="U97" i="10"/>
  <c r="U99" i="10" s="1"/>
  <c r="U100" i="10" s="1"/>
  <c r="U7" i="10" s="1"/>
  <c r="AC97" i="10"/>
  <c r="AC99" i="10" s="1"/>
  <c r="AC100" i="10" s="1"/>
  <c r="AC7" i="10" s="1"/>
  <c r="P107" i="10"/>
  <c r="AX23" i="10" s="1"/>
  <c r="X107" i="10"/>
  <c r="X108" i="10" s="1"/>
  <c r="AA97" i="10"/>
  <c r="AA99" i="10" s="1"/>
  <c r="AA100" i="10" s="1"/>
  <c r="AA7" i="10" s="1"/>
  <c r="T97" i="10"/>
  <c r="T99" i="10" s="1"/>
  <c r="Q107" i="10"/>
  <c r="Q108" i="10" s="1"/>
  <c r="Y107" i="10"/>
  <c r="Y100" i="10" s="1"/>
  <c r="Y7" i="10" s="1"/>
  <c r="B108" i="10"/>
  <c r="K108" i="10"/>
  <c r="AA108" i="10"/>
  <c r="J107" i="10"/>
  <c r="R107" i="10"/>
  <c r="R108" i="10" s="1"/>
  <c r="Z107" i="10"/>
  <c r="Z108" i="10" s="1"/>
  <c r="B107" i="10"/>
  <c r="N107" i="10"/>
  <c r="AV23" i="10" s="1"/>
  <c r="V107" i="10"/>
  <c r="V108" i="10" s="1"/>
  <c r="AD107" i="10"/>
  <c r="AD108" i="10" s="1"/>
  <c r="AT16" i="10"/>
  <c r="AT22" i="10" s="1"/>
  <c r="AT24" i="10" s="1"/>
  <c r="Q97" i="10"/>
  <c r="Q99" i="10" s="1"/>
  <c r="M108" i="10"/>
  <c r="U108" i="10"/>
  <c r="L107" i="10"/>
  <c r="T107" i="10"/>
  <c r="T108" i="10" s="1"/>
  <c r="AB107" i="10"/>
  <c r="AB108" i="10" s="1"/>
  <c r="M5" i="10"/>
  <c r="V5" i="10"/>
  <c r="AD5" i="10"/>
  <c r="N5" i="10"/>
  <c r="O5" i="10"/>
  <c r="O97" i="10"/>
  <c r="O99" i="10" s="1"/>
  <c r="W97" i="10"/>
  <c r="W99" i="10" s="1"/>
  <c r="W100" i="10" s="1"/>
  <c r="W7" i="10" s="1"/>
  <c r="AE7" i="10"/>
  <c r="J108" i="10"/>
  <c r="AV22" i="10"/>
  <c r="AX22" i="10"/>
  <c r="I107" i="10"/>
  <c r="AS23" i="10" s="1"/>
  <c r="H5" i="10"/>
  <c r="AS19" i="10"/>
  <c r="AS22" i="10" s="1"/>
  <c r="H107" i="10"/>
  <c r="G108" i="10"/>
  <c r="AR19" i="10"/>
  <c r="G97" i="10"/>
  <c r="G99" i="10" s="1"/>
  <c r="G100" i="10" s="1"/>
  <c r="G7" i="10" s="1"/>
  <c r="AQ19" i="10"/>
  <c r="AQ22" i="10" s="1"/>
  <c r="AI105" i="10"/>
  <c r="F107" i="10"/>
  <c r="AQ23" i="10" s="1"/>
  <c r="AI76" i="10"/>
  <c r="AI58" i="10"/>
  <c r="D5" i="10"/>
  <c r="AP18" i="10"/>
  <c r="AP22" i="10" s="1"/>
  <c r="AP24" i="10" s="1"/>
  <c r="E97" i="10"/>
  <c r="E99" i="10" s="1"/>
  <c r="E100" i="10" s="1"/>
  <c r="E7" i="10" s="1"/>
  <c r="D97" i="10"/>
  <c r="D99" i="10" s="1"/>
  <c r="D107" i="10"/>
  <c r="AO23" i="10" s="1"/>
  <c r="C5" i="10"/>
  <c r="D118" i="10"/>
  <c r="D108" i="10"/>
  <c r="AO22" i="10"/>
  <c r="AO24" i="10" s="1"/>
  <c r="AH123" i="10"/>
  <c r="AI102" i="10"/>
  <c r="C107" i="10"/>
  <c r="AN23" i="10" s="1"/>
  <c r="AN19" i="10"/>
  <c r="AN22" i="10" s="1"/>
  <c r="AI104" i="10"/>
  <c r="C97" i="10"/>
  <c r="C99" i="10" s="1"/>
  <c r="C100" i="10" s="1"/>
  <c r="C7" i="10" s="1"/>
  <c r="AM19" i="10"/>
  <c r="AF5" i="10"/>
  <c r="AI101" i="10"/>
  <c r="B97" i="10"/>
  <c r="B99" i="10" s="1"/>
  <c r="B100" i="10" s="1"/>
  <c r="AH104" i="10"/>
  <c r="AH102" i="10"/>
  <c r="AL13" i="10"/>
  <c r="AH62" i="10"/>
  <c r="AI62" i="10"/>
  <c r="AG6" i="10"/>
  <c r="AH76" i="10"/>
  <c r="BG84" i="10" a="1"/>
  <c r="AI92" i="10"/>
  <c r="S108" i="10"/>
  <c r="AM18" i="10"/>
  <c r="AW19" i="10"/>
  <c r="H97" i="10"/>
  <c r="H99" i="10" s="1"/>
  <c r="H100" i="10" s="1"/>
  <c r="H7" i="10" s="1"/>
  <c r="P97" i="10"/>
  <c r="P99" i="10" s="1"/>
  <c r="X97" i="10"/>
  <c r="X99" i="10" s="1"/>
  <c r="AF7" i="10"/>
  <c r="AR16" i="10"/>
  <c r="E108" i="10"/>
  <c r="AC108" i="10"/>
  <c r="I97" i="10"/>
  <c r="I99" i="10" s="1"/>
  <c r="I100" i="10" s="1"/>
  <c r="I7" i="10" s="1"/>
  <c r="AH105" i="10"/>
  <c r="J97" i="10"/>
  <c r="J99" i="10" s="1"/>
  <c r="J100" i="10" s="1"/>
  <c r="J7" i="10" s="1"/>
  <c r="R97" i="10"/>
  <c r="R99" i="10" s="1"/>
  <c r="Z97" i="10"/>
  <c r="Z99" i="10" s="1"/>
  <c r="AH58" i="10"/>
  <c r="F108" i="10"/>
  <c r="AG97" i="10"/>
  <c r="AH80" i="10"/>
  <c r="B5" i="10"/>
  <c r="J5" i="10"/>
  <c r="R5" i="10"/>
  <c r="AU16" i="10"/>
  <c r="AU22" i="10" s="1"/>
  <c r="AU24" i="10" s="1"/>
  <c r="H108" i="10"/>
  <c r="P108" i="10"/>
  <c r="AG99" i="10"/>
  <c r="AI103" i="10"/>
  <c r="D252" i="10"/>
  <c r="E246" i="10"/>
  <c r="S97" i="10"/>
  <c r="S99" i="10" s="1"/>
  <c r="S100" i="10" s="1"/>
  <c r="S7" i="10" s="1"/>
  <c r="AH101" i="10"/>
  <c r="AW16" i="10"/>
  <c r="F97" i="10"/>
  <c r="F99" i="10" s="1"/>
  <c r="F100" i="10" s="1"/>
  <c r="F7" i="10" s="1"/>
  <c r="N97" i="10"/>
  <c r="N99" i="10" s="1"/>
  <c r="V97" i="10"/>
  <c r="V99" i="10" s="1"/>
  <c r="AD97" i="10"/>
  <c r="AD99" i="10" s="1"/>
  <c r="AH92" i="10"/>
  <c r="AI80" i="10"/>
  <c r="AF107" i="9"/>
  <c r="AF108" i="9" s="1"/>
  <c r="AF97" i="9"/>
  <c r="AF99" i="9" s="1"/>
  <c r="AF100" i="9" s="1"/>
  <c r="AE107" i="9"/>
  <c r="AE108" i="9" s="1"/>
  <c r="AE97" i="9"/>
  <c r="AE99" i="9" s="1"/>
  <c r="AE100" i="9" s="1"/>
  <c r="AD97" i="9"/>
  <c r="AD99" i="9" s="1"/>
  <c r="AD107" i="9"/>
  <c r="AD108" i="9" s="1"/>
  <c r="AC97" i="9"/>
  <c r="AC99" i="9" s="1"/>
  <c r="AC100" i="9" s="1"/>
  <c r="AC108" i="9"/>
  <c r="AB107" i="9"/>
  <c r="AB97" i="9"/>
  <c r="AB99" i="9" s="1"/>
  <c r="AB100" i="9" s="1"/>
  <c r="AB108" i="9"/>
  <c r="X97" i="9"/>
  <c r="X99" i="9" s="1"/>
  <c r="X100" i="9" s="1"/>
  <c r="W107" i="9"/>
  <c r="W108" i="9" s="1"/>
  <c r="W97" i="9"/>
  <c r="W99" i="9" s="1"/>
  <c r="W100" i="9" s="1"/>
  <c r="AD100" i="10" l="1"/>
  <c r="AD7" i="10" s="1"/>
  <c r="AB100" i="10"/>
  <c r="AB7" i="10" s="1"/>
  <c r="Z100" i="10"/>
  <c r="Z7" i="10" s="1"/>
  <c r="X100" i="10"/>
  <c r="X7" i="10" s="1"/>
  <c r="R100" i="10"/>
  <c r="R7" i="10" s="1"/>
  <c r="O100" i="10"/>
  <c r="O7" i="10" s="1"/>
  <c r="O108" i="10"/>
  <c r="L100" i="10"/>
  <c r="L7" i="10" s="1"/>
  <c r="L108" i="10"/>
  <c r="AV24" i="10"/>
  <c r="T100" i="10"/>
  <c r="T7" i="10" s="1"/>
  <c r="V100" i="10"/>
  <c r="V7" i="10" s="1"/>
  <c r="AS24" i="10"/>
  <c r="Q100" i="10"/>
  <c r="Q7" i="10" s="1"/>
  <c r="AX24" i="10"/>
  <c r="N100" i="10"/>
  <c r="N7" i="10" s="1"/>
  <c r="Y108" i="10"/>
  <c r="N108" i="10"/>
  <c r="AM22" i="10"/>
  <c r="P100" i="10"/>
  <c r="P7" i="10" s="1"/>
  <c r="AQ24" i="10"/>
  <c r="AW22" i="10"/>
  <c r="AW24" i="10" s="1"/>
  <c r="AR22" i="10"/>
  <c r="AR24" i="10" s="1"/>
  <c r="I108" i="10"/>
  <c r="D100" i="10"/>
  <c r="D7" i="10" s="1"/>
  <c r="AN24" i="10"/>
  <c r="C108" i="10"/>
  <c r="B256" i="10"/>
  <c r="C256" i="10"/>
  <c r="AI107" i="10"/>
  <c r="AH107" i="10"/>
  <c r="AM23" i="10"/>
  <c r="AM24" i="10" s="1"/>
  <c r="AH97" i="10"/>
  <c r="AI97" i="10"/>
  <c r="BJ107" i="10"/>
  <c r="BH106" i="10"/>
  <c r="BL104" i="10"/>
  <c r="BJ103" i="10"/>
  <c r="BH102" i="10"/>
  <c r="BL100" i="10"/>
  <c r="BJ99" i="10"/>
  <c r="BH98" i="10"/>
  <c r="BL96" i="10"/>
  <c r="BJ95" i="10"/>
  <c r="BH94" i="10"/>
  <c r="BL92" i="10"/>
  <c r="BJ91" i="10"/>
  <c r="BH90" i="10"/>
  <c r="BL88" i="10"/>
  <c r="BJ87" i="10"/>
  <c r="BH86" i="10"/>
  <c r="BL84" i="10"/>
  <c r="BI107" i="10"/>
  <c r="BG106" i="10"/>
  <c r="BK104" i="10"/>
  <c r="BI103" i="10"/>
  <c r="BG102" i="10"/>
  <c r="BK100" i="10"/>
  <c r="BI99" i="10"/>
  <c r="BG98" i="10"/>
  <c r="BK96" i="10"/>
  <c r="BI95" i="10"/>
  <c r="BG94" i="10"/>
  <c r="BK92" i="10"/>
  <c r="BI91" i="10"/>
  <c r="BG90" i="10"/>
  <c r="BK88" i="10"/>
  <c r="BI87" i="10"/>
  <c r="BG86" i="10"/>
  <c r="BK84" i="10"/>
  <c r="BL106" i="10"/>
  <c r="BJ105" i="10"/>
  <c r="BH104" i="10"/>
  <c r="BL102" i="10"/>
  <c r="BJ101" i="10"/>
  <c r="BH100" i="10"/>
  <c r="BL98" i="10"/>
  <c r="BJ97" i="10"/>
  <c r="BH96" i="10"/>
  <c r="BL94" i="10"/>
  <c r="BJ93" i="10"/>
  <c r="BH92" i="10"/>
  <c r="BL90" i="10"/>
  <c r="BJ89" i="10"/>
  <c r="BH88" i="10"/>
  <c r="BL86" i="10"/>
  <c r="BJ85" i="10"/>
  <c r="BH84" i="10"/>
  <c r="BK107" i="10"/>
  <c r="BI106" i="10"/>
  <c r="BG105" i="10"/>
  <c r="BK103" i="10"/>
  <c r="BI102" i="10"/>
  <c r="BG101" i="10"/>
  <c r="BK99" i="10"/>
  <c r="BI98" i="10"/>
  <c r="BG97" i="10"/>
  <c r="BK95" i="10"/>
  <c r="BI94" i="10"/>
  <c r="BG93" i="10"/>
  <c r="BK91" i="10"/>
  <c r="BI90" i="10"/>
  <c r="BG89" i="10"/>
  <c r="BK87" i="10"/>
  <c r="BI86" i="10"/>
  <c r="BG85" i="10"/>
  <c r="BH107" i="10"/>
  <c r="BJ104" i="10"/>
  <c r="BL101" i="10"/>
  <c r="BH99" i="10"/>
  <c r="BJ96" i="10"/>
  <c r="BL93" i="10"/>
  <c r="BH91" i="10"/>
  <c r="BJ88" i="10"/>
  <c r="BL85" i="10"/>
  <c r="BG107" i="10"/>
  <c r="BI104" i="10"/>
  <c r="BK101" i="10"/>
  <c r="BG99" i="10"/>
  <c r="BI96" i="10"/>
  <c r="BK93" i="10"/>
  <c r="BG91" i="10"/>
  <c r="BI88" i="10"/>
  <c r="BK85" i="10"/>
  <c r="BK106" i="10"/>
  <c r="BG104" i="10"/>
  <c r="BI101" i="10"/>
  <c r="BK98" i="10"/>
  <c r="BG96" i="10"/>
  <c r="BI93" i="10"/>
  <c r="BK90" i="10"/>
  <c r="BG88" i="10"/>
  <c r="BI85" i="10"/>
  <c r="BJ106" i="10"/>
  <c r="BL103" i="10"/>
  <c r="BH101" i="10"/>
  <c r="BJ98" i="10"/>
  <c r="BL95" i="10"/>
  <c r="BH93" i="10"/>
  <c r="BJ90" i="10"/>
  <c r="BL87" i="10"/>
  <c r="BH85" i="10"/>
  <c r="BL105" i="10"/>
  <c r="BH103" i="10"/>
  <c r="BJ100" i="10"/>
  <c r="BL97" i="10"/>
  <c r="BH95" i="10"/>
  <c r="BJ92" i="10"/>
  <c r="BL89" i="10"/>
  <c r="BH87" i="10"/>
  <c r="BJ84" i="10"/>
  <c r="BK105" i="10"/>
  <c r="BG103" i="10"/>
  <c r="BI100" i="10"/>
  <c r="BK97" i="10"/>
  <c r="BG95" i="10"/>
  <c r="BI92" i="10"/>
  <c r="BK89" i="10"/>
  <c r="BG87" i="10"/>
  <c r="BI84" i="10"/>
  <c r="BI105" i="10"/>
  <c r="BK102" i="10"/>
  <c r="BG100" i="10"/>
  <c r="BI97" i="10"/>
  <c r="BK94" i="10"/>
  <c r="BG92" i="10"/>
  <c r="BI89" i="10"/>
  <c r="BK86" i="10"/>
  <c r="BG84" i="10"/>
  <c r="BL107" i="10"/>
  <c r="BH105" i="10"/>
  <c r="BJ102" i="10"/>
  <c r="BL99" i="10"/>
  <c r="BH97" i="10"/>
  <c r="BJ94" i="10"/>
  <c r="BL91" i="10"/>
  <c r="BH89" i="10"/>
  <c r="BJ86" i="10"/>
  <c r="F246" i="10"/>
  <c r="E252" i="10"/>
  <c r="E118" i="10"/>
  <c r="AD100" i="9"/>
  <c r="AT8" i="10" l="1"/>
  <c r="AT9" i="10"/>
  <c r="AH108" i="10"/>
  <c r="AI108" i="10"/>
  <c r="G246" i="10"/>
  <c r="F252" i="10"/>
  <c r="F118" i="10"/>
  <c r="K6" i="10"/>
  <c r="AH99" i="10"/>
  <c r="AI99" i="10"/>
  <c r="H246" i="10" l="1"/>
  <c r="G252" i="10"/>
  <c r="G118" i="10"/>
  <c r="AI100" i="10"/>
  <c r="AH100" i="10"/>
  <c r="B7" i="10"/>
  <c r="A7" i="10" s="1"/>
  <c r="I246" i="10" l="1"/>
  <c r="H252" i="10"/>
  <c r="H118" i="10"/>
  <c r="I252" i="10" l="1"/>
  <c r="I118" i="10"/>
  <c r="J246" i="10"/>
  <c r="J252" i="10" l="1"/>
  <c r="J118" i="10"/>
  <c r="K246" i="10"/>
  <c r="K252" i="10" l="1"/>
  <c r="K118" i="10"/>
  <c r="L246" i="10"/>
  <c r="L252" i="10" l="1"/>
  <c r="L118" i="10"/>
  <c r="M246" i="10"/>
  <c r="N246" i="10" l="1"/>
  <c r="M252" i="10"/>
  <c r="M118" i="10"/>
  <c r="O246" i="10" l="1"/>
  <c r="N252" i="10"/>
  <c r="N118" i="10"/>
  <c r="P246" i="10" l="1"/>
  <c r="O252" i="10"/>
  <c r="O118" i="10"/>
  <c r="Q246" i="10" l="1"/>
  <c r="P252" i="10"/>
  <c r="Q252" i="10" l="1"/>
  <c r="Q118" i="10"/>
  <c r="R246" i="10"/>
  <c r="R252" i="10" l="1"/>
  <c r="R118" i="10"/>
  <c r="S246" i="10"/>
  <c r="S252" i="10" l="1"/>
  <c r="S118" i="10"/>
  <c r="T246" i="10"/>
  <c r="T252" i="10" l="1"/>
  <c r="T118" i="10"/>
  <c r="U246" i="10"/>
  <c r="U118" i="10" l="1"/>
  <c r="V246" i="10"/>
  <c r="U252" i="10"/>
  <c r="W246" i="10" l="1"/>
  <c r="V252" i="10"/>
  <c r="V118" i="10"/>
  <c r="X246" i="10" l="1"/>
  <c r="W118" i="10"/>
  <c r="W252" i="10"/>
  <c r="Y246" i="10" l="1"/>
  <c r="X252" i="10"/>
  <c r="X118" i="10"/>
  <c r="Y252" i="10" l="1"/>
  <c r="Z246" i="10"/>
  <c r="Z252" i="10" l="1"/>
  <c r="AA246" i="10"/>
  <c r="AA252" i="10" l="1"/>
  <c r="AA118" i="10"/>
  <c r="AB246" i="10"/>
  <c r="AB252" i="10" l="1"/>
  <c r="AB118" i="10"/>
  <c r="AC246" i="10"/>
  <c r="AC118" i="10" l="1"/>
  <c r="AD246" i="10"/>
  <c r="AC252" i="10"/>
  <c r="AE246" i="10" l="1"/>
  <c r="AD252" i="10"/>
  <c r="AD118" i="10"/>
  <c r="AF246" i="10" l="1"/>
  <c r="AE252" i="10"/>
  <c r="AF252" i="10" l="1"/>
  <c r="B246" i="10"/>
  <c r="B118" i="10" s="1"/>
  <c r="B252" i="10" l="1"/>
  <c r="AI118" i="10" l="1"/>
  <c r="AH118" i="10"/>
  <c r="Q123" i="9" l="1"/>
  <c r="Q121" i="9"/>
  <c r="Q57" i="9"/>
  <c r="P123" i="9"/>
  <c r="P121" i="9"/>
  <c r="P57" i="9"/>
  <c r="N121" i="9"/>
  <c r="N123" i="9"/>
  <c r="O123" i="9"/>
  <c r="O121" i="9"/>
  <c r="O57" i="9"/>
  <c r="N57" i="9"/>
  <c r="M123" i="9" l="1"/>
  <c r="M121" i="9"/>
  <c r="M57" i="9"/>
  <c r="L123" i="9"/>
  <c r="K123" i="9"/>
  <c r="J123" i="9"/>
  <c r="I123" i="9"/>
  <c r="H123" i="9" l="1"/>
  <c r="G123" i="9"/>
  <c r="F123" i="9"/>
  <c r="E123" i="9" l="1"/>
  <c r="C123" i="9"/>
  <c r="B123" i="9"/>
  <c r="AG252" i="9"/>
  <c r="C252" i="9"/>
  <c r="O251" i="9"/>
  <c r="P251" i="9" s="1"/>
  <c r="Q251" i="9" s="1"/>
  <c r="R251" i="9" s="1"/>
  <c r="S251" i="9" s="1"/>
  <c r="T251" i="9" s="1"/>
  <c r="U251" i="9" s="1"/>
  <c r="V251" i="9" s="1"/>
  <c r="W251" i="9" s="1"/>
  <c r="X251" i="9" s="1"/>
  <c r="Y251" i="9" s="1"/>
  <c r="Z251" i="9" s="1"/>
  <c r="AA251" i="9" s="1"/>
  <c r="AB251" i="9" s="1"/>
  <c r="AC251" i="9" s="1"/>
  <c r="AD251" i="9" s="1"/>
  <c r="AE251" i="9" s="1"/>
  <c r="AF251" i="9" s="1"/>
  <c r="B251" i="9" s="1"/>
  <c r="G251" i="9"/>
  <c r="H251" i="9" s="1"/>
  <c r="I251" i="9" s="1"/>
  <c r="J251" i="9" s="1"/>
  <c r="K251" i="9" s="1"/>
  <c r="L251" i="9" s="1"/>
  <c r="M251" i="9" s="1"/>
  <c r="N251" i="9" s="1"/>
  <c r="D251" i="9"/>
  <c r="E251" i="9" s="1"/>
  <c r="F251" i="9" s="1"/>
  <c r="G250" i="9"/>
  <c r="H250" i="9" s="1"/>
  <c r="I250" i="9" s="1"/>
  <c r="J250" i="9" s="1"/>
  <c r="K250" i="9" s="1"/>
  <c r="L250" i="9" s="1"/>
  <c r="M250" i="9" s="1"/>
  <c r="N250" i="9" s="1"/>
  <c r="O250" i="9" s="1"/>
  <c r="P250" i="9" s="1"/>
  <c r="Q250" i="9" s="1"/>
  <c r="R250" i="9" s="1"/>
  <c r="S250" i="9" s="1"/>
  <c r="T250" i="9" s="1"/>
  <c r="U250" i="9" s="1"/>
  <c r="V250" i="9" s="1"/>
  <c r="W250" i="9" s="1"/>
  <c r="X250" i="9" s="1"/>
  <c r="Y250" i="9" s="1"/>
  <c r="Z250" i="9" s="1"/>
  <c r="AA250" i="9" s="1"/>
  <c r="AB250" i="9" s="1"/>
  <c r="AC250" i="9" s="1"/>
  <c r="AD250" i="9" s="1"/>
  <c r="AE250" i="9" s="1"/>
  <c r="AF250" i="9" s="1"/>
  <c r="B250" i="9" s="1"/>
  <c r="E250" i="9"/>
  <c r="F250" i="9" s="1"/>
  <c r="D250" i="9"/>
  <c r="K249" i="9"/>
  <c r="L249" i="9" s="1"/>
  <c r="M249" i="9" s="1"/>
  <c r="N249" i="9" s="1"/>
  <c r="O249" i="9" s="1"/>
  <c r="P249" i="9" s="1"/>
  <c r="Q249" i="9" s="1"/>
  <c r="R249" i="9" s="1"/>
  <c r="S249" i="9" s="1"/>
  <c r="T249" i="9" s="1"/>
  <c r="U249" i="9" s="1"/>
  <c r="V249" i="9" s="1"/>
  <c r="W249" i="9" s="1"/>
  <c r="X249" i="9" s="1"/>
  <c r="Y249" i="9" s="1"/>
  <c r="Z249" i="9" s="1"/>
  <c r="AA249" i="9" s="1"/>
  <c r="AB249" i="9" s="1"/>
  <c r="AC249" i="9" s="1"/>
  <c r="AD249" i="9" s="1"/>
  <c r="AE249" i="9" s="1"/>
  <c r="AF249" i="9" s="1"/>
  <c r="B249" i="9" s="1"/>
  <c r="E249" i="9"/>
  <c r="F249" i="9" s="1"/>
  <c r="G249" i="9" s="1"/>
  <c r="H249" i="9" s="1"/>
  <c r="I249" i="9" s="1"/>
  <c r="J249" i="9" s="1"/>
  <c r="D249" i="9"/>
  <c r="D248" i="9"/>
  <c r="E248" i="9" s="1"/>
  <c r="F248" i="9" s="1"/>
  <c r="G248" i="9" s="1"/>
  <c r="H248" i="9" s="1"/>
  <c r="I248" i="9" s="1"/>
  <c r="J248" i="9" s="1"/>
  <c r="K248" i="9" s="1"/>
  <c r="L248" i="9" s="1"/>
  <c r="M248" i="9" s="1"/>
  <c r="N248" i="9" s="1"/>
  <c r="O248" i="9" s="1"/>
  <c r="P248" i="9" s="1"/>
  <c r="Q248" i="9" s="1"/>
  <c r="R248" i="9" s="1"/>
  <c r="S248" i="9" s="1"/>
  <c r="T248" i="9" s="1"/>
  <c r="U248" i="9" s="1"/>
  <c r="V248" i="9" s="1"/>
  <c r="W248" i="9" s="1"/>
  <c r="X248" i="9" s="1"/>
  <c r="Y248" i="9" s="1"/>
  <c r="Z248" i="9" s="1"/>
  <c r="AA248" i="9" s="1"/>
  <c r="AB248" i="9" s="1"/>
  <c r="AC248" i="9" s="1"/>
  <c r="AD248" i="9" s="1"/>
  <c r="AE248" i="9" s="1"/>
  <c r="AF248" i="9" s="1"/>
  <c r="B248" i="9" s="1"/>
  <c r="D247" i="9"/>
  <c r="E247" i="9" s="1"/>
  <c r="F247" i="9" s="1"/>
  <c r="G247" i="9" s="1"/>
  <c r="H247" i="9" s="1"/>
  <c r="I247" i="9" s="1"/>
  <c r="J247" i="9" s="1"/>
  <c r="K247" i="9" s="1"/>
  <c r="L247" i="9" s="1"/>
  <c r="M247" i="9" s="1"/>
  <c r="N247" i="9" s="1"/>
  <c r="O247" i="9" s="1"/>
  <c r="P247" i="9" s="1"/>
  <c r="Q247" i="9" s="1"/>
  <c r="R247" i="9" s="1"/>
  <c r="S247" i="9" s="1"/>
  <c r="T247" i="9" s="1"/>
  <c r="U247" i="9" s="1"/>
  <c r="V247" i="9" s="1"/>
  <c r="W247" i="9" s="1"/>
  <c r="X247" i="9" s="1"/>
  <c r="Y247" i="9" s="1"/>
  <c r="Z247" i="9" s="1"/>
  <c r="AA247" i="9" s="1"/>
  <c r="AB247" i="9" s="1"/>
  <c r="AC247" i="9" s="1"/>
  <c r="AD247" i="9" s="1"/>
  <c r="AE247" i="9" s="1"/>
  <c r="AF247" i="9" s="1"/>
  <c r="B247" i="9" s="1"/>
  <c r="E246" i="9"/>
  <c r="D246" i="9"/>
  <c r="D252" i="9" s="1"/>
  <c r="AG244" i="9"/>
  <c r="AF244" i="9"/>
  <c r="AE244" i="9"/>
  <c r="AD244" i="9"/>
  <c r="AC244" i="9"/>
  <c r="AB244" i="9"/>
  <c r="AA244" i="9"/>
  <c r="Z244" i="9"/>
  <c r="Y244" i="9"/>
  <c r="X244" i="9"/>
  <c r="W244" i="9"/>
  <c r="V244" i="9"/>
  <c r="U244" i="9"/>
  <c r="T244" i="9"/>
  <c r="S244" i="9"/>
  <c r="R244" i="9"/>
  <c r="Q244" i="9"/>
  <c r="P244" i="9"/>
  <c r="O244" i="9"/>
  <c r="N244" i="9"/>
  <c r="M244" i="9"/>
  <c r="L244" i="9"/>
  <c r="K244" i="9"/>
  <c r="J244" i="9"/>
  <c r="I244" i="9"/>
  <c r="H244" i="9"/>
  <c r="G244" i="9"/>
  <c r="F244" i="9"/>
  <c r="E244" i="9"/>
  <c r="D244" i="9"/>
  <c r="C244" i="9"/>
  <c r="B244" i="9"/>
  <c r="AI130" i="9"/>
  <c r="AH130" i="9"/>
  <c r="AI129" i="9"/>
  <c r="AH129" i="9"/>
  <c r="AI128" i="9"/>
  <c r="AH128" i="9"/>
  <c r="AI127" i="9"/>
  <c r="AH127" i="9"/>
  <c r="AI126" i="9"/>
  <c r="AH126" i="9"/>
  <c r="AI123" i="9"/>
  <c r="AH123" i="9"/>
  <c r="AI122" i="9"/>
  <c r="AH122" i="9"/>
  <c r="AI121" i="9"/>
  <c r="AH121" i="9"/>
  <c r="AI120" i="9"/>
  <c r="AH120" i="9"/>
  <c r="AI119" i="9"/>
  <c r="AH119" i="9"/>
  <c r="Z118" i="9"/>
  <c r="Y118" i="9"/>
  <c r="D118" i="9"/>
  <c r="C118" i="9"/>
  <c r="AI117" i="9"/>
  <c r="AH117" i="9"/>
  <c r="AI116" i="9"/>
  <c r="AH116" i="9"/>
  <c r="AI115" i="9"/>
  <c r="AH115" i="9"/>
  <c r="AI114" i="9"/>
  <c r="AH114" i="9"/>
  <c r="AI113" i="9"/>
  <c r="AH113" i="9"/>
  <c r="AI112" i="9"/>
  <c r="AH112" i="9"/>
  <c r="AI111" i="9"/>
  <c r="AH111" i="9"/>
  <c r="AI110" i="9"/>
  <c r="AH110" i="9"/>
  <c r="AI109" i="9"/>
  <c r="AH109" i="9"/>
  <c r="AI106" i="9"/>
  <c r="AH106" i="9"/>
  <c r="AA105" i="9"/>
  <c r="Z105" i="9"/>
  <c r="Y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AA104" i="9"/>
  <c r="Z104" i="9"/>
  <c r="Y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AA103" i="9"/>
  <c r="Z103" i="9"/>
  <c r="Y103" i="9"/>
  <c r="V103" i="9"/>
  <c r="U103" i="9"/>
  <c r="T103" i="9"/>
  <c r="S103" i="9"/>
  <c r="R103" i="9"/>
  <c r="Q103" i="9"/>
  <c r="P103" i="9"/>
  <c r="O103" i="9"/>
  <c r="N103" i="9"/>
  <c r="N107" i="9" s="1"/>
  <c r="AV23" i="9" s="1"/>
  <c r="M103" i="9"/>
  <c r="L103" i="9"/>
  <c r="K103" i="9"/>
  <c r="J103" i="9"/>
  <c r="I103" i="9"/>
  <c r="H103" i="9"/>
  <c r="G103" i="9"/>
  <c r="F103" i="9"/>
  <c r="E103" i="9"/>
  <c r="D103" i="9"/>
  <c r="C103" i="9"/>
  <c r="B103" i="9"/>
  <c r="AA102" i="9"/>
  <c r="Z102" i="9"/>
  <c r="Y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AI102" i="9" s="1"/>
  <c r="B102" i="9"/>
  <c r="AA101" i="9"/>
  <c r="Z101" i="9"/>
  <c r="Y101" i="9"/>
  <c r="V101" i="9"/>
  <c r="U101" i="9"/>
  <c r="T101" i="9"/>
  <c r="S101" i="9"/>
  <c r="R101" i="9"/>
  <c r="R107" i="9" s="1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AI98" i="9"/>
  <c r="AH98" i="9"/>
  <c r="AI96" i="9"/>
  <c r="AH96" i="9"/>
  <c r="AG96" i="9"/>
  <c r="AI95" i="9"/>
  <c r="AH95" i="9"/>
  <c r="AI94" i="9"/>
  <c r="AH94" i="9"/>
  <c r="AI93" i="9"/>
  <c r="AH93" i="9"/>
  <c r="AG92" i="9"/>
  <c r="AB5" i="9"/>
  <c r="AA92" i="9"/>
  <c r="Z5" i="9" s="1"/>
  <c r="Z92" i="9"/>
  <c r="Y5" i="9" s="1"/>
  <c r="Y92" i="9"/>
  <c r="X5" i="9" s="1"/>
  <c r="V92" i="9"/>
  <c r="U92" i="9"/>
  <c r="T5" i="9" s="1"/>
  <c r="T92" i="9"/>
  <c r="S5" i="9" s="1"/>
  <c r="S92" i="9"/>
  <c r="R5" i="9" s="1"/>
  <c r="R92" i="9"/>
  <c r="Q92" i="9"/>
  <c r="P5" i="9" s="1"/>
  <c r="P92" i="9"/>
  <c r="O5" i="9" s="1"/>
  <c r="O92" i="9"/>
  <c r="AW19" i="9" s="1"/>
  <c r="N92" i="9"/>
  <c r="M92" i="9"/>
  <c r="L92" i="9"/>
  <c r="K5" i="9" s="1"/>
  <c r="K92" i="9"/>
  <c r="AT19" i="9" s="1"/>
  <c r="J92" i="9"/>
  <c r="I92" i="9"/>
  <c r="H5" i="9" s="1"/>
  <c r="H92" i="9"/>
  <c r="G5" i="9" s="1"/>
  <c r="G92" i="9"/>
  <c r="AR19" i="9" s="1"/>
  <c r="F92" i="9"/>
  <c r="E92" i="9"/>
  <c r="D5" i="9" s="1"/>
  <c r="D92" i="9"/>
  <c r="AO19" i="9" s="1"/>
  <c r="C92" i="9"/>
  <c r="B5" i="9" s="1"/>
  <c r="B92" i="9"/>
  <c r="AM19" i="9" s="1"/>
  <c r="AI91" i="9"/>
  <c r="AH91" i="9"/>
  <c r="AI90" i="9"/>
  <c r="AH90" i="9"/>
  <c r="AI89" i="9"/>
  <c r="AH89" i="9"/>
  <c r="AI88" i="9"/>
  <c r="AH88" i="9"/>
  <c r="AI87" i="9"/>
  <c r="AH87" i="9"/>
  <c r="AI86" i="9"/>
  <c r="AH86" i="9"/>
  <c r="AI85" i="9"/>
  <c r="AH85" i="9"/>
  <c r="AI84" i="9"/>
  <c r="AH84" i="9"/>
  <c r="AI83" i="9"/>
  <c r="AH83" i="9"/>
  <c r="AI82" i="9"/>
  <c r="AH82" i="9"/>
  <c r="AI81" i="9"/>
  <c r="AH81" i="9"/>
  <c r="BB80" i="9"/>
  <c r="AG80" i="9"/>
  <c r="AB7" i="9"/>
  <c r="AA80" i="9"/>
  <c r="Z80" i="9"/>
  <c r="Y80" i="9"/>
  <c r="V80" i="9"/>
  <c r="U80" i="9"/>
  <c r="T80" i="9"/>
  <c r="S80" i="9"/>
  <c r="R80" i="9"/>
  <c r="Q80" i="9"/>
  <c r="P80" i="9"/>
  <c r="O80" i="9"/>
  <c r="AW20" i="9" s="1"/>
  <c r="N80" i="9"/>
  <c r="M80" i="9"/>
  <c r="AU20" i="9" s="1"/>
  <c r="L80" i="9"/>
  <c r="K80" i="9"/>
  <c r="J80" i="9"/>
  <c r="I80" i="9"/>
  <c r="H80" i="9"/>
  <c r="G80" i="9"/>
  <c r="AR20" i="9" s="1"/>
  <c r="F80" i="9"/>
  <c r="E80" i="9"/>
  <c r="D80" i="9"/>
  <c r="C80" i="9"/>
  <c r="B80" i="9"/>
  <c r="BF79" i="9"/>
  <c r="AI79" i="9"/>
  <c r="AH79" i="9"/>
  <c r="BF78" i="9"/>
  <c r="AI78" i="9"/>
  <c r="AH78" i="9"/>
  <c r="BJ77" i="9"/>
  <c r="BH77" i="9"/>
  <c r="AI77" i="9"/>
  <c r="AH77" i="9"/>
  <c r="BW76" i="9"/>
  <c r="BM76" i="9"/>
  <c r="BL76" i="9"/>
  <c r="BJ76" i="9"/>
  <c r="BE76" i="9"/>
  <c r="BB76" i="9"/>
  <c r="AA76" i="9"/>
  <c r="Z76" i="9"/>
  <c r="Y76" i="9"/>
  <c r="V76" i="9"/>
  <c r="U76" i="9"/>
  <c r="T76" i="9"/>
  <c r="S76" i="9"/>
  <c r="R76" i="9"/>
  <c r="Q76" i="9"/>
  <c r="P76" i="9"/>
  <c r="O76" i="9"/>
  <c r="AW18" i="9" s="1"/>
  <c r="N76" i="9"/>
  <c r="AV18" i="9" s="1"/>
  <c r="M76" i="9"/>
  <c r="AU18" i="9" s="1"/>
  <c r="L76" i="9"/>
  <c r="K76" i="9"/>
  <c r="AT18" i="9" s="1"/>
  <c r="J76" i="9"/>
  <c r="I76" i="9"/>
  <c r="AS18" i="9" s="1"/>
  <c r="H76" i="9"/>
  <c r="G76" i="9"/>
  <c r="F76" i="9"/>
  <c r="AQ18" i="9" s="1"/>
  <c r="E76" i="9"/>
  <c r="AP18" i="9" s="1"/>
  <c r="D76" i="9"/>
  <c r="C76" i="9"/>
  <c r="AN18" i="9" s="1"/>
  <c r="B76" i="9"/>
  <c r="BN75" i="9"/>
  <c r="BL75" i="9"/>
  <c r="BF75" i="9"/>
  <c r="BD75" i="9"/>
  <c r="AI75" i="9"/>
  <c r="AH75" i="9"/>
  <c r="AG75" i="9"/>
  <c r="AG76" i="9" s="1"/>
  <c r="AG3" i="9" s="1"/>
  <c r="AI74" i="9"/>
  <c r="AH74" i="9"/>
  <c r="BW73" i="9"/>
  <c r="BW80" i="9" s="1"/>
  <c r="BV73" i="9"/>
  <c r="BV80" i="9" s="1"/>
  <c r="BU73" i="9"/>
  <c r="BU80" i="9" s="1"/>
  <c r="BT73" i="9"/>
  <c r="BT80" i="9" s="1"/>
  <c r="BS73" i="9"/>
  <c r="BS80" i="9" s="1"/>
  <c r="BR73" i="9"/>
  <c r="BR80" i="9" s="1"/>
  <c r="BQ73" i="9"/>
  <c r="BQ80" i="9" s="1"/>
  <c r="BP73" i="9"/>
  <c r="BP80" i="9" s="1"/>
  <c r="BO73" i="9"/>
  <c r="BO80" i="9" s="1"/>
  <c r="BN73" i="9"/>
  <c r="BN80" i="9" s="1"/>
  <c r="BM73" i="9"/>
  <c r="BM80" i="9" s="1"/>
  <c r="BL73" i="9"/>
  <c r="BL80" i="9" s="1"/>
  <c r="BK73" i="9"/>
  <c r="BK80" i="9" s="1"/>
  <c r="BJ73" i="9"/>
  <c r="BJ80" i="9" s="1"/>
  <c r="BI73" i="9"/>
  <c r="BI80" i="9" s="1"/>
  <c r="BH73" i="9"/>
  <c r="BH80" i="9" s="1"/>
  <c r="BG73" i="9"/>
  <c r="BG80" i="9" s="1"/>
  <c r="BF73" i="9"/>
  <c r="BF80" i="9" s="1"/>
  <c r="BE73" i="9"/>
  <c r="BE80" i="9" s="1"/>
  <c r="BD73" i="9"/>
  <c r="BD80" i="9" s="1"/>
  <c r="BC73" i="9"/>
  <c r="BC80" i="9" s="1"/>
  <c r="BB73" i="9"/>
  <c r="BA73" i="9"/>
  <c r="BA80" i="9" s="1"/>
  <c r="AZ73" i="9"/>
  <c r="AZ80" i="9" s="1"/>
  <c r="AI73" i="9"/>
  <c r="AH73" i="9"/>
  <c r="BW72" i="9"/>
  <c r="BW79" i="9" s="1"/>
  <c r="BV72" i="9"/>
  <c r="BV79" i="9" s="1"/>
  <c r="BU72" i="9"/>
  <c r="BU79" i="9" s="1"/>
  <c r="BT72" i="9"/>
  <c r="BT79" i="9" s="1"/>
  <c r="BS72" i="9"/>
  <c r="BS79" i="9" s="1"/>
  <c r="BR72" i="9"/>
  <c r="BR79" i="9" s="1"/>
  <c r="BQ72" i="9"/>
  <c r="BQ79" i="9" s="1"/>
  <c r="BP72" i="9"/>
  <c r="BP79" i="9" s="1"/>
  <c r="BO72" i="9"/>
  <c r="BO79" i="9" s="1"/>
  <c r="BN72" i="9"/>
  <c r="BN79" i="9" s="1"/>
  <c r="BM72" i="9"/>
  <c r="BM79" i="9" s="1"/>
  <c r="BL72" i="9"/>
  <c r="BL79" i="9" s="1"/>
  <c r="BK72" i="9"/>
  <c r="BK79" i="9" s="1"/>
  <c r="BJ72" i="9"/>
  <c r="BJ79" i="9" s="1"/>
  <c r="BI72" i="9"/>
  <c r="BI79" i="9" s="1"/>
  <c r="BH72" i="9"/>
  <c r="BH79" i="9" s="1"/>
  <c r="BG72" i="9"/>
  <c r="BG79" i="9" s="1"/>
  <c r="BF72" i="9"/>
  <c r="BE72" i="9"/>
  <c r="BE79" i="9" s="1"/>
  <c r="BD72" i="9"/>
  <c r="BD79" i="9" s="1"/>
  <c r="BC72" i="9"/>
  <c r="BC79" i="9" s="1"/>
  <c r="BB72" i="9"/>
  <c r="BB79" i="9" s="1"/>
  <c r="BA72" i="9"/>
  <c r="BA79" i="9" s="1"/>
  <c r="AZ72" i="9"/>
  <c r="AZ79" i="9" s="1"/>
  <c r="AI72" i="9"/>
  <c r="AH72" i="9"/>
  <c r="BW71" i="9"/>
  <c r="BW78" i="9" s="1"/>
  <c r="BV71" i="9"/>
  <c r="BV78" i="9" s="1"/>
  <c r="BU71" i="9"/>
  <c r="BU78" i="9" s="1"/>
  <c r="BT71" i="9"/>
  <c r="BT78" i="9" s="1"/>
  <c r="BS71" i="9"/>
  <c r="BS78" i="9" s="1"/>
  <c r="BR71" i="9"/>
  <c r="BR78" i="9" s="1"/>
  <c r="BQ71" i="9"/>
  <c r="BQ78" i="9" s="1"/>
  <c r="BP71" i="9"/>
  <c r="BP78" i="9" s="1"/>
  <c r="BO71" i="9"/>
  <c r="BO78" i="9" s="1"/>
  <c r="BN71" i="9"/>
  <c r="BN78" i="9" s="1"/>
  <c r="BM71" i="9"/>
  <c r="BM78" i="9" s="1"/>
  <c r="BL71" i="9"/>
  <c r="BL78" i="9" s="1"/>
  <c r="BK71" i="9"/>
  <c r="BK78" i="9" s="1"/>
  <c r="BJ71" i="9"/>
  <c r="BJ78" i="9" s="1"/>
  <c r="BI71" i="9"/>
  <c r="BI78" i="9" s="1"/>
  <c r="BH71" i="9"/>
  <c r="BH78" i="9" s="1"/>
  <c r="BG71" i="9"/>
  <c r="BG78" i="9" s="1"/>
  <c r="BF71" i="9"/>
  <c r="BE71" i="9"/>
  <c r="BE78" i="9" s="1"/>
  <c r="BD71" i="9"/>
  <c r="BD78" i="9" s="1"/>
  <c r="BC71" i="9"/>
  <c r="BC78" i="9" s="1"/>
  <c r="BB71" i="9"/>
  <c r="BB78" i="9" s="1"/>
  <c r="BA71" i="9"/>
  <c r="BA78" i="9" s="1"/>
  <c r="AZ71" i="9"/>
  <c r="AZ78" i="9" s="1"/>
  <c r="AI71" i="9"/>
  <c r="AH71" i="9"/>
  <c r="BW70" i="9"/>
  <c r="BW77" i="9" s="1"/>
  <c r="BV70" i="9"/>
  <c r="BV77" i="9" s="1"/>
  <c r="BU70" i="9"/>
  <c r="BU77" i="9" s="1"/>
  <c r="BT70" i="9"/>
  <c r="BT77" i="9" s="1"/>
  <c r="BS70" i="9"/>
  <c r="BS77" i="9" s="1"/>
  <c r="BR70" i="9"/>
  <c r="BR77" i="9" s="1"/>
  <c r="BQ70" i="9"/>
  <c r="BQ77" i="9" s="1"/>
  <c r="BP70" i="9"/>
  <c r="BP77" i="9" s="1"/>
  <c r="BO70" i="9"/>
  <c r="BO77" i="9" s="1"/>
  <c r="BN70" i="9"/>
  <c r="BN77" i="9" s="1"/>
  <c r="BM70" i="9"/>
  <c r="BM77" i="9" s="1"/>
  <c r="BL70" i="9"/>
  <c r="BL77" i="9" s="1"/>
  <c r="BK70" i="9"/>
  <c r="BK77" i="9" s="1"/>
  <c r="BJ70" i="9"/>
  <c r="BI70" i="9"/>
  <c r="BI77" i="9" s="1"/>
  <c r="BH70" i="9"/>
  <c r="BG70" i="9"/>
  <c r="BG77" i="9" s="1"/>
  <c r="BF70" i="9"/>
  <c r="BF77" i="9" s="1"/>
  <c r="BE70" i="9"/>
  <c r="BE77" i="9" s="1"/>
  <c r="BD70" i="9"/>
  <c r="BD77" i="9" s="1"/>
  <c r="BC70" i="9"/>
  <c r="BC77" i="9" s="1"/>
  <c r="BB70" i="9"/>
  <c r="BB77" i="9" s="1"/>
  <c r="BA70" i="9"/>
  <c r="BA77" i="9" s="1"/>
  <c r="AZ70" i="9"/>
  <c r="AZ77" i="9" s="1"/>
  <c r="AI70" i="9"/>
  <c r="AH70" i="9"/>
  <c r="BW69" i="9"/>
  <c r="BV69" i="9"/>
  <c r="BV76" i="9" s="1"/>
  <c r="BU69" i="9"/>
  <c r="BU76" i="9" s="1"/>
  <c r="BT69" i="9"/>
  <c r="BT76" i="9" s="1"/>
  <c r="BS69" i="9"/>
  <c r="BS76" i="9" s="1"/>
  <c r="BR69" i="9"/>
  <c r="BR76" i="9" s="1"/>
  <c r="BQ69" i="9"/>
  <c r="BQ76" i="9" s="1"/>
  <c r="BP69" i="9"/>
  <c r="BP76" i="9" s="1"/>
  <c r="BO69" i="9"/>
  <c r="BO76" i="9" s="1"/>
  <c r="BN69" i="9"/>
  <c r="BN76" i="9" s="1"/>
  <c r="BM69" i="9"/>
  <c r="BL69" i="9"/>
  <c r="BK69" i="9"/>
  <c r="BK76" i="9" s="1"/>
  <c r="BJ69" i="9"/>
  <c r="BI69" i="9"/>
  <c r="BI76" i="9" s="1"/>
  <c r="BH69" i="9"/>
  <c r="BH76" i="9" s="1"/>
  <c r="BG69" i="9"/>
  <c r="BG76" i="9" s="1"/>
  <c r="BF69" i="9"/>
  <c r="BF76" i="9" s="1"/>
  <c r="BE69" i="9"/>
  <c r="BD69" i="9"/>
  <c r="BD76" i="9" s="1"/>
  <c r="BC69" i="9"/>
  <c r="BC76" i="9" s="1"/>
  <c r="BB69" i="9"/>
  <c r="BA69" i="9"/>
  <c r="BA76" i="9" s="1"/>
  <c r="AZ69" i="9"/>
  <c r="AZ76" i="9" s="1"/>
  <c r="AI69" i="9"/>
  <c r="AH69" i="9"/>
  <c r="BW68" i="9"/>
  <c r="BW75" i="9" s="1"/>
  <c r="BV68" i="9"/>
  <c r="BV75" i="9" s="1"/>
  <c r="BU68" i="9"/>
  <c r="BU75" i="9" s="1"/>
  <c r="BT68" i="9"/>
  <c r="BT75" i="9" s="1"/>
  <c r="BS68" i="9"/>
  <c r="BS75" i="9" s="1"/>
  <c r="BR68" i="9"/>
  <c r="BR75" i="9" s="1"/>
  <c r="BQ68" i="9"/>
  <c r="BQ75" i="9" s="1"/>
  <c r="BP68" i="9"/>
  <c r="BP75" i="9" s="1"/>
  <c r="BO68" i="9"/>
  <c r="BO75" i="9" s="1"/>
  <c r="BN68" i="9"/>
  <c r="BM68" i="9"/>
  <c r="BM75" i="9" s="1"/>
  <c r="BL68" i="9"/>
  <c r="BK68" i="9"/>
  <c r="BK75" i="9" s="1"/>
  <c r="BJ68" i="9"/>
  <c r="BJ75" i="9" s="1"/>
  <c r="BI68" i="9"/>
  <c r="BI75" i="9" s="1"/>
  <c r="BH68" i="9"/>
  <c r="BH75" i="9" s="1"/>
  <c r="BG68" i="9"/>
  <c r="BG75" i="9" s="1"/>
  <c r="BF68" i="9"/>
  <c r="BE68" i="9"/>
  <c r="BE75" i="9" s="1"/>
  <c r="BD68" i="9"/>
  <c r="BC68" i="9"/>
  <c r="BC75" i="9" s="1"/>
  <c r="BB68" i="9"/>
  <c r="BB75" i="9" s="1"/>
  <c r="BA68" i="9"/>
  <c r="BA75" i="9" s="1"/>
  <c r="AZ68" i="9"/>
  <c r="AI68" i="9"/>
  <c r="AH68" i="9"/>
  <c r="AI67" i="9"/>
  <c r="AH67" i="9"/>
  <c r="AI66" i="9"/>
  <c r="AH66" i="9"/>
  <c r="AI65" i="9"/>
  <c r="AH65" i="9"/>
  <c r="AI64" i="9"/>
  <c r="AH64" i="9"/>
  <c r="AI63" i="9"/>
  <c r="AH63" i="9"/>
  <c r="AG62" i="9"/>
  <c r="AA62" i="9"/>
  <c r="Z62" i="9"/>
  <c r="Y62" i="9"/>
  <c r="V62" i="9"/>
  <c r="U62" i="9"/>
  <c r="T62" i="9"/>
  <c r="S62" i="9"/>
  <c r="R62" i="9"/>
  <c r="Q62" i="9"/>
  <c r="P62" i="9"/>
  <c r="AX17" i="9" s="1"/>
  <c r="O62" i="9"/>
  <c r="AW17" i="9" s="1"/>
  <c r="N62" i="9"/>
  <c r="AV17" i="9" s="1"/>
  <c r="M62" i="9"/>
  <c r="AU17" i="9" s="1"/>
  <c r="L62" i="9"/>
  <c r="K62" i="9"/>
  <c r="AT17" i="9" s="1"/>
  <c r="J62" i="9"/>
  <c r="I62" i="9"/>
  <c r="H62" i="9"/>
  <c r="G62" i="9"/>
  <c r="AR17" i="9" s="1"/>
  <c r="F62" i="9"/>
  <c r="AQ17" i="9" s="1"/>
  <c r="E62" i="9"/>
  <c r="D62" i="9"/>
  <c r="C62" i="9"/>
  <c r="B62" i="9"/>
  <c r="AI61" i="9"/>
  <c r="AH61" i="9"/>
  <c r="AI60" i="9"/>
  <c r="AH60" i="9"/>
  <c r="AI59" i="9"/>
  <c r="AH59" i="9"/>
  <c r="AG58" i="9"/>
  <c r="AF7" i="9"/>
  <c r="AA58" i="9"/>
  <c r="Z58" i="9"/>
  <c r="Y58" i="9"/>
  <c r="X7" i="9"/>
  <c r="V58" i="9"/>
  <c r="U58" i="9"/>
  <c r="T58" i="9"/>
  <c r="S58" i="9"/>
  <c r="R58" i="9"/>
  <c r="Q58" i="9"/>
  <c r="P58" i="9"/>
  <c r="O58" i="9"/>
  <c r="AW16" i="9" s="1"/>
  <c r="N58" i="9"/>
  <c r="AV16" i="9" s="1"/>
  <c r="M58" i="9"/>
  <c r="AU16" i="9" s="1"/>
  <c r="L58" i="9"/>
  <c r="K58" i="9"/>
  <c r="J58" i="9"/>
  <c r="I58" i="9"/>
  <c r="H58" i="9"/>
  <c r="G58" i="9"/>
  <c r="F58" i="9"/>
  <c r="E58" i="9"/>
  <c r="D58" i="9"/>
  <c r="C58" i="9"/>
  <c r="B58" i="9"/>
  <c r="AI57" i="9"/>
  <c r="AH57" i="9"/>
  <c r="AI56" i="9"/>
  <c r="AH56" i="9"/>
  <c r="AI55" i="9"/>
  <c r="AH55" i="9"/>
  <c r="AI54" i="9"/>
  <c r="AH54" i="9"/>
  <c r="AI53" i="9"/>
  <c r="AH53" i="9"/>
  <c r="AI52" i="9"/>
  <c r="AH52" i="9"/>
  <c r="AI51" i="9"/>
  <c r="AH51" i="9"/>
  <c r="AI50" i="9"/>
  <c r="AH50" i="9"/>
  <c r="AI49" i="9"/>
  <c r="AH49" i="9"/>
  <c r="AI48" i="9"/>
  <c r="AH48" i="9"/>
  <c r="AI47" i="9"/>
  <c r="AH47" i="9"/>
  <c r="AI46" i="9"/>
  <c r="AH46" i="9"/>
  <c r="AI45" i="9"/>
  <c r="AH45" i="9"/>
  <c r="AI44" i="9"/>
  <c r="AH44" i="9"/>
  <c r="AI43" i="9"/>
  <c r="AH43" i="9"/>
  <c r="AI42" i="9"/>
  <c r="AH42" i="9"/>
  <c r="AI41" i="9"/>
  <c r="AH41" i="9"/>
  <c r="AI40" i="9"/>
  <c r="AH40" i="9"/>
  <c r="AI39" i="9"/>
  <c r="AH39" i="9"/>
  <c r="AI38" i="9"/>
  <c r="AH38" i="9"/>
  <c r="AI37" i="9"/>
  <c r="AH37" i="9"/>
  <c r="AI36" i="9"/>
  <c r="AH36" i="9"/>
  <c r="AI35" i="9"/>
  <c r="AH35" i="9"/>
  <c r="AI34" i="9"/>
  <c r="AH34" i="9"/>
  <c r="AI33" i="9"/>
  <c r="AH33" i="9"/>
  <c r="AI32" i="9"/>
  <c r="AH32" i="9"/>
  <c r="AI31" i="9"/>
  <c r="AH31" i="9"/>
  <c r="AI30" i="9"/>
  <c r="AH30" i="9"/>
  <c r="AI29" i="9"/>
  <c r="AH29" i="9"/>
  <c r="AI28" i="9"/>
  <c r="AH28" i="9"/>
  <c r="AI27" i="9"/>
  <c r="AH27" i="9"/>
  <c r="AI26" i="9"/>
  <c r="AH26" i="9"/>
  <c r="AI25" i="9"/>
  <c r="AH25" i="9"/>
  <c r="AI24" i="9"/>
  <c r="AH24" i="9"/>
  <c r="AI23" i="9"/>
  <c r="AH23" i="9"/>
  <c r="AI22" i="9"/>
  <c r="AH22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I21" i="9"/>
  <c r="AH21" i="9"/>
  <c r="AX20" i="9"/>
  <c r="AV20" i="9"/>
  <c r="AT20" i="9"/>
  <c r="AS20" i="9"/>
  <c r="AQ20" i="9"/>
  <c r="AP20" i="9"/>
  <c r="AN20" i="9"/>
  <c r="AM20" i="9"/>
  <c r="AI20" i="9"/>
  <c r="AH20" i="9"/>
  <c r="AI19" i="9"/>
  <c r="AH19" i="9"/>
  <c r="AX18" i="9"/>
  <c r="AR18" i="9"/>
  <c r="AO18" i="9"/>
  <c r="AI18" i="9"/>
  <c r="AH18" i="9"/>
  <c r="AS17" i="9"/>
  <c r="AP17" i="9"/>
  <c r="AO17" i="9"/>
  <c r="AN17" i="9"/>
  <c r="AI17" i="9"/>
  <c r="AH17" i="9"/>
  <c r="AT16" i="9"/>
  <c r="AS16" i="9"/>
  <c r="AR16" i="9"/>
  <c r="AQ16" i="9"/>
  <c r="AO16" i="9"/>
  <c r="AI16" i="9"/>
  <c r="AH16" i="9"/>
  <c r="AI15" i="9"/>
  <c r="AH15" i="9"/>
  <c r="AI14" i="9"/>
  <c r="AH14" i="9"/>
  <c r="AI13" i="9"/>
  <c r="AH13" i="9"/>
  <c r="AL12" i="9"/>
  <c r="AI12" i="9"/>
  <c r="AH12" i="9"/>
  <c r="AI11" i="9"/>
  <c r="AH11" i="9"/>
  <c r="AE5" i="9"/>
  <c r="AD5" i="9"/>
  <c r="AA5" i="9"/>
  <c r="W5" i="9"/>
  <c r="V5" i="9"/>
  <c r="Q5" i="9"/>
  <c r="I5" i="9"/>
  <c r="C5" i="9"/>
  <c r="AG4" i="9"/>
  <c r="K4" i="9"/>
  <c r="E4" i="9"/>
  <c r="H4" i="9" s="1"/>
  <c r="B4" i="9"/>
  <c r="D258" i="9" s="1"/>
  <c r="AG2" i="9"/>
  <c r="AF123" i="8"/>
  <c r="AF57" i="8"/>
  <c r="AE123" i="8"/>
  <c r="AE57" i="8"/>
  <c r="AD123" i="8"/>
  <c r="AD57" i="8"/>
  <c r="AA97" i="9" l="1"/>
  <c r="AA99" i="9" s="1"/>
  <c r="Z107" i="9"/>
  <c r="Z108" i="9" s="1"/>
  <c r="AH104" i="9"/>
  <c r="Y97" i="9"/>
  <c r="Y99" i="9" s="1"/>
  <c r="V107" i="9"/>
  <c r="U107" i="9"/>
  <c r="T107" i="9"/>
  <c r="T108" i="9" s="1"/>
  <c r="T97" i="9"/>
  <c r="T99" i="9" s="1"/>
  <c r="S97" i="9"/>
  <c r="S99" i="9" s="1"/>
  <c r="Q97" i="9"/>
  <c r="Q99" i="9" s="1"/>
  <c r="P107" i="9"/>
  <c r="AX23" i="9" s="1"/>
  <c r="P108" i="9"/>
  <c r="AX19" i="9"/>
  <c r="O107" i="9"/>
  <c r="AW23" i="9" s="1"/>
  <c r="N5" i="9"/>
  <c r="AW22" i="9"/>
  <c r="AW24" i="9" s="1"/>
  <c r="N108" i="9"/>
  <c r="M107" i="9"/>
  <c r="AU23" i="9" s="1"/>
  <c r="L107" i="9"/>
  <c r="L108" i="9"/>
  <c r="L97" i="9"/>
  <c r="L99" i="9" s="1"/>
  <c r="L100" i="9" s="1"/>
  <c r="L7" i="9" s="1"/>
  <c r="J5" i="9"/>
  <c r="K97" i="9"/>
  <c r="K99" i="9" s="1"/>
  <c r="AT22" i="9"/>
  <c r="J107" i="9"/>
  <c r="AS19" i="9"/>
  <c r="I97" i="9"/>
  <c r="I99" i="9" s="1"/>
  <c r="H97" i="9"/>
  <c r="H99" i="9" s="1"/>
  <c r="H107" i="9"/>
  <c r="H108" i="9" s="1"/>
  <c r="AR22" i="9"/>
  <c r="G107" i="9"/>
  <c r="AR23" i="9" s="1"/>
  <c r="F5" i="9"/>
  <c r="F107" i="9"/>
  <c r="AQ23" i="9" s="1"/>
  <c r="F108" i="9"/>
  <c r="AQ19" i="9"/>
  <c r="AQ22" i="9" s="1"/>
  <c r="AQ24" i="9" s="1"/>
  <c r="E107" i="9"/>
  <c r="AP23" i="9" s="1"/>
  <c r="AI62" i="9"/>
  <c r="AI103" i="9"/>
  <c r="D107" i="9"/>
  <c r="D108" i="9" s="1"/>
  <c r="AN19" i="9"/>
  <c r="C97" i="9"/>
  <c r="C99" i="9" s="1"/>
  <c r="AH76" i="9"/>
  <c r="AN16" i="9"/>
  <c r="AH103" i="9"/>
  <c r="AH105" i="9"/>
  <c r="AF5" i="9"/>
  <c r="AM18" i="9"/>
  <c r="AL13" i="9"/>
  <c r="AH62" i="9"/>
  <c r="AM16" i="9"/>
  <c r="AI58" i="9"/>
  <c r="B97" i="9"/>
  <c r="J97" i="9"/>
  <c r="J99" i="9" s="1"/>
  <c r="J100" i="9" s="1"/>
  <c r="J7" i="9" s="1"/>
  <c r="R97" i="9"/>
  <c r="R99" i="9" s="1"/>
  <c r="R100" i="9" s="1"/>
  <c r="R7" i="9" s="1"/>
  <c r="Z97" i="9"/>
  <c r="Z99" i="9" s="1"/>
  <c r="Z100" i="9" s="1"/>
  <c r="Z7" i="9" s="1"/>
  <c r="AH58" i="9"/>
  <c r="AG6" i="9"/>
  <c r="AO23" i="9"/>
  <c r="AO20" i="9"/>
  <c r="AO22" i="9" s="1"/>
  <c r="AO24" i="9" s="1"/>
  <c r="D97" i="9"/>
  <c r="D99" i="9" s="1"/>
  <c r="D100" i="9" s="1"/>
  <c r="D7" i="9" s="1"/>
  <c r="AI80" i="9"/>
  <c r="AM17" i="9"/>
  <c r="AS22" i="9"/>
  <c r="P97" i="9"/>
  <c r="P99" i="9" s="1"/>
  <c r="P100" i="9" s="1"/>
  <c r="P7" i="9" s="1"/>
  <c r="AX16" i="9"/>
  <c r="AX22" i="9" s="1"/>
  <c r="AX24" i="9" s="1"/>
  <c r="BG84" i="9" a="1"/>
  <c r="AI76" i="9"/>
  <c r="AH80" i="9"/>
  <c r="AI101" i="9"/>
  <c r="AI104" i="9"/>
  <c r="U108" i="9"/>
  <c r="AP19" i="9"/>
  <c r="AG97" i="9"/>
  <c r="C107" i="9"/>
  <c r="K107" i="9"/>
  <c r="S107" i="9"/>
  <c r="S108" i="9" s="1"/>
  <c r="AA107" i="9"/>
  <c r="AA108" i="9" s="1"/>
  <c r="AI105" i="9"/>
  <c r="AA100" i="9"/>
  <c r="AA7" i="9" s="1"/>
  <c r="V108" i="9"/>
  <c r="G108" i="9"/>
  <c r="O108" i="9"/>
  <c r="E108" i="9"/>
  <c r="L5" i="9"/>
  <c r="U97" i="9"/>
  <c r="U99" i="9" s="1"/>
  <c r="U100" i="9" s="1"/>
  <c r="U7" i="9" s="1"/>
  <c r="F246" i="9"/>
  <c r="E252" i="9"/>
  <c r="E118" i="9"/>
  <c r="M97" i="9"/>
  <c r="M99" i="9" s="1"/>
  <c r="M100" i="9" s="1"/>
  <c r="M7" i="9" s="1"/>
  <c r="E5" i="9"/>
  <c r="M5" i="9"/>
  <c r="U5" i="9"/>
  <c r="AC5" i="9"/>
  <c r="AU19" i="9"/>
  <c r="AU22" i="9" s="1"/>
  <c r="AU24" i="9" s="1"/>
  <c r="F97" i="9"/>
  <c r="F99" i="9" s="1"/>
  <c r="F100" i="9" s="1"/>
  <c r="F7" i="9" s="1"/>
  <c r="N97" i="9"/>
  <c r="N99" i="9" s="1"/>
  <c r="N100" i="9" s="1"/>
  <c r="N7" i="9" s="1"/>
  <c r="V97" i="9"/>
  <c r="V99" i="9" s="1"/>
  <c r="V100" i="9" s="1"/>
  <c r="V7" i="9" s="1"/>
  <c r="AD7" i="9"/>
  <c r="AG99" i="9"/>
  <c r="E97" i="9"/>
  <c r="E99" i="9" s="1"/>
  <c r="E100" i="9" s="1"/>
  <c r="E7" i="9" s="1"/>
  <c r="AC7" i="9"/>
  <c r="AP16" i="9"/>
  <c r="AV19" i="9"/>
  <c r="AV22" i="9" s="1"/>
  <c r="AV24" i="9" s="1"/>
  <c r="G97" i="9"/>
  <c r="G99" i="9" s="1"/>
  <c r="O97" i="9"/>
  <c r="O99" i="9" s="1"/>
  <c r="O100" i="9" s="1"/>
  <c r="O7" i="9" s="1"/>
  <c r="W7" i="9"/>
  <c r="AE7" i="9"/>
  <c r="AZ75" i="9"/>
  <c r="B108" i="9"/>
  <c r="J108" i="9"/>
  <c r="R108" i="9"/>
  <c r="I107" i="9"/>
  <c r="AS23" i="9" s="1"/>
  <c r="Q107" i="9"/>
  <c r="Y107" i="9"/>
  <c r="Y108" i="9" s="1"/>
  <c r="AH102" i="9"/>
  <c r="AH92" i="9"/>
  <c r="AI92" i="9"/>
  <c r="AH101" i="9"/>
  <c r="B107" i="9"/>
  <c r="T100" i="9" l="1"/>
  <c r="T7" i="9" s="1"/>
  <c r="Q100" i="9"/>
  <c r="Q7" i="9" s="1"/>
  <c r="M108" i="9"/>
  <c r="I108" i="9"/>
  <c r="AS24" i="9"/>
  <c r="H100" i="9"/>
  <c r="H7" i="9" s="1"/>
  <c r="AR24" i="9"/>
  <c r="AP22" i="9"/>
  <c r="AP24" i="9" s="1"/>
  <c r="C100" i="9"/>
  <c r="C7" i="9" s="1"/>
  <c r="AN22" i="9"/>
  <c r="AM22" i="9"/>
  <c r="B99" i="9"/>
  <c r="AI97" i="9"/>
  <c r="AH97" i="9"/>
  <c r="AT23" i="9"/>
  <c r="AT24" i="9" s="1"/>
  <c r="K108" i="9"/>
  <c r="K100" i="9"/>
  <c r="K7" i="9" s="1"/>
  <c r="F252" i="9"/>
  <c r="F118" i="9"/>
  <c r="G246" i="9"/>
  <c r="Q108" i="9"/>
  <c r="Y100" i="9"/>
  <c r="Y7" i="9" s="1"/>
  <c r="BJ107" i="9"/>
  <c r="BH106" i="9"/>
  <c r="BL104" i="9"/>
  <c r="BJ103" i="9"/>
  <c r="BH102" i="9"/>
  <c r="BL100" i="9"/>
  <c r="BJ99" i="9"/>
  <c r="BH98" i="9"/>
  <c r="BL96" i="9"/>
  <c r="BJ95" i="9"/>
  <c r="BH94" i="9"/>
  <c r="BL92" i="9"/>
  <c r="BJ91" i="9"/>
  <c r="BH90" i="9"/>
  <c r="BL88" i="9"/>
  <c r="BJ87" i="9"/>
  <c r="BH86" i="9"/>
  <c r="BL84" i="9"/>
  <c r="BI107" i="9"/>
  <c r="BG106" i="9"/>
  <c r="BK104" i="9"/>
  <c r="BI103" i="9"/>
  <c r="BG102" i="9"/>
  <c r="BK100" i="9"/>
  <c r="BI99" i="9"/>
  <c r="BG98" i="9"/>
  <c r="BK96" i="9"/>
  <c r="BI95" i="9"/>
  <c r="BG94" i="9"/>
  <c r="BK92" i="9"/>
  <c r="BI91" i="9"/>
  <c r="BG90" i="9"/>
  <c r="BK88" i="9"/>
  <c r="BI87" i="9"/>
  <c r="BG86" i="9"/>
  <c r="BK84" i="9"/>
  <c r="BK106" i="9"/>
  <c r="BI105" i="9"/>
  <c r="BG104" i="9"/>
  <c r="BK102" i="9"/>
  <c r="BI101" i="9"/>
  <c r="BG100" i="9"/>
  <c r="BK98" i="9"/>
  <c r="BI97" i="9"/>
  <c r="BG96" i="9"/>
  <c r="BK94" i="9"/>
  <c r="BI93" i="9"/>
  <c r="BG92" i="9"/>
  <c r="BK90" i="9"/>
  <c r="BI89" i="9"/>
  <c r="BG88" i="9"/>
  <c r="BK86" i="9"/>
  <c r="BI85" i="9"/>
  <c r="BG84" i="9"/>
  <c r="BL107" i="9"/>
  <c r="BJ106" i="9"/>
  <c r="BH105" i="9"/>
  <c r="BL103" i="9"/>
  <c r="BJ102" i="9"/>
  <c r="BH101" i="9"/>
  <c r="BL99" i="9"/>
  <c r="BJ98" i="9"/>
  <c r="BH97" i="9"/>
  <c r="BL95" i="9"/>
  <c r="BJ94" i="9"/>
  <c r="BH93" i="9"/>
  <c r="BL91" i="9"/>
  <c r="BJ90" i="9"/>
  <c r="BH89" i="9"/>
  <c r="BL87" i="9"/>
  <c r="BJ86" i="9"/>
  <c r="BH85" i="9"/>
  <c r="BK107" i="9"/>
  <c r="BI106" i="9"/>
  <c r="BG105" i="9"/>
  <c r="BK103" i="9"/>
  <c r="BI102" i="9"/>
  <c r="BG101" i="9"/>
  <c r="BK99" i="9"/>
  <c r="BI98" i="9"/>
  <c r="BG97" i="9"/>
  <c r="BK95" i="9"/>
  <c r="BI94" i="9"/>
  <c r="BG93" i="9"/>
  <c r="BK91" i="9"/>
  <c r="BI90" i="9"/>
  <c r="BG89" i="9"/>
  <c r="BG107" i="9"/>
  <c r="BH103" i="9"/>
  <c r="BH100" i="9"/>
  <c r="BI96" i="9"/>
  <c r="BJ92" i="9"/>
  <c r="BJ89" i="9"/>
  <c r="BI86" i="9"/>
  <c r="BL106" i="9"/>
  <c r="BG103" i="9"/>
  <c r="BH99" i="9"/>
  <c r="BH96" i="9"/>
  <c r="BI92" i="9"/>
  <c r="BJ88" i="9"/>
  <c r="BL85" i="9"/>
  <c r="BK97" i="9"/>
  <c r="BL90" i="9"/>
  <c r="BJ84" i="9"/>
  <c r="BL105" i="9"/>
  <c r="BL102" i="9"/>
  <c r="BG99" i="9"/>
  <c r="BH95" i="9"/>
  <c r="BH92" i="9"/>
  <c r="BI88" i="9"/>
  <c r="BK85" i="9"/>
  <c r="BK105" i="9"/>
  <c r="BL101" i="9"/>
  <c r="BL98" i="9"/>
  <c r="BG95" i="9"/>
  <c r="BH91" i="9"/>
  <c r="BH88" i="9"/>
  <c r="BJ85" i="9"/>
  <c r="BJ105" i="9"/>
  <c r="BK101" i="9"/>
  <c r="BL97" i="9"/>
  <c r="BL94" i="9"/>
  <c r="BG91" i="9"/>
  <c r="BK87" i="9"/>
  <c r="BG85" i="9"/>
  <c r="BJ104" i="9"/>
  <c r="BJ101" i="9"/>
  <c r="BL93" i="9"/>
  <c r="BH87" i="9"/>
  <c r="BI104" i="9"/>
  <c r="BJ100" i="9"/>
  <c r="BJ97" i="9"/>
  <c r="BK93" i="9"/>
  <c r="BL89" i="9"/>
  <c r="BG87" i="9"/>
  <c r="BI84" i="9"/>
  <c r="BH107" i="9"/>
  <c r="BH104" i="9"/>
  <c r="BI100" i="9"/>
  <c r="BJ96" i="9"/>
  <c r="BJ93" i="9"/>
  <c r="BK89" i="9"/>
  <c r="BL86" i="9"/>
  <c r="BH84" i="9"/>
  <c r="C256" i="9"/>
  <c r="G100" i="9"/>
  <c r="G7" i="9" s="1"/>
  <c r="B256" i="9"/>
  <c r="I100" i="9"/>
  <c r="I7" i="9" s="1"/>
  <c r="AN23" i="9"/>
  <c r="C108" i="9"/>
  <c r="AI107" i="9"/>
  <c r="AH107" i="9"/>
  <c r="AM23" i="9"/>
  <c r="S100" i="9"/>
  <c r="S7" i="9" s="1"/>
  <c r="AI108" i="9" l="1"/>
  <c r="AT8" i="9"/>
  <c r="AN24" i="9"/>
  <c r="AM24" i="9"/>
  <c r="AT9" i="9" s="1"/>
  <c r="H246" i="9"/>
  <c r="G252" i="9"/>
  <c r="G118" i="9"/>
  <c r="AH99" i="9"/>
  <c r="B100" i="9"/>
  <c r="AI99" i="9"/>
  <c r="K6" i="9"/>
  <c r="AH108" i="9"/>
  <c r="AC123" i="8"/>
  <c r="AI100" i="9" l="1"/>
  <c r="AH100" i="9"/>
  <c r="B7" i="9"/>
  <c r="A7" i="9" s="1"/>
  <c r="I246" i="9"/>
  <c r="H252" i="9"/>
  <c r="H118" i="9"/>
  <c r="AC57" i="8"/>
  <c r="AB123" i="8"/>
  <c r="AB57" i="8"/>
  <c r="S91" i="8"/>
  <c r="AA123" i="8"/>
  <c r="AA57" i="8"/>
  <c r="AA58" i="8"/>
  <c r="AA62" i="8"/>
  <c r="AA76" i="8"/>
  <c r="AA80" i="8"/>
  <c r="AA92" i="8"/>
  <c r="AA101" i="8"/>
  <c r="AA102" i="8"/>
  <c r="AA103" i="8"/>
  <c r="AA104" i="8"/>
  <c r="AA105" i="8"/>
  <c r="AA107" i="8" s="1"/>
  <c r="AA118" i="8"/>
  <c r="Z123" i="8"/>
  <c r="Z118" i="8"/>
  <c r="Z105" i="8"/>
  <c r="Z104" i="8"/>
  <c r="Z103" i="8"/>
  <c r="Z102" i="8"/>
  <c r="Z101" i="8"/>
  <c r="Z107" i="8" s="1"/>
  <c r="Z92" i="8"/>
  <c r="Z108" i="8" s="1"/>
  <c r="Z80" i="8"/>
  <c r="Z97" i="8" s="1"/>
  <c r="Z99" i="8" s="1"/>
  <c r="Z76" i="8"/>
  <c r="Z62" i="8"/>
  <c r="Z58" i="8"/>
  <c r="Z57" i="8"/>
  <c r="Y123" i="8"/>
  <c r="Y57" i="8"/>
  <c r="Y58" i="8"/>
  <c r="Y62" i="8"/>
  <c r="Y76" i="8"/>
  <c r="Y80" i="8"/>
  <c r="Y92" i="8"/>
  <c r="Y101" i="8"/>
  <c r="Y102" i="8"/>
  <c r="Y103" i="8"/>
  <c r="Y104" i="8"/>
  <c r="Y107" i="8" s="1"/>
  <c r="Y105" i="8"/>
  <c r="Y118" i="8"/>
  <c r="X123" i="8"/>
  <c r="X57" i="8"/>
  <c r="X58" i="8"/>
  <c r="X62" i="8"/>
  <c r="X76" i="8"/>
  <c r="X80" i="8"/>
  <c r="X92" i="8"/>
  <c r="X101" i="8"/>
  <c r="X102" i="8"/>
  <c r="X103" i="8"/>
  <c r="X104" i="8"/>
  <c r="X107" i="8" s="1"/>
  <c r="X105" i="8"/>
  <c r="X118" i="8"/>
  <c r="W123" i="8"/>
  <c r="W57" i="8"/>
  <c r="W58" i="8"/>
  <c r="W62" i="8"/>
  <c r="W76" i="8"/>
  <c r="W80" i="8"/>
  <c r="W92" i="8"/>
  <c r="W101" i="8"/>
  <c r="W102" i="8"/>
  <c r="W103" i="8"/>
  <c r="W104" i="8"/>
  <c r="W105" i="8"/>
  <c r="W118" i="8"/>
  <c r="V123" i="8"/>
  <c r="V57" i="8"/>
  <c r="V58" i="8"/>
  <c r="V62" i="8"/>
  <c r="V76" i="8"/>
  <c r="V80" i="8"/>
  <c r="V92" i="8"/>
  <c r="V101" i="8"/>
  <c r="V102" i="8"/>
  <c r="V103" i="8"/>
  <c r="V104" i="8"/>
  <c r="V105" i="8"/>
  <c r="V118" i="8"/>
  <c r="U123" i="8"/>
  <c r="U57" i="8"/>
  <c r="U58" i="8"/>
  <c r="U62" i="8"/>
  <c r="U76" i="8"/>
  <c r="U80" i="8"/>
  <c r="U92" i="8"/>
  <c r="U101" i="8"/>
  <c r="U102" i="8"/>
  <c r="U103" i="8"/>
  <c r="U104" i="8"/>
  <c r="U105" i="8"/>
  <c r="U118" i="8"/>
  <c r="T123" i="8"/>
  <c r="T57" i="8"/>
  <c r="T58" i="8"/>
  <c r="T62" i="8"/>
  <c r="T76" i="8"/>
  <c r="T80" i="8"/>
  <c r="T92" i="8"/>
  <c r="T101" i="8"/>
  <c r="T102" i="8"/>
  <c r="T103" i="8"/>
  <c r="T104" i="8"/>
  <c r="T105" i="8"/>
  <c r="T107" i="8"/>
  <c r="T118" i="8"/>
  <c r="S123" i="8"/>
  <c r="I252" i="9" l="1"/>
  <c r="I118" i="9"/>
  <c r="J246" i="9"/>
  <c r="AA97" i="8"/>
  <c r="AA99" i="8" s="1"/>
  <c r="AA100" i="8" s="1"/>
  <c r="AA108" i="8"/>
  <c r="Z100" i="8"/>
  <c r="Y108" i="8"/>
  <c r="Y97" i="8"/>
  <c r="Y99" i="8" s="1"/>
  <c r="Y100" i="8" s="1"/>
  <c r="X97" i="8"/>
  <c r="X99" i="8" s="1"/>
  <c r="X100" i="8" s="1"/>
  <c r="X108" i="8"/>
  <c r="W107" i="8"/>
  <c r="W108" i="8"/>
  <c r="W97" i="8"/>
  <c r="W99" i="8" s="1"/>
  <c r="W100" i="8" s="1"/>
  <c r="V97" i="8"/>
  <c r="V99" i="8" s="1"/>
  <c r="V107" i="8"/>
  <c r="V108" i="8" s="1"/>
  <c r="U107" i="8"/>
  <c r="U108" i="8" s="1"/>
  <c r="U97" i="8"/>
  <c r="U99" i="8" s="1"/>
  <c r="U100" i="8" s="1"/>
  <c r="T97" i="8"/>
  <c r="T99" i="8" s="1"/>
  <c r="T100" i="8" s="1"/>
  <c r="T108" i="8"/>
  <c r="S57" i="8"/>
  <c r="S58" i="8"/>
  <c r="S62" i="8"/>
  <c r="S76" i="8"/>
  <c r="S80" i="8"/>
  <c r="S92" i="8"/>
  <c r="S101" i="8"/>
  <c r="S102" i="8"/>
  <c r="S103" i="8"/>
  <c r="S104" i="8"/>
  <c r="S105" i="8"/>
  <c r="S118" i="8"/>
  <c r="K246" i="9" l="1"/>
  <c r="J252" i="9"/>
  <c r="J118" i="9"/>
  <c r="V100" i="8"/>
  <c r="S107" i="8"/>
  <c r="S97" i="8"/>
  <c r="S99" i="8" s="1"/>
  <c r="S100" i="8" s="1"/>
  <c r="S108" i="8"/>
  <c r="R123" i="8"/>
  <c r="R121" i="8"/>
  <c r="R57" i="8"/>
  <c r="Q123" i="8"/>
  <c r="Q121" i="8"/>
  <c r="Q57" i="8"/>
  <c r="P123" i="8"/>
  <c r="P121" i="8"/>
  <c r="P57" i="8"/>
  <c r="O123" i="8"/>
  <c r="O121" i="8"/>
  <c r="O57" i="8"/>
  <c r="N123" i="8"/>
  <c r="N121" i="8"/>
  <c r="N57" i="8"/>
  <c r="M123" i="8"/>
  <c r="M121" i="8"/>
  <c r="M57" i="8"/>
  <c r="L127" i="8"/>
  <c r="L123" i="8"/>
  <c r="K123" i="8"/>
  <c r="J123" i="8"/>
  <c r="I123" i="8"/>
  <c r="H123" i="8"/>
  <c r="AH125" i="8"/>
  <c r="AI125" i="8"/>
  <c r="AH124" i="8"/>
  <c r="AI124" i="8"/>
  <c r="D58" i="8"/>
  <c r="D62" i="8"/>
  <c r="D76" i="8"/>
  <c r="D80" i="8"/>
  <c r="D92" i="8"/>
  <c r="D108" i="8" s="1"/>
  <c r="D101" i="8"/>
  <c r="D102" i="8"/>
  <c r="D103" i="8"/>
  <c r="D104" i="8"/>
  <c r="D105" i="8"/>
  <c r="D118" i="8"/>
  <c r="C58" i="8"/>
  <c r="C62" i="8"/>
  <c r="C76" i="8"/>
  <c r="C80" i="8"/>
  <c r="C92" i="8"/>
  <c r="C101" i="8"/>
  <c r="C102" i="8"/>
  <c r="C103" i="8"/>
  <c r="C104" i="8"/>
  <c r="C105" i="8"/>
  <c r="C118" i="8"/>
  <c r="K252" i="9" l="1"/>
  <c r="K118" i="9"/>
  <c r="L246" i="9"/>
  <c r="D97" i="8"/>
  <c r="D99" i="8" s="1"/>
  <c r="D100" i="8" s="1"/>
  <c r="C97" i="8"/>
  <c r="C99" i="8" s="1"/>
  <c r="C100" i="8" s="1"/>
  <c r="C108" i="8"/>
  <c r="B118" i="8"/>
  <c r="B105" i="8"/>
  <c r="B104" i="8"/>
  <c r="B103" i="8"/>
  <c r="B102" i="8"/>
  <c r="AI102" i="8" s="1"/>
  <c r="B101" i="8"/>
  <c r="B92" i="8"/>
  <c r="B108" i="8" s="1"/>
  <c r="B80" i="8"/>
  <c r="B76" i="8"/>
  <c r="AM18" i="8" s="1"/>
  <c r="B62" i="8"/>
  <c r="B58" i="8"/>
  <c r="AG252" i="8"/>
  <c r="C252" i="8"/>
  <c r="D251" i="8"/>
  <c r="E250" i="8"/>
  <c r="F250" i="8" s="1"/>
  <c r="G250" i="8" s="1"/>
  <c r="H250" i="8" s="1"/>
  <c r="I250" i="8" s="1"/>
  <c r="J250" i="8" s="1"/>
  <c r="K250" i="8" s="1"/>
  <c r="L250" i="8" s="1"/>
  <c r="M250" i="8" s="1"/>
  <c r="N250" i="8" s="1"/>
  <c r="O250" i="8" s="1"/>
  <c r="P250" i="8" s="1"/>
  <c r="Q250" i="8" s="1"/>
  <c r="R250" i="8" s="1"/>
  <c r="S250" i="8" s="1"/>
  <c r="T250" i="8" s="1"/>
  <c r="U250" i="8" s="1"/>
  <c r="V250" i="8" s="1"/>
  <c r="W250" i="8" s="1"/>
  <c r="X250" i="8" s="1"/>
  <c r="Y250" i="8" s="1"/>
  <c r="Z250" i="8" s="1"/>
  <c r="AA250" i="8" s="1"/>
  <c r="AB250" i="8" s="1"/>
  <c r="AC250" i="8" s="1"/>
  <c r="AD250" i="8" s="1"/>
  <c r="AE250" i="8" s="1"/>
  <c r="AF250" i="8" s="1"/>
  <c r="B250" i="8" s="1"/>
  <c r="D250" i="8"/>
  <c r="H249" i="8"/>
  <c r="I249" i="8" s="1"/>
  <c r="J249" i="8" s="1"/>
  <c r="K249" i="8" s="1"/>
  <c r="L249" i="8" s="1"/>
  <c r="M249" i="8" s="1"/>
  <c r="N249" i="8" s="1"/>
  <c r="O249" i="8" s="1"/>
  <c r="P249" i="8" s="1"/>
  <c r="Q249" i="8" s="1"/>
  <c r="R249" i="8" s="1"/>
  <c r="S249" i="8" s="1"/>
  <c r="T249" i="8" s="1"/>
  <c r="U249" i="8" s="1"/>
  <c r="V249" i="8" s="1"/>
  <c r="W249" i="8" s="1"/>
  <c r="X249" i="8" s="1"/>
  <c r="Y249" i="8" s="1"/>
  <c r="Z249" i="8" s="1"/>
  <c r="AA249" i="8" s="1"/>
  <c r="AB249" i="8" s="1"/>
  <c r="AC249" i="8" s="1"/>
  <c r="AD249" i="8" s="1"/>
  <c r="AE249" i="8" s="1"/>
  <c r="AF249" i="8" s="1"/>
  <c r="B249" i="8" s="1"/>
  <c r="F249" i="8"/>
  <c r="G249" i="8" s="1"/>
  <c r="E249" i="8"/>
  <c r="D249" i="8"/>
  <c r="D248" i="8"/>
  <c r="E248" i="8" s="1"/>
  <c r="F248" i="8" s="1"/>
  <c r="G248" i="8" s="1"/>
  <c r="H248" i="8" s="1"/>
  <c r="I248" i="8" s="1"/>
  <c r="J248" i="8" s="1"/>
  <c r="K248" i="8" s="1"/>
  <c r="L248" i="8" s="1"/>
  <c r="M248" i="8" s="1"/>
  <c r="N248" i="8" s="1"/>
  <c r="O248" i="8" s="1"/>
  <c r="P248" i="8" s="1"/>
  <c r="Q248" i="8" s="1"/>
  <c r="R248" i="8" s="1"/>
  <c r="S248" i="8" s="1"/>
  <c r="T248" i="8" s="1"/>
  <c r="U248" i="8" s="1"/>
  <c r="V248" i="8" s="1"/>
  <c r="W248" i="8" s="1"/>
  <c r="X248" i="8" s="1"/>
  <c r="Y248" i="8" s="1"/>
  <c r="Z248" i="8" s="1"/>
  <c r="AA248" i="8" s="1"/>
  <c r="AB248" i="8" s="1"/>
  <c r="AC248" i="8" s="1"/>
  <c r="AD248" i="8" s="1"/>
  <c r="AE248" i="8" s="1"/>
  <c r="AF248" i="8" s="1"/>
  <c r="B248" i="8" s="1"/>
  <c r="L247" i="8"/>
  <c r="M247" i="8" s="1"/>
  <c r="N247" i="8" s="1"/>
  <c r="O247" i="8" s="1"/>
  <c r="P247" i="8" s="1"/>
  <c r="Q247" i="8" s="1"/>
  <c r="R247" i="8" s="1"/>
  <c r="S247" i="8" s="1"/>
  <c r="T247" i="8" s="1"/>
  <c r="U247" i="8" s="1"/>
  <c r="V247" i="8" s="1"/>
  <c r="W247" i="8" s="1"/>
  <c r="X247" i="8" s="1"/>
  <c r="Y247" i="8" s="1"/>
  <c r="Z247" i="8" s="1"/>
  <c r="AA247" i="8" s="1"/>
  <c r="AB247" i="8" s="1"/>
  <c r="AC247" i="8" s="1"/>
  <c r="AD247" i="8" s="1"/>
  <c r="AE247" i="8" s="1"/>
  <c r="AF247" i="8" s="1"/>
  <c r="B247" i="8" s="1"/>
  <c r="D247" i="8"/>
  <c r="E247" i="8" s="1"/>
  <c r="F247" i="8" s="1"/>
  <c r="G247" i="8" s="1"/>
  <c r="H247" i="8" s="1"/>
  <c r="I247" i="8" s="1"/>
  <c r="J247" i="8" s="1"/>
  <c r="K247" i="8" s="1"/>
  <c r="E246" i="8"/>
  <c r="F246" i="8" s="1"/>
  <c r="D246" i="8"/>
  <c r="AG244" i="8"/>
  <c r="AF244" i="8"/>
  <c r="AE244" i="8"/>
  <c r="AD244" i="8"/>
  <c r="AC244" i="8"/>
  <c r="AB244" i="8"/>
  <c r="AA244" i="8"/>
  <c r="Z244" i="8"/>
  <c r="Y244" i="8"/>
  <c r="X244" i="8"/>
  <c r="W244" i="8"/>
  <c r="V244" i="8"/>
  <c r="U244" i="8"/>
  <c r="T244" i="8"/>
  <c r="S244" i="8"/>
  <c r="R244" i="8"/>
  <c r="Q244" i="8"/>
  <c r="P244" i="8"/>
  <c r="O244" i="8"/>
  <c r="N244" i="8"/>
  <c r="M244" i="8"/>
  <c r="L244" i="8"/>
  <c r="K244" i="8"/>
  <c r="J244" i="8"/>
  <c r="I244" i="8"/>
  <c r="H244" i="8"/>
  <c r="G244" i="8"/>
  <c r="F244" i="8"/>
  <c r="E244" i="8"/>
  <c r="D244" i="8"/>
  <c r="C244" i="8"/>
  <c r="B244" i="8"/>
  <c r="AI130" i="8"/>
  <c r="AH130" i="8"/>
  <c r="AI129" i="8"/>
  <c r="AH129" i="8"/>
  <c r="AI128" i="8"/>
  <c r="AH128" i="8"/>
  <c r="AI127" i="8"/>
  <c r="AH127" i="8"/>
  <c r="AI126" i="8"/>
  <c r="AH126" i="8"/>
  <c r="AI123" i="8"/>
  <c r="AH123" i="8"/>
  <c r="AI122" i="8"/>
  <c r="AH122" i="8"/>
  <c r="AI121" i="8"/>
  <c r="AH121" i="8"/>
  <c r="AI120" i="8"/>
  <c r="AH120" i="8"/>
  <c r="AI119" i="8"/>
  <c r="AH119" i="8"/>
  <c r="AI117" i="8"/>
  <c r="AH117" i="8"/>
  <c r="AI116" i="8"/>
  <c r="AH116" i="8"/>
  <c r="AI115" i="8"/>
  <c r="AH115" i="8"/>
  <c r="AI114" i="8"/>
  <c r="AH114" i="8"/>
  <c r="AI113" i="8"/>
  <c r="AH113" i="8"/>
  <c r="AI112" i="8"/>
  <c r="AH112" i="8"/>
  <c r="AI111" i="8"/>
  <c r="AH111" i="8"/>
  <c r="AI110" i="8"/>
  <c r="AH110" i="8"/>
  <c r="AI109" i="8"/>
  <c r="AH109" i="8"/>
  <c r="AI106" i="8"/>
  <c r="AH106" i="8"/>
  <c r="AF105" i="8"/>
  <c r="AE105" i="8"/>
  <c r="AD105" i="8"/>
  <c r="AC105" i="8"/>
  <c r="AB105" i="8"/>
  <c r="R105" i="8"/>
  <c r="Q105" i="8"/>
  <c r="P105" i="8"/>
  <c r="O105" i="8"/>
  <c r="N105" i="8"/>
  <c r="M105" i="8"/>
  <c r="L105" i="8"/>
  <c r="K105" i="8"/>
  <c r="J105" i="8"/>
  <c r="I105" i="8"/>
  <c r="H105" i="8"/>
  <c r="G105" i="8"/>
  <c r="F105" i="8"/>
  <c r="E105" i="8"/>
  <c r="AF104" i="8"/>
  <c r="AE104" i="8"/>
  <c r="AD104" i="8"/>
  <c r="AC104" i="8"/>
  <c r="AB104" i="8"/>
  <c r="R104" i="8"/>
  <c r="Q104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AF103" i="8"/>
  <c r="AH103" i="8" s="1"/>
  <c r="AE103" i="8"/>
  <c r="AD103" i="8"/>
  <c r="AC103" i="8"/>
  <c r="AB103" i="8"/>
  <c r="R103" i="8"/>
  <c r="Q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AF102" i="8"/>
  <c r="AE102" i="8"/>
  <c r="AD102" i="8"/>
  <c r="AC102" i="8"/>
  <c r="AB102" i="8"/>
  <c r="R102" i="8"/>
  <c r="Q102" i="8"/>
  <c r="P102" i="8"/>
  <c r="O102" i="8"/>
  <c r="N102" i="8"/>
  <c r="M102" i="8"/>
  <c r="L102" i="8"/>
  <c r="K102" i="8"/>
  <c r="J102" i="8"/>
  <c r="I102" i="8"/>
  <c r="H102" i="8"/>
  <c r="G102" i="8"/>
  <c r="G107" i="8" s="1"/>
  <c r="F102" i="8"/>
  <c r="E102" i="8"/>
  <c r="AF101" i="8"/>
  <c r="AF107" i="8" s="1"/>
  <c r="AE101" i="8"/>
  <c r="AD101" i="8"/>
  <c r="AC101" i="8"/>
  <c r="AB101" i="8"/>
  <c r="R101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T7" i="8"/>
  <c r="D7" i="8"/>
  <c r="AI98" i="8"/>
  <c r="AH98" i="8"/>
  <c r="AI96" i="8"/>
  <c r="AH96" i="8"/>
  <c r="AG96" i="8"/>
  <c r="AG99" i="8" s="1"/>
  <c r="AI95" i="8"/>
  <c r="AH95" i="8"/>
  <c r="AI94" i="8"/>
  <c r="AH94" i="8"/>
  <c r="AI93" i="8"/>
  <c r="AH93" i="8"/>
  <c r="AG92" i="8"/>
  <c r="AF92" i="8"/>
  <c r="AE92" i="8"/>
  <c r="AD92" i="8"/>
  <c r="AC5" i="8" s="1"/>
  <c r="AC92" i="8"/>
  <c r="AB5" i="8" s="1"/>
  <c r="AB92" i="8"/>
  <c r="X5" i="8"/>
  <c r="R92" i="8"/>
  <c r="Q5" i="8" s="1"/>
  <c r="Q92" i="8"/>
  <c r="P92" i="8"/>
  <c r="O92" i="8"/>
  <c r="N92" i="8"/>
  <c r="AV19" i="8" s="1"/>
  <c r="M92" i="8"/>
  <c r="L5" i="8" s="1"/>
  <c r="L92" i="8"/>
  <c r="K92" i="8"/>
  <c r="AT19" i="8" s="1"/>
  <c r="J92" i="8"/>
  <c r="I92" i="8"/>
  <c r="AS19" i="8" s="1"/>
  <c r="H92" i="8"/>
  <c r="G5" i="8" s="1"/>
  <c r="G92" i="8"/>
  <c r="G108" i="8" s="1"/>
  <c r="F92" i="8"/>
  <c r="AQ19" i="8" s="1"/>
  <c r="E92" i="8"/>
  <c r="AP19" i="8" s="1"/>
  <c r="AI91" i="8"/>
  <c r="AH91" i="8"/>
  <c r="AI90" i="8"/>
  <c r="AH90" i="8"/>
  <c r="AI89" i="8"/>
  <c r="AH89" i="8"/>
  <c r="AI88" i="8"/>
  <c r="AH88" i="8"/>
  <c r="AI87" i="8"/>
  <c r="AH87" i="8"/>
  <c r="AI86" i="8"/>
  <c r="AH86" i="8"/>
  <c r="AI85" i="8"/>
  <c r="AH85" i="8"/>
  <c r="AI84" i="8"/>
  <c r="AH84" i="8"/>
  <c r="AI83" i="8"/>
  <c r="AH83" i="8"/>
  <c r="AI82" i="8"/>
  <c r="AH82" i="8"/>
  <c r="AI81" i="8"/>
  <c r="AH81" i="8"/>
  <c r="BU80" i="8"/>
  <c r="AG80" i="8"/>
  <c r="AF80" i="8"/>
  <c r="AE80" i="8"/>
  <c r="AD80" i="8"/>
  <c r="AC80" i="8"/>
  <c r="AB80" i="8"/>
  <c r="R80" i="8"/>
  <c r="Q80" i="8"/>
  <c r="P80" i="8"/>
  <c r="AX20" i="8" s="1"/>
  <c r="O80" i="8"/>
  <c r="N80" i="8"/>
  <c r="AV20" i="8" s="1"/>
  <c r="M80" i="8"/>
  <c r="L80" i="8"/>
  <c r="K80" i="8"/>
  <c r="J80" i="8"/>
  <c r="I80" i="8"/>
  <c r="H80" i="8"/>
  <c r="G80" i="8"/>
  <c r="F80" i="8"/>
  <c r="E80" i="8"/>
  <c r="BV79" i="8"/>
  <c r="AI79" i="8"/>
  <c r="AH79" i="8"/>
  <c r="BS78" i="8"/>
  <c r="AI78" i="8"/>
  <c r="AH78" i="8"/>
  <c r="AI77" i="8"/>
  <c r="AH77" i="8"/>
  <c r="BM76" i="8"/>
  <c r="BJ76" i="8"/>
  <c r="BB76" i="8"/>
  <c r="AF76" i="8"/>
  <c r="AE76" i="8"/>
  <c r="AD76" i="8"/>
  <c r="AC76" i="8"/>
  <c r="AB76" i="8"/>
  <c r="R76" i="8"/>
  <c r="Q76" i="8"/>
  <c r="P76" i="8"/>
  <c r="AX18" i="8" s="1"/>
  <c r="O76" i="8"/>
  <c r="AW18" i="8" s="1"/>
  <c r="N76" i="8"/>
  <c r="AV18" i="8" s="1"/>
  <c r="M76" i="8"/>
  <c r="AU18" i="8" s="1"/>
  <c r="L76" i="8"/>
  <c r="K76" i="8"/>
  <c r="AT18" i="8" s="1"/>
  <c r="J76" i="8"/>
  <c r="I76" i="8"/>
  <c r="H76" i="8"/>
  <c r="G76" i="8"/>
  <c r="AR18" i="8" s="1"/>
  <c r="F76" i="8"/>
  <c r="AQ18" i="8" s="1"/>
  <c r="E76" i="8"/>
  <c r="AP18" i="8" s="1"/>
  <c r="AN18" i="8"/>
  <c r="BL75" i="8"/>
  <c r="BD75" i="8"/>
  <c r="AI75" i="8"/>
  <c r="AH75" i="8"/>
  <c r="AG75" i="8"/>
  <c r="AG76" i="8" s="1"/>
  <c r="AG3" i="8" s="1"/>
  <c r="AI74" i="8"/>
  <c r="AH74" i="8"/>
  <c r="BW73" i="8"/>
  <c r="BW80" i="8" s="1"/>
  <c r="BV73" i="8"/>
  <c r="BV80" i="8" s="1"/>
  <c r="BU73" i="8"/>
  <c r="BT73" i="8"/>
  <c r="BT80" i="8" s="1"/>
  <c r="BS73" i="8"/>
  <c r="BS80" i="8" s="1"/>
  <c r="BR73" i="8"/>
  <c r="BR80" i="8" s="1"/>
  <c r="BQ73" i="8"/>
  <c r="BQ80" i="8" s="1"/>
  <c r="BP73" i="8"/>
  <c r="BP80" i="8" s="1"/>
  <c r="BO73" i="8"/>
  <c r="BO80" i="8" s="1"/>
  <c r="BN73" i="8"/>
  <c r="BN80" i="8" s="1"/>
  <c r="BM73" i="8"/>
  <c r="BM80" i="8" s="1"/>
  <c r="BL73" i="8"/>
  <c r="BL80" i="8" s="1"/>
  <c r="BK73" i="8"/>
  <c r="BK80" i="8" s="1"/>
  <c r="BJ73" i="8"/>
  <c r="BJ80" i="8" s="1"/>
  <c r="BI73" i="8"/>
  <c r="BI80" i="8" s="1"/>
  <c r="BH73" i="8"/>
  <c r="BH80" i="8" s="1"/>
  <c r="BG73" i="8"/>
  <c r="BG80" i="8" s="1"/>
  <c r="BF73" i="8"/>
  <c r="BF80" i="8" s="1"/>
  <c r="BE73" i="8"/>
  <c r="BE80" i="8" s="1"/>
  <c r="BD73" i="8"/>
  <c r="BD80" i="8" s="1"/>
  <c r="BC73" i="8"/>
  <c r="BC80" i="8" s="1"/>
  <c r="BB73" i="8"/>
  <c r="BB80" i="8" s="1"/>
  <c r="BA73" i="8"/>
  <c r="BA80" i="8" s="1"/>
  <c r="AZ73" i="8"/>
  <c r="AZ80" i="8" s="1"/>
  <c r="AI73" i="8"/>
  <c r="AH73" i="8"/>
  <c r="BW72" i="8"/>
  <c r="BW79" i="8" s="1"/>
  <c r="BV72" i="8"/>
  <c r="BU72" i="8"/>
  <c r="BU79" i="8" s="1"/>
  <c r="BT72" i="8"/>
  <c r="BT79" i="8" s="1"/>
  <c r="BS72" i="8"/>
  <c r="BS79" i="8" s="1"/>
  <c r="BR72" i="8"/>
  <c r="BR79" i="8" s="1"/>
  <c r="BQ72" i="8"/>
  <c r="BQ79" i="8" s="1"/>
  <c r="BP72" i="8"/>
  <c r="BP79" i="8" s="1"/>
  <c r="BO72" i="8"/>
  <c r="BO79" i="8" s="1"/>
  <c r="BN72" i="8"/>
  <c r="BN79" i="8" s="1"/>
  <c r="BM72" i="8"/>
  <c r="BM79" i="8" s="1"/>
  <c r="BL72" i="8"/>
  <c r="BL79" i="8" s="1"/>
  <c r="BK72" i="8"/>
  <c r="BK79" i="8" s="1"/>
  <c r="BJ72" i="8"/>
  <c r="BJ79" i="8" s="1"/>
  <c r="BI72" i="8"/>
  <c r="BI79" i="8" s="1"/>
  <c r="BH72" i="8"/>
  <c r="BH79" i="8" s="1"/>
  <c r="BG72" i="8"/>
  <c r="BG79" i="8" s="1"/>
  <c r="BF72" i="8"/>
  <c r="BF79" i="8" s="1"/>
  <c r="BE72" i="8"/>
  <c r="BE79" i="8" s="1"/>
  <c r="BD72" i="8"/>
  <c r="BD79" i="8" s="1"/>
  <c r="BC72" i="8"/>
  <c r="BC79" i="8" s="1"/>
  <c r="BB72" i="8"/>
  <c r="BB79" i="8" s="1"/>
  <c r="BA72" i="8"/>
  <c r="BA79" i="8" s="1"/>
  <c r="AZ72" i="8"/>
  <c r="AZ79" i="8" s="1"/>
  <c r="AI72" i="8"/>
  <c r="AH72" i="8"/>
  <c r="BW71" i="8"/>
  <c r="BW78" i="8" s="1"/>
  <c r="BV71" i="8"/>
  <c r="BV78" i="8" s="1"/>
  <c r="BU71" i="8"/>
  <c r="BU78" i="8" s="1"/>
  <c r="BT71" i="8"/>
  <c r="BT78" i="8" s="1"/>
  <c r="BS71" i="8"/>
  <c r="BR71" i="8"/>
  <c r="BR78" i="8" s="1"/>
  <c r="BQ71" i="8"/>
  <c r="BQ78" i="8" s="1"/>
  <c r="BP71" i="8"/>
  <c r="BP78" i="8" s="1"/>
  <c r="BO71" i="8"/>
  <c r="BO78" i="8" s="1"/>
  <c r="BN71" i="8"/>
  <c r="BN78" i="8" s="1"/>
  <c r="BM71" i="8"/>
  <c r="BM78" i="8" s="1"/>
  <c r="BL71" i="8"/>
  <c r="BL78" i="8" s="1"/>
  <c r="BK71" i="8"/>
  <c r="BK78" i="8" s="1"/>
  <c r="BJ71" i="8"/>
  <c r="BJ78" i="8" s="1"/>
  <c r="BI71" i="8"/>
  <c r="BI78" i="8" s="1"/>
  <c r="BH71" i="8"/>
  <c r="BH78" i="8" s="1"/>
  <c r="BG71" i="8"/>
  <c r="BG78" i="8" s="1"/>
  <c r="BF71" i="8"/>
  <c r="BF78" i="8" s="1"/>
  <c r="BE71" i="8"/>
  <c r="BE78" i="8" s="1"/>
  <c r="BD71" i="8"/>
  <c r="BD78" i="8" s="1"/>
  <c r="BC71" i="8"/>
  <c r="BC78" i="8" s="1"/>
  <c r="BB71" i="8"/>
  <c r="BB78" i="8" s="1"/>
  <c r="BA71" i="8"/>
  <c r="BA78" i="8" s="1"/>
  <c r="AZ71" i="8"/>
  <c r="AZ78" i="8" s="1"/>
  <c r="AI71" i="8"/>
  <c r="AH71" i="8"/>
  <c r="BW70" i="8"/>
  <c r="BW77" i="8" s="1"/>
  <c r="BV70" i="8"/>
  <c r="BV77" i="8" s="1"/>
  <c r="BU70" i="8"/>
  <c r="BU77" i="8" s="1"/>
  <c r="BT70" i="8"/>
  <c r="BT77" i="8" s="1"/>
  <c r="BS70" i="8"/>
  <c r="BS77" i="8" s="1"/>
  <c r="BR70" i="8"/>
  <c r="BR77" i="8" s="1"/>
  <c r="BQ70" i="8"/>
  <c r="BQ77" i="8" s="1"/>
  <c r="BP70" i="8"/>
  <c r="BP77" i="8" s="1"/>
  <c r="BO70" i="8"/>
  <c r="BO77" i="8" s="1"/>
  <c r="BN70" i="8"/>
  <c r="BN77" i="8" s="1"/>
  <c r="BM70" i="8"/>
  <c r="BM77" i="8" s="1"/>
  <c r="BL70" i="8"/>
  <c r="BL77" i="8" s="1"/>
  <c r="BK70" i="8"/>
  <c r="BK77" i="8" s="1"/>
  <c r="BJ70" i="8"/>
  <c r="BJ77" i="8" s="1"/>
  <c r="BI70" i="8"/>
  <c r="BI77" i="8" s="1"/>
  <c r="BH70" i="8"/>
  <c r="BH77" i="8" s="1"/>
  <c r="BG70" i="8"/>
  <c r="BG77" i="8" s="1"/>
  <c r="BF70" i="8"/>
  <c r="BF77" i="8" s="1"/>
  <c r="BE70" i="8"/>
  <c r="BE77" i="8" s="1"/>
  <c r="BD70" i="8"/>
  <c r="BD77" i="8" s="1"/>
  <c r="BC70" i="8"/>
  <c r="BC77" i="8" s="1"/>
  <c r="BB70" i="8"/>
  <c r="BB77" i="8" s="1"/>
  <c r="BA70" i="8"/>
  <c r="BA77" i="8" s="1"/>
  <c r="AZ70" i="8"/>
  <c r="AZ77" i="8" s="1"/>
  <c r="AI70" i="8"/>
  <c r="AH70" i="8"/>
  <c r="BW69" i="8"/>
  <c r="BW76" i="8" s="1"/>
  <c r="BV69" i="8"/>
  <c r="BV76" i="8" s="1"/>
  <c r="BU69" i="8"/>
  <c r="BU76" i="8" s="1"/>
  <c r="BT69" i="8"/>
  <c r="BT76" i="8" s="1"/>
  <c r="BS69" i="8"/>
  <c r="BS76" i="8" s="1"/>
  <c r="BR69" i="8"/>
  <c r="BR76" i="8" s="1"/>
  <c r="BQ69" i="8"/>
  <c r="BQ76" i="8" s="1"/>
  <c r="BP69" i="8"/>
  <c r="BP76" i="8" s="1"/>
  <c r="BO69" i="8"/>
  <c r="BO76" i="8" s="1"/>
  <c r="BN69" i="8"/>
  <c r="BN76" i="8" s="1"/>
  <c r="BM69" i="8"/>
  <c r="BL69" i="8"/>
  <c r="BL76" i="8" s="1"/>
  <c r="BK69" i="8"/>
  <c r="BK76" i="8" s="1"/>
  <c r="BJ69" i="8"/>
  <c r="BI69" i="8"/>
  <c r="BI76" i="8" s="1"/>
  <c r="BH69" i="8"/>
  <c r="BH76" i="8" s="1"/>
  <c r="BG69" i="8"/>
  <c r="BG76" i="8" s="1"/>
  <c r="BF69" i="8"/>
  <c r="BF76" i="8" s="1"/>
  <c r="BE69" i="8"/>
  <c r="BE76" i="8" s="1"/>
  <c r="BD69" i="8"/>
  <c r="BD76" i="8" s="1"/>
  <c r="BC69" i="8"/>
  <c r="BC76" i="8" s="1"/>
  <c r="BB69" i="8"/>
  <c r="BA69" i="8"/>
  <c r="BA76" i="8" s="1"/>
  <c r="AZ69" i="8"/>
  <c r="AZ76" i="8" s="1"/>
  <c r="AI69" i="8"/>
  <c r="AH69" i="8"/>
  <c r="BW68" i="8"/>
  <c r="BW75" i="8" s="1"/>
  <c r="BV68" i="8"/>
  <c r="BV75" i="8" s="1"/>
  <c r="BU68" i="8"/>
  <c r="BU75" i="8" s="1"/>
  <c r="BT68" i="8"/>
  <c r="BT75" i="8" s="1"/>
  <c r="BS68" i="8"/>
  <c r="BS75" i="8" s="1"/>
  <c r="BR68" i="8"/>
  <c r="BR75" i="8" s="1"/>
  <c r="BQ68" i="8"/>
  <c r="BQ75" i="8" s="1"/>
  <c r="BP68" i="8"/>
  <c r="BP75" i="8" s="1"/>
  <c r="BO68" i="8"/>
  <c r="BO75" i="8" s="1"/>
  <c r="BN68" i="8"/>
  <c r="BN75" i="8" s="1"/>
  <c r="BM68" i="8"/>
  <c r="BM75" i="8" s="1"/>
  <c r="BL68" i="8"/>
  <c r="BK68" i="8"/>
  <c r="BK75" i="8" s="1"/>
  <c r="BJ68" i="8"/>
  <c r="BJ75" i="8" s="1"/>
  <c r="BI68" i="8"/>
  <c r="BI75" i="8" s="1"/>
  <c r="BH68" i="8"/>
  <c r="BH75" i="8" s="1"/>
  <c r="BG68" i="8"/>
  <c r="BG75" i="8" s="1"/>
  <c r="BF68" i="8"/>
  <c r="BF75" i="8" s="1"/>
  <c r="BE68" i="8"/>
  <c r="BE75" i="8" s="1"/>
  <c r="BD68" i="8"/>
  <c r="BC68" i="8"/>
  <c r="BC75" i="8" s="1"/>
  <c r="BB68" i="8"/>
  <c r="BB75" i="8" s="1"/>
  <c r="BA68" i="8"/>
  <c r="BA75" i="8" s="1"/>
  <c r="AZ68" i="8"/>
  <c r="AI68" i="8"/>
  <c r="AH68" i="8"/>
  <c r="AI67" i="8"/>
  <c r="AH67" i="8"/>
  <c r="AI66" i="8"/>
  <c r="AH66" i="8"/>
  <c r="AI65" i="8"/>
  <c r="AH65" i="8"/>
  <c r="AI64" i="8"/>
  <c r="AH64" i="8"/>
  <c r="AI63" i="8"/>
  <c r="AH63" i="8"/>
  <c r="AG62" i="8"/>
  <c r="AF62" i="8"/>
  <c r="AE62" i="8"/>
  <c r="AD62" i="8"/>
  <c r="AC62" i="8"/>
  <c r="AB62" i="8"/>
  <c r="R62" i="8"/>
  <c r="Q62" i="8"/>
  <c r="P62" i="8"/>
  <c r="AX17" i="8" s="1"/>
  <c r="O62" i="8"/>
  <c r="AW17" i="8" s="1"/>
  <c r="N62" i="8"/>
  <c r="AV17" i="8" s="1"/>
  <c r="M62" i="8"/>
  <c r="AU17" i="8" s="1"/>
  <c r="L62" i="8"/>
  <c r="K62" i="8"/>
  <c r="AT17" i="8" s="1"/>
  <c r="J62" i="8"/>
  <c r="I62" i="8"/>
  <c r="AS17" i="8" s="1"/>
  <c r="H62" i="8"/>
  <c r="G62" i="8"/>
  <c r="AR17" i="8" s="1"/>
  <c r="F62" i="8"/>
  <c r="E62" i="8"/>
  <c r="AI61" i="8"/>
  <c r="AH61" i="8"/>
  <c r="AI60" i="8"/>
  <c r="AH60" i="8"/>
  <c r="AI59" i="8"/>
  <c r="AH59" i="8"/>
  <c r="AG58" i="8"/>
  <c r="AF58" i="8"/>
  <c r="AE58" i="8"/>
  <c r="AD58" i="8"/>
  <c r="AC58" i="8"/>
  <c r="AB58" i="8"/>
  <c r="R58" i="8"/>
  <c r="Q58" i="8"/>
  <c r="P58" i="8"/>
  <c r="O58" i="8"/>
  <c r="N58" i="8"/>
  <c r="AV16" i="8" s="1"/>
  <c r="M58" i="8"/>
  <c r="AU16" i="8" s="1"/>
  <c r="L58" i="8"/>
  <c r="K58" i="8"/>
  <c r="J58" i="8"/>
  <c r="I58" i="8"/>
  <c r="H58" i="8"/>
  <c r="G58" i="8"/>
  <c r="F58" i="8"/>
  <c r="E58" i="8"/>
  <c r="AP16" i="8" s="1"/>
  <c r="AI57" i="8"/>
  <c r="AH57" i="8"/>
  <c r="AI56" i="8"/>
  <c r="AH56" i="8"/>
  <c r="AI55" i="8"/>
  <c r="AH55" i="8"/>
  <c r="AI54" i="8"/>
  <c r="AH54" i="8"/>
  <c r="AI53" i="8"/>
  <c r="AH53" i="8"/>
  <c r="AI52" i="8"/>
  <c r="AH52" i="8"/>
  <c r="AI51" i="8"/>
  <c r="AH51" i="8"/>
  <c r="AI50" i="8"/>
  <c r="AH50" i="8"/>
  <c r="AI49" i="8"/>
  <c r="AH49" i="8"/>
  <c r="AI48" i="8"/>
  <c r="AH48" i="8"/>
  <c r="AI47" i="8"/>
  <c r="AH47" i="8"/>
  <c r="AI46" i="8"/>
  <c r="AH46" i="8"/>
  <c r="AI45" i="8"/>
  <c r="AH45" i="8"/>
  <c r="AI44" i="8"/>
  <c r="AH44" i="8"/>
  <c r="AI43" i="8"/>
  <c r="AH43" i="8"/>
  <c r="AI42" i="8"/>
  <c r="AH42" i="8"/>
  <c r="AI41" i="8"/>
  <c r="AH41" i="8"/>
  <c r="AI40" i="8"/>
  <c r="AH40" i="8"/>
  <c r="AI39" i="8"/>
  <c r="AH39" i="8"/>
  <c r="AI38" i="8"/>
  <c r="AH38" i="8"/>
  <c r="AI37" i="8"/>
  <c r="AH37" i="8"/>
  <c r="AI36" i="8"/>
  <c r="AH36" i="8"/>
  <c r="AI35" i="8"/>
  <c r="AH35" i="8"/>
  <c r="AI34" i="8"/>
  <c r="AH34" i="8"/>
  <c r="AI33" i="8"/>
  <c r="AH33" i="8"/>
  <c r="AI32" i="8"/>
  <c r="AH32" i="8"/>
  <c r="AI31" i="8"/>
  <c r="AH31" i="8"/>
  <c r="AI30" i="8"/>
  <c r="AH30" i="8"/>
  <c r="AI29" i="8"/>
  <c r="AH29" i="8"/>
  <c r="AI28" i="8"/>
  <c r="AH28" i="8"/>
  <c r="AI27" i="8"/>
  <c r="AH27" i="8"/>
  <c r="AI26" i="8"/>
  <c r="AH26" i="8"/>
  <c r="AI25" i="8"/>
  <c r="AH25" i="8"/>
  <c r="AI24" i="8"/>
  <c r="AH24" i="8"/>
  <c r="AR23" i="8"/>
  <c r="AO23" i="8"/>
  <c r="AI23" i="8"/>
  <c r="AH23" i="8"/>
  <c r="AI22" i="8"/>
  <c r="AH22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I21" i="8"/>
  <c r="AH21" i="8"/>
  <c r="AW20" i="8"/>
  <c r="AU20" i="8"/>
  <c r="AT20" i="8"/>
  <c r="AS20" i="8"/>
  <c r="AR20" i="8"/>
  <c r="AQ20" i="8"/>
  <c r="AP20" i="8"/>
  <c r="AO20" i="8"/>
  <c r="AN20" i="8"/>
  <c r="AM20" i="8"/>
  <c r="AI20" i="8"/>
  <c r="AH20" i="8"/>
  <c r="AR19" i="8"/>
  <c r="AO19" i="8"/>
  <c r="AN19" i="8"/>
  <c r="AI19" i="8"/>
  <c r="AH19" i="8"/>
  <c r="AS18" i="8"/>
  <c r="AO18" i="8"/>
  <c r="AI18" i="8"/>
  <c r="AH18" i="8"/>
  <c r="AQ17" i="8"/>
  <c r="AP17" i="8"/>
  <c r="AO17" i="8"/>
  <c r="AN17" i="8"/>
  <c r="AI17" i="8"/>
  <c r="AH17" i="8"/>
  <c r="AT16" i="8"/>
  <c r="AS16" i="8"/>
  <c r="AR16" i="8"/>
  <c r="AQ16" i="8"/>
  <c r="AO16" i="8"/>
  <c r="AI16" i="8"/>
  <c r="AH16" i="8"/>
  <c r="AI15" i="8"/>
  <c r="AH15" i="8"/>
  <c r="AI14" i="8"/>
  <c r="AH14" i="8"/>
  <c r="AI13" i="8"/>
  <c r="AH13" i="8"/>
  <c r="AL12" i="8"/>
  <c r="AI12" i="8"/>
  <c r="AH12" i="8"/>
  <c r="AI11" i="8"/>
  <c r="AH11" i="8"/>
  <c r="W7" i="8"/>
  <c r="AA5" i="8"/>
  <c r="Z5" i="8"/>
  <c r="Y5" i="8"/>
  <c r="W5" i="8"/>
  <c r="V5" i="8"/>
  <c r="U5" i="8"/>
  <c r="T5" i="8"/>
  <c r="S5" i="8"/>
  <c r="R5" i="8"/>
  <c r="O5" i="8"/>
  <c r="K5" i="8"/>
  <c r="F5" i="8"/>
  <c r="C5" i="8"/>
  <c r="B5" i="8"/>
  <c r="AG4" i="8"/>
  <c r="K4" i="8"/>
  <c r="E4" i="8"/>
  <c r="H4" i="8" s="1"/>
  <c r="B4" i="8"/>
  <c r="D258" i="8" s="1"/>
  <c r="AG2" i="8"/>
  <c r="AF58" i="7"/>
  <c r="AF62" i="7"/>
  <c r="AF76" i="7"/>
  <c r="AF80" i="7"/>
  <c r="AF92" i="7"/>
  <c r="AF108" i="7" s="1"/>
  <c r="AF101" i="7"/>
  <c r="AF102" i="7"/>
  <c r="AF103" i="7"/>
  <c r="AF104" i="7"/>
  <c r="AF105" i="7"/>
  <c r="AF118" i="7"/>
  <c r="AE58" i="7"/>
  <c r="AE62" i="7"/>
  <c r="AE76" i="7"/>
  <c r="AE80" i="7"/>
  <c r="AE92" i="7"/>
  <c r="AE101" i="7"/>
  <c r="AE102" i="7"/>
  <c r="AE103" i="7"/>
  <c r="AE104" i="7"/>
  <c r="AE105" i="7"/>
  <c r="AE118" i="7"/>
  <c r="AD58" i="7"/>
  <c r="AD62" i="7"/>
  <c r="AD76" i="7"/>
  <c r="AD80" i="7"/>
  <c r="AD92" i="7"/>
  <c r="AD108" i="7" s="1"/>
  <c r="AD101" i="7"/>
  <c r="AD102" i="7"/>
  <c r="AD103" i="7"/>
  <c r="AD104" i="7"/>
  <c r="AD105" i="7"/>
  <c r="AD118" i="7"/>
  <c r="AC58" i="7"/>
  <c r="AC62" i="7"/>
  <c r="AC76" i="7"/>
  <c r="AC80" i="7"/>
  <c r="AC92" i="7"/>
  <c r="AC108" i="7" s="1"/>
  <c r="AC101" i="7"/>
  <c r="AC102" i="7"/>
  <c r="AC103" i="7"/>
  <c r="AC104" i="7"/>
  <c r="AC105" i="7"/>
  <c r="AC118" i="7"/>
  <c r="AB58" i="7"/>
  <c r="AB62" i="7"/>
  <c r="AB76" i="7"/>
  <c r="AB80" i="7"/>
  <c r="AB92" i="7"/>
  <c r="AB101" i="7"/>
  <c r="AB102" i="7"/>
  <c r="AB103" i="7"/>
  <c r="AB104" i="7"/>
  <c r="AB105" i="7"/>
  <c r="AB118" i="7"/>
  <c r="AA123" i="7"/>
  <c r="AA58" i="7"/>
  <c r="AA62" i="7"/>
  <c r="AA76" i="7"/>
  <c r="AA80" i="7"/>
  <c r="AA92" i="7"/>
  <c r="AA101" i="7"/>
  <c r="AA102" i="7"/>
  <c r="AA103" i="7"/>
  <c r="AA104" i="7"/>
  <c r="AA105" i="7"/>
  <c r="AA118" i="7"/>
  <c r="Y123" i="7"/>
  <c r="Y58" i="7"/>
  <c r="Y62" i="7"/>
  <c r="Y76" i="7"/>
  <c r="Y80" i="7"/>
  <c r="Y92" i="7"/>
  <c r="Y101" i="7"/>
  <c r="Y102" i="7"/>
  <c r="Y103" i="7"/>
  <c r="Y104" i="7"/>
  <c r="Y105" i="7"/>
  <c r="Y118" i="7"/>
  <c r="X123" i="7"/>
  <c r="X58" i="7"/>
  <c r="X62" i="7"/>
  <c r="X76" i="7"/>
  <c r="X80" i="7"/>
  <c r="X92" i="7"/>
  <c r="X101" i="7"/>
  <c r="X102" i="7"/>
  <c r="X103" i="7"/>
  <c r="X104" i="7"/>
  <c r="X105" i="7"/>
  <c r="X118" i="7"/>
  <c r="V58" i="7"/>
  <c r="V62" i="7"/>
  <c r="V76" i="7"/>
  <c r="V80" i="7"/>
  <c r="V92" i="7"/>
  <c r="V101" i="7"/>
  <c r="V102" i="7"/>
  <c r="V103" i="7"/>
  <c r="V104" i="7"/>
  <c r="V105" i="7"/>
  <c r="V118" i="7"/>
  <c r="V123" i="7"/>
  <c r="U123" i="7"/>
  <c r="U58" i="7"/>
  <c r="U62" i="7"/>
  <c r="U76" i="7"/>
  <c r="U80" i="7"/>
  <c r="U92" i="7"/>
  <c r="U101" i="7"/>
  <c r="U102" i="7"/>
  <c r="U103" i="7"/>
  <c r="U104" i="7"/>
  <c r="U105" i="7"/>
  <c r="U118" i="7"/>
  <c r="L252" i="9" l="1"/>
  <c r="L118" i="9"/>
  <c r="M246" i="9"/>
  <c r="AF108" i="8"/>
  <c r="AE5" i="8"/>
  <c r="AE107" i="8"/>
  <c r="AE108" i="8" s="1"/>
  <c r="AD5" i="8"/>
  <c r="AE97" i="8"/>
  <c r="AE99" i="8" s="1"/>
  <c r="AI80" i="8"/>
  <c r="AC97" i="8"/>
  <c r="AC99" i="8" s="1"/>
  <c r="AB107" i="8"/>
  <c r="AB108" i="8" s="1"/>
  <c r="AB97" i="8"/>
  <c r="AB99" i="8" s="1"/>
  <c r="AB100" i="8" s="1"/>
  <c r="AB7" i="8" s="1"/>
  <c r="R107" i="8"/>
  <c r="R108" i="8" s="1"/>
  <c r="Q107" i="8"/>
  <c r="Q108" i="8" s="1"/>
  <c r="P5" i="8"/>
  <c r="O107" i="8"/>
  <c r="AW23" i="8" s="1"/>
  <c r="AW19" i="8"/>
  <c r="N5" i="8"/>
  <c r="O97" i="8"/>
  <c r="O99" i="8" s="1"/>
  <c r="AW16" i="8"/>
  <c r="M5" i="8"/>
  <c r="AV22" i="8"/>
  <c r="M97" i="8"/>
  <c r="M99" i="8" s="1"/>
  <c r="L107" i="8"/>
  <c r="L108" i="8" s="1"/>
  <c r="L97" i="8"/>
  <c r="L99" i="8" s="1"/>
  <c r="J5" i="8"/>
  <c r="AT22" i="8"/>
  <c r="J107" i="8"/>
  <c r="J108" i="8" s="1"/>
  <c r="I5" i="8"/>
  <c r="AI101" i="8"/>
  <c r="I107" i="8"/>
  <c r="AS23" i="8" s="1"/>
  <c r="H5" i="8"/>
  <c r="AS22" i="8"/>
  <c r="AI104" i="8"/>
  <c r="G97" i="8"/>
  <c r="G99" i="8" s="1"/>
  <c r="AR22" i="8"/>
  <c r="AR24" i="8" s="1"/>
  <c r="E5" i="8"/>
  <c r="AQ22" i="8"/>
  <c r="D5" i="8"/>
  <c r="AH76" i="8"/>
  <c r="AI62" i="8"/>
  <c r="AO22" i="8"/>
  <c r="AO24" i="8" s="1"/>
  <c r="B97" i="8"/>
  <c r="B99" i="8" s="1"/>
  <c r="B100" i="8" s="1"/>
  <c r="AM17" i="8"/>
  <c r="AL13" i="8"/>
  <c r="AP22" i="8"/>
  <c r="AI92" i="8"/>
  <c r="AM19" i="8"/>
  <c r="AH92" i="8"/>
  <c r="AF5" i="8"/>
  <c r="G100" i="8"/>
  <c r="G7" i="8" s="1"/>
  <c r="AH62" i="8"/>
  <c r="AM16" i="8"/>
  <c r="AI58" i="8"/>
  <c r="J97" i="8"/>
  <c r="J99" i="8" s="1"/>
  <c r="R97" i="8"/>
  <c r="R99" i="8" s="1"/>
  <c r="R100" i="8" s="1"/>
  <c r="R7" i="8" s="1"/>
  <c r="Z7" i="8"/>
  <c r="AH58" i="8"/>
  <c r="AG6" i="8"/>
  <c r="H97" i="8"/>
  <c r="H99" i="8" s="1"/>
  <c r="P97" i="8"/>
  <c r="P99" i="8" s="1"/>
  <c r="X7" i="8"/>
  <c r="AF97" i="8"/>
  <c r="AF99" i="8" s="1"/>
  <c r="AF100" i="8" s="1"/>
  <c r="AF7" i="8" s="1"/>
  <c r="BG84" i="8" a="1"/>
  <c r="AI76" i="8"/>
  <c r="AX19" i="8"/>
  <c r="I97" i="8"/>
  <c r="I99" i="8" s="1"/>
  <c r="I100" i="8" s="1"/>
  <c r="I7" i="8" s="1"/>
  <c r="Q97" i="8"/>
  <c r="Q99" i="8" s="1"/>
  <c r="Q100" i="8" s="1"/>
  <c r="Q7" i="8" s="1"/>
  <c r="Y7" i="8"/>
  <c r="AG97" i="8"/>
  <c r="I108" i="8"/>
  <c r="K107" i="8"/>
  <c r="AA7" i="8"/>
  <c r="E107" i="8"/>
  <c r="AP23" i="8" s="1"/>
  <c r="M107" i="8"/>
  <c r="AU23" i="8" s="1"/>
  <c r="AC107" i="8"/>
  <c r="AC108" i="8" s="1"/>
  <c r="C7" i="8"/>
  <c r="K97" i="8"/>
  <c r="K99" i="8" s="1"/>
  <c r="S7" i="8"/>
  <c r="AH80" i="8"/>
  <c r="F107" i="8"/>
  <c r="N107" i="8"/>
  <c r="AD107" i="8"/>
  <c r="AD108" i="8" s="1"/>
  <c r="D252" i="8"/>
  <c r="G246" i="8"/>
  <c r="AN16" i="8"/>
  <c r="AN22" i="8" s="1"/>
  <c r="AU19" i="8"/>
  <c r="AU22" i="8" s="1"/>
  <c r="F97" i="8"/>
  <c r="F99" i="8" s="1"/>
  <c r="N97" i="8"/>
  <c r="N99" i="8" s="1"/>
  <c r="V7" i="8"/>
  <c r="AD97" i="8"/>
  <c r="AD99" i="8" s="1"/>
  <c r="AD100" i="8" s="1"/>
  <c r="AD7" i="8" s="1"/>
  <c r="E97" i="8"/>
  <c r="E99" i="8" s="1"/>
  <c r="H107" i="8"/>
  <c r="H108" i="8" s="1"/>
  <c r="P107" i="8"/>
  <c r="AX23" i="8" s="1"/>
  <c r="E251" i="8"/>
  <c r="E252" i="8" s="1"/>
  <c r="AX16" i="8"/>
  <c r="AZ75" i="8"/>
  <c r="AH102" i="8"/>
  <c r="AI103" i="8"/>
  <c r="AH104" i="8"/>
  <c r="AI105" i="8"/>
  <c r="AH105" i="8"/>
  <c r="AH101" i="8"/>
  <c r="AF97" i="7"/>
  <c r="AF99" i="7" s="1"/>
  <c r="AF100" i="7" s="1"/>
  <c r="AE97" i="7"/>
  <c r="AE99" i="7" s="1"/>
  <c r="AE100" i="7" s="1"/>
  <c r="AE108" i="7"/>
  <c r="AD97" i="7"/>
  <c r="AD99" i="7" s="1"/>
  <c r="AD100" i="7" s="1"/>
  <c r="AC97" i="7"/>
  <c r="AC99" i="7" s="1"/>
  <c r="AC100" i="7" s="1"/>
  <c r="AB97" i="7"/>
  <c r="AB99" i="7" s="1"/>
  <c r="AB100" i="7" s="1"/>
  <c r="AB108" i="7"/>
  <c r="AA108" i="7"/>
  <c r="AA97" i="7"/>
  <c r="AA99" i="7" s="1"/>
  <c r="AA100" i="7" s="1"/>
  <c r="Y107" i="7"/>
  <c r="Y108" i="7" s="1"/>
  <c r="Y97" i="7"/>
  <c r="Y99" i="7" s="1"/>
  <c r="Y100" i="7" s="1"/>
  <c r="X107" i="7"/>
  <c r="X108" i="7" s="1"/>
  <c r="X97" i="7"/>
  <c r="X99" i="7" s="1"/>
  <c r="V107" i="7"/>
  <c r="V108" i="7" s="1"/>
  <c r="V97" i="7"/>
  <c r="V99" i="7" s="1"/>
  <c r="U107" i="7"/>
  <c r="U108" i="7" s="1"/>
  <c r="U97" i="7"/>
  <c r="U99" i="7" s="1"/>
  <c r="N246" i="9" l="1"/>
  <c r="M252" i="9"/>
  <c r="M118" i="9"/>
  <c r="AE100" i="8"/>
  <c r="AE7" i="8" s="1"/>
  <c r="AC100" i="8"/>
  <c r="AC7" i="8" s="1"/>
  <c r="AX22" i="8"/>
  <c r="AX24" i="8" s="1"/>
  <c r="P100" i="8"/>
  <c r="P7" i="8" s="1"/>
  <c r="O100" i="8"/>
  <c r="O7" i="8" s="1"/>
  <c r="AW22" i="8"/>
  <c r="AW24" i="8" s="1"/>
  <c r="O108" i="8"/>
  <c r="L100" i="8"/>
  <c r="L7" i="8" s="1"/>
  <c r="J100" i="8"/>
  <c r="J7" i="8" s="1"/>
  <c r="AS24" i="8"/>
  <c r="AM22" i="8"/>
  <c r="H246" i="8"/>
  <c r="N108" i="8"/>
  <c r="AV23" i="8"/>
  <c r="AV24" i="8" s="1"/>
  <c r="F108" i="8"/>
  <c r="AQ23" i="8"/>
  <c r="AQ24" i="8" s="1"/>
  <c r="N100" i="8"/>
  <c r="N7" i="8" s="1"/>
  <c r="U7" i="8"/>
  <c r="F100" i="8"/>
  <c r="F7" i="8" s="1"/>
  <c r="AU24" i="8"/>
  <c r="E108" i="8"/>
  <c r="K100" i="8"/>
  <c r="K7" i="8" s="1"/>
  <c r="H100" i="8"/>
  <c r="H7" i="8" s="1"/>
  <c r="AP24" i="8"/>
  <c r="BJ107" i="8"/>
  <c r="BH106" i="8"/>
  <c r="BL104" i="8"/>
  <c r="BJ103" i="8"/>
  <c r="BH102" i="8"/>
  <c r="BL100" i="8"/>
  <c r="BJ99" i="8"/>
  <c r="BH98" i="8"/>
  <c r="BL96" i="8"/>
  <c r="BJ95" i="8"/>
  <c r="BH94" i="8"/>
  <c r="BL92" i="8"/>
  <c r="BJ91" i="8"/>
  <c r="BH90" i="8"/>
  <c r="BL88" i="8"/>
  <c r="BJ87" i="8"/>
  <c r="BH86" i="8"/>
  <c r="BL84" i="8"/>
  <c r="BG107" i="8"/>
  <c r="BK105" i="8"/>
  <c r="BI104" i="8"/>
  <c r="BG103" i="8"/>
  <c r="BK101" i="8"/>
  <c r="BI100" i="8"/>
  <c r="BG99" i="8"/>
  <c r="BK97" i="8"/>
  <c r="BI96" i="8"/>
  <c r="BG95" i="8"/>
  <c r="BK93" i="8"/>
  <c r="BI92" i="8"/>
  <c r="BG91" i="8"/>
  <c r="BK89" i="8"/>
  <c r="BI88" i="8"/>
  <c r="BG87" i="8"/>
  <c r="BK85" i="8"/>
  <c r="BI84" i="8"/>
  <c r="BK106" i="8"/>
  <c r="BI105" i="8"/>
  <c r="BG104" i="8"/>
  <c r="BK102" i="8"/>
  <c r="BI101" i="8"/>
  <c r="BG100" i="8"/>
  <c r="BK98" i="8"/>
  <c r="BI97" i="8"/>
  <c r="BG96" i="8"/>
  <c r="BK94" i="8"/>
  <c r="BI93" i="8"/>
  <c r="BG92" i="8"/>
  <c r="BK90" i="8"/>
  <c r="BI89" i="8"/>
  <c r="BG88" i="8"/>
  <c r="BK86" i="8"/>
  <c r="BI85" i="8"/>
  <c r="BG84" i="8"/>
  <c r="BL107" i="8"/>
  <c r="BJ106" i="8"/>
  <c r="BH105" i="8"/>
  <c r="BL103" i="8"/>
  <c r="BJ102" i="8"/>
  <c r="BH101" i="8"/>
  <c r="BL99" i="8"/>
  <c r="BJ98" i="8"/>
  <c r="BH97" i="8"/>
  <c r="BL95" i="8"/>
  <c r="BJ94" i="8"/>
  <c r="BH93" i="8"/>
  <c r="BL91" i="8"/>
  <c r="BJ90" i="8"/>
  <c r="BH89" i="8"/>
  <c r="BL87" i="8"/>
  <c r="BJ86" i="8"/>
  <c r="BH85" i="8"/>
  <c r="BI106" i="8"/>
  <c r="BK103" i="8"/>
  <c r="BG101" i="8"/>
  <c r="BI98" i="8"/>
  <c r="BK95" i="8"/>
  <c r="BG93" i="8"/>
  <c r="BI90" i="8"/>
  <c r="BK87" i="8"/>
  <c r="BG85" i="8"/>
  <c r="BI99" i="8"/>
  <c r="BG106" i="8"/>
  <c r="BI103" i="8"/>
  <c r="BK100" i="8"/>
  <c r="BG98" i="8"/>
  <c r="BI95" i="8"/>
  <c r="BK92" i="8"/>
  <c r="BG90" i="8"/>
  <c r="BI87" i="8"/>
  <c r="BK84" i="8"/>
  <c r="BI91" i="8"/>
  <c r="BL105" i="8"/>
  <c r="BH103" i="8"/>
  <c r="BJ100" i="8"/>
  <c r="BL97" i="8"/>
  <c r="BH95" i="8"/>
  <c r="BJ92" i="8"/>
  <c r="BL89" i="8"/>
  <c r="BH87" i="8"/>
  <c r="BJ84" i="8"/>
  <c r="BJ105" i="8"/>
  <c r="BL102" i="8"/>
  <c r="BH100" i="8"/>
  <c r="BJ97" i="8"/>
  <c r="BL94" i="8"/>
  <c r="BH92" i="8"/>
  <c r="BJ89" i="8"/>
  <c r="BL86" i="8"/>
  <c r="BH84" i="8"/>
  <c r="BI107" i="8"/>
  <c r="BK104" i="8"/>
  <c r="BG102" i="8"/>
  <c r="BK96" i="8"/>
  <c r="BG94" i="8"/>
  <c r="BK88" i="8"/>
  <c r="BG86" i="8"/>
  <c r="BK107" i="8"/>
  <c r="BG105" i="8"/>
  <c r="BI102" i="8"/>
  <c r="BK99" i="8"/>
  <c r="BG97" i="8"/>
  <c r="BI94" i="8"/>
  <c r="BK91" i="8"/>
  <c r="BG89" i="8"/>
  <c r="BI86" i="8"/>
  <c r="BH107" i="8"/>
  <c r="BJ104" i="8"/>
  <c r="BL101" i="8"/>
  <c r="BH99" i="8"/>
  <c r="BJ96" i="8"/>
  <c r="BL93" i="8"/>
  <c r="BH91" i="8"/>
  <c r="BJ88" i="8"/>
  <c r="BL85" i="8"/>
  <c r="BL106" i="8"/>
  <c r="BH104" i="8"/>
  <c r="BJ101" i="8"/>
  <c r="BL98" i="8"/>
  <c r="BH96" i="8"/>
  <c r="BJ93" i="8"/>
  <c r="BL90" i="8"/>
  <c r="BH88" i="8"/>
  <c r="BJ85" i="8"/>
  <c r="P108" i="8"/>
  <c r="K108" i="8"/>
  <c r="AT23" i="8"/>
  <c r="AT24" i="8" s="1"/>
  <c r="AI97" i="8"/>
  <c r="AH97" i="8"/>
  <c r="M100" i="8"/>
  <c r="M7" i="8" s="1"/>
  <c r="AI107" i="8"/>
  <c r="AM23" i="8"/>
  <c r="AM24" i="8" s="1"/>
  <c r="AH107" i="8"/>
  <c r="B256" i="8"/>
  <c r="F251" i="8"/>
  <c r="E118" i="8"/>
  <c r="M108" i="8"/>
  <c r="C256" i="8"/>
  <c r="E100" i="8"/>
  <c r="E7" i="8" s="1"/>
  <c r="AN23" i="8"/>
  <c r="AN24" i="8" s="1"/>
  <c r="X100" i="7"/>
  <c r="V100" i="7"/>
  <c r="U100" i="7"/>
  <c r="N252" i="9" l="1"/>
  <c r="N118" i="9"/>
  <c r="O246" i="9"/>
  <c r="AT8" i="8"/>
  <c r="AI108" i="8"/>
  <c r="AT9" i="8"/>
  <c r="G251" i="8"/>
  <c r="F252" i="8"/>
  <c r="F118" i="8"/>
  <c r="AH99" i="8"/>
  <c r="AI99" i="8"/>
  <c r="K6" i="8"/>
  <c r="I246" i="8"/>
  <c r="AH108" i="8"/>
  <c r="P246" i="9" l="1"/>
  <c r="O252" i="9"/>
  <c r="O118" i="9"/>
  <c r="AI100" i="8"/>
  <c r="AH100" i="8"/>
  <c r="B7" i="8"/>
  <c r="A7" i="8" s="1"/>
  <c r="H251" i="8"/>
  <c r="G252" i="8"/>
  <c r="G118" i="8"/>
  <c r="J246" i="8"/>
  <c r="Q246" i="9" l="1"/>
  <c r="P252" i="9"/>
  <c r="I251" i="8"/>
  <c r="H118" i="8"/>
  <c r="H252" i="8"/>
  <c r="K246" i="8"/>
  <c r="Q252" i="9" l="1"/>
  <c r="R246" i="9"/>
  <c r="Q118" i="9"/>
  <c r="L246" i="8"/>
  <c r="J251" i="8"/>
  <c r="I252" i="8"/>
  <c r="I118" i="8"/>
  <c r="R118" i="9" l="1"/>
  <c r="S246" i="9"/>
  <c r="R252" i="9"/>
  <c r="K251" i="8"/>
  <c r="J252" i="8"/>
  <c r="J118" i="8"/>
  <c r="M246" i="8"/>
  <c r="S252" i="9" l="1"/>
  <c r="T246" i="9"/>
  <c r="S118" i="9"/>
  <c r="N246" i="8"/>
  <c r="L251" i="8"/>
  <c r="K252" i="8"/>
  <c r="K118" i="8"/>
  <c r="T252" i="9" l="1"/>
  <c r="T118" i="9"/>
  <c r="U246" i="9"/>
  <c r="M251" i="8"/>
  <c r="L252" i="8"/>
  <c r="L118" i="8"/>
  <c r="O246" i="8"/>
  <c r="U118" i="9" l="1"/>
  <c r="V246" i="9"/>
  <c r="U252" i="9"/>
  <c r="P246" i="8"/>
  <c r="N251" i="8"/>
  <c r="M252" i="8"/>
  <c r="M118" i="8"/>
  <c r="V252" i="9" l="1"/>
  <c r="V118" i="9"/>
  <c r="W246" i="9"/>
  <c r="O251" i="8"/>
  <c r="N118" i="8"/>
  <c r="N252" i="8"/>
  <c r="Q246" i="8"/>
  <c r="X246" i="9" l="1"/>
  <c r="W252" i="9"/>
  <c r="R246" i="8"/>
  <c r="P251" i="8"/>
  <c r="O252" i="8"/>
  <c r="O118" i="8"/>
  <c r="Y246" i="9" l="1"/>
  <c r="X252" i="9"/>
  <c r="Q251" i="8"/>
  <c r="P252" i="8"/>
  <c r="S246" i="8"/>
  <c r="Y252" i="9" l="1"/>
  <c r="Z246" i="9"/>
  <c r="T246" i="8"/>
  <c r="R251" i="8"/>
  <c r="Q252" i="8"/>
  <c r="Q118" i="8"/>
  <c r="AA246" i="9" l="1"/>
  <c r="Z252" i="9"/>
  <c r="S251" i="8"/>
  <c r="R252" i="8"/>
  <c r="R118" i="8"/>
  <c r="U246" i="8"/>
  <c r="AA252" i="9" l="1"/>
  <c r="AB246" i="9"/>
  <c r="AA118" i="9"/>
  <c r="V246" i="8"/>
  <c r="T251" i="8"/>
  <c r="S252" i="8"/>
  <c r="AB252" i="9" l="1"/>
  <c r="AC246" i="9"/>
  <c r="U251" i="8"/>
  <c r="T252" i="8"/>
  <c r="W246" i="8"/>
  <c r="AD246" i="9" l="1"/>
  <c r="AC252" i="9"/>
  <c r="X246" i="8"/>
  <c r="V251" i="8"/>
  <c r="U252" i="8"/>
  <c r="AD252" i="9" l="1"/>
  <c r="AE246" i="9"/>
  <c r="W251" i="8"/>
  <c r="V252" i="8"/>
  <c r="Y246" i="8"/>
  <c r="AF246" i="9" l="1"/>
  <c r="AE252" i="9"/>
  <c r="Z246" i="8"/>
  <c r="X251" i="8"/>
  <c r="W252" i="8"/>
  <c r="AF252" i="9" l="1"/>
  <c r="B246" i="9"/>
  <c r="Y251" i="8"/>
  <c r="X252" i="8"/>
  <c r="AA246" i="8"/>
  <c r="B252" i="9" l="1"/>
  <c r="B118" i="9"/>
  <c r="AB246" i="8"/>
  <c r="Z251" i="8"/>
  <c r="Y252" i="8"/>
  <c r="AI118" i="9" l="1"/>
  <c r="AH118" i="9"/>
  <c r="AA251" i="8"/>
  <c r="Z252" i="8"/>
  <c r="AC246" i="8"/>
  <c r="AD246" i="8" l="1"/>
  <c r="AB251" i="8"/>
  <c r="AA252" i="8"/>
  <c r="AC251" i="8" l="1"/>
  <c r="AB252" i="8"/>
  <c r="AB118" i="8"/>
  <c r="AE246" i="8"/>
  <c r="AF246" i="8" l="1"/>
  <c r="AD251" i="8"/>
  <c r="AC118" i="8"/>
  <c r="AC252" i="8"/>
  <c r="AE251" i="8" l="1"/>
  <c r="AD118" i="8"/>
  <c r="AD252" i="8"/>
  <c r="B246" i="8"/>
  <c r="AF251" i="8" l="1"/>
  <c r="AE252" i="8"/>
  <c r="AE118" i="8"/>
  <c r="B251" i="8" l="1"/>
  <c r="AF252" i="8"/>
  <c r="AF118" i="8"/>
  <c r="B252" i="8" l="1"/>
  <c r="AI118" i="8" l="1"/>
  <c r="AH118" i="8"/>
  <c r="T58" i="7" l="1"/>
  <c r="T123" i="7"/>
  <c r="T62" i="7"/>
  <c r="T76" i="7"/>
  <c r="T80" i="7"/>
  <c r="T92" i="7"/>
  <c r="T101" i="7"/>
  <c r="T102" i="7"/>
  <c r="T103" i="7"/>
  <c r="T104" i="7"/>
  <c r="T105" i="7"/>
  <c r="T118" i="7"/>
  <c r="S123" i="7"/>
  <c r="S58" i="7"/>
  <c r="S62" i="7"/>
  <c r="S76" i="7"/>
  <c r="S80" i="7"/>
  <c r="S92" i="7"/>
  <c r="S101" i="7"/>
  <c r="S102" i="7"/>
  <c r="S103" i="7"/>
  <c r="S104" i="7"/>
  <c r="S105" i="7"/>
  <c r="S118" i="7"/>
  <c r="R123" i="7"/>
  <c r="R57" i="7"/>
  <c r="Q123" i="7"/>
  <c r="Q57" i="7"/>
  <c r="P124" i="7"/>
  <c r="AH124" i="7" s="1"/>
  <c r="P123" i="7"/>
  <c r="P85" i="7"/>
  <c r="P57" i="7"/>
  <c r="O123" i="7"/>
  <c r="O57" i="7"/>
  <c r="N123" i="7"/>
  <c r="N57" i="7"/>
  <c r="M123" i="7"/>
  <c r="M57" i="7"/>
  <c r="L123" i="7"/>
  <c r="J123" i="7"/>
  <c r="K123" i="7"/>
  <c r="I123" i="7"/>
  <c r="H123" i="7"/>
  <c r="G123" i="7"/>
  <c r="F123" i="7"/>
  <c r="E123" i="7"/>
  <c r="D58" i="7"/>
  <c r="D62" i="7"/>
  <c r="D76" i="7"/>
  <c r="D80" i="7"/>
  <c r="D92" i="7"/>
  <c r="AO19" i="7" s="1"/>
  <c r="D101" i="7"/>
  <c r="D102" i="7"/>
  <c r="D103" i="7"/>
  <c r="D104" i="7"/>
  <c r="D105" i="7"/>
  <c r="D118" i="7"/>
  <c r="AH125" i="7"/>
  <c r="AI125" i="7"/>
  <c r="AI124" i="7"/>
  <c r="C58" i="7"/>
  <c r="C62" i="7"/>
  <c r="AN17" i="7" s="1"/>
  <c r="C76" i="7"/>
  <c r="C80" i="7"/>
  <c r="C92" i="7"/>
  <c r="AN19" i="7" s="1"/>
  <c r="C101" i="7"/>
  <c r="C102" i="7"/>
  <c r="C103" i="7"/>
  <c r="C104" i="7"/>
  <c r="C105" i="7"/>
  <c r="B118" i="7"/>
  <c r="B105" i="7"/>
  <c r="B104" i="7"/>
  <c r="B103" i="7"/>
  <c r="B102" i="7"/>
  <c r="B101" i="7"/>
  <c r="B107" i="7" s="1"/>
  <c r="B92" i="7"/>
  <c r="B80" i="7"/>
  <c r="B76" i="7"/>
  <c r="B62" i="7"/>
  <c r="B58" i="7"/>
  <c r="AG252" i="7"/>
  <c r="C252" i="7"/>
  <c r="L251" i="7"/>
  <c r="M251" i="7" s="1"/>
  <c r="N251" i="7" s="1"/>
  <c r="O251" i="7" s="1"/>
  <c r="P251" i="7" s="1"/>
  <c r="Q251" i="7" s="1"/>
  <c r="R251" i="7" s="1"/>
  <c r="S251" i="7" s="1"/>
  <c r="T251" i="7" s="1"/>
  <c r="U251" i="7" s="1"/>
  <c r="V251" i="7" s="1"/>
  <c r="W251" i="7" s="1"/>
  <c r="X251" i="7" s="1"/>
  <c r="Y251" i="7" s="1"/>
  <c r="Z251" i="7" s="1"/>
  <c r="AA251" i="7" s="1"/>
  <c r="AB251" i="7" s="1"/>
  <c r="AC251" i="7" s="1"/>
  <c r="AD251" i="7" s="1"/>
  <c r="AE251" i="7" s="1"/>
  <c r="AF251" i="7" s="1"/>
  <c r="B251" i="7" s="1"/>
  <c r="F251" i="7"/>
  <c r="G251" i="7" s="1"/>
  <c r="H251" i="7" s="1"/>
  <c r="I251" i="7" s="1"/>
  <c r="J251" i="7" s="1"/>
  <c r="K251" i="7" s="1"/>
  <c r="D251" i="7"/>
  <c r="E251" i="7" s="1"/>
  <c r="R250" i="7"/>
  <c r="S250" i="7" s="1"/>
  <c r="T250" i="7" s="1"/>
  <c r="U250" i="7" s="1"/>
  <c r="V250" i="7" s="1"/>
  <c r="W250" i="7" s="1"/>
  <c r="X250" i="7" s="1"/>
  <c r="Y250" i="7" s="1"/>
  <c r="Z250" i="7" s="1"/>
  <c r="AA250" i="7" s="1"/>
  <c r="AB250" i="7" s="1"/>
  <c r="AC250" i="7" s="1"/>
  <c r="AD250" i="7" s="1"/>
  <c r="AE250" i="7" s="1"/>
  <c r="AF250" i="7" s="1"/>
  <c r="B250" i="7" s="1"/>
  <c r="J250" i="7"/>
  <c r="K250" i="7" s="1"/>
  <c r="L250" i="7" s="1"/>
  <c r="M250" i="7" s="1"/>
  <c r="N250" i="7" s="1"/>
  <c r="O250" i="7" s="1"/>
  <c r="P250" i="7" s="1"/>
  <c r="Q250" i="7" s="1"/>
  <c r="D250" i="7"/>
  <c r="E250" i="7" s="1"/>
  <c r="F250" i="7" s="1"/>
  <c r="G250" i="7" s="1"/>
  <c r="H250" i="7" s="1"/>
  <c r="I250" i="7" s="1"/>
  <c r="H249" i="7"/>
  <c r="I249" i="7" s="1"/>
  <c r="J249" i="7" s="1"/>
  <c r="K249" i="7" s="1"/>
  <c r="L249" i="7" s="1"/>
  <c r="M249" i="7" s="1"/>
  <c r="N249" i="7" s="1"/>
  <c r="O249" i="7" s="1"/>
  <c r="P249" i="7" s="1"/>
  <c r="Q249" i="7" s="1"/>
  <c r="R249" i="7" s="1"/>
  <c r="S249" i="7" s="1"/>
  <c r="T249" i="7" s="1"/>
  <c r="U249" i="7" s="1"/>
  <c r="V249" i="7" s="1"/>
  <c r="W249" i="7" s="1"/>
  <c r="X249" i="7" s="1"/>
  <c r="Y249" i="7" s="1"/>
  <c r="Z249" i="7" s="1"/>
  <c r="AA249" i="7" s="1"/>
  <c r="AB249" i="7" s="1"/>
  <c r="AC249" i="7" s="1"/>
  <c r="AD249" i="7" s="1"/>
  <c r="AE249" i="7" s="1"/>
  <c r="AF249" i="7" s="1"/>
  <c r="B249" i="7" s="1"/>
  <c r="E249" i="7"/>
  <c r="F249" i="7" s="1"/>
  <c r="G249" i="7" s="1"/>
  <c r="D249" i="7"/>
  <c r="D248" i="7"/>
  <c r="E248" i="7" s="1"/>
  <c r="F248" i="7" s="1"/>
  <c r="G248" i="7" s="1"/>
  <c r="H248" i="7" s="1"/>
  <c r="I248" i="7" s="1"/>
  <c r="J248" i="7" s="1"/>
  <c r="K248" i="7" s="1"/>
  <c r="L248" i="7" s="1"/>
  <c r="M248" i="7" s="1"/>
  <c r="N248" i="7" s="1"/>
  <c r="O248" i="7" s="1"/>
  <c r="P248" i="7" s="1"/>
  <c r="Q248" i="7" s="1"/>
  <c r="R248" i="7" s="1"/>
  <c r="S248" i="7" s="1"/>
  <c r="T248" i="7" s="1"/>
  <c r="U248" i="7" s="1"/>
  <c r="V248" i="7" s="1"/>
  <c r="W248" i="7" s="1"/>
  <c r="X248" i="7" s="1"/>
  <c r="Y248" i="7" s="1"/>
  <c r="Z248" i="7" s="1"/>
  <c r="AA248" i="7" s="1"/>
  <c r="AB248" i="7" s="1"/>
  <c r="AC248" i="7" s="1"/>
  <c r="AD248" i="7" s="1"/>
  <c r="AE248" i="7" s="1"/>
  <c r="AF248" i="7" s="1"/>
  <c r="B248" i="7" s="1"/>
  <c r="D247" i="7"/>
  <c r="E247" i="7" s="1"/>
  <c r="F247" i="7" s="1"/>
  <c r="G247" i="7" s="1"/>
  <c r="H247" i="7" s="1"/>
  <c r="I247" i="7" s="1"/>
  <c r="J247" i="7" s="1"/>
  <c r="K247" i="7" s="1"/>
  <c r="L247" i="7" s="1"/>
  <c r="M247" i="7" s="1"/>
  <c r="N247" i="7" s="1"/>
  <c r="O247" i="7" s="1"/>
  <c r="P247" i="7" s="1"/>
  <c r="Q247" i="7" s="1"/>
  <c r="R247" i="7" s="1"/>
  <c r="S247" i="7" s="1"/>
  <c r="T247" i="7" s="1"/>
  <c r="U247" i="7" s="1"/>
  <c r="V247" i="7" s="1"/>
  <c r="W247" i="7" s="1"/>
  <c r="X247" i="7" s="1"/>
  <c r="Y247" i="7" s="1"/>
  <c r="Z247" i="7" s="1"/>
  <c r="AA247" i="7" s="1"/>
  <c r="AB247" i="7" s="1"/>
  <c r="AC247" i="7" s="1"/>
  <c r="AD247" i="7" s="1"/>
  <c r="AE247" i="7" s="1"/>
  <c r="AF247" i="7" s="1"/>
  <c r="B247" i="7" s="1"/>
  <c r="D246" i="7"/>
  <c r="AG244" i="7"/>
  <c r="AF244" i="7"/>
  <c r="AE244" i="7"/>
  <c r="AD244" i="7"/>
  <c r="AC244" i="7"/>
  <c r="AB244" i="7"/>
  <c r="AA244" i="7"/>
  <c r="Z244" i="7"/>
  <c r="Y244" i="7"/>
  <c r="X244" i="7"/>
  <c r="W244" i="7"/>
  <c r="V244" i="7"/>
  <c r="U244" i="7"/>
  <c r="T244" i="7"/>
  <c r="S244" i="7"/>
  <c r="R244" i="7"/>
  <c r="Q244" i="7"/>
  <c r="P244" i="7"/>
  <c r="O244" i="7"/>
  <c r="N244" i="7"/>
  <c r="M244" i="7"/>
  <c r="L244" i="7"/>
  <c r="K244" i="7"/>
  <c r="J244" i="7"/>
  <c r="I244" i="7"/>
  <c r="H244" i="7"/>
  <c r="G244" i="7"/>
  <c r="F244" i="7"/>
  <c r="E244" i="7"/>
  <c r="D244" i="7"/>
  <c r="C244" i="7"/>
  <c r="B244" i="7"/>
  <c r="AI130" i="7"/>
  <c r="AH130" i="7"/>
  <c r="AI129" i="7"/>
  <c r="AH129" i="7"/>
  <c r="AI128" i="7"/>
  <c r="AH128" i="7"/>
  <c r="AI127" i="7"/>
  <c r="AH127" i="7"/>
  <c r="AI126" i="7"/>
  <c r="AH126" i="7"/>
  <c r="AI123" i="7"/>
  <c r="AH123" i="7"/>
  <c r="AI122" i="7"/>
  <c r="AH122" i="7"/>
  <c r="AI121" i="7"/>
  <c r="AH121" i="7"/>
  <c r="AI120" i="7"/>
  <c r="AH120" i="7"/>
  <c r="AI119" i="7"/>
  <c r="AH119" i="7"/>
  <c r="C118" i="7"/>
  <c r="AI117" i="7"/>
  <c r="AH117" i="7"/>
  <c r="AI116" i="7"/>
  <c r="AH116" i="7"/>
  <c r="AI115" i="7"/>
  <c r="AH115" i="7"/>
  <c r="AI114" i="7"/>
  <c r="AH114" i="7"/>
  <c r="AI113" i="7"/>
  <c r="AH113" i="7"/>
  <c r="AI112" i="7"/>
  <c r="AH112" i="7"/>
  <c r="AI111" i="7"/>
  <c r="AH111" i="7"/>
  <c r="AI110" i="7"/>
  <c r="AH110" i="7"/>
  <c r="AI109" i="7"/>
  <c r="AH109" i="7"/>
  <c r="AI106" i="7"/>
  <c r="AH106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R104" i="7"/>
  <c r="Q104" i="7"/>
  <c r="P104" i="7"/>
  <c r="O104" i="7"/>
  <c r="N104" i="7"/>
  <c r="M104" i="7"/>
  <c r="L104" i="7"/>
  <c r="K104" i="7"/>
  <c r="J104" i="7"/>
  <c r="I104" i="7"/>
  <c r="H104" i="7"/>
  <c r="G104" i="7"/>
  <c r="F104" i="7"/>
  <c r="E104" i="7"/>
  <c r="R103" i="7"/>
  <c r="Q103" i="7"/>
  <c r="P103" i="7"/>
  <c r="O103" i="7"/>
  <c r="N103" i="7"/>
  <c r="M103" i="7"/>
  <c r="L103" i="7"/>
  <c r="K103" i="7"/>
  <c r="J103" i="7"/>
  <c r="I103" i="7"/>
  <c r="H103" i="7"/>
  <c r="G103" i="7"/>
  <c r="F103" i="7"/>
  <c r="E103" i="7"/>
  <c r="R102" i="7"/>
  <c r="Q102" i="7"/>
  <c r="P102" i="7"/>
  <c r="O102" i="7"/>
  <c r="N102" i="7"/>
  <c r="M102" i="7"/>
  <c r="L102" i="7"/>
  <c r="K102" i="7"/>
  <c r="J102" i="7"/>
  <c r="I102" i="7"/>
  <c r="I107" i="7" s="1"/>
  <c r="AS23" i="7" s="1"/>
  <c r="H102" i="7"/>
  <c r="G102" i="7"/>
  <c r="F102" i="7"/>
  <c r="E102" i="7"/>
  <c r="R101" i="7"/>
  <c r="Q101" i="7"/>
  <c r="P101" i="7"/>
  <c r="O101" i="7"/>
  <c r="N101" i="7"/>
  <c r="M101" i="7"/>
  <c r="L101" i="7"/>
  <c r="K101" i="7"/>
  <c r="J101" i="7"/>
  <c r="J107" i="7" s="1"/>
  <c r="I101" i="7"/>
  <c r="H101" i="7"/>
  <c r="G101" i="7"/>
  <c r="F101" i="7"/>
  <c r="E101" i="7"/>
  <c r="AI98" i="7"/>
  <c r="AH98" i="7"/>
  <c r="AI96" i="7"/>
  <c r="AH96" i="7"/>
  <c r="AG96" i="7"/>
  <c r="AI95" i="7"/>
  <c r="AH95" i="7"/>
  <c r="AI94" i="7"/>
  <c r="AH94" i="7"/>
  <c r="AI93" i="7"/>
  <c r="AH93" i="7"/>
  <c r="AG92" i="7"/>
  <c r="AA5" i="7"/>
  <c r="V5" i="7"/>
  <c r="R92" i="7"/>
  <c r="Q92" i="7"/>
  <c r="P92" i="7"/>
  <c r="O5" i="7" s="1"/>
  <c r="O92" i="7"/>
  <c r="N5" i="7" s="1"/>
  <c r="N92" i="7"/>
  <c r="AV19" i="7" s="1"/>
  <c r="M92" i="7"/>
  <c r="AU19" i="7" s="1"/>
  <c r="L92" i="7"/>
  <c r="K5" i="7" s="1"/>
  <c r="K92" i="7"/>
  <c r="J5" i="7" s="1"/>
  <c r="J92" i="7"/>
  <c r="J108" i="7" s="1"/>
  <c r="I92" i="7"/>
  <c r="H92" i="7"/>
  <c r="G92" i="7"/>
  <c r="F5" i="7" s="1"/>
  <c r="F92" i="7"/>
  <c r="AQ19" i="7" s="1"/>
  <c r="E92" i="7"/>
  <c r="AP19" i="7" s="1"/>
  <c r="AI91" i="7"/>
  <c r="AH91" i="7"/>
  <c r="AI90" i="7"/>
  <c r="AH90" i="7"/>
  <c r="AI89" i="7"/>
  <c r="AH89" i="7"/>
  <c r="AI88" i="7"/>
  <c r="AH88" i="7"/>
  <c r="AI87" i="7"/>
  <c r="AH87" i="7"/>
  <c r="AI86" i="7"/>
  <c r="AH86" i="7"/>
  <c r="AI85" i="7"/>
  <c r="AH85" i="7"/>
  <c r="AI84" i="7"/>
  <c r="AH84" i="7"/>
  <c r="AI83" i="7"/>
  <c r="AH83" i="7"/>
  <c r="AI82" i="7"/>
  <c r="AH82" i="7"/>
  <c r="AI81" i="7"/>
  <c r="AH81" i="7"/>
  <c r="BA80" i="7"/>
  <c r="AG80" i="7"/>
  <c r="R80" i="7"/>
  <c r="Q80" i="7"/>
  <c r="P80" i="7"/>
  <c r="AX20" i="7" s="1"/>
  <c r="O80" i="7"/>
  <c r="N80" i="7"/>
  <c r="M80" i="7"/>
  <c r="AU20" i="7" s="1"/>
  <c r="L80" i="7"/>
  <c r="K80" i="7"/>
  <c r="J80" i="7"/>
  <c r="I80" i="7"/>
  <c r="H80" i="7"/>
  <c r="G80" i="7"/>
  <c r="F80" i="7"/>
  <c r="E80" i="7"/>
  <c r="BL79" i="7"/>
  <c r="BG79" i="7"/>
  <c r="AI79" i="7"/>
  <c r="AH79" i="7"/>
  <c r="BS78" i="7"/>
  <c r="BK78" i="7"/>
  <c r="BH78" i="7"/>
  <c r="AI78" i="7"/>
  <c r="AH78" i="7"/>
  <c r="BG77" i="7"/>
  <c r="AI77" i="7"/>
  <c r="AH77" i="7"/>
  <c r="BL76" i="7"/>
  <c r="BI76" i="7"/>
  <c r="BF76" i="7"/>
  <c r="BD76" i="7"/>
  <c r="BB76" i="7"/>
  <c r="AG76" i="7"/>
  <c r="AG97" i="7" s="1"/>
  <c r="AB7" i="7"/>
  <c r="R76" i="7"/>
  <c r="Q76" i="7"/>
  <c r="P76" i="7"/>
  <c r="O76" i="7"/>
  <c r="AW18" i="7" s="1"/>
  <c r="N76" i="7"/>
  <c r="AV18" i="7" s="1"/>
  <c r="M76" i="7"/>
  <c r="AU18" i="7" s="1"/>
  <c r="L76" i="7"/>
  <c r="K76" i="7"/>
  <c r="AT18" i="7" s="1"/>
  <c r="J76" i="7"/>
  <c r="I76" i="7"/>
  <c r="AS18" i="7" s="1"/>
  <c r="H76" i="7"/>
  <c r="G76" i="7"/>
  <c r="F76" i="7"/>
  <c r="AQ18" i="7" s="1"/>
  <c r="E76" i="7"/>
  <c r="AP18" i="7" s="1"/>
  <c r="BW75" i="7"/>
  <c r="BS75" i="7"/>
  <c r="BF75" i="7"/>
  <c r="BD75" i="7"/>
  <c r="AI75" i="7"/>
  <c r="AH75" i="7"/>
  <c r="AG75" i="7"/>
  <c r="AI74" i="7"/>
  <c r="AH74" i="7"/>
  <c r="BW73" i="7"/>
  <c r="BW80" i="7" s="1"/>
  <c r="BV73" i="7"/>
  <c r="BV80" i="7" s="1"/>
  <c r="BU73" i="7"/>
  <c r="BU80" i="7" s="1"/>
  <c r="BT73" i="7"/>
  <c r="BT80" i="7" s="1"/>
  <c r="BS73" i="7"/>
  <c r="BS80" i="7" s="1"/>
  <c r="BR73" i="7"/>
  <c r="BR80" i="7" s="1"/>
  <c r="BQ73" i="7"/>
  <c r="BQ80" i="7" s="1"/>
  <c r="BP73" i="7"/>
  <c r="BP80" i="7" s="1"/>
  <c r="BO73" i="7"/>
  <c r="BO80" i="7" s="1"/>
  <c r="BN73" i="7"/>
  <c r="BN80" i="7" s="1"/>
  <c r="BM73" i="7"/>
  <c r="BM80" i="7" s="1"/>
  <c r="BL73" i="7"/>
  <c r="BL80" i="7" s="1"/>
  <c r="BK73" i="7"/>
  <c r="BK80" i="7" s="1"/>
  <c r="BJ73" i="7"/>
  <c r="BJ80" i="7" s="1"/>
  <c r="BI73" i="7"/>
  <c r="BI80" i="7" s="1"/>
  <c r="BH73" i="7"/>
  <c r="BH80" i="7" s="1"/>
  <c r="BG73" i="7"/>
  <c r="BG80" i="7" s="1"/>
  <c r="BF73" i="7"/>
  <c r="BF80" i="7" s="1"/>
  <c r="BE73" i="7"/>
  <c r="BE80" i="7" s="1"/>
  <c r="BD73" i="7"/>
  <c r="BD80" i="7" s="1"/>
  <c r="BC73" i="7"/>
  <c r="BC80" i="7" s="1"/>
  <c r="BB73" i="7"/>
  <c r="BB80" i="7" s="1"/>
  <c r="BA73" i="7"/>
  <c r="AZ73" i="7"/>
  <c r="AZ80" i="7" s="1"/>
  <c r="AI73" i="7"/>
  <c r="AH73" i="7"/>
  <c r="BW72" i="7"/>
  <c r="BW79" i="7" s="1"/>
  <c r="BV72" i="7"/>
  <c r="BV79" i="7" s="1"/>
  <c r="BU72" i="7"/>
  <c r="BU79" i="7" s="1"/>
  <c r="BT72" i="7"/>
  <c r="BT79" i="7" s="1"/>
  <c r="BS72" i="7"/>
  <c r="BS79" i="7" s="1"/>
  <c r="BR72" i="7"/>
  <c r="BR79" i="7" s="1"/>
  <c r="BQ72" i="7"/>
  <c r="BQ79" i="7" s="1"/>
  <c r="BP72" i="7"/>
  <c r="BP79" i="7" s="1"/>
  <c r="BO72" i="7"/>
  <c r="BO79" i="7" s="1"/>
  <c r="BN72" i="7"/>
  <c r="BN79" i="7" s="1"/>
  <c r="BM72" i="7"/>
  <c r="BM79" i="7" s="1"/>
  <c r="BL72" i="7"/>
  <c r="BK72" i="7"/>
  <c r="BK79" i="7" s="1"/>
  <c r="BJ72" i="7"/>
  <c r="BJ79" i="7" s="1"/>
  <c r="BI72" i="7"/>
  <c r="BI79" i="7" s="1"/>
  <c r="BH72" i="7"/>
  <c r="BH79" i="7" s="1"/>
  <c r="BG72" i="7"/>
  <c r="BF72" i="7"/>
  <c r="BF79" i="7" s="1"/>
  <c r="BE72" i="7"/>
  <c r="BE79" i="7" s="1"/>
  <c r="BD72" i="7"/>
  <c r="BD79" i="7" s="1"/>
  <c r="BC72" i="7"/>
  <c r="BC79" i="7" s="1"/>
  <c r="BB72" i="7"/>
  <c r="BB79" i="7" s="1"/>
  <c r="BA72" i="7"/>
  <c r="BA79" i="7" s="1"/>
  <c r="AZ72" i="7"/>
  <c r="AZ79" i="7" s="1"/>
  <c r="AI72" i="7"/>
  <c r="AH72" i="7"/>
  <c r="BW71" i="7"/>
  <c r="BW78" i="7" s="1"/>
  <c r="BV71" i="7"/>
  <c r="BV78" i="7" s="1"/>
  <c r="BU71" i="7"/>
  <c r="BU78" i="7" s="1"/>
  <c r="BT71" i="7"/>
  <c r="BT78" i="7" s="1"/>
  <c r="BS71" i="7"/>
  <c r="BR71" i="7"/>
  <c r="BR78" i="7" s="1"/>
  <c r="BQ71" i="7"/>
  <c r="BQ78" i="7" s="1"/>
  <c r="BP71" i="7"/>
  <c r="BP78" i="7" s="1"/>
  <c r="BO71" i="7"/>
  <c r="BO78" i="7" s="1"/>
  <c r="BN71" i="7"/>
  <c r="BN78" i="7" s="1"/>
  <c r="BM71" i="7"/>
  <c r="BM78" i="7" s="1"/>
  <c r="BL71" i="7"/>
  <c r="BL78" i="7" s="1"/>
  <c r="BK71" i="7"/>
  <c r="BJ71" i="7"/>
  <c r="BJ78" i="7" s="1"/>
  <c r="BI71" i="7"/>
  <c r="BI78" i="7" s="1"/>
  <c r="BH71" i="7"/>
  <c r="BG71" i="7"/>
  <c r="BG78" i="7" s="1"/>
  <c r="BF71" i="7"/>
  <c r="BF78" i="7" s="1"/>
  <c r="BE71" i="7"/>
  <c r="BE78" i="7" s="1"/>
  <c r="BD71" i="7"/>
  <c r="BD78" i="7" s="1"/>
  <c r="BC71" i="7"/>
  <c r="BC78" i="7" s="1"/>
  <c r="BB71" i="7"/>
  <c r="BB78" i="7" s="1"/>
  <c r="BA71" i="7"/>
  <c r="BA78" i="7" s="1"/>
  <c r="AZ71" i="7"/>
  <c r="AZ78" i="7" s="1"/>
  <c r="AI71" i="7"/>
  <c r="AH71" i="7"/>
  <c r="BW70" i="7"/>
  <c r="BW77" i="7" s="1"/>
  <c r="BV70" i="7"/>
  <c r="BV77" i="7" s="1"/>
  <c r="BU70" i="7"/>
  <c r="BU77" i="7" s="1"/>
  <c r="BT70" i="7"/>
  <c r="BT77" i="7" s="1"/>
  <c r="BS70" i="7"/>
  <c r="BS77" i="7" s="1"/>
  <c r="BR70" i="7"/>
  <c r="BR77" i="7" s="1"/>
  <c r="BQ70" i="7"/>
  <c r="BQ77" i="7" s="1"/>
  <c r="BP70" i="7"/>
  <c r="BP77" i="7" s="1"/>
  <c r="BO70" i="7"/>
  <c r="BO77" i="7" s="1"/>
  <c r="BN70" i="7"/>
  <c r="BN77" i="7" s="1"/>
  <c r="BM70" i="7"/>
  <c r="BM77" i="7" s="1"/>
  <c r="BL70" i="7"/>
  <c r="BL77" i="7" s="1"/>
  <c r="BK70" i="7"/>
  <c r="BK77" i="7" s="1"/>
  <c r="BJ70" i="7"/>
  <c r="BJ77" i="7" s="1"/>
  <c r="BI70" i="7"/>
  <c r="BI77" i="7" s="1"/>
  <c r="BH70" i="7"/>
  <c r="BH77" i="7" s="1"/>
  <c r="BG70" i="7"/>
  <c r="BF70" i="7"/>
  <c r="BF77" i="7" s="1"/>
  <c r="BE70" i="7"/>
  <c r="BE77" i="7" s="1"/>
  <c r="BD70" i="7"/>
  <c r="BD77" i="7" s="1"/>
  <c r="BC70" i="7"/>
  <c r="BC77" i="7" s="1"/>
  <c r="BB70" i="7"/>
  <c r="BB77" i="7" s="1"/>
  <c r="BA70" i="7"/>
  <c r="BA77" i="7" s="1"/>
  <c r="AZ70" i="7"/>
  <c r="AZ77" i="7" s="1"/>
  <c r="AI70" i="7"/>
  <c r="AH70" i="7"/>
  <c r="BW69" i="7"/>
  <c r="BW76" i="7" s="1"/>
  <c r="BV69" i="7"/>
  <c r="BV76" i="7" s="1"/>
  <c r="BU69" i="7"/>
  <c r="BU76" i="7" s="1"/>
  <c r="BT69" i="7"/>
  <c r="BT76" i="7" s="1"/>
  <c r="BS69" i="7"/>
  <c r="BS76" i="7" s="1"/>
  <c r="BR69" i="7"/>
  <c r="BR76" i="7" s="1"/>
  <c r="BQ69" i="7"/>
  <c r="BQ76" i="7" s="1"/>
  <c r="BP69" i="7"/>
  <c r="BP76" i="7" s="1"/>
  <c r="BO69" i="7"/>
  <c r="BO76" i="7" s="1"/>
  <c r="BN69" i="7"/>
  <c r="BN76" i="7" s="1"/>
  <c r="BM69" i="7"/>
  <c r="BM76" i="7" s="1"/>
  <c r="BL69" i="7"/>
  <c r="BK69" i="7"/>
  <c r="BK76" i="7" s="1"/>
  <c r="BJ69" i="7"/>
  <c r="BJ76" i="7" s="1"/>
  <c r="BI69" i="7"/>
  <c r="BH69" i="7"/>
  <c r="BH76" i="7" s="1"/>
  <c r="BG69" i="7"/>
  <c r="BG76" i="7" s="1"/>
  <c r="BF69" i="7"/>
  <c r="BE69" i="7"/>
  <c r="BE76" i="7" s="1"/>
  <c r="BD69" i="7"/>
  <c r="BC69" i="7"/>
  <c r="BC76" i="7" s="1"/>
  <c r="BB69" i="7"/>
  <c r="BA69" i="7"/>
  <c r="BA76" i="7" s="1"/>
  <c r="AZ69" i="7"/>
  <c r="AZ76" i="7" s="1"/>
  <c r="AI69" i="7"/>
  <c r="AH69" i="7"/>
  <c r="BW68" i="7"/>
  <c r="BV68" i="7"/>
  <c r="BV75" i="7" s="1"/>
  <c r="BU68" i="7"/>
  <c r="BU75" i="7" s="1"/>
  <c r="BT68" i="7"/>
  <c r="BT75" i="7" s="1"/>
  <c r="BS68" i="7"/>
  <c r="BR68" i="7"/>
  <c r="BR75" i="7" s="1"/>
  <c r="BQ68" i="7"/>
  <c r="BQ75" i="7" s="1"/>
  <c r="BP68" i="7"/>
  <c r="BP75" i="7" s="1"/>
  <c r="BO68" i="7"/>
  <c r="BO75" i="7" s="1"/>
  <c r="BN68" i="7"/>
  <c r="BN75" i="7" s="1"/>
  <c r="BM68" i="7"/>
  <c r="BM75" i="7" s="1"/>
  <c r="BL68" i="7"/>
  <c r="BL75" i="7" s="1"/>
  <c r="BK68" i="7"/>
  <c r="BK75" i="7" s="1"/>
  <c r="BJ68" i="7"/>
  <c r="BJ75" i="7" s="1"/>
  <c r="BI68" i="7"/>
  <c r="BI75" i="7" s="1"/>
  <c r="BH68" i="7"/>
  <c r="BH75" i="7" s="1"/>
  <c r="BG68" i="7"/>
  <c r="BG75" i="7" s="1"/>
  <c r="BF68" i="7"/>
  <c r="BE68" i="7"/>
  <c r="BE75" i="7" s="1"/>
  <c r="BD68" i="7"/>
  <c r="BC68" i="7"/>
  <c r="BC75" i="7" s="1"/>
  <c r="BB68" i="7"/>
  <c r="BB75" i="7" s="1"/>
  <c r="BA68" i="7"/>
  <c r="BA75" i="7" s="1"/>
  <c r="AZ68" i="7"/>
  <c r="AI68" i="7"/>
  <c r="AH68" i="7"/>
  <c r="AI67" i="7"/>
  <c r="AH67" i="7"/>
  <c r="AI66" i="7"/>
  <c r="AH66" i="7"/>
  <c r="AI65" i="7"/>
  <c r="AH65" i="7"/>
  <c r="AI64" i="7"/>
  <c r="AH64" i="7"/>
  <c r="AI63" i="7"/>
  <c r="AH63" i="7"/>
  <c r="AG62" i="7"/>
  <c r="R62" i="7"/>
  <c r="Q62" i="7"/>
  <c r="P62" i="7"/>
  <c r="AX17" i="7" s="1"/>
  <c r="O62" i="7"/>
  <c r="AW17" i="7" s="1"/>
  <c r="N62" i="7"/>
  <c r="AV17" i="7" s="1"/>
  <c r="M62" i="7"/>
  <c r="AU17" i="7" s="1"/>
  <c r="L62" i="7"/>
  <c r="K62" i="7"/>
  <c r="AT17" i="7" s="1"/>
  <c r="J62" i="7"/>
  <c r="I62" i="7"/>
  <c r="AS17" i="7" s="1"/>
  <c r="H62" i="7"/>
  <c r="G62" i="7"/>
  <c r="F62" i="7"/>
  <c r="AQ17" i="7" s="1"/>
  <c r="E62" i="7"/>
  <c r="AI61" i="7"/>
  <c r="AH61" i="7"/>
  <c r="AI60" i="7"/>
  <c r="AH60" i="7"/>
  <c r="AI59" i="7"/>
  <c r="AH59" i="7"/>
  <c r="AG58" i="7"/>
  <c r="AA7" i="7"/>
  <c r="R58" i="7"/>
  <c r="Q58" i="7"/>
  <c r="P58" i="7"/>
  <c r="O58" i="7"/>
  <c r="AW16" i="7" s="1"/>
  <c r="N58" i="7"/>
  <c r="M58" i="7"/>
  <c r="L58" i="7"/>
  <c r="K58" i="7"/>
  <c r="J58" i="7"/>
  <c r="I58" i="7"/>
  <c r="H58" i="7"/>
  <c r="G58" i="7"/>
  <c r="AR16" i="7" s="1"/>
  <c r="F58" i="7"/>
  <c r="E58" i="7"/>
  <c r="AI57" i="7"/>
  <c r="AH57" i="7"/>
  <c r="AI56" i="7"/>
  <c r="AH56" i="7"/>
  <c r="AI55" i="7"/>
  <c r="AH55" i="7"/>
  <c r="AI54" i="7"/>
  <c r="AH54" i="7"/>
  <c r="AI53" i="7"/>
  <c r="AH53" i="7"/>
  <c r="AI52" i="7"/>
  <c r="AH52" i="7"/>
  <c r="AI51" i="7"/>
  <c r="AH51" i="7"/>
  <c r="AI50" i="7"/>
  <c r="AH50" i="7"/>
  <c r="AI49" i="7"/>
  <c r="AH49" i="7"/>
  <c r="AI48" i="7"/>
  <c r="AH48" i="7"/>
  <c r="AI47" i="7"/>
  <c r="AH47" i="7"/>
  <c r="AI46" i="7"/>
  <c r="AH46" i="7"/>
  <c r="AI45" i="7"/>
  <c r="AH45" i="7"/>
  <c r="AI44" i="7"/>
  <c r="AH44" i="7"/>
  <c r="AI43" i="7"/>
  <c r="AH43" i="7"/>
  <c r="AI42" i="7"/>
  <c r="AH42" i="7"/>
  <c r="AI41" i="7"/>
  <c r="AH41" i="7"/>
  <c r="AI40" i="7"/>
  <c r="AH40" i="7"/>
  <c r="AI39" i="7"/>
  <c r="AH39" i="7"/>
  <c r="AI38" i="7"/>
  <c r="AH38" i="7"/>
  <c r="AI37" i="7"/>
  <c r="AH37" i="7"/>
  <c r="AI36" i="7"/>
  <c r="AH36" i="7"/>
  <c r="AI35" i="7"/>
  <c r="AH35" i="7"/>
  <c r="AI34" i="7"/>
  <c r="AH34" i="7"/>
  <c r="AI33" i="7"/>
  <c r="AH33" i="7"/>
  <c r="AI32" i="7"/>
  <c r="AH32" i="7"/>
  <c r="AI31" i="7"/>
  <c r="AH31" i="7"/>
  <c r="AI30" i="7"/>
  <c r="AH30" i="7"/>
  <c r="AI29" i="7"/>
  <c r="AH29" i="7"/>
  <c r="AI28" i="7"/>
  <c r="AH28" i="7"/>
  <c r="AI27" i="7"/>
  <c r="AH27" i="7"/>
  <c r="AI26" i="7"/>
  <c r="AH26" i="7"/>
  <c r="AI25" i="7"/>
  <c r="AH25" i="7"/>
  <c r="AI24" i="7"/>
  <c r="AH24" i="7"/>
  <c r="AI23" i="7"/>
  <c r="AH23" i="7"/>
  <c r="AI22" i="7"/>
  <c r="AH22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I21" i="7"/>
  <c r="AH21" i="7"/>
  <c r="AW20" i="7"/>
  <c r="AV20" i="7"/>
  <c r="AT20" i="7"/>
  <c r="AS20" i="7"/>
  <c r="AR20" i="7"/>
  <c r="AQ20" i="7"/>
  <c r="AP20" i="7"/>
  <c r="AO20" i="7"/>
  <c r="AN20" i="7"/>
  <c r="AI20" i="7"/>
  <c r="AH20" i="7"/>
  <c r="AI19" i="7"/>
  <c r="AH19" i="7"/>
  <c r="AX18" i="7"/>
  <c r="AR18" i="7"/>
  <c r="AO18" i="7"/>
  <c r="AM18" i="7"/>
  <c r="AI18" i="7"/>
  <c r="AH18" i="7"/>
  <c r="AR17" i="7"/>
  <c r="AP17" i="7"/>
  <c r="AO17" i="7"/>
  <c r="AM17" i="7"/>
  <c r="AI17" i="7"/>
  <c r="AH17" i="7"/>
  <c r="AX16" i="7"/>
  <c r="AV16" i="7"/>
  <c r="AS16" i="7"/>
  <c r="AQ16" i="7"/>
  <c r="AN16" i="7"/>
  <c r="AI16" i="7"/>
  <c r="AH16" i="7"/>
  <c r="AI15" i="7"/>
  <c r="AH15" i="7"/>
  <c r="AI14" i="7"/>
  <c r="AH14" i="7"/>
  <c r="AI13" i="7"/>
  <c r="AH13" i="7"/>
  <c r="AL12" i="7"/>
  <c r="AI12" i="7"/>
  <c r="AH12" i="7"/>
  <c r="AI11" i="7"/>
  <c r="AH11" i="7"/>
  <c r="AE5" i="7"/>
  <c r="AD5" i="7"/>
  <c r="AC5" i="7"/>
  <c r="AB5" i="7"/>
  <c r="Z5" i="7"/>
  <c r="Y5" i="7"/>
  <c r="W5" i="7"/>
  <c r="U5" i="7"/>
  <c r="T5" i="7"/>
  <c r="R5" i="7"/>
  <c r="Q5" i="7"/>
  <c r="AG4" i="7"/>
  <c r="K4" i="7"/>
  <c r="E4" i="7"/>
  <c r="H4" i="7" s="1"/>
  <c r="B4" i="7"/>
  <c r="D258" i="7" s="1"/>
  <c r="AG3" i="7"/>
  <c r="AG6" i="7" s="1"/>
  <c r="AG2" i="7"/>
  <c r="AF58" i="6"/>
  <c r="AF62" i="6"/>
  <c r="AF76" i="6"/>
  <c r="AF80" i="6"/>
  <c r="AF92" i="6"/>
  <c r="AF101" i="6"/>
  <c r="AF102" i="6"/>
  <c r="AF103" i="6"/>
  <c r="AF104" i="6"/>
  <c r="AF105" i="6"/>
  <c r="AF118" i="6"/>
  <c r="AE58" i="6"/>
  <c r="AE62" i="6"/>
  <c r="AE76" i="6"/>
  <c r="AE80" i="6"/>
  <c r="AE92" i="6"/>
  <c r="AE101" i="6"/>
  <c r="AE102" i="6"/>
  <c r="AE103" i="6"/>
  <c r="AE107" i="6" s="1"/>
  <c r="AE104" i="6"/>
  <c r="AE105" i="6"/>
  <c r="AE118" i="6"/>
  <c r="T107" i="7" l="1"/>
  <c r="T108" i="7" s="1"/>
  <c r="T97" i="7"/>
  <c r="T99" i="7" s="1"/>
  <c r="S107" i="7"/>
  <c r="S108" i="7" s="1"/>
  <c r="S97" i="7"/>
  <c r="S99" i="7" s="1"/>
  <c r="S100" i="7" s="1"/>
  <c r="R107" i="7"/>
  <c r="R108" i="7" s="1"/>
  <c r="Q107" i="7"/>
  <c r="Q97" i="7"/>
  <c r="Q99" i="7" s="1"/>
  <c r="AX19" i="7"/>
  <c r="P107" i="7"/>
  <c r="AX23" i="7" s="1"/>
  <c r="AW19" i="7"/>
  <c r="AW22" i="7" s="1"/>
  <c r="M5" i="7"/>
  <c r="N97" i="7"/>
  <c r="N99" i="7" s="1"/>
  <c r="AV22" i="7"/>
  <c r="L5" i="7"/>
  <c r="L107" i="7"/>
  <c r="L97" i="7"/>
  <c r="L99" i="7" s="1"/>
  <c r="L100" i="7" s="1"/>
  <c r="L7" i="7" s="1"/>
  <c r="I5" i="7"/>
  <c r="K107" i="7"/>
  <c r="K108" i="7" s="1"/>
  <c r="AT19" i="7"/>
  <c r="J97" i="7"/>
  <c r="J99" i="7" s="1"/>
  <c r="J100" i="7" s="1"/>
  <c r="J7" i="7" s="1"/>
  <c r="K97" i="7"/>
  <c r="K99" i="7" s="1"/>
  <c r="K100" i="7" s="1"/>
  <c r="K7" i="7" s="1"/>
  <c r="I97" i="7"/>
  <c r="I99" i="7" s="1"/>
  <c r="I100" i="7" s="1"/>
  <c r="I7" i="7" s="1"/>
  <c r="H107" i="7"/>
  <c r="H108" i="7" s="1"/>
  <c r="G5" i="7"/>
  <c r="E5" i="7"/>
  <c r="F97" i="7"/>
  <c r="F99" i="7" s="1"/>
  <c r="D5" i="7"/>
  <c r="E97" i="7"/>
  <c r="E99" i="7" s="1"/>
  <c r="D107" i="7"/>
  <c r="AO23" i="7" s="1"/>
  <c r="D97" i="7"/>
  <c r="D99" i="7" s="1"/>
  <c r="C107" i="7"/>
  <c r="AN23" i="7" s="1"/>
  <c r="B5" i="7"/>
  <c r="C97" i="7"/>
  <c r="C99" i="7" s="1"/>
  <c r="C100" i="7" s="1"/>
  <c r="C7" i="7" s="1"/>
  <c r="C108" i="7"/>
  <c r="B108" i="7"/>
  <c r="AI101" i="7"/>
  <c r="AF5" i="7"/>
  <c r="B97" i="7"/>
  <c r="B99" i="7" s="1"/>
  <c r="B100" i="7" s="1"/>
  <c r="AL13" i="7"/>
  <c r="AX22" i="7"/>
  <c r="AX24" i="7" s="1"/>
  <c r="M97" i="7"/>
  <c r="M99" i="7" s="1"/>
  <c r="AU16" i="7"/>
  <c r="AU22" i="7" s="1"/>
  <c r="P97" i="7"/>
  <c r="P99" i="7" s="1"/>
  <c r="P100" i="7" s="1"/>
  <c r="P7" i="7" s="1"/>
  <c r="Y7" i="7"/>
  <c r="AG99" i="7"/>
  <c r="F107" i="7"/>
  <c r="AQ23" i="7" s="1"/>
  <c r="N107" i="7"/>
  <c r="AV23" i="7" s="1"/>
  <c r="AV24" i="7" s="1"/>
  <c r="BG84" i="7" a="1"/>
  <c r="AZ75" i="7"/>
  <c r="H97" i="7"/>
  <c r="H99" i="7" s="1"/>
  <c r="H100" i="7" s="1"/>
  <c r="H7" i="7" s="1"/>
  <c r="AF7" i="7"/>
  <c r="AM20" i="7"/>
  <c r="AI80" i="7"/>
  <c r="AH80" i="7"/>
  <c r="AP16" i="7"/>
  <c r="AP22" i="7" s="1"/>
  <c r="AI62" i="7"/>
  <c r="AH62" i="7"/>
  <c r="AQ22" i="7"/>
  <c r="AM16" i="7"/>
  <c r="AI58" i="7"/>
  <c r="R97" i="7"/>
  <c r="R99" i="7" s="1"/>
  <c r="Z7" i="7"/>
  <c r="AH58" i="7"/>
  <c r="AH76" i="7"/>
  <c r="I108" i="7"/>
  <c r="AS19" i="7"/>
  <c r="AS22" i="7" s="1"/>
  <c r="AS24" i="7" s="1"/>
  <c r="H5" i="7"/>
  <c r="Q108" i="7"/>
  <c r="P5" i="7"/>
  <c r="X5" i="7"/>
  <c r="S7" i="7"/>
  <c r="AD7" i="7"/>
  <c r="AE7" i="7"/>
  <c r="X7" i="7"/>
  <c r="AR19" i="7"/>
  <c r="AR22" i="7" s="1"/>
  <c r="AT23" i="7"/>
  <c r="AI76" i="7"/>
  <c r="AT16" i="7"/>
  <c r="AT22" i="7" s="1"/>
  <c r="G97" i="7"/>
  <c r="G99" i="7" s="1"/>
  <c r="AN18" i="7"/>
  <c r="AN22" i="7" s="1"/>
  <c r="AN24" i="7" s="1"/>
  <c r="E107" i="7"/>
  <c r="AP23" i="7" s="1"/>
  <c r="M107" i="7"/>
  <c r="AU23" i="7" s="1"/>
  <c r="U7" i="7"/>
  <c r="AC7" i="7"/>
  <c r="AI92" i="7"/>
  <c r="AH92" i="7"/>
  <c r="G107" i="7"/>
  <c r="AR23" i="7" s="1"/>
  <c r="O107" i="7"/>
  <c r="AW23" i="7" s="1"/>
  <c r="W7" i="7"/>
  <c r="C5" i="7"/>
  <c r="S5" i="7"/>
  <c r="AI105" i="7"/>
  <c r="L108" i="7"/>
  <c r="O97" i="7"/>
  <c r="O99" i="7" s="1"/>
  <c r="O100" i="7" s="1"/>
  <c r="O7" i="7" s="1"/>
  <c r="AH102" i="7"/>
  <c r="AI104" i="7"/>
  <c r="AH105" i="7"/>
  <c r="AO16" i="7"/>
  <c r="AO22" i="7" s="1"/>
  <c r="AO24" i="7" s="1"/>
  <c r="AM19" i="7"/>
  <c r="M108" i="7"/>
  <c r="AH101" i="7"/>
  <c r="AI102" i="7"/>
  <c r="AI103" i="7"/>
  <c r="D252" i="7"/>
  <c r="E246" i="7"/>
  <c r="AH103" i="7"/>
  <c r="AH104" i="7"/>
  <c r="AF107" i="6"/>
  <c r="AF108" i="6" s="1"/>
  <c r="AF97" i="6"/>
  <c r="AF99" i="6" s="1"/>
  <c r="AE108" i="6"/>
  <c r="AE97" i="6"/>
  <c r="AE99" i="6" s="1"/>
  <c r="AE100" i="6" s="1"/>
  <c r="AD58" i="6"/>
  <c r="AD62" i="6"/>
  <c r="AD76" i="6"/>
  <c r="AD80" i="6"/>
  <c r="AD92" i="6"/>
  <c r="AD101" i="6"/>
  <c r="AD107" i="6" s="1"/>
  <c r="AD102" i="6"/>
  <c r="AD103" i="6"/>
  <c r="AD104" i="6"/>
  <c r="AD105" i="6"/>
  <c r="AD118" i="6"/>
  <c r="AC123" i="6"/>
  <c r="AB123" i="6"/>
  <c r="T100" i="7" l="1"/>
  <c r="T7" i="7" s="1"/>
  <c r="R100" i="7"/>
  <c r="R7" i="7" s="1"/>
  <c r="Q100" i="7"/>
  <c r="Q7" i="7" s="1"/>
  <c r="P108" i="7"/>
  <c r="AW24" i="7"/>
  <c r="N108" i="7"/>
  <c r="N100" i="7"/>
  <c r="N7" i="7" s="1"/>
  <c r="AT24" i="7"/>
  <c r="AR24" i="7"/>
  <c r="AQ24" i="7"/>
  <c r="F100" i="7"/>
  <c r="F7" i="7" s="1"/>
  <c r="F108" i="7"/>
  <c r="AP24" i="7"/>
  <c r="E108" i="7"/>
  <c r="D100" i="7"/>
  <c r="D7" i="7" s="1"/>
  <c r="D108" i="7"/>
  <c r="F246" i="7"/>
  <c r="E252" i="7"/>
  <c r="E118" i="7"/>
  <c r="E100" i="7"/>
  <c r="E7" i="7" s="1"/>
  <c r="G108" i="7"/>
  <c r="AU24" i="7"/>
  <c r="C256" i="7"/>
  <c r="G100" i="7"/>
  <c r="G7" i="7" s="1"/>
  <c r="B256" i="7"/>
  <c r="M100" i="7"/>
  <c r="M7" i="7" s="1"/>
  <c r="O108" i="7"/>
  <c r="BG107" i="7"/>
  <c r="BK105" i="7"/>
  <c r="BI104" i="7"/>
  <c r="BG103" i="7"/>
  <c r="BK101" i="7"/>
  <c r="BI100" i="7"/>
  <c r="BG99" i="7"/>
  <c r="BK97" i="7"/>
  <c r="BI96" i="7"/>
  <c r="BG95" i="7"/>
  <c r="BK93" i="7"/>
  <c r="BI92" i="7"/>
  <c r="BG91" i="7"/>
  <c r="BK89" i="7"/>
  <c r="BI88" i="7"/>
  <c r="BG87" i="7"/>
  <c r="BK85" i="7"/>
  <c r="BI84" i="7"/>
  <c r="BL107" i="7"/>
  <c r="BJ106" i="7"/>
  <c r="BH105" i="7"/>
  <c r="BL103" i="7"/>
  <c r="BJ102" i="7"/>
  <c r="BH101" i="7"/>
  <c r="BL99" i="7"/>
  <c r="BJ98" i="7"/>
  <c r="BH97" i="7"/>
  <c r="BL95" i="7"/>
  <c r="BJ94" i="7"/>
  <c r="BH93" i="7"/>
  <c r="BL91" i="7"/>
  <c r="BJ90" i="7"/>
  <c r="BH89" i="7"/>
  <c r="BL87" i="7"/>
  <c r="BJ86" i="7"/>
  <c r="BH85" i="7"/>
  <c r="BK106" i="7"/>
  <c r="BL104" i="7"/>
  <c r="BH103" i="7"/>
  <c r="BI101" i="7"/>
  <c r="BJ99" i="7"/>
  <c r="BL97" i="7"/>
  <c r="BG96" i="7"/>
  <c r="BH94" i="7"/>
  <c r="BJ92" i="7"/>
  <c r="BK90" i="7"/>
  <c r="BL88" i="7"/>
  <c r="BH87" i="7"/>
  <c r="BI85" i="7"/>
  <c r="BI106" i="7"/>
  <c r="BK104" i="7"/>
  <c r="BL102" i="7"/>
  <c r="BG101" i="7"/>
  <c r="BI99" i="7"/>
  <c r="BJ97" i="7"/>
  <c r="BK95" i="7"/>
  <c r="BG94" i="7"/>
  <c r="BH92" i="7"/>
  <c r="BI90" i="7"/>
  <c r="BK88" i="7"/>
  <c r="BL86" i="7"/>
  <c r="BG85" i="7"/>
  <c r="BH106" i="7"/>
  <c r="BJ104" i="7"/>
  <c r="BK102" i="7"/>
  <c r="BL100" i="7"/>
  <c r="BH99" i="7"/>
  <c r="BI97" i="7"/>
  <c r="BJ95" i="7"/>
  <c r="BL93" i="7"/>
  <c r="BG92" i="7"/>
  <c r="BH90" i="7"/>
  <c r="BJ88" i="7"/>
  <c r="BK86" i="7"/>
  <c r="BL84" i="7"/>
  <c r="BK107" i="7"/>
  <c r="BG106" i="7"/>
  <c r="BH104" i="7"/>
  <c r="BI102" i="7"/>
  <c r="BK100" i="7"/>
  <c r="BL98" i="7"/>
  <c r="BG97" i="7"/>
  <c r="BI95" i="7"/>
  <c r="BJ93" i="7"/>
  <c r="BK91" i="7"/>
  <c r="BG90" i="7"/>
  <c r="BH88" i="7"/>
  <c r="BI86" i="7"/>
  <c r="BK84" i="7"/>
  <c r="BJ107" i="7"/>
  <c r="BL105" i="7"/>
  <c r="BG104" i="7"/>
  <c r="BH102" i="7"/>
  <c r="BJ100" i="7"/>
  <c r="BK98" i="7"/>
  <c r="BL96" i="7"/>
  <c r="BH95" i="7"/>
  <c r="BI93" i="7"/>
  <c r="BJ91" i="7"/>
  <c r="BL89" i="7"/>
  <c r="BG88" i="7"/>
  <c r="BH86" i="7"/>
  <c r="BJ84" i="7"/>
  <c r="BH107" i="7"/>
  <c r="BI105" i="7"/>
  <c r="BJ103" i="7"/>
  <c r="BL101" i="7"/>
  <c r="BG100" i="7"/>
  <c r="BH98" i="7"/>
  <c r="BJ96" i="7"/>
  <c r="BK94" i="7"/>
  <c r="BL92" i="7"/>
  <c r="BH91" i="7"/>
  <c r="BI89" i="7"/>
  <c r="BJ87" i="7"/>
  <c r="BL85" i="7"/>
  <c r="BG84" i="7"/>
  <c r="BI107" i="7"/>
  <c r="BH100" i="7"/>
  <c r="BG93" i="7"/>
  <c r="BG86" i="7"/>
  <c r="BL106" i="7"/>
  <c r="BK92" i="7"/>
  <c r="BJ85" i="7"/>
  <c r="BI103" i="7"/>
  <c r="BH96" i="7"/>
  <c r="BG89" i="7"/>
  <c r="BG102" i="7"/>
  <c r="BJ101" i="7"/>
  <c r="BI94" i="7"/>
  <c r="BI87" i="7"/>
  <c r="BK99" i="7"/>
  <c r="BJ105" i="7"/>
  <c r="BI98" i="7"/>
  <c r="BI91" i="7"/>
  <c r="BH84" i="7"/>
  <c r="BK96" i="7"/>
  <c r="BJ89" i="7"/>
  <c r="BL94" i="7"/>
  <c r="BG105" i="7"/>
  <c r="BG98" i="7"/>
  <c r="BL90" i="7"/>
  <c r="BK103" i="7"/>
  <c r="BK87" i="7"/>
  <c r="V7" i="7"/>
  <c r="AM22" i="7"/>
  <c r="AI107" i="7"/>
  <c r="AM23" i="7"/>
  <c r="AH107" i="7"/>
  <c r="AI97" i="7"/>
  <c r="AH97" i="7"/>
  <c r="AF100" i="6"/>
  <c r="AD108" i="6"/>
  <c r="AD97" i="6"/>
  <c r="AD99" i="6" s="1"/>
  <c r="AD100" i="6" s="1"/>
  <c r="AI108" i="7" l="1"/>
  <c r="AH108" i="7"/>
  <c r="AM24" i="7"/>
  <c r="AT9" i="7" s="1"/>
  <c r="AT8" i="7"/>
  <c r="AI99" i="7"/>
  <c r="AH99" i="7"/>
  <c r="K6" i="7"/>
  <c r="G246" i="7"/>
  <c r="F252" i="7"/>
  <c r="F118" i="7"/>
  <c r="H246" i="7" l="1"/>
  <c r="G252" i="7"/>
  <c r="G118" i="7"/>
  <c r="AI100" i="7"/>
  <c r="AH100" i="7"/>
  <c r="B7" i="7"/>
  <c r="A7" i="7" s="1"/>
  <c r="I246" i="7" l="1"/>
  <c r="H252" i="7"/>
  <c r="H118" i="7"/>
  <c r="I252" i="7" l="1"/>
  <c r="I118" i="7"/>
  <c r="J246" i="7"/>
  <c r="J252" i="7" l="1"/>
  <c r="J118" i="7"/>
  <c r="K246" i="7"/>
  <c r="K252" i="7" l="1"/>
  <c r="K118" i="7"/>
  <c r="L246" i="7"/>
  <c r="L252" i="7" l="1"/>
  <c r="L118" i="7"/>
  <c r="M246" i="7"/>
  <c r="N246" i="7" l="1"/>
  <c r="M118" i="7"/>
  <c r="M252" i="7"/>
  <c r="O246" i="7" l="1"/>
  <c r="N252" i="7"/>
  <c r="N118" i="7"/>
  <c r="P246" i="7" l="1"/>
  <c r="O118" i="7"/>
  <c r="O252" i="7"/>
  <c r="Q246" i="7" l="1"/>
  <c r="P252" i="7"/>
  <c r="Q252" i="7" l="1"/>
  <c r="Q118" i="7"/>
  <c r="R246" i="7"/>
  <c r="R252" i="7" l="1"/>
  <c r="R118" i="7"/>
  <c r="S246" i="7"/>
  <c r="S252" i="7" l="1"/>
  <c r="T246" i="7"/>
  <c r="T252" i="7" l="1"/>
  <c r="U246" i="7"/>
  <c r="V246" i="7" l="1"/>
  <c r="U252" i="7"/>
  <c r="W246" i="7" l="1"/>
  <c r="V252" i="7"/>
  <c r="X246" i="7" l="1"/>
  <c r="W252" i="7"/>
  <c r="Y246" i="7" l="1"/>
  <c r="X252" i="7"/>
  <c r="Y252" i="7" l="1"/>
  <c r="Z246" i="7"/>
  <c r="Z252" i="7" l="1"/>
  <c r="AA246" i="7"/>
  <c r="AA252" i="7" l="1"/>
  <c r="AB246" i="7"/>
  <c r="AB252" i="7" l="1"/>
  <c r="AC246" i="7"/>
  <c r="AD246" i="7" l="1"/>
  <c r="AC252" i="7"/>
  <c r="AE246" i="7" l="1"/>
  <c r="AD252" i="7"/>
  <c r="AF246" i="7" l="1"/>
  <c r="AE252" i="7"/>
  <c r="AF252" i="7" l="1"/>
  <c r="B246" i="7"/>
  <c r="B252" i="7" l="1"/>
  <c r="AI118" i="7" l="1"/>
  <c r="AH118" i="7"/>
  <c r="AA123" i="6" l="1"/>
  <c r="AA58" i="6"/>
  <c r="AA62" i="6"/>
  <c r="AA76" i="6"/>
  <c r="AA80" i="6"/>
  <c r="AA92" i="6"/>
  <c r="AA101" i="6"/>
  <c r="AA102" i="6"/>
  <c r="AA103" i="6"/>
  <c r="AA104" i="6"/>
  <c r="AA105" i="6"/>
  <c r="AA118" i="6"/>
  <c r="Z123" i="6"/>
  <c r="Z58" i="6"/>
  <c r="Z62" i="6"/>
  <c r="Z76" i="6"/>
  <c r="Z80" i="6"/>
  <c r="Z92" i="6"/>
  <c r="Z101" i="6"/>
  <c r="Z102" i="6"/>
  <c r="Z103" i="6"/>
  <c r="Z104" i="6"/>
  <c r="Z105" i="6"/>
  <c r="Y123" i="6"/>
  <c r="Y118" i="6" s="1"/>
  <c r="Y58" i="6"/>
  <c r="Y62" i="6"/>
  <c r="Y76" i="6"/>
  <c r="Y80" i="6"/>
  <c r="Y92" i="6"/>
  <c r="Y101" i="6"/>
  <c r="Y102" i="6"/>
  <c r="Y103" i="6"/>
  <c r="Y104" i="6"/>
  <c r="Y105" i="6"/>
  <c r="X123" i="6"/>
  <c r="X58" i="6"/>
  <c r="X62" i="6"/>
  <c r="X76" i="6"/>
  <c r="X80" i="6"/>
  <c r="X92" i="6"/>
  <c r="X101" i="6"/>
  <c r="X102" i="6"/>
  <c r="X103" i="6"/>
  <c r="X104" i="6"/>
  <c r="X105" i="6"/>
  <c r="X118" i="6"/>
  <c r="W123" i="6"/>
  <c r="W58" i="6"/>
  <c r="W62" i="6"/>
  <c r="W76" i="6"/>
  <c r="W80" i="6"/>
  <c r="W92" i="6"/>
  <c r="W101" i="6"/>
  <c r="W102" i="6"/>
  <c r="W103" i="6"/>
  <c r="W104" i="6"/>
  <c r="W107" i="6" s="1"/>
  <c r="W105" i="6"/>
  <c r="W118" i="6"/>
  <c r="V123" i="6"/>
  <c r="V118" i="6"/>
  <c r="V105" i="6"/>
  <c r="V104" i="6"/>
  <c r="V103" i="6"/>
  <c r="V102" i="6"/>
  <c r="V101" i="6"/>
  <c r="V92" i="6"/>
  <c r="V80" i="6"/>
  <c r="V76" i="6"/>
  <c r="V62" i="6"/>
  <c r="V58" i="6"/>
  <c r="U58" i="6"/>
  <c r="U62" i="6"/>
  <c r="U76" i="6"/>
  <c r="U80" i="6"/>
  <c r="U92" i="6"/>
  <c r="U101" i="6"/>
  <c r="U107" i="6" s="1"/>
  <c r="U102" i="6"/>
  <c r="U103" i="6"/>
  <c r="U104" i="6"/>
  <c r="U105" i="6"/>
  <c r="U118" i="6"/>
  <c r="T123" i="6"/>
  <c r="T58" i="6"/>
  <c r="T62" i="6"/>
  <c r="T76" i="6"/>
  <c r="T80" i="6"/>
  <c r="T92" i="6"/>
  <c r="T101" i="6"/>
  <c r="T102" i="6"/>
  <c r="T103" i="6"/>
  <c r="T104" i="6"/>
  <c r="T105" i="6"/>
  <c r="T118" i="6"/>
  <c r="S123" i="6"/>
  <c r="S118" i="6" s="1"/>
  <c r="S58" i="6"/>
  <c r="S62" i="6"/>
  <c r="S76" i="6"/>
  <c r="S80" i="6"/>
  <c r="S92" i="6"/>
  <c r="S101" i="6"/>
  <c r="S102" i="6"/>
  <c r="S103" i="6"/>
  <c r="S104" i="6"/>
  <c r="S105" i="6"/>
  <c r="R123" i="6"/>
  <c r="R62" i="6"/>
  <c r="Q123" i="6"/>
  <c r="P123" i="6"/>
  <c r="O123" i="6"/>
  <c r="M121" i="6"/>
  <c r="N121" i="6"/>
  <c r="M123" i="6"/>
  <c r="N123" i="6"/>
  <c r="M57" i="6"/>
  <c r="N57" i="6"/>
  <c r="L123" i="6"/>
  <c r="L121" i="6"/>
  <c r="L57" i="6"/>
  <c r="K121" i="6"/>
  <c r="K123" i="6"/>
  <c r="K57" i="6"/>
  <c r="I123" i="6"/>
  <c r="J123" i="6"/>
  <c r="J121" i="6"/>
  <c r="I57" i="6"/>
  <c r="H123" i="6"/>
  <c r="H57" i="6"/>
  <c r="G123" i="6"/>
  <c r="G121" i="6"/>
  <c r="G57" i="6"/>
  <c r="F123" i="6"/>
  <c r="F121" i="6"/>
  <c r="F85" i="6"/>
  <c r="F57" i="6"/>
  <c r="E123" i="6"/>
  <c r="E85" i="6"/>
  <c r="E57" i="6"/>
  <c r="AA107" i="6" l="1"/>
  <c r="AA108" i="6" s="1"/>
  <c r="AA97" i="6"/>
  <c r="AA99" i="6" s="1"/>
  <c r="AA100" i="6" s="1"/>
  <c r="Z107" i="6"/>
  <c r="Z108" i="6" s="1"/>
  <c r="Z97" i="6"/>
  <c r="Z99" i="6" s="1"/>
  <c r="Z100" i="6" s="1"/>
  <c r="Y107" i="6"/>
  <c r="Y97" i="6"/>
  <c r="Y99" i="6" s="1"/>
  <c r="Y108" i="6"/>
  <c r="X97" i="6"/>
  <c r="X99" i="6" s="1"/>
  <c r="X107" i="6"/>
  <c r="X108" i="6" s="1"/>
  <c r="W97" i="6"/>
  <c r="W99" i="6" s="1"/>
  <c r="W100" i="6" s="1"/>
  <c r="W108" i="6"/>
  <c r="V107" i="6"/>
  <c r="V108" i="6" s="1"/>
  <c r="V97" i="6"/>
  <c r="V99" i="6" s="1"/>
  <c r="V100" i="6" s="1"/>
  <c r="U108" i="6"/>
  <c r="U97" i="6"/>
  <c r="U99" i="6" s="1"/>
  <c r="U100" i="6" s="1"/>
  <c r="T97" i="6"/>
  <c r="T99" i="6" s="1"/>
  <c r="T107" i="6"/>
  <c r="T108" i="6" s="1"/>
  <c r="S97" i="6"/>
  <c r="S99" i="6" s="1"/>
  <c r="S107" i="6"/>
  <c r="S108" i="6"/>
  <c r="D121" i="6"/>
  <c r="D57" i="6"/>
  <c r="C58" i="6"/>
  <c r="D58" i="6"/>
  <c r="C62" i="6"/>
  <c r="AN17" i="6" s="1"/>
  <c r="D62" i="6"/>
  <c r="AO17" i="6" s="1"/>
  <c r="C76" i="6"/>
  <c r="D76" i="6"/>
  <c r="C80" i="6"/>
  <c r="D80" i="6"/>
  <c r="C92" i="6"/>
  <c r="AN19" i="6" s="1"/>
  <c r="D92" i="6"/>
  <c r="AO19" i="6" s="1"/>
  <c r="C101" i="6"/>
  <c r="C107" i="6" s="1"/>
  <c r="D101" i="6"/>
  <c r="D107" i="6" s="1"/>
  <c r="C102" i="6"/>
  <c r="D102" i="6"/>
  <c r="C103" i="6"/>
  <c r="D103" i="6"/>
  <c r="C104" i="6"/>
  <c r="D104" i="6"/>
  <c r="C105" i="6"/>
  <c r="D105" i="6"/>
  <c r="C118" i="6"/>
  <c r="B123" i="6"/>
  <c r="B121" i="6"/>
  <c r="B57" i="6"/>
  <c r="B105" i="6"/>
  <c r="B104" i="6"/>
  <c r="B103" i="6"/>
  <c r="B102" i="6"/>
  <c r="B101" i="6"/>
  <c r="B92" i="6"/>
  <c r="B80" i="6"/>
  <c r="B76" i="6"/>
  <c r="B62" i="6"/>
  <c r="B58" i="6"/>
  <c r="AG252" i="6"/>
  <c r="C252" i="6"/>
  <c r="D251" i="6"/>
  <c r="E251" i="6" s="1"/>
  <c r="F251" i="6" s="1"/>
  <c r="G251" i="6" s="1"/>
  <c r="H251" i="6" s="1"/>
  <c r="I251" i="6" s="1"/>
  <c r="J251" i="6" s="1"/>
  <c r="K251" i="6" s="1"/>
  <c r="L251" i="6" s="1"/>
  <c r="M251" i="6" s="1"/>
  <c r="N251" i="6" s="1"/>
  <c r="O251" i="6" s="1"/>
  <c r="P251" i="6" s="1"/>
  <c r="Q251" i="6" s="1"/>
  <c r="R251" i="6" s="1"/>
  <c r="S251" i="6" s="1"/>
  <c r="T251" i="6" s="1"/>
  <c r="U251" i="6" s="1"/>
  <c r="V251" i="6" s="1"/>
  <c r="W251" i="6" s="1"/>
  <c r="X251" i="6" s="1"/>
  <c r="Y251" i="6" s="1"/>
  <c r="Z251" i="6" s="1"/>
  <c r="AA251" i="6" s="1"/>
  <c r="AB251" i="6" s="1"/>
  <c r="AC251" i="6" s="1"/>
  <c r="AD251" i="6" s="1"/>
  <c r="AE251" i="6" s="1"/>
  <c r="AF251" i="6" s="1"/>
  <c r="B251" i="6" s="1"/>
  <c r="E250" i="6"/>
  <c r="F250" i="6" s="1"/>
  <c r="G250" i="6" s="1"/>
  <c r="H250" i="6" s="1"/>
  <c r="I250" i="6" s="1"/>
  <c r="J250" i="6" s="1"/>
  <c r="K250" i="6" s="1"/>
  <c r="L250" i="6" s="1"/>
  <c r="M250" i="6" s="1"/>
  <c r="N250" i="6" s="1"/>
  <c r="O250" i="6" s="1"/>
  <c r="P250" i="6" s="1"/>
  <c r="Q250" i="6" s="1"/>
  <c r="R250" i="6" s="1"/>
  <c r="S250" i="6" s="1"/>
  <c r="T250" i="6" s="1"/>
  <c r="U250" i="6" s="1"/>
  <c r="V250" i="6" s="1"/>
  <c r="W250" i="6" s="1"/>
  <c r="X250" i="6" s="1"/>
  <c r="Y250" i="6" s="1"/>
  <c r="Z250" i="6" s="1"/>
  <c r="AA250" i="6" s="1"/>
  <c r="AB250" i="6" s="1"/>
  <c r="AC250" i="6" s="1"/>
  <c r="AD250" i="6" s="1"/>
  <c r="AE250" i="6" s="1"/>
  <c r="AF250" i="6" s="1"/>
  <c r="B250" i="6" s="1"/>
  <c r="D250" i="6"/>
  <c r="D249" i="6"/>
  <c r="E249" i="6" s="1"/>
  <c r="F249" i="6" s="1"/>
  <c r="G249" i="6" s="1"/>
  <c r="H249" i="6" s="1"/>
  <c r="I249" i="6" s="1"/>
  <c r="J249" i="6" s="1"/>
  <c r="K249" i="6" s="1"/>
  <c r="L249" i="6" s="1"/>
  <c r="M249" i="6" s="1"/>
  <c r="N249" i="6" s="1"/>
  <c r="O249" i="6" s="1"/>
  <c r="P249" i="6" s="1"/>
  <c r="Q249" i="6" s="1"/>
  <c r="R249" i="6" s="1"/>
  <c r="S249" i="6" s="1"/>
  <c r="T249" i="6" s="1"/>
  <c r="U249" i="6" s="1"/>
  <c r="V249" i="6" s="1"/>
  <c r="W249" i="6" s="1"/>
  <c r="X249" i="6" s="1"/>
  <c r="Y249" i="6" s="1"/>
  <c r="Z249" i="6" s="1"/>
  <c r="AA249" i="6" s="1"/>
  <c r="AB249" i="6" s="1"/>
  <c r="AC249" i="6" s="1"/>
  <c r="AD249" i="6" s="1"/>
  <c r="AE249" i="6" s="1"/>
  <c r="AF249" i="6" s="1"/>
  <c r="B249" i="6" s="1"/>
  <c r="F248" i="6"/>
  <c r="G248" i="6" s="1"/>
  <c r="H248" i="6" s="1"/>
  <c r="I248" i="6" s="1"/>
  <c r="J248" i="6" s="1"/>
  <c r="K248" i="6" s="1"/>
  <c r="L248" i="6" s="1"/>
  <c r="M248" i="6" s="1"/>
  <c r="N248" i="6" s="1"/>
  <c r="O248" i="6" s="1"/>
  <c r="P248" i="6" s="1"/>
  <c r="Q248" i="6" s="1"/>
  <c r="R248" i="6" s="1"/>
  <c r="S248" i="6" s="1"/>
  <c r="T248" i="6" s="1"/>
  <c r="U248" i="6" s="1"/>
  <c r="V248" i="6" s="1"/>
  <c r="W248" i="6" s="1"/>
  <c r="X248" i="6" s="1"/>
  <c r="Y248" i="6" s="1"/>
  <c r="Z248" i="6" s="1"/>
  <c r="AA248" i="6" s="1"/>
  <c r="AB248" i="6" s="1"/>
  <c r="AC248" i="6" s="1"/>
  <c r="AD248" i="6" s="1"/>
  <c r="AE248" i="6" s="1"/>
  <c r="AF248" i="6" s="1"/>
  <c r="B248" i="6" s="1"/>
  <c r="E248" i="6"/>
  <c r="D248" i="6"/>
  <c r="D247" i="6"/>
  <c r="D246" i="6"/>
  <c r="D118" i="6" s="1"/>
  <c r="AG244" i="6"/>
  <c r="AF244" i="6"/>
  <c r="AE244" i="6"/>
  <c r="AD244" i="6"/>
  <c r="AC244" i="6"/>
  <c r="AB244" i="6"/>
  <c r="AA244" i="6"/>
  <c r="Z244" i="6"/>
  <c r="Y244" i="6"/>
  <c r="X244" i="6"/>
  <c r="W244" i="6"/>
  <c r="V244" i="6"/>
  <c r="U244" i="6"/>
  <c r="T244" i="6"/>
  <c r="S244" i="6"/>
  <c r="R244" i="6"/>
  <c r="Q244" i="6"/>
  <c r="P244" i="6"/>
  <c r="O244" i="6"/>
  <c r="N244" i="6"/>
  <c r="M244" i="6"/>
  <c r="L244" i="6"/>
  <c r="K244" i="6"/>
  <c r="J244" i="6"/>
  <c r="I244" i="6"/>
  <c r="H244" i="6"/>
  <c r="G244" i="6"/>
  <c r="F244" i="6"/>
  <c r="E244" i="6"/>
  <c r="D244" i="6"/>
  <c r="C244" i="6"/>
  <c r="B244" i="6"/>
  <c r="AI130" i="6"/>
  <c r="AH130" i="6"/>
  <c r="AI129" i="6"/>
  <c r="AH129" i="6"/>
  <c r="AI128" i="6"/>
  <c r="AH128" i="6"/>
  <c r="AI127" i="6"/>
  <c r="AH127" i="6"/>
  <c r="AI126" i="6"/>
  <c r="AH126" i="6"/>
  <c r="AI123" i="6"/>
  <c r="AH123" i="6"/>
  <c r="AI122" i="6"/>
  <c r="AH122" i="6"/>
  <c r="AI120" i="6"/>
  <c r="AH120" i="6"/>
  <c r="AI119" i="6"/>
  <c r="AH119" i="6"/>
  <c r="Z118" i="6"/>
  <c r="AI117" i="6"/>
  <c r="AH117" i="6"/>
  <c r="AI116" i="6"/>
  <c r="AH116" i="6"/>
  <c r="AI115" i="6"/>
  <c r="AH115" i="6"/>
  <c r="AI114" i="6"/>
  <c r="AH114" i="6"/>
  <c r="AI113" i="6"/>
  <c r="AH113" i="6"/>
  <c r="AI112" i="6"/>
  <c r="AH112" i="6"/>
  <c r="AI111" i="6"/>
  <c r="AH111" i="6"/>
  <c r="AI110" i="6"/>
  <c r="AH110" i="6"/>
  <c r="AI109" i="6"/>
  <c r="AH109" i="6"/>
  <c r="AI106" i="6"/>
  <c r="AH106" i="6"/>
  <c r="AC105" i="6"/>
  <c r="AB105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E105" i="6"/>
  <c r="AC104" i="6"/>
  <c r="AB104" i="6"/>
  <c r="R104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AC103" i="6"/>
  <c r="AB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AC102" i="6"/>
  <c r="AB102" i="6"/>
  <c r="R102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AC101" i="6"/>
  <c r="AC107" i="6" s="1"/>
  <c r="AB101" i="6"/>
  <c r="AB107" i="6" s="1"/>
  <c r="R101" i="6"/>
  <c r="Q101" i="6"/>
  <c r="P101" i="6"/>
  <c r="O101" i="6"/>
  <c r="N101" i="6"/>
  <c r="M101" i="6"/>
  <c r="L101" i="6"/>
  <c r="K101" i="6"/>
  <c r="J101" i="6"/>
  <c r="I101" i="6"/>
  <c r="H101" i="6"/>
  <c r="H107" i="6" s="1"/>
  <c r="G101" i="6"/>
  <c r="F101" i="6"/>
  <c r="E101" i="6"/>
  <c r="AI98" i="6"/>
  <c r="AH98" i="6"/>
  <c r="AI96" i="6"/>
  <c r="AH96" i="6"/>
  <c r="AG96" i="6"/>
  <c r="AI95" i="6"/>
  <c r="AH95" i="6"/>
  <c r="AI94" i="6"/>
  <c r="AH94" i="6"/>
  <c r="AI93" i="6"/>
  <c r="AH93" i="6"/>
  <c r="AG92" i="6"/>
  <c r="AC92" i="6"/>
  <c r="AB92" i="6"/>
  <c r="AA5" i="6" s="1"/>
  <c r="S5" i="6"/>
  <c r="R92" i="6"/>
  <c r="Q5" i="6" s="1"/>
  <c r="Q92" i="6"/>
  <c r="P5" i="6" s="1"/>
  <c r="P92" i="6"/>
  <c r="AX19" i="6" s="1"/>
  <c r="O92" i="6"/>
  <c r="N92" i="6"/>
  <c r="M5" i="6" s="1"/>
  <c r="M92" i="6"/>
  <c r="AU19" i="6" s="1"/>
  <c r="L92" i="6"/>
  <c r="K92" i="6"/>
  <c r="J92" i="6"/>
  <c r="I5" i="6" s="1"/>
  <c r="I92" i="6"/>
  <c r="H5" i="6" s="1"/>
  <c r="H92" i="6"/>
  <c r="G5" i="6" s="1"/>
  <c r="G92" i="6"/>
  <c r="AR19" i="6" s="1"/>
  <c r="F92" i="6"/>
  <c r="AQ19" i="6" s="1"/>
  <c r="E92" i="6"/>
  <c r="AP19" i="6" s="1"/>
  <c r="AI91" i="6"/>
  <c r="AH91" i="6"/>
  <c r="AI90" i="6"/>
  <c r="AH90" i="6"/>
  <c r="AI89" i="6"/>
  <c r="AH89" i="6"/>
  <c r="AI88" i="6"/>
  <c r="AH88" i="6"/>
  <c r="AI87" i="6"/>
  <c r="AH87" i="6"/>
  <c r="AI86" i="6"/>
  <c r="AH86" i="6"/>
  <c r="AI85" i="6"/>
  <c r="AH85" i="6"/>
  <c r="AI84" i="6"/>
  <c r="AH84" i="6"/>
  <c r="AI83" i="6"/>
  <c r="AH83" i="6"/>
  <c r="AI82" i="6"/>
  <c r="AH82" i="6"/>
  <c r="AI81" i="6"/>
  <c r="AH81" i="6"/>
  <c r="AG80" i="6"/>
  <c r="AC80" i="6"/>
  <c r="AB80" i="6"/>
  <c r="R80" i="6"/>
  <c r="Q80" i="6"/>
  <c r="P80" i="6"/>
  <c r="O80" i="6"/>
  <c r="N80" i="6"/>
  <c r="M80" i="6"/>
  <c r="AU20" i="6" s="1"/>
  <c r="L80" i="6"/>
  <c r="K80" i="6"/>
  <c r="AT20" i="6" s="1"/>
  <c r="J80" i="6"/>
  <c r="I80" i="6"/>
  <c r="H80" i="6"/>
  <c r="G80" i="6"/>
  <c r="F80" i="6"/>
  <c r="AQ20" i="6" s="1"/>
  <c r="E80" i="6"/>
  <c r="AP20" i="6" s="1"/>
  <c r="BK79" i="6"/>
  <c r="BC79" i="6"/>
  <c r="AI79" i="6"/>
  <c r="AH79" i="6"/>
  <c r="AI78" i="6"/>
  <c r="AH78" i="6"/>
  <c r="BG77" i="6"/>
  <c r="AI77" i="6"/>
  <c r="AH77" i="6"/>
  <c r="BB76" i="6"/>
  <c r="BA76" i="6"/>
  <c r="AC76" i="6"/>
  <c r="AB76" i="6"/>
  <c r="R76" i="6"/>
  <c r="Q76" i="6"/>
  <c r="P76" i="6"/>
  <c r="AX18" i="6" s="1"/>
  <c r="O76" i="6"/>
  <c r="AW18" i="6" s="1"/>
  <c r="N76" i="6"/>
  <c r="AV18" i="6" s="1"/>
  <c r="M76" i="6"/>
  <c r="AU18" i="6" s="1"/>
  <c r="L76" i="6"/>
  <c r="K76" i="6"/>
  <c r="J76" i="6"/>
  <c r="I76" i="6"/>
  <c r="AS18" i="6" s="1"/>
  <c r="H76" i="6"/>
  <c r="G76" i="6"/>
  <c r="F76" i="6"/>
  <c r="AQ18" i="6" s="1"/>
  <c r="E76" i="6"/>
  <c r="AP18" i="6" s="1"/>
  <c r="AO18" i="6"/>
  <c r="BB75" i="6"/>
  <c r="AI75" i="6"/>
  <c r="AH75" i="6"/>
  <c r="AG75" i="6"/>
  <c r="AG76" i="6" s="1"/>
  <c r="AG3" i="6" s="1"/>
  <c r="AI74" i="6"/>
  <c r="AH74" i="6"/>
  <c r="BW73" i="6"/>
  <c r="BW80" i="6" s="1"/>
  <c r="BV73" i="6"/>
  <c r="BV80" i="6" s="1"/>
  <c r="BU73" i="6"/>
  <c r="BU80" i="6" s="1"/>
  <c r="BT73" i="6"/>
  <c r="BT80" i="6" s="1"/>
  <c r="BS73" i="6"/>
  <c r="BS80" i="6" s="1"/>
  <c r="BR73" i="6"/>
  <c r="BR80" i="6" s="1"/>
  <c r="BQ73" i="6"/>
  <c r="BQ80" i="6" s="1"/>
  <c r="BP73" i="6"/>
  <c r="BP80" i="6" s="1"/>
  <c r="BO73" i="6"/>
  <c r="BO80" i="6" s="1"/>
  <c r="BN73" i="6"/>
  <c r="BN80" i="6" s="1"/>
  <c r="BM73" i="6"/>
  <c r="BM80" i="6" s="1"/>
  <c r="BL73" i="6"/>
  <c r="BL80" i="6" s="1"/>
  <c r="BK73" i="6"/>
  <c r="BK80" i="6" s="1"/>
  <c r="BJ73" i="6"/>
  <c r="BJ80" i="6" s="1"/>
  <c r="BI73" i="6"/>
  <c r="BI80" i="6" s="1"/>
  <c r="BH73" i="6"/>
  <c r="BH80" i="6" s="1"/>
  <c r="BG73" i="6"/>
  <c r="BG80" i="6" s="1"/>
  <c r="BF73" i="6"/>
  <c r="BF80" i="6" s="1"/>
  <c r="BE73" i="6"/>
  <c r="BE80" i="6" s="1"/>
  <c r="BD73" i="6"/>
  <c r="BD80" i="6" s="1"/>
  <c r="BC73" i="6"/>
  <c r="BC80" i="6" s="1"/>
  <c r="BB73" i="6"/>
  <c r="BB80" i="6" s="1"/>
  <c r="BA73" i="6"/>
  <c r="BA80" i="6" s="1"/>
  <c r="AZ73" i="6"/>
  <c r="AZ80" i="6" s="1"/>
  <c r="AI73" i="6"/>
  <c r="AH73" i="6"/>
  <c r="BW72" i="6"/>
  <c r="BW79" i="6" s="1"/>
  <c r="BV72" i="6"/>
  <c r="BV79" i="6" s="1"/>
  <c r="BU72" i="6"/>
  <c r="BU79" i="6" s="1"/>
  <c r="BT72" i="6"/>
  <c r="BT79" i="6" s="1"/>
  <c r="BS72" i="6"/>
  <c r="BS79" i="6" s="1"/>
  <c r="BR72" i="6"/>
  <c r="BR79" i="6" s="1"/>
  <c r="BQ72" i="6"/>
  <c r="BQ79" i="6" s="1"/>
  <c r="BP72" i="6"/>
  <c r="BP79" i="6" s="1"/>
  <c r="BO72" i="6"/>
  <c r="BO79" i="6" s="1"/>
  <c r="BN72" i="6"/>
  <c r="BN79" i="6" s="1"/>
  <c r="BM72" i="6"/>
  <c r="BM79" i="6" s="1"/>
  <c r="BL72" i="6"/>
  <c r="BL79" i="6" s="1"/>
  <c r="BK72" i="6"/>
  <c r="BJ72" i="6"/>
  <c r="BJ79" i="6" s="1"/>
  <c r="BI72" i="6"/>
  <c r="BI79" i="6" s="1"/>
  <c r="BH72" i="6"/>
  <c r="BH79" i="6" s="1"/>
  <c r="BG72" i="6"/>
  <c r="BG79" i="6" s="1"/>
  <c r="BF72" i="6"/>
  <c r="BF79" i="6" s="1"/>
  <c r="BE72" i="6"/>
  <c r="BE79" i="6" s="1"/>
  <c r="BD72" i="6"/>
  <c r="BD79" i="6" s="1"/>
  <c r="BC72" i="6"/>
  <c r="BB72" i="6"/>
  <c r="BB79" i="6" s="1"/>
  <c r="BA72" i="6"/>
  <c r="BA79" i="6" s="1"/>
  <c r="AZ72" i="6"/>
  <c r="AZ79" i="6" s="1"/>
  <c r="AI72" i="6"/>
  <c r="AH72" i="6"/>
  <c r="BW71" i="6"/>
  <c r="BW78" i="6" s="1"/>
  <c r="BV71" i="6"/>
  <c r="BV78" i="6" s="1"/>
  <c r="BU71" i="6"/>
  <c r="BU78" i="6" s="1"/>
  <c r="BT71" i="6"/>
  <c r="BT78" i="6" s="1"/>
  <c r="BS71" i="6"/>
  <c r="BS78" i="6" s="1"/>
  <c r="BR71" i="6"/>
  <c r="BR78" i="6" s="1"/>
  <c r="BQ71" i="6"/>
  <c r="BQ78" i="6" s="1"/>
  <c r="BP71" i="6"/>
  <c r="BP78" i="6" s="1"/>
  <c r="BO71" i="6"/>
  <c r="BO78" i="6" s="1"/>
  <c r="BN71" i="6"/>
  <c r="BN78" i="6" s="1"/>
  <c r="BM71" i="6"/>
  <c r="BM78" i="6" s="1"/>
  <c r="BL71" i="6"/>
  <c r="BL78" i="6" s="1"/>
  <c r="BK71" i="6"/>
  <c r="BK78" i="6" s="1"/>
  <c r="BJ71" i="6"/>
  <c r="BJ78" i="6" s="1"/>
  <c r="BI71" i="6"/>
  <c r="BI78" i="6" s="1"/>
  <c r="BH71" i="6"/>
  <c r="BH78" i="6" s="1"/>
  <c r="BG71" i="6"/>
  <c r="BG78" i="6" s="1"/>
  <c r="BF71" i="6"/>
  <c r="BF78" i="6" s="1"/>
  <c r="BE71" i="6"/>
  <c r="BE78" i="6" s="1"/>
  <c r="BD71" i="6"/>
  <c r="BD78" i="6" s="1"/>
  <c r="BC71" i="6"/>
  <c r="BC78" i="6" s="1"/>
  <c r="BB71" i="6"/>
  <c r="BB78" i="6" s="1"/>
  <c r="BA71" i="6"/>
  <c r="BA78" i="6" s="1"/>
  <c r="AZ71" i="6"/>
  <c r="AZ78" i="6" s="1"/>
  <c r="AI71" i="6"/>
  <c r="AH71" i="6"/>
  <c r="BW70" i="6"/>
  <c r="BW77" i="6" s="1"/>
  <c r="BV70" i="6"/>
  <c r="BV77" i="6" s="1"/>
  <c r="BU70" i="6"/>
  <c r="BU77" i="6" s="1"/>
  <c r="BT70" i="6"/>
  <c r="BT77" i="6" s="1"/>
  <c r="BS70" i="6"/>
  <c r="BS77" i="6" s="1"/>
  <c r="BR70" i="6"/>
  <c r="BR77" i="6" s="1"/>
  <c r="BQ70" i="6"/>
  <c r="BQ77" i="6" s="1"/>
  <c r="BP70" i="6"/>
  <c r="BP77" i="6" s="1"/>
  <c r="BO70" i="6"/>
  <c r="BO77" i="6" s="1"/>
  <c r="BN70" i="6"/>
  <c r="BN77" i="6" s="1"/>
  <c r="BM70" i="6"/>
  <c r="BM77" i="6" s="1"/>
  <c r="BL70" i="6"/>
  <c r="BL77" i="6" s="1"/>
  <c r="BK70" i="6"/>
  <c r="BK77" i="6" s="1"/>
  <c r="BJ70" i="6"/>
  <c r="BJ77" i="6" s="1"/>
  <c r="BI70" i="6"/>
  <c r="BI77" i="6" s="1"/>
  <c r="BH70" i="6"/>
  <c r="BH77" i="6" s="1"/>
  <c r="BG70" i="6"/>
  <c r="BF70" i="6"/>
  <c r="BF77" i="6" s="1"/>
  <c r="BE70" i="6"/>
  <c r="BE77" i="6" s="1"/>
  <c r="BD70" i="6"/>
  <c r="BD77" i="6" s="1"/>
  <c r="BC70" i="6"/>
  <c r="BC77" i="6" s="1"/>
  <c r="BB70" i="6"/>
  <c r="BB77" i="6" s="1"/>
  <c r="BA70" i="6"/>
  <c r="BA77" i="6" s="1"/>
  <c r="AZ70" i="6"/>
  <c r="AZ77" i="6" s="1"/>
  <c r="AI70" i="6"/>
  <c r="AH70" i="6"/>
  <c r="BW69" i="6"/>
  <c r="BW76" i="6" s="1"/>
  <c r="BV69" i="6"/>
  <c r="BV76" i="6" s="1"/>
  <c r="BU69" i="6"/>
  <c r="BU76" i="6" s="1"/>
  <c r="BT69" i="6"/>
  <c r="BT76" i="6" s="1"/>
  <c r="BS69" i="6"/>
  <c r="BS76" i="6" s="1"/>
  <c r="BR69" i="6"/>
  <c r="BR76" i="6" s="1"/>
  <c r="BQ69" i="6"/>
  <c r="BQ76" i="6" s="1"/>
  <c r="BP69" i="6"/>
  <c r="BP76" i="6" s="1"/>
  <c r="BO69" i="6"/>
  <c r="BO76" i="6" s="1"/>
  <c r="BN69" i="6"/>
  <c r="BN76" i="6" s="1"/>
  <c r="BM69" i="6"/>
  <c r="BM76" i="6" s="1"/>
  <c r="BL69" i="6"/>
  <c r="BL76" i="6" s="1"/>
  <c r="BK69" i="6"/>
  <c r="BK76" i="6" s="1"/>
  <c r="BJ69" i="6"/>
  <c r="BJ76" i="6" s="1"/>
  <c r="BI69" i="6"/>
  <c r="BI76" i="6" s="1"/>
  <c r="BH69" i="6"/>
  <c r="BH76" i="6" s="1"/>
  <c r="BG69" i="6"/>
  <c r="BG76" i="6" s="1"/>
  <c r="BF69" i="6"/>
  <c r="BF76" i="6" s="1"/>
  <c r="BE69" i="6"/>
  <c r="BE76" i="6" s="1"/>
  <c r="BD69" i="6"/>
  <c r="BD76" i="6" s="1"/>
  <c r="BC69" i="6"/>
  <c r="BC76" i="6" s="1"/>
  <c r="BB69" i="6"/>
  <c r="BA69" i="6"/>
  <c r="AZ69" i="6"/>
  <c r="AZ76" i="6" s="1"/>
  <c r="AI69" i="6"/>
  <c r="AH69" i="6"/>
  <c r="BW68" i="6"/>
  <c r="BW75" i="6" s="1"/>
  <c r="BV68" i="6"/>
  <c r="BV75" i="6" s="1"/>
  <c r="BU68" i="6"/>
  <c r="BU75" i="6" s="1"/>
  <c r="BT68" i="6"/>
  <c r="BT75" i="6" s="1"/>
  <c r="BS68" i="6"/>
  <c r="BS75" i="6" s="1"/>
  <c r="BR68" i="6"/>
  <c r="BR75" i="6" s="1"/>
  <c r="BQ68" i="6"/>
  <c r="BQ75" i="6" s="1"/>
  <c r="BP68" i="6"/>
  <c r="BP75" i="6" s="1"/>
  <c r="BO68" i="6"/>
  <c r="BO75" i="6" s="1"/>
  <c r="BN68" i="6"/>
  <c r="BN75" i="6" s="1"/>
  <c r="BM68" i="6"/>
  <c r="BM75" i="6" s="1"/>
  <c r="BL68" i="6"/>
  <c r="BL75" i="6" s="1"/>
  <c r="BK68" i="6"/>
  <c r="BK75" i="6" s="1"/>
  <c r="BJ68" i="6"/>
  <c r="BJ75" i="6" s="1"/>
  <c r="BI68" i="6"/>
  <c r="BI75" i="6" s="1"/>
  <c r="BH68" i="6"/>
  <c r="BH75" i="6" s="1"/>
  <c r="BG68" i="6"/>
  <c r="BG75" i="6" s="1"/>
  <c r="BF68" i="6"/>
  <c r="BF75" i="6" s="1"/>
  <c r="BE68" i="6"/>
  <c r="BE75" i="6" s="1"/>
  <c r="BD68" i="6"/>
  <c r="BD75" i="6" s="1"/>
  <c r="BC68" i="6"/>
  <c r="BC75" i="6" s="1"/>
  <c r="BB68" i="6"/>
  <c r="BA68" i="6"/>
  <c r="BA75" i="6" s="1"/>
  <c r="AZ68" i="6"/>
  <c r="AZ75" i="6" s="1"/>
  <c r="AI68" i="6"/>
  <c r="AH68" i="6"/>
  <c r="AI67" i="6"/>
  <c r="AH67" i="6"/>
  <c r="AI66" i="6"/>
  <c r="AH66" i="6"/>
  <c r="AI65" i="6"/>
  <c r="AH65" i="6"/>
  <c r="AI64" i="6"/>
  <c r="AH64" i="6"/>
  <c r="AI63" i="6"/>
  <c r="AH63" i="6"/>
  <c r="AG62" i="6"/>
  <c r="AC62" i="6"/>
  <c r="AB62" i="6"/>
  <c r="Q62" i="6"/>
  <c r="P62" i="6"/>
  <c r="O62" i="6"/>
  <c r="AW17" i="6" s="1"/>
  <c r="N62" i="6"/>
  <c r="AV17" i="6" s="1"/>
  <c r="M62" i="6"/>
  <c r="AU17" i="6" s="1"/>
  <c r="L62" i="6"/>
  <c r="K62" i="6"/>
  <c r="J62" i="6"/>
  <c r="I62" i="6"/>
  <c r="AS17" i="6" s="1"/>
  <c r="H62" i="6"/>
  <c r="G62" i="6"/>
  <c r="F62" i="6"/>
  <c r="AQ17" i="6" s="1"/>
  <c r="E62" i="6"/>
  <c r="AP17" i="6" s="1"/>
  <c r="AI61" i="6"/>
  <c r="AH61" i="6"/>
  <c r="AI60" i="6"/>
  <c r="AH60" i="6"/>
  <c r="AI59" i="6"/>
  <c r="AH59" i="6"/>
  <c r="AG58" i="6"/>
  <c r="AG2" i="6" s="1"/>
  <c r="AC58" i="6"/>
  <c r="AB58" i="6"/>
  <c r="R58" i="6"/>
  <c r="Q58" i="6"/>
  <c r="P58" i="6"/>
  <c r="AX16" i="6" s="1"/>
  <c r="O58" i="6"/>
  <c r="N58" i="6"/>
  <c r="M58" i="6"/>
  <c r="L58" i="6"/>
  <c r="K58" i="6"/>
  <c r="AT16" i="6" s="1"/>
  <c r="J58" i="6"/>
  <c r="I58" i="6"/>
  <c r="H58" i="6"/>
  <c r="G58" i="6"/>
  <c r="F58" i="6"/>
  <c r="E58" i="6"/>
  <c r="AP16" i="6" s="1"/>
  <c r="AM16" i="6"/>
  <c r="AI57" i="6"/>
  <c r="AH57" i="6"/>
  <c r="AI56" i="6"/>
  <c r="AH56" i="6"/>
  <c r="AI55" i="6"/>
  <c r="AH55" i="6"/>
  <c r="AI54" i="6"/>
  <c r="AH54" i="6"/>
  <c r="AI53" i="6"/>
  <c r="AH53" i="6"/>
  <c r="AI52" i="6"/>
  <c r="AH52" i="6"/>
  <c r="AI51" i="6"/>
  <c r="AH51" i="6"/>
  <c r="AI50" i="6"/>
  <c r="AH50" i="6"/>
  <c r="AI49" i="6"/>
  <c r="AH49" i="6"/>
  <c r="AI48" i="6"/>
  <c r="AH48" i="6"/>
  <c r="AI47" i="6"/>
  <c r="AH47" i="6"/>
  <c r="AI46" i="6"/>
  <c r="AH46" i="6"/>
  <c r="AI45" i="6"/>
  <c r="AH45" i="6"/>
  <c r="AI44" i="6"/>
  <c r="AH44" i="6"/>
  <c r="AI43" i="6"/>
  <c r="AH43" i="6"/>
  <c r="AI42" i="6"/>
  <c r="AH42" i="6"/>
  <c r="AI41" i="6"/>
  <c r="AH41" i="6"/>
  <c r="AI40" i="6"/>
  <c r="AH40" i="6"/>
  <c r="AI39" i="6"/>
  <c r="AH39" i="6"/>
  <c r="AI38" i="6"/>
  <c r="AH38" i="6"/>
  <c r="AI37" i="6"/>
  <c r="AH37" i="6"/>
  <c r="AI36" i="6"/>
  <c r="AH36" i="6"/>
  <c r="AI35" i="6"/>
  <c r="AH35" i="6"/>
  <c r="AI34" i="6"/>
  <c r="AH34" i="6"/>
  <c r="AI33" i="6"/>
  <c r="AH33" i="6"/>
  <c r="AI32" i="6"/>
  <c r="AH32" i="6"/>
  <c r="AI31" i="6"/>
  <c r="AH31" i="6"/>
  <c r="AI30" i="6"/>
  <c r="AH30" i="6"/>
  <c r="AI29" i="6"/>
  <c r="AH29" i="6"/>
  <c r="AI28" i="6"/>
  <c r="AH28" i="6"/>
  <c r="AI27" i="6"/>
  <c r="AH27" i="6"/>
  <c r="AI26" i="6"/>
  <c r="AH26" i="6"/>
  <c r="AI25" i="6"/>
  <c r="AH25" i="6"/>
  <c r="AI24" i="6"/>
  <c r="AH24" i="6"/>
  <c r="AI23" i="6"/>
  <c r="AH23" i="6"/>
  <c r="AI22" i="6"/>
  <c r="AH22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I21" i="6"/>
  <c r="AH21" i="6"/>
  <c r="AX20" i="6"/>
  <c r="AW20" i="6"/>
  <c r="AV20" i="6"/>
  <c r="AS20" i="6"/>
  <c r="AR20" i="6"/>
  <c r="AO20" i="6"/>
  <c r="AN20" i="6"/>
  <c r="AI20" i="6"/>
  <c r="AH20" i="6"/>
  <c r="AW19" i="6"/>
  <c r="AM19" i="6"/>
  <c r="AI19" i="6"/>
  <c r="AH19" i="6"/>
  <c r="AT18" i="6"/>
  <c r="AR18" i="6"/>
  <c r="AN18" i="6"/>
  <c r="AI18" i="6"/>
  <c r="AH18" i="6"/>
  <c r="AX17" i="6"/>
  <c r="AT17" i="6"/>
  <c r="AR17" i="6"/>
  <c r="AM17" i="6"/>
  <c r="AI17" i="6"/>
  <c r="AH17" i="6"/>
  <c r="AW16" i="6"/>
  <c r="AV16" i="6"/>
  <c r="AO16" i="6"/>
  <c r="AI16" i="6"/>
  <c r="AH16" i="6"/>
  <c r="AI15" i="6"/>
  <c r="AH15" i="6"/>
  <c r="AI14" i="6"/>
  <c r="AH14" i="6"/>
  <c r="AI13" i="6"/>
  <c r="AH13" i="6"/>
  <c r="AL12" i="6"/>
  <c r="AI12" i="6"/>
  <c r="AH12" i="6"/>
  <c r="AI11" i="6"/>
  <c r="AH11" i="6"/>
  <c r="AF5" i="6"/>
  <c r="AE5" i="6"/>
  <c r="AD5" i="6"/>
  <c r="AC5" i="6"/>
  <c r="AB5" i="6"/>
  <c r="Z5" i="6"/>
  <c r="Y5" i="6"/>
  <c r="X5" i="6"/>
  <c r="W5" i="6"/>
  <c r="V5" i="6"/>
  <c r="U5" i="6"/>
  <c r="T5" i="6"/>
  <c r="R5" i="6"/>
  <c r="N5" i="6"/>
  <c r="L5" i="6"/>
  <c r="AG4" i="6"/>
  <c r="K4" i="6"/>
  <c r="E4" i="6"/>
  <c r="H4" i="6" s="1"/>
  <c r="B4" i="6"/>
  <c r="D258" i="6" s="1"/>
  <c r="AF123" i="5"/>
  <c r="AF121" i="5"/>
  <c r="AE57" i="5"/>
  <c r="AF57" i="5"/>
  <c r="AF58" i="5"/>
  <c r="AF62" i="5"/>
  <c r="AF76" i="5"/>
  <c r="AF80" i="5"/>
  <c r="AF92" i="5"/>
  <c r="AF101" i="5"/>
  <c r="AF102" i="5"/>
  <c r="AF103" i="5"/>
  <c r="AF104" i="5"/>
  <c r="AF105" i="5"/>
  <c r="AF118" i="5"/>
  <c r="AE123" i="5"/>
  <c r="AE58" i="5"/>
  <c r="AE62" i="5"/>
  <c r="AE76" i="5"/>
  <c r="AE80" i="5"/>
  <c r="AE92" i="5"/>
  <c r="AE101" i="5"/>
  <c r="AE102" i="5"/>
  <c r="AE103" i="5"/>
  <c r="AE104" i="5"/>
  <c r="AE105" i="5"/>
  <c r="AE118" i="5"/>
  <c r="AD123" i="5"/>
  <c r="AD121" i="5"/>
  <c r="AD57" i="5"/>
  <c r="AC123" i="5"/>
  <c r="AC121" i="5"/>
  <c r="AC57" i="5"/>
  <c r="AB123" i="5"/>
  <c r="AB121" i="5"/>
  <c r="AB57" i="5"/>
  <c r="AB58" i="5"/>
  <c r="AB62" i="5"/>
  <c r="AB76" i="5"/>
  <c r="AB80" i="5"/>
  <c r="AB92" i="5"/>
  <c r="AB101" i="5"/>
  <c r="AB102" i="5"/>
  <c r="AB103" i="5"/>
  <c r="AB104" i="5"/>
  <c r="AB105" i="5"/>
  <c r="AB118" i="5"/>
  <c r="AA123" i="5"/>
  <c r="Z123" i="5"/>
  <c r="Y123" i="5"/>
  <c r="X123" i="5"/>
  <c r="W123" i="5"/>
  <c r="V123" i="5"/>
  <c r="V118" i="5"/>
  <c r="W118" i="5"/>
  <c r="V76" i="5"/>
  <c r="W76" i="5"/>
  <c r="V62" i="5"/>
  <c r="W58" i="5"/>
  <c r="X58" i="5"/>
  <c r="Y58" i="5"/>
  <c r="V58" i="5"/>
  <c r="U58" i="5"/>
  <c r="U62" i="5"/>
  <c r="U76" i="5"/>
  <c r="U80" i="5"/>
  <c r="U92" i="5"/>
  <c r="U108" i="5" s="1"/>
  <c r="V92" i="5"/>
  <c r="U101" i="5"/>
  <c r="V101" i="5"/>
  <c r="U102" i="5"/>
  <c r="V102" i="5"/>
  <c r="U103" i="5"/>
  <c r="V103" i="5"/>
  <c r="U104" i="5"/>
  <c r="V104" i="5"/>
  <c r="U105" i="5"/>
  <c r="V105" i="5"/>
  <c r="U118" i="5"/>
  <c r="T58" i="5"/>
  <c r="T62" i="5"/>
  <c r="T76" i="5"/>
  <c r="T80" i="5"/>
  <c r="T92" i="5"/>
  <c r="T108" i="5" s="1"/>
  <c r="T101" i="5"/>
  <c r="T102" i="5"/>
  <c r="T103" i="5"/>
  <c r="T104" i="5"/>
  <c r="T105" i="5"/>
  <c r="T118" i="5"/>
  <c r="S58" i="5"/>
  <c r="S62" i="5"/>
  <c r="S76" i="5"/>
  <c r="S80" i="5"/>
  <c r="S92" i="5"/>
  <c r="S101" i="5"/>
  <c r="S102" i="5"/>
  <c r="S103" i="5"/>
  <c r="S104" i="5"/>
  <c r="S105" i="5"/>
  <c r="S118" i="5"/>
  <c r="S123" i="5"/>
  <c r="R123" i="5"/>
  <c r="Q123" i="5"/>
  <c r="Y100" i="6" l="1"/>
  <c r="X100" i="6"/>
  <c r="T100" i="6"/>
  <c r="S100" i="6"/>
  <c r="Q97" i="6"/>
  <c r="Q99" i="6" s="1"/>
  <c r="O5" i="6"/>
  <c r="AX22" i="6"/>
  <c r="AV19" i="6"/>
  <c r="N107" i="6"/>
  <c r="AV23" i="6" s="1"/>
  <c r="M107" i="6"/>
  <c r="AU23" i="6" s="1"/>
  <c r="AV22" i="6"/>
  <c r="AV24" i="6" s="1"/>
  <c r="K107" i="6"/>
  <c r="AT23" i="6" s="1"/>
  <c r="J5" i="6"/>
  <c r="AT19" i="6"/>
  <c r="AT22" i="6" s="1"/>
  <c r="AT24" i="6" s="1"/>
  <c r="H108" i="6"/>
  <c r="F5" i="6"/>
  <c r="E5" i="6"/>
  <c r="F107" i="6"/>
  <c r="AQ23" i="6" s="1"/>
  <c r="E107" i="6"/>
  <c r="AP23" i="6" s="1"/>
  <c r="D5" i="6"/>
  <c r="I107" i="6"/>
  <c r="AS23" i="6" s="1"/>
  <c r="Q107" i="6"/>
  <c r="Q100" i="6" s="1"/>
  <c r="Q7" i="6" s="1"/>
  <c r="AW22" i="6"/>
  <c r="P107" i="6"/>
  <c r="L107" i="6"/>
  <c r="L108" i="6" s="1"/>
  <c r="E246" i="6"/>
  <c r="F246" i="6" s="1"/>
  <c r="Y7" i="6"/>
  <c r="F97" i="6"/>
  <c r="F99" i="6" s="1"/>
  <c r="N97" i="6"/>
  <c r="N99" i="6" s="1"/>
  <c r="N100" i="6" s="1"/>
  <c r="N7" i="6" s="1"/>
  <c r="V7" i="6"/>
  <c r="AD7" i="6"/>
  <c r="J107" i="6"/>
  <c r="J108" i="6" s="1"/>
  <c r="R107" i="6"/>
  <c r="AH102" i="6"/>
  <c r="AN23" i="6"/>
  <c r="AO23" i="6"/>
  <c r="D97" i="6"/>
  <c r="D99" i="6" s="1"/>
  <c r="D100" i="6" s="1"/>
  <c r="D7" i="6" s="1"/>
  <c r="C97" i="6"/>
  <c r="C99" i="6" s="1"/>
  <c r="C100" i="6" s="1"/>
  <c r="C7" i="6" s="1"/>
  <c r="AH121" i="6"/>
  <c r="AI121" i="6"/>
  <c r="C108" i="6"/>
  <c r="B5" i="6"/>
  <c r="AN16" i="6"/>
  <c r="AN22" i="6" s="1"/>
  <c r="AN24" i="6" s="1"/>
  <c r="AO22" i="6"/>
  <c r="AO24" i="6" s="1"/>
  <c r="AI76" i="6"/>
  <c r="B107" i="6"/>
  <c r="B108" i="6" s="1"/>
  <c r="B97" i="6"/>
  <c r="B99" i="6" s="1"/>
  <c r="AH103" i="6"/>
  <c r="AL13" i="6"/>
  <c r="E97" i="6"/>
  <c r="E99" i="6" s="1"/>
  <c r="M97" i="6"/>
  <c r="M99" i="6" s="1"/>
  <c r="AU16" i="6"/>
  <c r="AU22" i="6" s="1"/>
  <c r="AU24" i="6" s="1"/>
  <c r="U7" i="6"/>
  <c r="AC97" i="6"/>
  <c r="AC99" i="6" s="1"/>
  <c r="AC100" i="6" s="1"/>
  <c r="AC7" i="6" s="1"/>
  <c r="G97" i="6"/>
  <c r="G99" i="6" s="1"/>
  <c r="W7" i="6"/>
  <c r="AH76" i="6"/>
  <c r="AM18" i="6"/>
  <c r="AP22" i="6"/>
  <c r="AP24" i="6" s="1"/>
  <c r="O97" i="6"/>
  <c r="O99" i="6" s="1"/>
  <c r="AR16" i="6"/>
  <c r="AR22" i="6" s="1"/>
  <c r="AH62" i="6"/>
  <c r="AG97" i="6"/>
  <c r="D252" i="6"/>
  <c r="E247" i="6"/>
  <c r="I97" i="6"/>
  <c r="I99" i="6" s="1"/>
  <c r="AS16" i="6"/>
  <c r="AG6" i="6"/>
  <c r="J97" i="6"/>
  <c r="J99" i="6" s="1"/>
  <c r="R97" i="6"/>
  <c r="R99" i="6" s="1"/>
  <c r="R100" i="6" s="1"/>
  <c r="R7" i="6" s="1"/>
  <c r="Z7" i="6"/>
  <c r="AM20" i="6"/>
  <c r="AI80" i="6"/>
  <c r="AH80" i="6"/>
  <c r="AG99" i="6"/>
  <c r="AH101" i="6"/>
  <c r="AI102" i="6"/>
  <c r="AI105" i="6"/>
  <c r="AQ16" i="6"/>
  <c r="AQ22" i="6" s="1"/>
  <c r="AQ24" i="6" s="1"/>
  <c r="H97" i="6"/>
  <c r="H99" i="6" s="1"/>
  <c r="H100" i="6" s="1"/>
  <c r="H7" i="6" s="1"/>
  <c r="P97" i="6"/>
  <c r="P99" i="6" s="1"/>
  <c r="X7" i="6"/>
  <c r="BG84" i="6" a="1"/>
  <c r="AI92" i="6"/>
  <c r="R108" i="6"/>
  <c r="AH92" i="6"/>
  <c r="AI103" i="6"/>
  <c r="AI104" i="6"/>
  <c r="AH105" i="6"/>
  <c r="AB108" i="6"/>
  <c r="K97" i="6"/>
  <c r="K99" i="6" s="1"/>
  <c r="S7" i="6"/>
  <c r="AA7" i="6"/>
  <c r="AI58" i="6"/>
  <c r="AI62" i="6"/>
  <c r="E108" i="6"/>
  <c r="M108" i="6"/>
  <c r="AC108" i="6"/>
  <c r="AH58" i="6"/>
  <c r="C5" i="6"/>
  <c r="K5" i="6"/>
  <c r="AS19" i="6"/>
  <c r="L97" i="6"/>
  <c r="L99" i="6" s="1"/>
  <c r="T7" i="6"/>
  <c r="AB97" i="6"/>
  <c r="AB99" i="6" s="1"/>
  <c r="AB100" i="6" s="1"/>
  <c r="AB7" i="6" s="1"/>
  <c r="N108" i="6"/>
  <c r="G107" i="6"/>
  <c r="O107" i="6"/>
  <c r="E118" i="6"/>
  <c r="G246" i="6"/>
  <c r="F118" i="6"/>
  <c r="AI101" i="6"/>
  <c r="AH104" i="6"/>
  <c r="AF107" i="5"/>
  <c r="AF108" i="5" s="1"/>
  <c r="AF97" i="5"/>
  <c r="AF99" i="5" s="1"/>
  <c r="AE107" i="5"/>
  <c r="AE108" i="5" s="1"/>
  <c r="AE97" i="5"/>
  <c r="AE99" i="5" s="1"/>
  <c r="AB107" i="5"/>
  <c r="AB108" i="5" s="1"/>
  <c r="AB97" i="5"/>
  <c r="AB99" i="5" s="1"/>
  <c r="V97" i="5"/>
  <c r="V99" i="5" s="1"/>
  <c r="V100" i="5" s="1"/>
  <c r="U97" i="5"/>
  <c r="U99" i="5" s="1"/>
  <c r="U100" i="5" s="1"/>
  <c r="V108" i="5"/>
  <c r="T97" i="5"/>
  <c r="T99" i="5" s="1"/>
  <c r="T100" i="5" s="1"/>
  <c r="S108" i="5"/>
  <c r="S97" i="5"/>
  <c r="S99" i="5" s="1"/>
  <c r="S100" i="5" s="1"/>
  <c r="P123" i="5"/>
  <c r="P58" i="5"/>
  <c r="P62" i="5"/>
  <c r="P76" i="5"/>
  <c r="O123" i="5"/>
  <c r="N123" i="5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BO22" i="2"/>
  <c r="BO24" i="2" s="1"/>
  <c r="BJ22" i="2"/>
  <c r="BJ24" i="2" s="1"/>
  <c r="AM22" i="2"/>
  <c r="AM24" i="2" s="1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BN16" i="2"/>
  <c r="BN22" i="2" s="1"/>
  <c r="BN24" i="2" s="1"/>
  <c r="BM16" i="2"/>
  <c r="BM22" i="2" s="1"/>
  <c r="BM24" i="2" s="1"/>
  <c r="BL16" i="2"/>
  <c r="BL22" i="2" s="1"/>
  <c r="BL24" i="2" s="1"/>
  <c r="BK16" i="2"/>
  <c r="BK22" i="2" s="1"/>
  <c r="BK24" i="2" s="1"/>
  <c r="BJ16" i="2"/>
  <c r="BI16" i="2"/>
  <c r="BI22" i="2" s="1"/>
  <c r="BI24" i="2" s="1"/>
  <c r="BH16" i="2"/>
  <c r="BH22" i="2" s="1"/>
  <c r="BH24" i="2" s="1"/>
  <c r="BG16" i="2"/>
  <c r="BG22" i="2" s="1"/>
  <c r="BG24" i="2" s="1"/>
  <c r="BF16" i="2"/>
  <c r="BF22" i="2" s="1"/>
  <c r="BF24" i="2" s="1"/>
  <c r="BE16" i="2"/>
  <c r="BE22" i="2" s="1"/>
  <c r="BE24" i="2" s="1"/>
  <c r="BD16" i="2"/>
  <c r="BD22" i="2" s="1"/>
  <c r="BD24" i="2" s="1"/>
  <c r="BC16" i="2"/>
  <c r="BC22" i="2" s="1"/>
  <c r="BC24" i="2" s="1"/>
  <c r="BB16" i="2"/>
  <c r="BB22" i="2" s="1"/>
  <c r="BB24" i="2" s="1"/>
  <c r="BA16" i="2"/>
  <c r="BA22" i="2" s="1"/>
  <c r="BA24" i="2" s="1"/>
  <c r="AZ16" i="2"/>
  <c r="AZ22" i="2" s="1"/>
  <c r="AZ24" i="2" s="1"/>
  <c r="AY16" i="2"/>
  <c r="AY22" i="2" s="1"/>
  <c r="AY24" i="2" s="1"/>
  <c r="AX16" i="2"/>
  <c r="AX22" i="2" s="1"/>
  <c r="AX24" i="2" s="1"/>
  <c r="AW16" i="2"/>
  <c r="AW22" i="2" s="1"/>
  <c r="AW24" i="2" s="1"/>
  <c r="AV16" i="2"/>
  <c r="AV22" i="2" s="1"/>
  <c r="AV24" i="2" s="1"/>
  <c r="AU16" i="2"/>
  <c r="AU22" i="2" s="1"/>
  <c r="AU24" i="2" s="1"/>
  <c r="AT16" i="2"/>
  <c r="AT22" i="2" s="1"/>
  <c r="AT24" i="2" s="1"/>
  <c r="AS16" i="2"/>
  <c r="AS22" i="2" s="1"/>
  <c r="AS24" i="2" s="1"/>
  <c r="AR16" i="2"/>
  <c r="AR22" i="2" s="1"/>
  <c r="AR24" i="2" s="1"/>
  <c r="AQ16" i="2"/>
  <c r="AQ22" i="2" s="1"/>
  <c r="AQ24" i="2" s="1"/>
  <c r="AP16" i="2"/>
  <c r="AP22" i="2" s="1"/>
  <c r="AP24" i="2" s="1"/>
  <c r="AO16" i="2"/>
  <c r="AO22" i="2" s="1"/>
  <c r="AO24" i="2" s="1"/>
  <c r="AN16" i="2"/>
  <c r="AN22" i="2" s="1"/>
  <c r="AN24" i="2" s="1"/>
  <c r="AM16" i="2"/>
  <c r="BO23" i="5"/>
  <c r="BN23" i="5"/>
  <c r="BM23" i="5"/>
  <c r="BJ23" i="5"/>
  <c r="BD23" i="5"/>
  <c r="BC23" i="5"/>
  <c r="BB23" i="5"/>
  <c r="BA23" i="5"/>
  <c r="AU23" i="5"/>
  <c r="AT23" i="5"/>
  <c r="AS23" i="5"/>
  <c r="AR23" i="5"/>
  <c r="AQ23" i="5"/>
  <c r="AP23" i="5"/>
  <c r="AO23" i="5"/>
  <c r="AN23" i="5"/>
  <c r="AM23" i="5"/>
  <c r="BO22" i="5"/>
  <c r="BO24" i="5" s="1"/>
  <c r="BN21" i="5"/>
  <c r="BM21" i="5"/>
  <c r="BL21" i="5"/>
  <c r="BK21" i="5"/>
  <c r="BJ21" i="5"/>
  <c r="BI21" i="5"/>
  <c r="BH21" i="5"/>
  <c r="BG21" i="5"/>
  <c r="BF21" i="5"/>
  <c r="BE21" i="5"/>
  <c r="BD21" i="5"/>
  <c r="BC21" i="5"/>
  <c r="BB21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BN20" i="5"/>
  <c r="BM20" i="5"/>
  <c r="BJ20" i="5"/>
  <c r="BI20" i="5"/>
  <c r="BH20" i="5"/>
  <c r="BG20" i="5"/>
  <c r="BF20" i="5"/>
  <c r="BD20" i="5"/>
  <c r="BC20" i="5"/>
  <c r="BB20" i="5"/>
  <c r="BA20" i="5"/>
  <c r="AU20" i="5"/>
  <c r="AT20" i="5"/>
  <c r="AS20" i="5"/>
  <c r="AR20" i="5"/>
  <c r="AQ20" i="5"/>
  <c r="AP20" i="5"/>
  <c r="AO20" i="5"/>
  <c r="AN20" i="5"/>
  <c r="AM20" i="5"/>
  <c r="BN19" i="5"/>
  <c r="BM19" i="5"/>
  <c r="BJ19" i="5"/>
  <c r="BD19" i="5"/>
  <c r="BC19" i="5"/>
  <c r="BB19" i="5"/>
  <c r="BA19" i="5"/>
  <c r="AU19" i="5"/>
  <c r="AT19" i="5"/>
  <c r="AS19" i="5"/>
  <c r="AR19" i="5"/>
  <c r="AQ19" i="5"/>
  <c r="AP19" i="5"/>
  <c r="AO19" i="5"/>
  <c r="AN19" i="5"/>
  <c r="AM19" i="5"/>
  <c r="BN18" i="5"/>
  <c r="BM18" i="5"/>
  <c r="BJ18" i="5"/>
  <c r="BE18" i="5"/>
  <c r="BD18" i="5"/>
  <c r="BC18" i="5"/>
  <c r="BB18" i="5"/>
  <c r="BA18" i="5"/>
  <c r="AX18" i="5"/>
  <c r="AU18" i="5"/>
  <c r="AT18" i="5"/>
  <c r="AS18" i="5"/>
  <c r="AR18" i="5"/>
  <c r="AQ18" i="5"/>
  <c r="AP18" i="5"/>
  <c r="AO18" i="5"/>
  <c r="AN18" i="5"/>
  <c r="AM18" i="5"/>
  <c r="BN17" i="5"/>
  <c r="BM17" i="5"/>
  <c r="BJ17" i="5"/>
  <c r="BD17" i="5"/>
  <c r="BC17" i="5"/>
  <c r="BB17" i="5"/>
  <c r="BA17" i="5"/>
  <c r="AX17" i="5"/>
  <c r="AU17" i="5"/>
  <c r="AT17" i="5"/>
  <c r="AS17" i="5"/>
  <c r="AR17" i="5"/>
  <c r="AQ17" i="5"/>
  <c r="AP17" i="5"/>
  <c r="AO17" i="5"/>
  <c r="AN17" i="5"/>
  <c r="AM17" i="5"/>
  <c r="BN16" i="5"/>
  <c r="BM16" i="5"/>
  <c r="BJ16" i="5"/>
  <c r="BG16" i="5"/>
  <c r="BF16" i="5"/>
  <c r="BE16" i="5"/>
  <c r="BD16" i="5"/>
  <c r="BC16" i="5"/>
  <c r="BB16" i="5"/>
  <c r="BA16" i="5"/>
  <c r="AX16" i="5"/>
  <c r="AT16" i="5"/>
  <c r="AT22" i="5" s="1"/>
  <c r="AT24" i="5" s="1"/>
  <c r="AS16" i="5"/>
  <c r="AS22" i="5" s="1"/>
  <c r="AS24" i="5" s="1"/>
  <c r="AR16" i="5"/>
  <c r="AR22" i="5" s="1"/>
  <c r="AR24" i="5" s="1"/>
  <c r="AQ16" i="5"/>
  <c r="AQ22" i="5" s="1"/>
  <c r="AQ24" i="5" s="1"/>
  <c r="AP16" i="5"/>
  <c r="AP22" i="5" s="1"/>
  <c r="AP24" i="5" s="1"/>
  <c r="AO16" i="5"/>
  <c r="AO22" i="5" s="1"/>
  <c r="AO24" i="5" s="1"/>
  <c r="AN16" i="5"/>
  <c r="AN22" i="5" s="1"/>
  <c r="AN24" i="5" s="1"/>
  <c r="AM16" i="5"/>
  <c r="AM22" i="5" s="1"/>
  <c r="AM24" i="5" s="1"/>
  <c r="M123" i="5"/>
  <c r="L123" i="5"/>
  <c r="L57" i="5"/>
  <c r="K123" i="5"/>
  <c r="K57" i="5"/>
  <c r="J123" i="5"/>
  <c r="J57" i="5"/>
  <c r="I123" i="5"/>
  <c r="I57" i="5"/>
  <c r="H123" i="5"/>
  <c r="H57" i="5"/>
  <c r="G123" i="5"/>
  <c r="G57" i="5"/>
  <c r="F123" i="5"/>
  <c r="F57" i="5"/>
  <c r="E123" i="5"/>
  <c r="E57" i="5"/>
  <c r="D123" i="5"/>
  <c r="D58" i="5"/>
  <c r="D62" i="5"/>
  <c r="D76" i="5"/>
  <c r="D80" i="5"/>
  <c r="D92" i="5"/>
  <c r="D101" i="5"/>
  <c r="D102" i="5"/>
  <c r="D103" i="5"/>
  <c r="D104" i="5"/>
  <c r="D105" i="5"/>
  <c r="D118" i="5"/>
  <c r="Q108" i="6" l="1"/>
  <c r="M100" i="6"/>
  <c r="M7" i="6" s="1"/>
  <c r="L100" i="6"/>
  <c r="L7" i="6" s="1"/>
  <c r="K100" i="6"/>
  <c r="K7" i="6" s="1"/>
  <c r="K108" i="6"/>
  <c r="J100" i="6"/>
  <c r="J7" i="6" s="1"/>
  <c r="I108" i="6"/>
  <c r="I100" i="6"/>
  <c r="I7" i="6" s="1"/>
  <c r="F108" i="6"/>
  <c r="F100" i="6"/>
  <c r="F7" i="6" s="1"/>
  <c r="E100" i="6"/>
  <c r="E7" i="6" s="1"/>
  <c r="P108" i="6"/>
  <c r="AX23" i="6"/>
  <c r="AX24" i="6" s="1"/>
  <c r="AM22" i="6"/>
  <c r="AF7" i="6"/>
  <c r="B100" i="6"/>
  <c r="P100" i="6"/>
  <c r="P7" i="6" s="1"/>
  <c r="D108" i="6"/>
  <c r="O108" i="6"/>
  <c r="AW23" i="6"/>
  <c r="AW24" i="6" s="1"/>
  <c r="AI97" i="6"/>
  <c r="AH97" i="6"/>
  <c r="G108" i="6"/>
  <c r="AR23" i="6"/>
  <c r="AR24" i="6" s="1"/>
  <c r="C256" i="6"/>
  <c r="G100" i="6"/>
  <c r="G7" i="6" s="1"/>
  <c r="B256" i="6"/>
  <c r="O100" i="6"/>
  <c r="O7" i="6" s="1"/>
  <c r="H246" i="6"/>
  <c r="G118" i="6"/>
  <c r="AS22" i="6"/>
  <c r="AS24" i="6" s="1"/>
  <c r="BI107" i="6"/>
  <c r="BG106" i="6"/>
  <c r="BK104" i="6"/>
  <c r="BI103" i="6"/>
  <c r="BG102" i="6"/>
  <c r="BK100" i="6"/>
  <c r="BI99" i="6"/>
  <c r="BG98" i="6"/>
  <c r="BK96" i="6"/>
  <c r="BI95" i="6"/>
  <c r="BG94" i="6"/>
  <c r="BK92" i="6"/>
  <c r="BI91" i="6"/>
  <c r="BG90" i="6"/>
  <c r="BK88" i="6"/>
  <c r="BI87" i="6"/>
  <c r="BG86" i="6"/>
  <c r="BK84" i="6"/>
  <c r="BH107" i="6"/>
  <c r="BL105" i="6"/>
  <c r="BJ104" i="6"/>
  <c r="BH103" i="6"/>
  <c r="BL101" i="6"/>
  <c r="BJ100" i="6"/>
  <c r="BH99" i="6"/>
  <c r="BL97" i="6"/>
  <c r="BJ96" i="6"/>
  <c r="BH95" i="6"/>
  <c r="BL93" i="6"/>
  <c r="BJ92" i="6"/>
  <c r="BH91" i="6"/>
  <c r="BL89" i="6"/>
  <c r="BJ88" i="6"/>
  <c r="BH87" i="6"/>
  <c r="BL85" i="6"/>
  <c r="BJ84" i="6"/>
  <c r="BG107" i="6"/>
  <c r="BK105" i="6"/>
  <c r="BI104" i="6"/>
  <c r="BG103" i="6"/>
  <c r="BK101" i="6"/>
  <c r="BI100" i="6"/>
  <c r="BG99" i="6"/>
  <c r="BK97" i="6"/>
  <c r="BI96" i="6"/>
  <c r="BG95" i="6"/>
  <c r="BK93" i="6"/>
  <c r="BI92" i="6"/>
  <c r="BG91" i="6"/>
  <c r="BK89" i="6"/>
  <c r="BI88" i="6"/>
  <c r="BG87" i="6"/>
  <c r="BK85" i="6"/>
  <c r="BI84" i="6"/>
  <c r="BL107" i="6"/>
  <c r="BJ106" i="6"/>
  <c r="BH105" i="6"/>
  <c r="BL103" i="6"/>
  <c r="BJ102" i="6"/>
  <c r="BH101" i="6"/>
  <c r="BL99" i="6"/>
  <c r="BJ98" i="6"/>
  <c r="BH97" i="6"/>
  <c r="BL95" i="6"/>
  <c r="BJ94" i="6"/>
  <c r="BH93" i="6"/>
  <c r="BL91" i="6"/>
  <c r="BJ90" i="6"/>
  <c r="BH89" i="6"/>
  <c r="BL87" i="6"/>
  <c r="BJ86" i="6"/>
  <c r="BH85" i="6"/>
  <c r="BK106" i="6"/>
  <c r="BG104" i="6"/>
  <c r="BI101" i="6"/>
  <c r="BK98" i="6"/>
  <c r="BG96" i="6"/>
  <c r="BI93" i="6"/>
  <c r="BK90" i="6"/>
  <c r="BG88" i="6"/>
  <c r="BI85" i="6"/>
  <c r="BI106" i="6"/>
  <c r="BK103" i="6"/>
  <c r="BG101" i="6"/>
  <c r="BI98" i="6"/>
  <c r="BK95" i="6"/>
  <c r="BG93" i="6"/>
  <c r="BI90" i="6"/>
  <c r="BK87" i="6"/>
  <c r="BG85" i="6"/>
  <c r="BH106" i="6"/>
  <c r="BJ103" i="6"/>
  <c r="BL100" i="6"/>
  <c r="BH98" i="6"/>
  <c r="BJ95" i="6"/>
  <c r="BL92" i="6"/>
  <c r="BH90" i="6"/>
  <c r="BJ87" i="6"/>
  <c r="BL84" i="6"/>
  <c r="BJ105" i="6"/>
  <c r="BL102" i="6"/>
  <c r="BH100" i="6"/>
  <c r="BJ97" i="6"/>
  <c r="BL94" i="6"/>
  <c r="BH92" i="6"/>
  <c r="BJ89" i="6"/>
  <c r="BL86" i="6"/>
  <c r="BH84" i="6"/>
  <c r="BI105" i="6"/>
  <c r="BK102" i="6"/>
  <c r="BG100" i="6"/>
  <c r="BI97" i="6"/>
  <c r="BK94" i="6"/>
  <c r="BG92" i="6"/>
  <c r="BI89" i="6"/>
  <c r="BK86" i="6"/>
  <c r="BG84" i="6"/>
  <c r="BJ107" i="6"/>
  <c r="BL104" i="6"/>
  <c r="BH102" i="6"/>
  <c r="BJ99" i="6"/>
  <c r="BL96" i="6"/>
  <c r="BH94" i="6"/>
  <c r="BJ91" i="6"/>
  <c r="BL88" i="6"/>
  <c r="BH86" i="6"/>
  <c r="BL106" i="6"/>
  <c r="BH104" i="6"/>
  <c r="BJ101" i="6"/>
  <c r="BL98" i="6"/>
  <c r="BH96" i="6"/>
  <c r="BI94" i="6"/>
  <c r="BJ93" i="6"/>
  <c r="BK91" i="6"/>
  <c r="BK107" i="6"/>
  <c r="BL90" i="6"/>
  <c r="BG97" i="6"/>
  <c r="BG105" i="6"/>
  <c r="BG89" i="6"/>
  <c r="BI102" i="6"/>
  <c r="BH88" i="6"/>
  <c r="BJ85" i="6"/>
  <c r="BK99" i="6"/>
  <c r="BI86" i="6"/>
  <c r="F247" i="6"/>
  <c r="E252" i="6"/>
  <c r="AI107" i="6"/>
  <c r="AH107" i="6"/>
  <c r="AM23" i="6"/>
  <c r="AM24" i="6" s="1"/>
  <c r="AE7" i="6"/>
  <c r="AF100" i="5"/>
  <c r="BN22" i="5"/>
  <c r="BN24" i="5" s="1"/>
  <c r="AE100" i="5"/>
  <c r="BM22" i="5"/>
  <c r="BM24" i="5" s="1"/>
  <c r="AB100" i="5"/>
  <c r="BJ22" i="5"/>
  <c r="BJ24" i="5" s="1"/>
  <c r="BC22" i="5"/>
  <c r="BC24" i="5" s="1"/>
  <c r="BD22" i="5"/>
  <c r="BD24" i="5" s="1"/>
  <c r="BB22" i="5"/>
  <c r="BB24" i="5" s="1"/>
  <c r="BA22" i="5"/>
  <c r="BA24" i="5" s="1"/>
  <c r="D107" i="5"/>
  <c r="D108" i="5" s="1"/>
  <c r="D97" i="5"/>
  <c r="D99" i="5" s="1"/>
  <c r="C123" i="5"/>
  <c r="C58" i="5"/>
  <c r="C62" i="5"/>
  <c r="C76" i="5"/>
  <c r="C80" i="5"/>
  <c r="C92" i="5"/>
  <c r="C101" i="5"/>
  <c r="C107" i="5" s="1"/>
  <c r="C102" i="5"/>
  <c r="C103" i="5"/>
  <c r="C104" i="5"/>
  <c r="C105" i="5"/>
  <c r="C118" i="5"/>
  <c r="AI108" i="6" l="1"/>
  <c r="AT9" i="6"/>
  <c r="I246" i="6"/>
  <c r="H118" i="6"/>
  <c r="G247" i="6"/>
  <c r="F252" i="6"/>
  <c r="AT8" i="6"/>
  <c r="AH108" i="6"/>
  <c r="AI99" i="6"/>
  <c r="AH99" i="6"/>
  <c r="K6" i="6"/>
  <c r="D100" i="5"/>
  <c r="C108" i="5"/>
  <c r="C97" i="5"/>
  <c r="C99" i="5" s="1"/>
  <c r="C100" i="5" s="1"/>
  <c r="B123" i="5"/>
  <c r="B118" i="5"/>
  <c r="B105" i="5"/>
  <c r="B104" i="5"/>
  <c r="B103" i="5"/>
  <c r="B102" i="5"/>
  <c r="B101" i="5"/>
  <c r="B107" i="5" s="1"/>
  <c r="B92" i="5"/>
  <c r="B80" i="5"/>
  <c r="B76" i="5"/>
  <c r="B62" i="5"/>
  <c r="B58" i="5"/>
  <c r="AG252" i="5"/>
  <c r="D252" i="5"/>
  <c r="C252" i="5"/>
  <c r="D251" i="5"/>
  <c r="E251" i="5" s="1"/>
  <c r="G250" i="5"/>
  <c r="H250" i="5" s="1"/>
  <c r="I250" i="5" s="1"/>
  <c r="J250" i="5" s="1"/>
  <c r="K250" i="5" s="1"/>
  <c r="L250" i="5" s="1"/>
  <c r="M250" i="5" s="1"/>
  <c r="N250" i="5" s="1"/>
  <c r="O250" i="5" s="1"/>
  <c r="P250" i="5" s="1"/>
  <c r="Q250" i="5" s="1"/>
  <c r="R250" i="5" s="1"/>
  <c r="S250" i="5" s="1"/>
  <c r="T250" i="5" s="1"/>
  <c r="U250" i="5" s="1"/>
  <c r="V250" i="5" s="1"/>
  <c r="W250" i="5" s="1"/>
  <c r="X250" i="5" s="1"/>
  <c r="Y250" i="5" s="1"/>
  <c r="Z250" i="5" s="1"/>
  <c r="AA250" i="5" s="1"/>
  <c r="AB250" i="5" s="1"/>
  <c r="AC250" i="5" s="1"/>
  <c r="AD250" i="5" s="1"/>
  <c r="AE250" i="5" s="1"/>
  <c r="AF250" i="5" s="1"/>
  <c r="B250" i="5" s="1"/>
  <c r="F250" i="5"/>
  <c r="E250" i="5"/>
  <c r="D250" i="5"/>
  <c r="G249" i="5"/>
  <c r="H249" i="5" s="1"/>
  <c r="I249" i="5" s="1"/>
  <c r="J249" i="5" s="1"/>
  <c r="K249" i="5" s="1"/>
  <c r="L249" i="5" s="1"/>
  <c r="M249" i="5" s="1"/>
  <c r="N249" i="5" s="1"/>
  <c r="O249" i="5" s="1"/>
  <c r="P249" i="5" s="1"/>
  <c r="Q249" i="5" s="1"/>
  <c r="R249" i="5" s="1"/>
  <c r="S249" i="5" s="1"/>
  <c r="T249" i="5" s="1"/>
  <c r="U249" i="5" s="1"/>
  <c r="V249" i="5" s="1"/>
  <c r="W249" i="5" s="1"/>
  <c r="X249" i="5" s="1"/>
  <c r="Y249" i="5" s="1"/>
  <c r="Z249" i="5" s="1"/>
  <c r="AA249" i="5" s="1"/>
  <c r="AB249" i="5" s="1"/>
  <c r="AC249" i="5" s="1"/>
  <c r="AD249" i="5" s="1"/>
  <c r="AE249" i="5" s="1"/>
  <c r="AF249" i="5" s="1"/>
  <c r="B249" i="5" s="1"/>
  <c r="E249" i="5"/>
  <c r="F249" i="5" s="1"/>
  <c r="D249" i="5"/>
  <c r="S248" i="5"/>
  <c r="T248" i="5" s="1"/>
  <c r="U248" i="5" s="1"/>
  <c r="V248" i="5" s="1"/>
  <c r="W248" i="5" s="1"/>
  <c r="X248" i="5" s="1"/>
  <c r="Y248" i="5" s="1"/>
  <c r="Z248" i="5" s="1"/>
  <c r="AA248" i="5" s="1"/>
  <c r="AB248" i="5" s="1"/>
  <c r="AC248" i="5" s="1"/>
  <c r="AD248" i="5" s="1"/>
  <c r="AE248" i="5" s="1"/>
  <c r="AF248" i="5" s="1"/>
  <c r="B248" i="5" s="1"/>
  <c r="M248" i="5"/>
  <c r="N248" i="5" s="1"/>
  <c r="O248" i="5" s="1"/>
  <c r="P248" i="5" s="1"/>
  <c r="Q248" i="5" s="1"/>
  <c r="R248" i="5" s="1"/>
  <c r="K248" i="5"/>
  <c r="L248" i="5" s="1"/>
  <c r="E248" i="5"/>
  <c r="F248" i="5" s="1"/>
  <c r="G248" i="5" s="1"/>
  <c r="H248" i="5" s="1"/>
  <c r="I248" i="5" s="1"/>
  <c r="J248" i="5" s="1"/>
  <c r="D248" i="5"/>
  <c r="D247" i="5"/>
  <c r="E247" i="5" s="1"/>
  <c r="F247" i="5" s="1"/>
  <c r="G247" i="5" s="1"/>
  <c r="H247" i="5" s="1"/>
  <c r="I247" i="5" s="1"/>
  <c r="J247" i="5" s="1"/>
  <c r="K247" i="5" s="1"/>
  <c r="L247" i="5" s="1"/>
  <c r="M247" i="5" s="1"/>
  <c r="N247" i="5" s="1"/>
  <c r="O247" i="5" s="1"/>
  <c r="P247" i="5" s="1"/>
  <c r="Q247" i="5" s="1"/>
  <c r="R247" i="5" s="1"/>
  <c r="S247" i="5" s="1"/>
  <c r="T247" i="5" s="1"/>
  <c r="U247" i="5" s="1"/>
  <c r="V247" i="5" s="1"/>
  <c r="W247" i="5" s="1"/>
  <c r="X247" i="5" s="1"/>
  <c r="Y247" i="5" s="1"/>
  <c r="Z247" i="5" s="1"/>
  <c r="AA247" i="5" s="1"/>
  <c r="AB247" i="5" s="1"/>
  <c r="AC247" i="5" s="1"/>
  <c r="AD247" i="5" s="1"/>
  <c r="AE247" i="5" s="1"/>
  <c r="AF247" i="5" s="1"/>
  <c r="B247" i="5" s="1"/>
  <c r="G246" i="5"/>
  <c r="F246" i="5"/>
  <c r="E246" i="5"/>
  <c r="D246" i="5"/>
  <c r="AG244" i="5"/>
  <c r="AF244" i="5"/>
  <c r="AE244" i="5"/>
  <c r="AD244" i="5"/>
  <c r="AC244" i="5"/>
  <c r="AB244" i="5"/>
  <c r="AA244" i="5"/>
  <c r="Z244" i="5"/>
  <c r="Y244" i="5"/>
  <c r="Y118" i="5" s="1"/>
  <c r="X244" i="5"/>
  <c r="W244" i="5"/>
  <c r="V244" i="5"/>
  <c r="U244" i="5"/>
  <c r="T244" i="5"/>
  <c r="S244" i="5"/>
  <c r="R244" i="5"/>
  <c r="Q244" i="5"/>
  <c r="P244" i="5"/>
  <c r="O244" i="5"/>
  <c r="N244" i="5"/>
  <c r="M244" i="5"/>
  <c r="L244" i="5"/>
  <c r="K244" i="5"/>
  <c r="J244" i="5"/>
  <c r="I244" i="5"/>
  <c r="H244" i="5"/>
  <c r="G244" i="5"/>
  <c r="F244" i="5"/>
  <c r="E244" i="5"/>
  <c r="D244" i="5"/>
  <c r="C244" i="5"/>
  <c r="B244" i="5"/>
  <c r="AI130" i="5"/>
  <c r="AH130" i="5"/>
  <c r="AI129" i="5"/>
  <c r="AH129" i="5"/>
  <c r="AI128" i="5"/>
  <c r="AH128" i="5"/>
  <c r="AI127" i="5"/>
  <c r="AH127" i="5"/>
  <c r="AI126" i="5"/>
  <c r="AH126" i="5"/>
  <c r="AI123" i="5"/>
  <c r="AH123" i="5"/>
  <c r="AI122" i="5"/>
  <c r="AH122" i="5"/>
  <c r="AI121" i="5"/>
  <c r="AH121" i="5"/>
  <c r="AI120" i="5"/>
  <c r="AH120" i="5"/>
  <c r="AI119" i="5"/>
  <c r="AH119" i="5"/>
  <c r="Z118" i="5"/>
  <c r="AI117" i="5"/>
  <c r="AH117" i="5"/>
  <c r="AI116" i="5"/>
  <c r="AH116" i="5"/>
  <c r="AI115" i="5"/>
  <c r="AH115" i="5"/>
  <c r="AI114" i="5"/>
  <c r="AH114" i="5"/>
  <c r="AI113" i="5"/>
  <c r="AH113" i="5"/>
  <c r="AI112" i="5"/>
  <c r="AH112" i="5"/>
  <c r="AI111" i="5"/>
  <c r="AH111" i="5"/>
  <c r="AI110" i="5"/>
  <c r="AH110" i="5"/>
  <c r="AI109" i="5"/>
  <c r="AH109" i="5"/>
  <c r="AI106" i="5"/>
  <c r="AH106" i="5"/>
  <c r="AD105" i="5"/>
  <c r="AC105" i="5"/>
  <c r="AA105" i="5"/>
  <c r="Z105" i="5"/>
  <c r="Y105" i="5"/>
  <c r="X105" i="5"/>
  <c r="W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AD104" i="5"/>
  <c r="AC104" i="5"/>
  <c r="AA104" i="5"/>
  <c r="Z104" i="5"/>
  <c r="Y104" i="5"/>
  <c r="X104" i="5"/>
  <c r="W104" i="5"/>
  <c r="R104" i="5"/>
  <c r="Q104" i="5"/>
  <c r="P104" i="5"/>
  <c r="O104" i="5"/>
  <c r="N104" i="5"/>
  <c r="M104" i="5"/>
  <c r="L104" i="5"/>
  <c r="K104" i="5"/>
  <c r="J104" i="5"/>
  <c r="I104" i="5"/>
  <c r="H104" i="5"/>
  <c r="H107" i="5" s="1"/>
  <c r="G104" i="5"/>
  <c r="F104" i="5"/>
  <c r="E104" i="5"/>
  <c r="AD103" i="5"/>
  <c r="AC103" i="5"/>
  <c r="AA103" i="5"/>
  <c r="Z103" i="5"/>
  <c r="Y103" i="5"/>
  <c r="X103" i="5"/>
  <c r="W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AD102" i="5"/>
  <c r="AC102" i="5"/>
  <c r="AA102" i="5"/>
  <c r="Z102" i="5"/>
  <c r="Y102" i="5"/>
  <c r="X102" i="5"/>
  <c r="W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AD101" i="5"/>
  <c r="AC101" i="5"/>
  <c r="AA101" i="5"/>
  <c r="Z101" i="5"/>
  <c r="Z107" i="5" s="1"/>
  <c r="BH23" i="5" s="1"/>
  <c r="Y101" i="5"/>
  <c r="X101" i="5"/>
  <c r="W101" i="5"/>
  <c r="W107" i="5" s="1"/>
  <c r="BE23" i="5" s="1"/>
  <c r="R101" i="5"/>
  <c r="Q101" i="5"/>
  <c r="P101" i="5"/>
  <c r="O101" i="5"/>
  <c r="O107" i="5" s="1"/>
  <c r="AW23" i="5" s="1"/>
  <c r="N101" i="5"/>
  <c r="M101" i="5"/>
  <c r="L101" i="5"/>
  <c r="K101" i="5"/>
  <c r="J101" i="5"/>
  <c r="I101" i="5"/>
  <c r="H101" i="5"/>
  <c r="G101" i="5"/>
  <c r="G107" i="5" s="1"/>
  <c r="F101" i="5"/>
  <c r="E101" i="5"/>
  <c r="AI98" i="5"/>
  <c r="AH98" i="5"/>
  <c r="AI96" i="5"/>
  <c r="AH96" i="5"/>
  <c r="AG96" i="5"/>
  <c r="AI95" i="5"/>
  <c r="AH95" i="5"/>
  <c r="AI94" i="5"/>
  <c r="AH94" i="5"/>
  <c r="AI93" i="5"/>
  <c r="AH93" i="5"/>
  <c r="AG92" i="5"/>
  <c r="AD92" i="5"/>
  <c r="AC92" i="5"/>
  <c r="BK19" i="5" s="1"/>
  <c r="AA92" i="5"/>
  <c r="BI19" i="5" s="1"/>
  <c r="Z92" i="5"/>
  <c r="BH19" i="5" s="1"/>
  <c r="Y92" i="5"/>
  <c r="BG19" i="5" s="1"/>
  <c r="X92" i="5"/>
  <c r="W5" i="5" s="1"/>
  <c r="W92" i="5"/>
  <c r="V5" i="5" s="1"/>
  <c r="R92" i="5"/>
  <c r="AZ19" i="5" s="1"/>
  <c r="Q92" i="5"/>
  <c r="AY19" i="5" s="1"/>
  <c r="P92" i="5"/>
  <c r="AX19" i="5" s="1"/>
  <c r="O92" i="5"/>
  <c r="N92" i="5"/>
  <c r="AV19" i="5" s="1"/>
  <c r="M92" i="5"/>
  <c r="L92" i="5"/>
  <c r="K5" i="5" s="1"/>
  <c r="K92" i="5"/>
  <c r="J92" i="5"/>
  <c r="I5" i="5" s="1"/>
  <c r="I92" i="5"/>
  <c r="H92" i="5"/>
  <c r="G5" i="5" s="1"/>
  <c r="G92" i="5"/>
  <c r="G108" i="5" s="1"/>
  <c r="F92" i="5"/>
  <c r="E5" i="5" s="1"/>
  <c r="E92" i="5"/>
  <c r="AI91" i="5"/>
  <c r="AH91" i="5"/>
  <c r="AI90" i="5"/>
  <c r="AH90" i="5"/>
  <c r="AI89" i="5"/>
  <c r="AH89" i="5"/>
  <c r="AI88" i="5"/>
  <c r="AH88" i="5"/>
  <c r="AI87" i="5"/>
  <c r="AH87" i="5"/>
  <c r="AI86" i="5"/>
  <c r="AH86" i="5"/>
  <c r="AI85" i="5"/>
  <c r="AH85" i="5"/>
  <c r="AI84" i="5"/>
  <c r="AH84" i="5"/>
  <c r="AI83" i="5"/>
  <c r="AH83" i="5"/>
  <c r="AI82" i="5"/>
  <c r="AH82" i="5"/>
  <c r="AI81" i="5"/>
  <c r="AH81" i="5"/>
  <c r="BD80" i="5"/>
  <c r="AG80" i="5"/>
  <c r="AD80" i="5"/>
  <c r="BL20" i="5" s="1"/>
  <c r="AC80" i="5"/>
  <c r="BK20" i="5" s="1"/>
  <c r="AA80" i="5"/>
  <c r="Z80" i="5"/>
  <c r="Y80" i="5"/>
  <c r="X80" i="5"/>
  <c r="W80" i="5"/>
  <c r="BE20" i="5" s="1"/>
  <c r="R80" i="5"/>
  <c r="AZ20" i="5" s="1"/>
  <c r="Q80" i="5"/>
  <c r="AY20" i="5" s="1"/>
  <c r="P80" i="5"/>
  <c r="AX20" i="5" s="1"/>
  <c r="O80" i="5"/>
  <c r="AW20" i="5" s="1"/>
  <c r="N80" i="5"/>
  <c r="AV20" i="5" s="1"/>
  <c r="M80" i="5"/>
  <c r="L80" i="5"/>
  <c r="K80" i="5"/>
  <c r="J80" i="5"/>
  <c r="I80" i="5"/>
  <c r="H80" i="5"/>
  <c r="G80" i="5"/>
  <c r="F80" i="5"/>
  <c r="E80" i="5"/>
  <c r="BN79" i="5"/>
  <c r="BE79" i="5"/>
  <c r="BB79" i="5"/>
  <c r="BA79" i="5"/>
  <c r="AI79" i="5"/>
  <c r="AH79" i="5"/>
  <c r="BU78" i="5"/>
  <c r="AI78" i="5"/>
  <c r="AH78" i="5"/>
  <c r="BR77" i="5"/>
  <c r="AI77" i="5"/>
  <c r="AH77" i="5"/>
  <c r="BW76" i="5"/>
  <c r="BT76" i="5"/>
  <c r="BQ76" i="5"/>
  <c r="BK76" i="5"/>
  <c r="BH76" i="5"/>
  <c r="BG76" i="5"/>
  <c r="BC76" i="5"/>
  <c r="BA76" i="5"/>
  <c r="AG76" i="5"/>
  <c r="AD76" i="5"/>
  <c r="BL18" i="5" s="1"/>
  <c r="AC76" i="5"/>
  <c r="BK18" i="5" s="1"/>
  <c r="AA76" i="5"/>
  <c r="BI18" i="5" s="1"/>
  <c r="Z76" i="5"/>
  <c r="BH18" i="5" s="1"/>
  <c r="Y76" i="5"/>
  <c r="BG18" i="5" s="1"/>
  <c r="X76" i="5"/>
  <c r="BF18" i="5" s="1"/>
  <c r="R76" i="5"/>
  <c r="AZ18" i="5" s="1"/>
  <c r="Q76" i="5"/>
  <c r="AY18" i="5" s="1"/>
  <c r="O76" i="5"/>
  <c r="AW18" i="5" s="1"/>
  <c r="N76" i="5"/>
  <c r="AV18" i="5" s="1"/>
  <c r="M76" i="5"/>
  <c r="L76" i="5"/>
  <c r="K76" i="5"/>
  <c r="J76" i="5"/>
  <c r="I76" i="5"/>
  <c r="H76" i="5"/>
  <c r="G76" i="5"/>
  <c r="F76" i="5"/>
  <c r="E76" i="5"/>
  <c r="BT75" i="5"/>
  <c r="BL75" i="5"/>
  <c r="BA75" i="5"/>
  <c r="AI75" i="5"/>
  <c r="AH75" i="5"/>
  <c r="AG75" i="5"/>
  <c r="AI74" i="5"/>
  <c r="AH74" i="5"/>
  <c r="BW73" i="5"/>
  <c r="BW80" i="5" s="1"/>
  <c r="BV73" i="5"/>
  <c r="BV80" i="5" s="1"/>
  <c r="BU73" i="5"/>
  <c r="BU80" i="5" s="1"/>
  <c r="BT73" i="5"/>
  <c r="BT80" i="5" s="1"/>
  <c r="BS73" i="5"/>
  <c r="BS80" i="5" s="1"/>
  <c r="BR73" i="5"/>
  <c r="BR80" i="5" s="1"/>
  <c r="BQ73" i="5"/>
  <c r="BQ80" i="5" s="1"/>
  <c r="BP73" i="5"/>
  <c r="BP80" i="5" s="1"/>
  <c r="BO73" i="5"/>
  <c r="BO80" i="5" s="1"/>
  <c r="BN73" i="5"/>
  <c r="BN80" i="5" s="1"/>
  <c r="BM73" i="5"/>
  <c r="BM80" i="5" s="1"/>
  <c r="BL73" i="5"/>
  <c r="BL80" i="5" s="1"/>
  <c r="BK73" i="5"/>
  <c r="BK80" i="5" s="1"/>
  <c r="BJ73" i="5"/>
  <c r="BJ80" i="5" s="1"/>
  <c r="BI73" i="5"/>
  <c r="BI80" i="5" s="1"/>
  <c r="BH73" i="5"/>
  <c r="BH80" i="5" s="1"/>
  <c r="BG73" i="5"/>
  <c r="BG80" i="5" s="1"/>
  <c r="BF73" i="5"/>
  <c r="BF80" i="5" s="1"/>
  <c r="BE73" i="5"/>
  <c r="BE80" i="5" s="1"/>
  <c r="BD73" i="5"/>
  <c r="BC73" i="5"/>
  <c r="BC80" i="5" s="1"/>
  <c r="BB73" i="5"/>
  <c r="BB80" i="5" s="1"/>
  <c r="BA73" i="5"/>
  <c r="BA80" i="5" s="1"/>
  <c r="AZ73" i="5"/>
  <c r="AZ80" i="5" s="1"/>
  <c r="AI73" i="5"/>
  <c r="AH73" i="5"/>
  <c r="BW72" i="5"/>
  <c r="BW79" i="5" s="1"/>
  <c r="BV72" i="5"/>
  <c r="BV79" i="5" s="1"/>
  <c r="BU72" i="5"/>
  <c r="BU79" i="5" s="1"/>
  <c r="BT72" i="5"/>
  <c r="BT79" i="5" s="1"/>
  <c r="BS72" i="5"/>
  <c r="BS79" i="5" s="1"/>
  <c r="BR72" i="5"/>
  <c r="BR79" i="5" s="1"/>
  <c r="BQ72" i="5"/>
  <c r="BQ79" i="5" s="1"/>
  <c r="BP72" i="5"/>
  <c r="BP79" i="5" s="1"/>
  <c r="BO72" i="5"/>
  <c r="BO79" i="5" s="1"/>
  <c r="BN72" i="5"/>
  <c r="BM72" i="5"/>
  <c r="BM79" i="5" s="1"/>
  <c r="BL72" i="5"/>
  <c r="BL79" i="5" s="1"/>
  <c r="BK72" i="5"/>
  <c r="BK79" i="5" s="1"/>
  <c r="BJ72" i="5"/>
  <c r="BJ79" i="5" s="1"/>
  <c r="BI72" i="5"/>
  <c r="BI79" i="5" s="1"/>
  <c r="BH72" i="5"/>
  <c r="BH79" i="5" s="1"/>
  <c r="BG72" i="5"/>
  <c r="BG79" i="5" s="1"/>
  <c r="BF72" i="5"/>
  <c r="BF79" i="5" s="1"/>
  <c r="BE72" i="5"/>
  <c r="BD72" i="5"/>
  <c r="BD79" i="5" s="1"/>
  <c r="BC72" i="5"/>
  <c r="BC79" i="5" s="1"/>
  <c r="BB72" i="5"/>
  <c r="BA72" i="5"/>
  <c r="AZ72" i="5"/>
  <c r="AZ79" i="5" s="1"/>
  <c r="AI72" i="5"/>
  <c r="AH72" i="5"/>
  <c r="BW71" i="5"/>
  <c r="BW78" i="5" s="1"/>
  <c r="BV71" i="5"/>
  <c r="BV78" i="5" s="1"/>
  <c r="BU71" i="5"/>
  <c r="BT71" i="5"/>
  <c r="BT78" i="5" s="1"/>
  <c r="BS71" i="5"/>
  <c r="BS78" i="5" s="1"/>
  <c r="BR71" i="5"/>
  <c r="BR78" i="5" s="1"/>
  <c r="BQ71" i="5"/>
  <c r="BQ78" i="5" s="1"/>
  <c r="BP71" i="5"/>
  <c r="BP78" i="5" s="1"/>
  <c r="BO71" i="5"/>
  <c r="BO78" i="5" s="1"/>
  <c r="BN71" i="5"/>
  <c r="BN78" i="5" s="1"/>
  <c r="BM71" i="5"/>
  <c r="BM78" i="5" s="1"/>
  <c r="BL71" i="5"/>
  <c r="BL78" i="5" s="1"/>
  <c r="BK71" i="5"/>
  <c r="BK78" i="5" s="1"/>
  <c r="BJ71" i="5"/>
  <c r="BJ78" i="5" s="1"/>
  <c r="BI71" i="5"/>
  <c r="BI78" i="5" s="1"/>
  <c r="BH71" i="5"/>
  <c r="BH78" i="5" s="1"/>
  <c r="BG71" i="5"/>
  <c r="BG78" i="5" s="1"/>
  <c r="BF71" i="5"/>
  <c r="BF78" i="5" s="1"/>
  <c r="BE71" i="5"/>
  <c r="BE78" i="5" s="1"/>
  <c r="BD71" i="5"/>
  <c r="BD78" i="5" s="1"/>
  <c r="BC71" i="5"/>
  <c r="BC78" i="5" s="1"/>
  <c r="BB71" i="5"/>
  <c r="BB78" i="5" s="1"/>
  <c r="BA71" i="5"/>
  <c r="BA78" i="5" s="1"/>
  <c r="AZ71" i="5"/>
  <c r="AZ78" i="5" s="1"/>
  <c r="AI71" i="5"/>
  <c r="AH71" i="5"/>
  <c r="BW70" i="5"/>
  <c r="BW77" i="5" s="1"/>
  <c r="BV70" i="5"/>
  <c r="BV77" i="5" s="1"/>
  <c r="BU70" i="5"/>
  <c r="BU77" i="5" s="1"/>
  <c r="BT70" i="5"/>
  <c r="BT77" i="5" s="1"/>
  <c r="BS70" i="5"/>
  <c r="BS77" i="5" s="1"/>
  <c r="BR70" i="5"/>
  <c r="BQ70" i="5"/>
  <c r="BQ77" i="5" s="1"/>
  <c r="BP70" i="5"/>
  <c r="BP77" i="5" s="1"/>
  <c r="BO70" i="5"/>
  <c r="BO77" i="5" s="1"/>
  <c r="BN70" i="5"/>
  <c r="BN77" i="5" s="1"/>
  <c r="BM70" i="5"/>
  <c r="BM77" i="5" s="1"/>
  <c r="BL70" i="5"/>
  <c r="BL77" i="5" s="1"/>
  <c r="BK70" i="5"/>
  <c r="BK77" i="5" s="1"/>
  <c r="BJ70" i="5"/>
  <c r="BJ77" i="5" s="1"/>
  <c r="BI70" i="5"/>
  <c r="BI77" i="5" s="1"/>
  <c r="BH70" i="5"/>
  <c r="BH77" i="5" s="1"/>
  <c r="BG70" i="5"/>
  <c r="BG77" i="5" s="1"/>
  <c r="BF70" i="5"/>
  <c r="BF77" i="5" s="1"/>
  <c r="BE70" i="5"/>
  <c r="BE77" i="5" s="1"/>
  <c r="BD70" i="5"/>
  <c r="BD77" i="5" s="1"/>
  <c r="BC70" i="5"/>
  <c r="BC77" i="5" s="1"/>
  <c r="BB70" i="5"/>
  <c r="BB77" i="5" s="1"/>
  <c r="BA70" i="5"/>
  <c r="BA77" i="5" s="1"/>
  <c r="AZ70" i="5"/>
  <c r="AZ77" i="5" s="1"/>
  <c r="AI70" i="5"/>
  <c r="AH70" i="5"/>
  <c r="BW69" i="5"/>
  <c r="BV69" i="5"/>
  <c r="BV76" i="5" s="1"/>
  <c r="BU69" i="5"/>
  <c r="BU76" i="5" s="1"/>
  <c r="BT69" i="5"/>
  <c r="BS69" i="5"/>
  <c r="BS76" i="5" s="1"/>
  <c r="BR69" i="5"/>
  <c r="BR76" i="5" s="1"/>
  <c r="BQ69" i="5"/>
  <c r="BP69" i="5"/>
  <c r="BP76" i="5" s="1"/>
  <c r="BO69" i="5"/>
  <c r="BO76" i="5" s="1"/>
  <c r="BN69" i="5"/>
  <c r="BN76" i="5" s="1"/>
  <c r="BM69" i="5"/>
  <c r="BM76" i="5" s="1"/>
  <c r="BL69" i="5"/>
  <c r="BL76" i="5" s="1"/>
  <c r="BK69" i="5"/>
  <c r="BJ69" i="5"/>
  <c r="BJ76" i="5" s="1"/>
  <c r="BI69" i="5"/>
  <c r="BI76" i="5" s="1"/>
  <c r="BH69" i="5"/>
  <c r="BG69" i="5"/>
  <c r="BF69" i="5"/>
  <c r="BF76" i="5" s="1"/>
  <c r="BE69" i="5"/>
  <c r="BE76" i="5" s="1"/>
  <c r="BD69" i="5"/>
  <c r="BD76" i="5" s="1"/>
  <c r="BC69" i="5"/>
  <c r="BB69" i="5"/>
  <c r="BB76" i="5" s="1"/>
  <c r="BA69" i="5"/>
  <c r="AZ69" i="5"/>
  <c r="AZ76" i="5" s="1"/>
  <c r="AI69" i="5"/>
  <c r="AH69" i="5"/>
  <c r="BW68" i="5"/>
  <c r="BW75" i="5" s="1"/>
  <c r="BV68" i="5"/>
  <c r="BV75" i="5" s="1"/>
  <c r="BU68" i="5"/>
  <c r="BU75" i="5" s="1"/>
  <c r="BT68" i="5"/>
  <c r="BS68" i="5"/>
  <c r="BS75" i="5" s="1"/>
  <c r="BR68" i="5"/>
  <c r="BR75" i="5" s="1"/>
  <c r="BQ68" i="5"/>
  <c r="BQ75" i="5" s="1"/>
  <c r="BP68" i="5"/>
  <c r="BP75" i="5" s="1"/>
  <c r="BO68" i="5"/>
  <c r="BO75" i="5" s="1"/>
  <c r="BN68" i="5"/>
  <c r="BN75" i="5" s="1"/>
  <c r="BM68" i="5"/>
  <c r="BM75" i="5" s="1"/>
  <c r="BL68" i="5"/>
  <c r="BK68" i="5"/>
  <c r="BK75" i="5" s="1"/>
  <c r="BJ68" i="5"/>
  <c r="BJ75" i="5" s="1"/>
  <c r="BI68" i="5"/>
  <c r="BI75" i="5" s="1"/>
  <c r="BH68" i="5"/>
  <c r="BH75" i="5" s="1"/>
  <c r="BG68" i="5"/>
  <c r="BG75" i="5" s="1"/>
  <c r="BF68" i="5"/>
  <c r="BF75" i="5" s="1"/>
  <c r="BE68" i="5"/>
  <c r="BE75" i="5" s="1"/>
  <c r="BD68" i="5"/>
  <c r="BD75" i="5" s="1"/>
  <c r="BC68" i="5"/>
  <c r="BC75" i="5" s="1"/>
  <c r="BB68" i="5"/>
  <c r="BB75" i="5" s="1"/>
  <c r="BA68" i="5"/>
  <c r="AZ68" i="5"/>
  <c r="AI68" i="5"/>
  <c r="AH68" i="5"/>
  <c r="AI67" i="5"/>
  <c r="AH67" i="5"/>
  <c r="AI66" i="5"/>
  <c r="AH66" i="5"/>
  <c r="AI65" i="5"/>
  <c r="AH65" i="5"/>
  <c r="AI64" i="5"/>
  <c r="AH64" i="5"/>
  <c r="AI63" i="5"/>
  <c r="AH63" i="5"/>
  <c r="AG62" i="5"/>
  <c r="AD62" i="5"/>
  <c r="BL17" i="5" s="1"/>
  <c r="AC62" i="5"/>
  <c r="BK17" i="5" s="1"/>
  <c r="AA62" i="5"/>
  <c r="BI17" i="5" s="1"/>
  <c r="Z62" i="5"/>
  <c r="BH17" i="5" s="1"/>
  <c r="Y62" i="5"/>
  <c r="BG17" i="5" s="1"/>
  <c r="X62" i="5"/>
  <c r="BF17" i="5" s="1"/>
  <c r="W62" i="5"/>
  <c r="BE17" i="5" s="1"/>
  <c r="R62" i="5"/>
  <c r="AZ17" i="5" s="1"/>
  <c r="Q62" i="5"/>
  <c r="AY17" i="5" s="1"/>
  <c r="O62" i="5"/>
  <c r="AW17" i="5" s="1"/>
  <c r="N62" i="5"/>
  <c r="AV17" i="5" s="1"/>
  <c r="M62" i="5"/>
  <c r="L62" i="5"/>
  <c r="K62" i="5"/>
  <c r="J62" i="5"/>
  <c r="I62" i="5"/>
  <c r="H62" i="5"/>
  <c r="G62" i="5"/>
  <c r="F62" i="5"/>
  <c r="E62" i="5"/>
  <c r="AI61" i="5"/>
  <c r="AH61" i="5"/>
  <c r="AI60" i="5"/>
  <c r="AH60" i="5"/>
  <c r="AI59" i="5"/>
  <c r="AH59" i="5"/>
  <c r="AG58" i="5"/>
  <c r="AG97" i="5" s="1"/>
  <c r="AF7" i="5"/>
  <c r="AD58" i="5"/>
  <c r="AC58" i="5"/>
  <c r="BK16" i="5" s="1"/>
  <c r="AA58" i="5"/>
  <c r="BI16" i="5" s="1"/>
  <c r="Z58" i="5"/>
  <c r="V7" i="5"/>
  <c r="S7" i="5"/>
  <c r="R58" i="5"/>
  <c r="Q58" i="5"/>
  <c r="AY16" i="5" s="1"/>
  <c r="O58" i="5"/>
  <c r="N58" i="5"/>
  <c r="M58" i="5"/>
  <c r="AU16" i="5" s="1"/>
  <c r="AU22" i="5" s="1"/>
  <c r="AU24" i="5" s="1"/>
  <c r="L58" i="5"/>
  <c r="K58" i="5"/>
  <c r="J58" i="5"/>
  <c r="I58" i="5"/>
  <c r="H58" i="5"/>
  <c r="G58" i="5"/>
  <c r="F58" i="5"/>
  <c r="E58" i="5"/>
  <c r="C7" i="5"/>
  <c r="AI57" i="5"/>
  <c r="AH57" i="5"/>
  <c r="AI56" i="5"/>
  <c r="AH56" i="5"/>
  <c r="AI55" i="5"/>
  <c r="AH55" i="5"/>
  <c r="AI54" i="5"/>
  <c r="AH54" i="5"/>
  <c r="AI53" i="5"/>
  <c r="AH53" i="5"/>
  <c r="AI52" i="5"/>
  <c r="AH52" i="5"/>
  <c r="AI51" i="5"/>
  <c r="AH51" i="5"/>
  <c r="AI50" i="5"/>
  <c r="AH50" i="5"/>
  <c r="AI49" i="5"/>
  <c r="AH49" i="5"/>
  <c r="AI48" i="5"/>
  <c r="AH48" i="5"/>
  <c r="AI47" i="5"/>
  <c r="AH47" i="5"/>
  <c r="AI46" i="5"/>
  <c r="AH46" i="5"/>
  <c r="AI45" i="5"/>
  <c r="AH45" i="5"/>
  <c r="AI44" i="5"/>
  <c r="AH44" i="5"/>
  <c r="AI43" i="5"/>
  <c r="AH43" i="5"/>
  <c r="AI42" i="5"/>
  <c r="AH42" i="5"/>
  <c r="AI41" i="5"/>
  <c r="AH41" i="5"/>
  <c r="AI40" i="5"/>
  <c r="AH40" i="5"/>
  <c r="AI39" i="5"/>
  <c r="AH39" i="5"/>
  <c r="AI38" i="5"/>
  <c r="AH38" i="5"/>
  <c r="AI37" i="5"/>
  <c r="AH37" i="5"/>
  <c r="AI36" i="5"/>
  <c r="AH36" i="5"/>
  <c r="AI35" i="5"/>
  <c r="AH35" i="5"/>
  <c r="AI34" i="5"/>
  <c r="AH34" i="5"/>
  <c r="AI33" i="5"/>
  <c r="AH33" i="5"/>
  <c r="AI32" i="5"/>
  <c r="AH32" i="5"/>
  <c r="AI31" i="5"/>
  <c r="AH31" i="5"/>
  <c r="AI30" i="5"/>
  <c r="AH30" i="5"/>
  <c r="AI29" i="5"/>
  <c r="AH29" i="5"/>
  <c r="AI28" i="5"/>
  <c r="AH28" i="5"/>
  <c r="AI27" i="5"/>
  <c r="AH27" i="5"/>
  <c r="AI26" i="5"/>
  <c r="AH26" i="5"/>
  <c r="AI25" i="5"/>
  <c r="AH25" i="5"/>
  <c r="AI24" i="5"/>
  <c r="AH24" i="5"/>
  <c r="AI23" i="5"/>
  <c r="AH23" i="5"/>
  <c r="AI22" i="5"/>
  <c r="AH22" i="5"/>
  <c r="AI21" i="5"/>
  <c r="AH21" i="5"/>
  <c r="AI20" i="5"/>
  <c r="AH20" i="5"/>
  <c r="AI19" i="5"/>
  <c r="AH19" i="5"/>
  <c r="AI18" i="5"/>
  <c r="AH18" i="5"/>
  <c r="AI17" i="5"/>
  <c r="AH17" i="5"/>
  <c r="AI16" i="5"/>
  <c r="AH16" i="5"/>
  <c r="AI15" i="5"/>
  <c r="AH15" i="5"/>
  <c r="AI14" i="5"/>
  <c r="AH14" i="5"/>
  <c r="AI13" i="5"/>
  <c r="AH13" i="5"/>
  <c r="AL12" i="5"/>
  <c r="AI12" i="5"/>
  <c r="AH12" i="5"/>
  <c r="AI11" i="5"/>
  <c r="AH11" i="5"/>
  <c r="AE5" i="5"/>
  <c r="AD5" i="5"/>
  <c r="AA5" i="5"/>
  <c r="U5" i="5"/>
  <c r="T5" i="5"/>
  <c r="S5" i="5"/>
  <c r="R5" i="5"/>
  <c r="C5" i="5"/>
  <c r="B5" i="5"/>
  <c r="AG4" i="5"/>
  <c r="AG6" i="5" s="1"/>
  <c r="K4" i="5"/>
  <c r="E4" i="5"/>
  <c r="H4" i="5" s="1"/>
  <c r="B4" i="5"/>
  <c r="D258" i="5" s="1"/>
  <c r="AG3" i="5"/>
  <c r="AG2" i="5"/>
  <c r="H247" i="6" l="1"/>
  <c r="G252" i="6"/>
  <c r="I118" i="6"/>
  <c r="J246" i="6"/>
  <c r="AI100" i="6"/>
  <c r="AH100" i="6"/>
  <c r="B7" i="6"/>
  <c r="A7" i="6" s="1"/>
  <c r="AD107" i="5"/>
  <c r="BL23" i="5" s="1"/>
  <c r="BL19" i="5"/>
  <c r="AC5" i="5"/>
  <c r="AD97" i="5"/>
  <c r="AD99" i="5" s="1"/>
  <c r="AD100" i="5" s="1"/>
  <c r="AD7" i="5" s="1"/>
  <c r="BL16" i="5"/>
  <c r="AB5" i="5"/>
  <c r="BK22" i="5"/>
  <c r="Z5" i="5"/>
  <c r="AA107" i="5"/>
  <c r="BI23" i="5" s="1"/>
  <c r="BI22" i="5"/>
  <c r="AA97" i="5"/>
  <c r="AA99" i="5" s="1"/>
  <c r="Y5" i="5"/>
  <c r="AH105" i="5"/>
  <c r="Z97" i="5"/>
  <c r="Z99" i="5" s="1"/>
  <c r="Z100" i="5" s="1"/>
  <c r="Z7" i="5" s="1"/>
  <c r="BH16" i="5"/>
  <c r="BH22" i="5" s="1"/>
  <c r="BH24" i="5" s="1"/>
  <c r="X5" i="5"/>
  <c r="BG22" i="5"/>
  <c r="Y97" i="5"/>
  <c r="Y99" i="5" s="1"/>
  <c r="X107" i="5"/>
  <c r="BF23" i="5" s="1"/>
  <c r="BF19" i="5"/>
  <c r="BF22" i="5"/>
  <c r="X97" i="5"/>
  <c r="X99" i="5" s="1"/>
  <c r="W108" i="5"/>
  <c r="BE19" i="5"/>
  <c r="BE22" i="5" s="1"/>
  <c r="BE24" i="5" s="1"/>
  <c r="Q5" i="5"/>
  <c r="R107" i="5"/>
  <c r="AZ23" i="5" s="1"/>
  <c r="R97" i="5"/>
  <c r="R99" i="5" s="1"/>
  <c r="R100" i="5" s="1"/>
  <c r="R7" i="5" s="1"/>
  <c r="AZ16" i="5"/>
  <c r="AZ22" i="5" s="1"/>
  <c r="AZ24" i="5" s="1"/>
  <c r="AI103" i="5"/>
  <c r="P5" i="5"/>
  <c r="AY22" i="5"/>
  <c r="P107" i="5"/>
  <c r="AX23" i="5" s="1"/>
  <c r="AX22" i="5"/>
  <c r="AX24" i="5" s="1"/>
  <c r="O5" i="5"/>
  <c r="P97" i="5"/>
  <c r="P99" i="5" s="1"/>
  <c r="P100" i="5" s="1"/>
  <c r="P7" i="5" s="1"/>
  <c r="AI101" i="5"/>
  <c r="O108" i="5"/>
  <c r="AW19" i="5"/>
  <c r="N5" i="5"/>
  <c r="O97" i="5"/>
  <c r="O99" i="5" s="1"/>
  <c r="O100" i="5" s="1"/>
  <c r="O7" i="5" s="1"/>
  <c r="AW16" i="5"/>
  <c r="AW22" i="5" s="1"/>
  <c r="AW24" i="5" s="1"/>
  <c r="M5" i="5"/>
  <c r="N107" i="5"/>
  <c r="AV23" i="5" s="1"/>
  <c r="N97" i="5"/>
  <c r="N99" i="5" s="1"/>
  <c r="AV16" i="5"/>
  <c r="AV22" i="5" s="1"/>
  <c r="L5" i="5"/>
  <c r="L97" i="5"/>
  <c r="L99" i="5" s="1"/>
  <c r="K107" i="5"/>
  <c r="J5" i="5"/>
  <c r="K97" i="5"/>
  <c r="K99" i="5" s="1"/>
  <c r="K100" i="5" s="1"/>
  <c r="K7" i="5" s="1"/>
  <c r="J107" i="5"/>
  <c r="J97" i="5"/>
  <c r="J99" i="5" s="1"/>
  <c r="J100" i="5" s="1"/>
  <c r="J7" i="5" s="1"/>
  <c r="H5" i="5"/>
  <c r="AI104" i="5"/>
  <c r="H108" i="5"/>
  <c r="H97" i="5"/>
  <c r="H99" i="5" s="1"/>
  <c r="H100" i="5" s="1"/>
  <c r="H7" i="5" s="1"/>
  <c r="F5" i="5"/>
  <c r="G97" i="5"/>
  <c r="G99" i="5" s="1"/>
  <c r="G100" i="5" s="1"/>
  <c r="G7" i="5" s="1"/>
  <c r="F107" i="5"/>
  <c r="F97" i="5"/>
  <c r="F99" i="5" s="1"/>
  <c r="F100" i="5" s="1"/>
  <c r="F7" i="5" s="1"/>
  <c r="E107" i="5"/>
  <c r="D5" i="5"/>
  <c r="AI80" i="5"/>
  <c r="AH76" i="5"/>
  <c r="AI76" i="5"/>
  <c r="B108" i="5"/>
  <c r="AF5" i="5"/>
  <c r="B97" i="5"/>
  <c r="B99" i="5" s="1"/>
  <c r="B100" i="5" s="1"/>
  <c r="AH62" i="5"/>
  <c r="E108" i="5"/>
  <c r="T7" i="5"/>
  <c r="BG84" i="5" a="1"/>
  <c r="F251" i="5"/>
  <c r="G251" i="5" s="1"/>
  <c r="H251" i="5" s="1"/>
  <c r="I251" i="5" s="1"/>
  <c r="J251" i="5" s="1"/>
  <c r="K251" i="5" s="1"/>
  <c r="L251" i="5" s="1"/>
  <c r="M251" i="5" s="1"/>
  <c r="N251" i="5" s="1"/>
  <c r="O251" i="5" s="1"/>
  <c r="P251" i="5" s="1"/>
  <c r="Q251" i="5" s="1"/>
  <c r="R251" i="5" s="1"/>
  <c r="S251" i="5" s="1"/>
  <c r="T251" i="5" s="1"/>
  <c r="U251" i="5" s="1"/>
  <c r="V251" i="5" s="1"/>
  <c r="W251" i="5" s="1"/>
  <c r="X251" i="5" s="1"/>
  <c r="Y251" i="5" s="1"/>
  <c r="Z251" i="5" s="1"/>
  <c r="AA251" i="5" s="1"/>
  <c r="AB251" i="5" s="1"/>
  <c r="AC251" i="5" s="1"/>
  <c r="AD251" i="5" s="1"/>
  <c r="AE251" i="5" s="1"/>
  <c r="AF251" i="5" s="1"/>
  <c r="B251" i="5" s="1"/>
  <c r="E118" i="5"/>
  <c r="I97" i="5"/>
  <c r="I99" i="5" s="1"/>
  <c r="Q97" i="5"/>
  <c r="Q99" i="5" s="1"/>
  <c r="L107" i="5"/>
  <c r="L108" i="5" s="1"/>
  <c r="F108" i="5"/>
  <c r="N108" i="5"/>
  <c r="M107" i="5"/>
  <c r="AC107" i="5"/>
  <c r="E252" i="5"/>
  <c r="AI58" i="5"/>
  <c r="AI62" i="5"/>
  <c r="AH80" i="5"/>
  <c r="F252" i="5"/>
  <c r="P108" i="5"/>
  <c r="AG99" i="5"/>
  <c r="I107" i="5"/>
  <c r="Q107" i="5"/>
  <c r="Y107" i="5"/>
  <c r="AH104" i="5"/>
  <c r="H246" i="5"/>
  <c r="G252" i="5"/>
  <c r="G118" i="5"/>
  <c r="AH58" i="5"/>
  <c r="AL13" i="5"/>
  <c r="E97" i="5"/>
  <c r="E99" i="5" s="1"/>
  <c r="E100" i="5" s="1"/>
  <c r="E7" i="5" s="1"/>
  <c r="M97" i="5"/>
  <c r="M99" i="5" s="1"/>
  <c r="AC97" i="5"/>
  <c r="AC99" i="5" s="1"/>
  <c r="AC100" i="5" s="1"/>
  <c r="AC7" i="5" s="1"/>
  <c r="AH103" i="5"/>
  <c r="J108" i="5"/>
  <c r="R108" i="5"/>
  <c r="Z108" i="5"/>
  <c r="AI102" i="5"/>
  <c r="AI105" i="5"/>
  <c r="W97" i="5"/>
  <c r="W99" i="5" s="1"/>
  <c r="W100" i="5" s="1"/>
  <c r="W7" i="5" s="1"/>
  <c r="AE7" i="5"/>
  <c r="AZ75" i="5"/>
  <c r="K108" i="5"/>
  <c r="AH102" i="5"/>
  <c r="AH92" i="5"/>
  <c r="AI92" i="5"/>
  <c r="AH101" i="5"/>
  <c r="F118" i="5"/>
  <c r="J118" i="6" l="1"/>
  <c r="K246" i="6"/>
  <c r="I247" i="6"/>
  <c r="H252" i="6"/>
  <c r="AD108" i="5"/>
  <c r="BL22" i="5"/>
  <c r="BL24" i="5" s="1"/>
  <c r="AC108" i="5"/>
  <c r="BK23" i="5"/>
  <c r="BK24" i="5" s="1"/>
  <c r="AA108" i="5"/>
  <c r="AA100" i="5"/>
  <c r="AA7" i="5" s="1"/>
  <c r="BI24" i="5"/>
  <c r="Y108" i="5"/>
  <c r="BG23" i="5"/>
  <c r="BG24" i="5" s="1"/>
  <c r="BF24" i="5"/>
  <c r="X100" i="5"/>
  <c r="X7" i="5" s="1"/>
  <c r="X108" i="5"/>
  <c r="Q108" i="5"/>
  <c r="AY23" i="5"/>
  <c r="AY24" i="5" s="1"/>
  <c r="AV24" i="5"/>
  <c r="N100" i="5"/>
  <c r="N7" i="5" s="1"/>
  <c r="M100" i="5"/>
  <c r="M7" i="5" s="1"/>
  <c r="L100" i="5"/>
  <c r="L7" i="5" s="1"/>
  <c r="I108" i="5"/>
  <c r="B256" i="5"/>
  <c r="BI107" i="5"/>
  <c r="BG106" i="5"/>
  <c r="BK104" i="5"/>
  <c r="BI103" i="5"/>
  <c r="BG102" i="5"/>
  <c r="BK100" i="5"/>
  <c r="BI99" i="5"/>
  <c r="BG98" i="5"/>
  <c r="BK96" i="5"/>
  <c r="BI95" i="5"/>
  <c r="BG94" i="5"/>
  <c r="BK92" i="5"/>
  <c r="BI91" i="5"/>
  <c r="BG90" i="5"/>
  <c r="BK88" i="5"/>
  <c r="BI87" i="5"/>
  <c r="BG86" i="5"/>
  <c r="BK84" i="5"/>
  <c r="BL106" i="5"/>
  <c r="BJ105" i="5"/>
  <c r="BH104" i="5"/>
  <c r="BL102" i="5"/>
  <c r="BJ101" i="5"/>
  <c r="BH100" i="5"/>
  <c r="BL98" i="5"/>
  <c r="BJ97" i="5"/>
  <c r="BH96" i="5"/>
  <c r="BL94" i="5"/>
  <c r="BJ93" i="5"/>
  <c r="BH92" i="5"/>
  <c r="BL90" i="5"/>
  <c r="BJ89" i="5"/>
  <c r="BH88" i="5"/>
  <c r="BL86" i="5"/>
  <c r="BJ85" i="5"/>
  <c r="BH84" i="5"/>
  <c r="BK106" i="5"/>
  <c r="BI105" i="5"/>
  <c r="BG104" i="5"/>
  <c r="BK102" i="5"/>
  <c r="BI101" i="5"/>
  <c r="BG100" i="5"/>
  <c r="BK98" i="5"/>
  <c r="BI97" i="5"/>
  <c r="BG96" i="5"/>
  <c r="BK94" i="5"/>
  <c r="BI93" i="5"/>
  <c r="BG92" i="5"/>
  <c r="BK90" i="5"/>
  <c r="BI89" i="5"/>
  <c r="BG88" i="5"/>
  <c r="BK86" i="5"/>
  <c r="BI85" i="5"/>
  <c r="BG84" i="5"/>
  <c r="BL107" i="5"/>
  <c r="BJ106" i="5"/>
  <c r="BH105" i="5"/>
  <c r="BL103" i="5"/>
  <c r="BJ102" i="5"/>
  <c r="BH101" i="5"/>
  <c r="BL99" i="5"/>
  <c r="BJ98" i="5"/>
  <c r="BH97" i="5"/>
  <c r="BL95" i="5"/>
  <c r="BJ94" i="5"/>
  <c r="BH93" i="5"/>
  <c r="BL91" i="5"/>
  <c r="BJ90" i="5"/>
  <c r="BH89" i="5"/>
  <c r="BL87" i="5"/>
  <c r="BJ86" i="5"/>
  <c r="BH85" i="5"/>
  <c r="BK107" i="5"/>
  <c r="BI106" i="5"/>
  <c r="BG105" i="5"/>
  <c r="BK103" i="5"/>
  <c r="BJ107" i="5"/>
  <c r="BI104" i="5"/>
  <c r="BG101" i="5"/>
  <c r="BI98" i="5"/>
  <c r="BK95" i="5"/>
  <c r="BG93" i="5"/>
  <c r="BI90" i="5"/>
  <c r="BK87" i="5"/>
  <c r="BG85" i="5"/>
  <c r="BH107" i="5"/>
  <c r="BJ103" i="5"/>
  <c r="BL100" i="5"/>
  <c r="BH98" i="5"/>
  <c r="BJ95" i="5"/>
  <c r="BL92" i="5"/>
  <c r="BH90" i="5"/>
  <c r="BJ87" i="5"/>
  <c r="BL84" i="5"/>
  <c r="BG107" i="5"/>
  <c r="BH103" i="5"/>
  <c r="BJ100" i="5"/>
  <c r="BL97" i="5"/>
  <c r="BH95" i="5"/>
  <c r="BJ92" i="5"/>
  <c r="BL89" i="5"/>
  <c r="BH87" i="5"/>
  <c r="BJ84" i="5"/>
  <c r="BH106" i="5"/>
  <c r="BG103" i="5"/>
  <c r="BI100" i="5"/>
  <c r="BK97" i="5"/>
  <c r="BG95" i="5"/>
  <c r="BI92" i="5"/>
  <c r="BK89" i="5"/>
  <c r="BG87" i="5"/>
  <c r="BI84" i="5"/>
  <c r="BL105" i="5"/>
  <c r="BI102" i="5"/>
  <c r="BK99" i="5"/>
  <c r="BG97" i="5"/>
  <c r="BI94" i="5"/>
  <c r="BK91" i="5"/>
  <c r="BG89" i="5"/>
  <c r="BI86" i="5"/>
  <c r="BK105" i="5"/>
  <c r="BH102" i="5"/>
  <c r="BJ99" i="5"/>
  <c r="BL96" i="5"/>
  <c r="BH94" i="5"/>
  <c r="BJ91" i="5"/>
  <c r="BL88" i="5"/>
  <c r="BH86" i="5"/>
  <c r="BL104" i="5"/>
  <c r="BL101" i="5"/>
  <c r="BH99" i="5"/>
  <c r="BJ96" i="5"/>
  <c r="BL93" i="5"/>
  <c r="BH91" i="5"/>
  <c r="BJ88" i="5"/>
  <c r="BL85" i="5"/>
  <c r="BJ104" i="5"/>
  <c r="BK101" i="5"/>
  <c r="BG99" i="5"/>
  <c r="BI96" i="5"/>
  <c r="BK93" i="5"/>
  <c r="BG91" i="5"/>
  <c r="BI88" i="5"/>
  <c r="BK85" i="5"/>
  <c r="AI97" i="5"/>
  <c r="M108" i="5"/>
  <c r="AH108" i="5" s="1"/>
  <c r="Y100" i="5"/>
  <c r="Y7" i="5" s="1"/>
  <c r="Q100" i="5"/>
  <c r="Q7" i="5" s="1"/>
  <c r="AB7" i="5"/>
  <c r="I100" i="5"/>
  <c r="I7" i="5" s="1"/>
  <c r="AI99" i="5"/>
  <c r="AH99" i="5"/>
  <c r="C256" i="5"/>
  <c r="K6" i="5" s="1"/>
  <c r="AH97" i="5"/>
  <c r="AI107" i="5"/>
  <c r="AH107" i="5"/>
  <c r="D7" i="5"/>
  <c r="U7" i="5"/>
  <c r="H252" i="5"/>
  <c r="H118" i="5"/>
  <c r="I246" i="5"/>
  <c r="AT8" i="5"/>
  <c r="AF123" i="2"/>
  <c r="AF58" i="2"/>
  <c r="AF62" i="2"/>
  <c r="AF76" i="2"/>
  <c r="AF80" i="2"/>
  <c r="AF92" i="2"/>
  <c r="AF101" i="2"/>
  <c r="AF102" i="2"/>
  <c r="AF103" i="2"/>
  <c r="AF104" i="2"/>
  <c r="AF105" i="2"/>
  <c r="AF118" i="2"/>
  <c r="AE123" i="2"/>
  <c r="AE58" i="2"/>
  <c r="AE62" i="2"/>
  <c r="AE76" i="2"/>
  <c r="AE80" i="2"/>
  <c r="AE92" i="2"/>
  <c r="AE101" i="2"/>
  <c r="AE102" i="2"/>
  <c r="AE103" i="2"/>
  <c r="AE104" i="2"/>
  <c r="AE105" i="2"/>
  <c r="AE118" i="2"/>
  <c r="AD123" i="2"/>
  <c r="AD58" i="2"/>
  <c r="AD62" i="2"/>
  <c r="AD76" i="2"/>
  <c r="AD80" i="2"/>
  <c r="AD92" i="2"/>
  <c r="AD101" i="2"/>
  <c r="AD102" i="2"/>
  <c r="AD103" i="2"/>
  <c r="AD104" i="2"/>
  <c r="AD105" i="2"/>
  <c r="AD118" i="2"/>
  <c r="AC85" i="2"/>
  <c r="AC103" i="2"/>
  <c r="AC123" i="2"/>
  <c r="AC58" i="2"/>
  <c r="AC62" i="2"/>
  <c r="AC76" i="2"/>
  <c r="AC80" i="2"/>
  <c r="AC92" i="2"/>
  <c r="AC101" i="2"/>
  <c r="AC102" i="2"/>
  <c r="AC104" i="2"/>
  <c r="AC105" i="2"/>
  <c r="AC118" i="2"/>
  <c r="AG252" i="4"/>
  <c r="C252" i="4"/>
  <c r="D251" i="4"/>
  <c r="E251" i="4" s="1"/>
  <c r="F251" i="4" s="1"/>
  <c r="G251" i="4" s="1"/>
  <c r="H251" i="4" s="1"/>
  <c r="I251" i="4" s="1"/>
  <c r="J251" i="4" s="1"/>
  <c r="K251" i="4" s="1"/>
  <c r="L251" i="4" s="1"/>
  <c r="M251" i="4" s="1"/>
  <c r="N251" i="4" s="1"/>
  <c r="O251" i="4" s="1"/>
  <c r="P251" i="4" s="1"/>
  <c r="Q251" i="4" s="1"/>
  <c r="R251" i="4" s="1"/>
  <c r="S251" i="4" s="1"/>
  <c r="T251" i="4" s="1"/>
  <c r="U251" i="4" s="1"/>
  <c r="V251" i="4" s="1"/>
  <c r="W251" i="4" s="1"/>
  <c r="X251" i="4" s="1"/>
  <c r="Y251" i="4" s="1"/>
  <c r="Z251" i="4" s="1"/>
  <c r="AA251" i="4" s="1"/>
  <c r="AB251" i="4" s="1"/>
  <c r="AC251" i="4" s="1"/>
  <c r="AD251" i="4" s="1"/>
  <c r="AE251" i="4" s="1"/>
  <c r="AF251" i="4" s="1"/>
  <c r="B251" i="4" s="1"/>
  <c r="R250" i="4"/>
  <c r="S250" i="4" s="1"/>
  <c r="T250" i="4" s="1"/>
  <c r="U250" i="4" s="1"/>
  <c r="V250" i="4" s="1"/>
  <c r="W250" i="4" s="1"/>
  <c r="X250" i="4" s="1"/>
  <c r="Y250" i="4" s="1"/>
  <c r="Z250" i="4" s="1"/>
  <c r="AA250" i="4" s="1"/>
  <c r="AB250" i="4" s="1"/>
  <c r="AC250" i="4" s="1"/>
  <c r="AD250" i="4" s="1"/>
  <c r="AE250" i="4" s="1"/>
  <c r="AF250" i="4" s="1"/>
  <c r="B250" i="4" s="1"/>
  <c r="J250" i="4"/>
  <c r="K250" i="4" s="1"/>
  <c r="L250" i="4" s="1"/>
  <c r="M250" i="4" s="1"/>
  <c r="N250" i="4" s="1"/>
  <c r="O250" i="4" s="1"/>
  <c r="P250" i="4" s="1"/>
  <c r="Q250" i="4" s="1"/>
  <c r="D250" i="4"/>
  <c r="E250" i="4" s="1"/>
  <c r="F250" i="4" s="1"/>
  <c r="G250" i="4" s="1"/>
  <c r="H250" i="4" s="1"/>
  <c r="I250" i="4" s="1"/>
  <c r="H249" i="4"/>
  <c r="I249" i="4" s="1"/>
  <c r="J249" i="4" s="1"/>
  <c r="K249" i="4" s="1"/>
  <c r="L249" i="4" s="1"/>
  <c r="M249" i="4" s="1"/>
  <c r="N249" i="4" s="1"/>
  <c r="O249" i="4" s="1"/>
  <c r="P249" i="4" s="1"/>
  <c r="Q249" i="4" s="1"/>
  <c r="R249" i="4" s="1"/>
  <c r="S249" i="4" s="1"/>
  <c r="T249" i="4" s="1"/>
  <c r="U249" i="4" s="1"/>
  <c r="V249" i="4" s="1"/>
  <c r="W249" i="4" s="1"/>
  <c r="X249" i="4" s="1"/>
  <c r="Y249" i="4" s="1"/>
  <c r="Z249" i="4" s="1"/>
  <c r="AA249" i="4" s="1"/>
  <c r="AB249" i="4" s="1"/>
  <c r="AC249" i="4" s="1"/>
  <c r="AD249" i="4" s="1"/>
  <c r="AE249" i="4" s="1"/>
  <c r="AF249" i="4" s="1"/>
  <c r="B249" i="4" s="1"/>
  <c r="F249" i="4"/>
  <c r="G249" i="4" s="1"/>
  <c r="E249" i="4"/>
  <c r="D249" i="4"/>
  <c r="F248" i="4"/>
  <c r="G248" i="4" s="1"/>
  <c r="H248" i="4" s="1"/>
  <c r="I248" i="4" s="1"/>
  <c r="J248" i="4" s="1"/>
  <c r="K248" i="4" s="1"/>
  <c r="L248" i="4" s="1"/>
  <c r="M248" i="4" s="1"/>
  <c r="N248" i="4" s="1"/>
  <c r="O248" i="4" s="1"/>
  <c r="P248" i="4" s="1"/>
  <c r="Q248" i="4" s="1"/>
  <c r="R248" i="4" s="1"/>
  <c r="S248" i="4" s="1"/>
  <c r="T248" i="4" s="1"/>
  <c r="U248" i="4" s="1"/>
  <c r="V248" i="4" s="1"/>
  <c r="W248" i="4" s="1"/>
  <c r="X248" i="4" s="1"/>
  <c r="Y248" i="4" s="1"/>
  <c r="Z248" i="4" s="1"/>
  <c r="AA248" i="4" s="1"/>
  <c r="AB248" i="4" s="1"/>
  <c r="AC248" i="4" s="1"/>
  <c r="AD248" i="4" s="1"/>
  <c r="AE248" i="4" s="1"/>
  <c r="AF248" i="4" s="1"/>
  <c r="B248" i="4" s="1"/>
  <c r="D248" i="4"/>
  <c r="E248" i="4" s="1"/>
  <c r="F247" i="4"/>
  <c r="G247" i="4" s="1"/>
  <c r="H247" i="4" s="1"/>
  <c r="I247" i="4" s="1"/>
  <c r="J247" i="4" s="1"/>
  <c r="K247" i="4" s="1"/>
  <c r="L247" i="4" s="1"/>
  <c r="M247" i="4" s="1"/>
  <c r="N247" i="4" s="1"/>
  <c r="O247" i="4" s="1"/>
  <c r="P247" i="4" s="1"/>
  <c r="Q247" i="4" s="1"/>
  <c r="R247" i="4" s="1"/>
  <c r="S247" i="4" s="1"/>
  <c r="T247" i="4" s="1"/>
  <c r="U247" i="4" s="1"/>
  <c r="V247" i="4" s="1"/>
  <c r="W247" i="4" s="1"/>
  <c r="X247" i="4" s="1"/>
  <c r="Y247" i="4" s="1"/>
  <c r="Z247" i="4" s="1"/>
  <c r="AA247" i="4" s="1"/>
  <c r="AB247" i="4" s="1"/>
  <c r="AC247" i="4" s="1"/>
  <c r="AD247" i="4" s="1"/>
  <c r="AE247" i="4" s="1"/>
  <c r="AF247" i="4" s="1"/>
  <c r="B247" i="4" s="1"/>
  <c r="D247" i="4"/>
  <c r="E247" i="4" s="1"/>
  <c r="D246" i="4"/>
  <c r="AG244" i="4"/>
  <c r="AF244" i="4"/>
  <c r="AE244" i="4"/>
  <c r="AD244" i="4"/>
  <c r="AC244" i="4"/>
  <c r="AB244" i="4"/>
  <c r="AA244" i="4"/>
  <c r="Z244" i="4"/>
  <c r="Y244" i="4"/>
  <c r="X244" i="4"/>
  <c r="W244" i="4"/>
  <c r="V244" i="4"/>
  <c r="U244" i="4"/>
  <c r="T244" i="4"/>
  <c r="S244" i="4"/>
  <c r="R244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C244" i="4"/>
  <c r="B244" i="4"/>
  <c r="AI130" i="4"/>
  <c r="AH130" i="4"/>
  <c r="AI129" i="4"/>
  <c r="AH129" i="4"/>
  <c r="AI128" i="4"/>
  <c r="AH128" i="4"/>
  <c r="AI127" i="4"/>
  <c r="AH127" i="4"/>
  <c r="AI126" i="4"/>
  <c r="AH126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Q123" i="4"/>
  <c r="P123" i="4"/>
  <c r="O123" i="4"/>
  <c r="N123" i="4"/>
  <c r="M123" i="4"/>
  <c r="L123" i="4"/>
  <c r="J123" i="4"/>
  <c r="I123" i="4"/>
  <c r="H123" i="4"/>
  <c r="G123" i="4"/>
  <c r="F123" i="4"/>
  <c r="E123" i="4"/>
  <c r="D123" i="4"/>
  <c r="AI122" i="4"/>
  <c r="AH122" i="4"/>
  <c r="AI121" i="4"/>
  <c r="Q121" i="4"/>
  <c r="P121" i="4"/>
  <c r="O121" i="4"/>
  <c r="N121" i="4"/>
  <c r="AH121" i="4" s="1"/>
  <c r="AI120" i="4"/>
  <c r="AH120" i="4"/>
  <c r="AI119" i="4"/>
  <c r="AH119" i="4"/>
  <c r="C118" i="4"/>
  <c r="AI117" i="4"/>
  <c r="AH117" i="4"/>
  <c r="AI116" i="4"/>
  <c r="AH116" i="4"/>
  <c r="AI115" i="4"/>
  <c r="AH115" i="4"/>
  <c r="AI114" i="4"/>
  <c r="AH114" i="4"/>
  <c r="AI113" i="4"/>
  <c r="AH113" i="4"/>
  <c r="AI112" i="4"/>
  <c r="AH112" i="4"/>
  <c r="AI111" i="4"/>
  <c r="AH111" i="4"/>
  <c r="AI110" i="4"/>
  <c r="AH110" i="4"/>
  <c r="AI109" i="4"/>
  <c r="AH109" i="4"/>
  <c r="Y107" i="4"/>
  <c r="Q107" i="4"/>
  <c r="L107" i="4"/>
  <c r="I107" i="4"/>
  <c r="AI106" i="4"/>
  <c r="AH106" i="4"/>
  <c r="AF105" i="4"/>
  <c r="AE105" i="4"/>
  <c r="AE107" i="4" s="1"/>
  <c r="AD105" i="4"/>
  <c r="AC105" i="4"/>
  <c r="AB105" i="4"/>
  <c r="AA105" i="4"/>
  <c r="Z105" i="4"/>
  <c r="Y105" i="4"/>
  <c r="X105" i="4"/>
  <c r="W105" i="4"/>
  <c r="V105" i="4"/>
  <c r="U105" i="4"/>
  <c r="T105" i="4"/>
  <c r="T107" i="4" s="1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AF103" i="4"/>
  <c r="AE103" i="4"/>
  <c r="AD103" i="4"/>
  <c r="AC103" i="4"/>
  <c r="AB103" i="4"/>
  <c r="AB107" i="4" s="1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AH103" i="4" s="1"/>
  <c r="E103" i="4"/>
  <c r="D103" i="4"/>
  <c r="C103" i="4"/>
  <c r="B103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AI102" i="4" s="1"/>
  <c r="D102" i="4"/>
  <c r="C102" i="4"/>
  <c r="B102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AI101" i="4" s="1"/>
  <c r="AI98" i="4"/>
  <c r="AH98" i="4"/>
  <c r="AC97" i="4"/>
  <c r="AC99" i="4" s="1"/>
  <c r="AI96" i="4"/>
  <c r="AH96" i="4"/>
  <c r="AG96" i="4"/>
  <c r="AI95" i="4"/>
  <c r="AH95" i="4"/>
  <c r="AI94" i="4"/>
  <c r="AH94" i="4"/>
  <c r="AI93" i="4"/>
  <c r="AH93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Q108" i="4" s="1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AI91" i="4"/>
  <c r="AH91" i="4"/>
  <c r="AI90" i="4"/>
  <c r="AH90" i="4"/>
  <c r="AI89" i="4"/>
  <c r="AH89" i="4"/>
  <c r="AI88" i="4"/>
  <c r="AH88" i="4"/>
  <c r="AI87" i="4"/>
  <c r="AH87" i="4"/>
  <c r="AI86" i="4"/>
  <c r="AH86" i="4"/>
  <c r="AI85" i="4"/>
  <c r="AH85" i="4"/>
  <c r="AI84" i="4"/>
  <c r="AH84" i="4"/>
  <c r="AI83" i="4"/>
  <c r="AH83" i="4"/>
  <c r="AI82" i="4"/>
  <c r="AH82" i="4"/>
  <c r="AI81" i="4"/>
  <c r="AH81" i="4"/>
  <c r="BP80" i="4"/>
  <c r="BO80" i="4"/>
  <c r="AZ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AT20" i="4" s="1"/>
  <c r="J80" i="4"/>
  <c r="I80" i="4"/>
  <c r="H80" i="4"/>
  <c r="G80" i="4"/>
  <c r="F80" i="4"/>
  <c r="E80" i="4"/>
  <c r="D80" i="4"/>
  <c r="C80" i="4"/>
  <c r="AN20" i="4" s="1"/>
  <c r="B80" i="4"/>
  <c r="BJ79" i="4"/>
  <c r="BI79" i="4"/>
  <c r="AI79" i="4"/>
  <c r="AH79" i="4"/>
  <c r="BV78" i="4"/>
  <c r="BT78" i="4"/>
  <c r="BI78" i="4"/>
  <c r="BD78" i="4"/>
  <c r="AI78" i="4"/>
  <c r="AH78" i="4"/>
  <c r="BV77" i="4"/>
  <c r="BF77" i="4"/>
  <c r="BA77" i="4"/>
  <c r="AZ77" i="4"/>
  <c r="AI77" i="4"/>
  <c r="AH77" i="4"/>
  <c r="BW76" i="4"/>
  <c r="BS76" i="4"/>
  <c r="BP76" i="4"/>
  <c r="BO76" i="4"/>
  <c r="BH76" i="4"/>
  <c r="BF76" i="4"/>
  <c r="BC76" i="4"/>
  <c r="BA76" i="4"/>
  <c r="AZ76" i="4"/>
  <c r="AG76" i="4"/>
  <c r="AG3" i="4" s="1"/>
  <c r="AG6" i="4" s="1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AW18" i="4" s="1"/>
  <c r="N76" i="4"/>
  <c r="M76" i="4"/>
  <c r="L76" i="4"/>
  <c r="K76" i="4"/>
  <c r="J76" i="4"/>
  <c r="J97" i="4" s="1"/>
  <c r="J99" i="4" s="1"/>
  <c r="I76" i="4"/>
  <c r="AS18" i="4" s="1"/>
  <c r="H76" i="4"/>
  <c r="G76" i="4"/>
  <c r="AR18" i="4" s="1"/>
  <c r="F76" i="4"/>
  <c r="E76" i="4"/>
  <c r="D76" i="4"/>
  <c r="AO18" i="4" s="1"/>
  <c r="C76" i="4"/>
  <c r="B76" i="4"/>
  <c r="AH76" i="4" s="1"/>
  <c r="BW75" i="4"/>
  <c r="BU75" i="4"/>
  <c r="BS75" i="4"/>
  <c r="BR75" i="4"/>
  <c r="BP75" i="4"/>
  <c r="BM75" i="4"/>
  <c r="BK75" i="4"/>
  <c r="BJ75" i="4"/>
  <c r="BH75" i="4"/>
  <c r="BG75" i="4"/>
  <c r="BE75" i="4"/>
  <c r="BC75" i="4"/>
  <c r="BB75" i="4"/>
  <c r="AZ75" i="4"/>
  <c r="AI75" i="4"/>
  <c r="AH75" i="4"/>
  <c r="AG75" i="4"/>
  <c r="AI74" i="4"/>
  <c r="AH74" i="4"/>
  <c r="BW73" i="4"/>
  <c r="BW80" i="4" s="1"/>
  <c r="BV73" i="4"/>
  <c r="BV80" i="4" s="1"/>
  <c r="BU73" i="4"/>
  <c r="BU80" i="4" s="1"/>
  <c r="BT73" i="4"/>
  <c r="BT80" i="4" s="1"/>
  <c r="BS73" i="4"/>
  <c r="BS80" i="4" s="1"/>
  <c r="BR73" i="4"/>
  <c r="BR80" i="4" s="1"/>
  <c r="BQ73" i="4"/>
  <c r="BQ80" i="4" s="1"/>
  <c r="BP73" i="4"/>
  <c r="BO73" i="4"/>
  <c r="BN73" i="4"/>
  <c r="BN80" i="4" s="1"/>
  <c r="BM73" i="4"/>
  <c r="BM80" i="4" s="1"/>
  <c r="BL73" i="4"/>
  <c r="BL80" i="4" s="1"/>
  <c r="BK73" i="4"/>
  <c r="BK80" i="4" s="1"/>
  <c r="BJ73" i="4"/>
  <c r="BJ80" i="4" s="1"/>
  <c r="BI73" i="4"/>
  <c r="BI80" i="4" s="1"/>
  <c r="BH73" i="4"/>
  <c r="BH80" i="4" s="1"/>
  <c r="BG73" i="4"/>
  <c r="BG80" i="4" s="1"/>
  <c r="BF73" i="4"/>
  <c r="BF80" i="4" s="1"/>
  <c r="BE73" i="4"/>
  <c r="BE80" i="4" s="1"/>
  <c r="BD73" i="4"/>
  <c r="BD80" i="4" s="1"/>
  <c r="BC73" i="4"/>
  <c r="BC80" i="4" s="1"/>
  <c r="BB73" i="4"/>
  <c r="BB80" i="4" s="1"/>
  <c r="BA73" i="4"/>
  <c r="BA80" i="4" s="1"/>
  <c r="AZ73" i="4"/>
  <c r="AI73" i="4"/>
  <c r="AH73" i="4"/>
  <c r="BW72" i="4"/>
  <c r="BW79" i="4" s="1"/>
  <c r="BV72" i="4"/>
  <c r="BV79" i="4" s="1"/>
  <c r="BU72" i="4"/>
  <c r="BU79" i="4" s="1"/>
  <c r="BT72" i="4"/>
  <c r="BT79" i="4" s="1"/>
  <c r="BS72" i="4"/>
  <c r="BS79" i="4" s="1"/>
  <c r="BR72" i="4"/>
  <c r="BR79" i="4" s="1"/>
  <c r="BQ72" i="4"/>
  <c r="BQ79" i="4" s="1"/>
  <c r="BP72" i="4"/>
  <c r="BP79" i="4" s="1"/>
  <c r="BO72" i="4"/>
  <c r="BO79" i="4" s="1"/>
  <c r="BN72" i="4"/>
  <c r="BN79" i="4" s="1"/>
  <c r="BM72" i="4"/>
  <c r="BM79" i="4" s="1"/>
  <c r="BL72" i="4"/>
  <c r="BL79" i="4" s="1"/>
  <c r="BK72" i="4"/>
  <c r="BK79" i="4" s="1"/>
  <c r="BJ72" i="4"/>
  <c r="BI72" i="4"/>
  <c r="BH72" i="4"/>
  <c r="BH79" i="4" s="1"/>
  <c r="BG72" i="4"/>
  <c r="BG79" i="4" s="1"/>
  <c r="BF72" i="4"/>
  <c r="BF79" i="4" s="1"/>
  <c r="BE72" i="4"/>
  <c r="BE79" i="4" s="1"/>
  <c r="BD72" i="4"/>
  <c r="BD79" i="4" s="1"/>
  <c r="BC72" i="4"/>
  <c r="BC79" i="4" s="1"/>
  <c r="BB72" i="4"/>
  <c r="BB79" i="4" s="1"/>
  <c r="BA72" i="4"/>
  <c r="BA79" i="4" s="1"/>
  <c r="AZ72" i="4"/>
  <c r="AZ79" i="4" s="1"/>
  <c r="AI72" i="4"/>
  <c r="AH72" i="4"/>
  <c r="BW71" i="4"/>
  <c r="BW78" i="4" s="1"/>
  <c r="BV71" i="4"/>
  <c r="BU71" i="4"/>
  <c r="BU78" i="4" s="1"/>
  <c r="BT71" i="4"/>
  <c r="BS71" i="4"/>
  <c r="BS78" i="4" s="1"/>
  <c r="BR71" i="4"/>
  <c r="BR78" i="4" s="1"/>
  <c r="BQ71" i="4"/>
  <c r="BQ78" i="4" s="1"/>
  <c r="BP71" i="4"/>
  <c r="BP78" i="4" s="1"/>
  <c r="BO71" i="4"/>
  <c r="BO78" i="4" s="1"/>
  <c r="BN71" i="4"/>
  <c r="BN78" i="4" s="1"/>
  <c r="BM71" i="4"/>
  <c r="BM78" i="4" s="1"/>
  <c r="BL71" i="4"/>
  <c r="BL78" i="4" s="1"/>
  <c r="BK71" i="4"/>
  <c r="BK78" i="4" s="1"/>
  <c r="BJ71" i="4"/>
  <c r="BJ78" i="4" s="1"/>
  <c r="BI71" i="4"/>
  <c r="BH71" i="4"/>
  <c r="BH78" i="4" s="1"/>
  <c r="BG71" i="4"/>
  <c r="BG78" i="4" s="1"/>
  <c r="BF71" i="4"/>
  <c r="BF78" i="4" s="1"/>
  <c r="BE71" i="4"/>
  <c r="BE78" i="4" s="1"/>
  <c r="BD71" i="4"/>
  <c r="BC71" i="4"/>
  <c r="BC78" i="4" s="1"/>
  <c r="BB71" i="4"/>
  <c r="BB78" i="4" s="1"/>
  <c r="BA71" i="4"/>
  <c r="BA78" i="4" s="1"/>
  <c r="AZ71" i="4"/>
  <c r="AZ78" i="4" s="1"/>
  <c r="AI71" i="4"/>
  <c r="AH71" i="4"/>
  <c r="BW70" i="4"/>
  <c r="BW77" i="4" s="1"/>
  <c r="BV70" i="4"/>
  <c r="BU70" i="4"/>
  <c r="BU77" i="4" s="1"/>
  <c r="BT70" i="4"/>
  <c r="BT77" i="4" s="1"/>
  <c r="BS70" i="4"/>
  <c r="BS77" i="4" s="1"/>
  <c r="BR70" i="4"/>
  <c r="BR77" i="4" s="1"/>
  <c r="BQ70" i="4"/>
  <c r="BQ77" i="4" s="1"/>
  <c r="BP70" i="4"/>
  <c r="BP77" i="4" s="1"/>
  <c r="BO70" i="4"/>
  <c r="BO77" i="4" s="1"/>
  <c r="BN70" i="4"/>
  <c r="BN77" i="4" s="1"/>
  <c r="BM70" i="4"/>
  <c r="BM77" i="4" s="1"/>
  <c r="BL70" i="4"/>
  <c r="BL77" i="4" s="1"/>
  <c r="BK70" i="4"/>
  <c r="BK77" i="4" s="1"/>
  <c r="BJ70" i="4"/>
  <c r="BJ77" i="4" s="1"/>
  <c r="BI70" i="4"/>
  <c r="BI77" i="4" s="1"/>
  <c r="BH70" i="4"/>
  <c r="BH77" i="4" s="1"/>
  <c r="BG70" i="4"/>
  <c r="BG77" i="4" s="1"/>
  <c r="BF70" i="4"/>
  <c r="BE70" i="4"/>
  <c r="BE77" i="4" s="1"/>
  <c r="BD70" i="4"/>
  <c r="BD77" i="4" s="1"/>
  <c r="BC70" i="4"/>
  <c r="BC77" i="4" s="1"/>
  <c r="BB70" i="4"/>
  <c r="BB77" i="4" s="1"/>
  <c r="BA70" i="4"/>
  <c r="AZ70" i="4"/>
  <c r="AI70" i="4"/>
  <c r="AH70" i="4"/>
  <c r="BW69" i="4"/>
  <c r="BV69" i="4"/>
  <c r="BV76" i="4" s="1"/>
  <c r="BU69" i="4"/>
  <c r="BU76" i="4" s="1"/>
  <c r="BT69" i="4"/>
  <c r="BT76" i="4" s="1"/>
  <c r="BS69" i="4"/>
  <c r="BR69" i="4"/>
  <c r="BR76" i="4" s="1"/>
  <c r="BQ69" i="4"/>
  <c r="BQ76" i="4" s="1"/>
  <c r="BP69" i="4"/>
  <c r="BO69" i="4"/>
  <c r="BN69" i="4"/>
  <c r="BN76" i="4" s="1"/>
  <c r="BM69" i="4"/>
  <c r="BM76" i="4" s="1"/>
  <c r="BL69" i="4"/>
  <c r="BL76" i="4" s="1"/>
  <c r="BK69" i="4"/>
  <c r="BK76" i="4" s="1"/>
  <c r="BJ69" i="4"/>
  <c r="BJ76" i="4" s="1"/>
  <c r="BI69" i="4"/>
  <c r="BI76" i="4" s="1"/>
  <c r="BH69" i="4"/>
  <c r="BG69" i="4"/>
  <c r="BG76" i="4" s="1"/>
  <c r="BF69" i="4"/>
  <c r="BE69" i="4"/>
  <c r="BE76" i="4" s="1"/>
  <c r="BD69" i="4"/>
  <c r="BD76" i="4" s="1"/>
  <c r="BC69" i="4"/>
  <c r="BB69" i="4"/>
  <c r="BB76" i="4" s="1"/>
  <c r="BA69" i="4"/>
  <c r="AZ69" i="4"/>
  <c r="AI69" i="4"/>
  <c r="AH69" i="4"/>
  <c r="BW68" i="4"/>
  <c r="BV68" i="4"/>
  <c r="BV75" i="4" s="1"/>
  <c r="BU68" i="4"/>
  <c r="BT68" i="4"/>
  <c r="BT75" i="4" s="1"/>
  <c r="BS68" i="4"/>
  <c r="BR68" i="4"/>
  <c r="BQ68" i="4"/>
  <c r="BQ75" i="4" s="1"/>
  <c r="BP68" i="4"/>
  <c r="BO68" i="4"/>
  <c r="BO75" i="4" s="1"/>
  <c r="BN68" i="4"/>
  <c r="BN75" i="4" s="1"/>
  <c r="BM68" i="4"/>
  <c r="BL68" i="4"/>
  <c r="BL75" i="4" s="1"/>
  <c r="BK68" i="4"/>
  <c r="BJ68" i="4"/>
  <c r="BI68" i="4"/>
  <c r="BI75" i="4" s="1"/>
  <c r="BH68" i="4"/>
  <c r="BG68" i="4"/>
  <c r="BF68" i="4"/>
  <c r="BF75" i="4" s="1"/>
  <c r="BE68" i="4"/>
  <c r="BD68" i="4"/>
  <c r="BD75" i="4" s="1"/>
  <c r="BC68" i="4"/>
  <c r="BB68" i="4"/>
  <c r="BA68" i="4"/>
  <c r="BA75" i="4" s="1"/>
  <c r="AZ68" i="4"/>
  <c r="AI68" i="4"/>
  <c r="AH68" i="4"/>
  <c r="AI67" i="4"/>
  <c r="AH67" i="4"/>
  <c r="AI66" i="4"/>
  <c r="AH66" i="4"/>
  <c r="AI65" i="4"/>
  <c r="AH65" i="4"/>
  <c r="AI64" i="4"/>
  <c r="AH64" i="4"/>
  <c r="AI63" i="4"/>
  <c r="AH63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AW17" i="4" s="1"/>
  <c r="N62" i="4"/>
  <c r="AV17" i="4" s="1"/>
  <c r="M62" i="4"/>
  <c r="L62" i="4"/>
  <c r="K62" i="4"/>
  <c r="J62" i="4"/>
  <c r="I62" i="4"/>
  <c r="AS17" i="4" s="1"/>
  <c r="H62" i="4"/>
  <c r="G62" i="4"/>
  <c r="AR17" i="4" s="1"/>
  <c r="F62" i="4"/>
  <c r="AQ17" i="4" s="1"/>
  <c r="E62" i="4"/>
  <c r="D62" i="4"/>
  <c r="C62" i="4"/>
  <c r="B62" i="4"/>
  <c r="AI61" i="4"/>
  <c r="AH61" i="4"/>
  <c r="AI60" i="4"/>
  <c r="AH60" i="4"/>
  <c r="AI59" i="4"/>
  <c r="AH59" i="4"/>
  <c r="AG58" i="4"/>
  <c r="AF58" i="4"/>
  <c r="AF97" i="4" s="1"/>
  <c r="AF99" i="4" s="1"/>
  <c r="AE58" i="4"/>
  <c r="AE97" i="4" s="1"/>
  <c r="AE99" i="4" s="1"/>
  <c r="AE100" i="4" s="1"/>
  <c r="AE7" i="4" s="1"/>
  <c r="AD58" i="4"/>
  <c r="AC58" i="4"/>
  <c r="AB58" i="4"/>
  <c r="AA58" i="4"/>
  <c r="Z58" i="4"/>
  <c r="Z97" i="4" s="1"/>
  <c r="Z99" i="4" s="1"/>
  <c r="Y58" i="4"/>
  <c r="X58" i="4"/>
  <c r="X97" i="4" s="1"/>
  <c r="X99" i="4" s="1"/>
  <c r="W58" i="4"/>
  <c r="W97" i="4" s="1"/>
  <c r="W99" i="4" s="1"/>
  <c r="V58" i="4"/>
  <c r="U58" i="4"/>
  <c r="U97" i="4" s="1"/>
  <c r="U99" i="4" s="1"/>
  <c r="T58" i="4"/>
  <c r="S58" i="4"/>
  <c r="R58" i="4"/>
  <c r="R97" i="4" s="1"/>
  <c r="R99" i="4" s="1"/>
  <c r="Q58" i="4"/>
  <c r="P58" i="4"/>
  <c r="P97" i="4" s="1"/>
  <c r="P99" i="4" s="1"/>
  <c r="O58" i="4"/>
  <c r="N58" i="4"/>
  <c r="M58" i="4"/>
  <c r="M97" i="4" s="1"/>
  <c r="M99" i="4" s="1"/>
  <c r="L58" i="4"/>
  <c r="K58" i="4"/>
  <c r="J58" i="4"/>
  <c r="I58" i="4"/>
  <c r="AS16" i="4" s="1"/>
  <c r="H58" i="4"/>
  <c r="H97" i="4" s="1"/>
  <c r="H99" i="4" s="1"/>
  <c r="G58" i="4"/>
  <c r="G97" i="4" s="1"/>
  <c r="G99" i="4" s="1"/>
  <c r="F58" i="4"/>
  <c r="E58" i="4"/>
  <c r="E97" i="4" s="1"/>
  <c r="E99" i="4" s="1"/>
  <c r="D58" i="4"/>
  <c r="C58" i="4"/>
  <c r="B58" i="4"/>
  <c r="AI58" i="4" s="1"/>
  <c r="Q57" i="4"/>
  <c r="P57" i="4"/>
  <c r="O57" i="4"/>
  <c r="N57" i="4"/>
  <c r="M57" i="4"/>
  <c r="AI56" i="4"/>
  <c r="AH56" i="4"/>
  <c r="AI55" i="4"/>
  <c r="AH55" i="4"/>
  <c r="AI54" i="4"/>
  <c r="AH54" i="4"/>
  <c r="AI53" i="4"/>
  <c r="AH53" i="4"/>
  <c r="AI52" i="4"/>
  <c r="AH52" i="4"/>
  <c r="AI51" i="4"/>
  <c r="AH51" i="4"/>
  <c r="AI50" i="4"/>
  <c r="AH50" i="4"/>
  <c r="AI49" i="4"/>
  <c r="AH49" i="4"/>
  <c r="AI48" i="4"/>
  <c r="AH48" i="4"/>
  <c r="AI47" i="4"/>
  <c r="AH47" i="4"/>
  <c r="AI46" i="4"/>
  <c r="AH46" i="4"/>
  <c r="AI45" i="4"/>
  <c r="AH45" i="4"/>
  <c r="AI44" i="4"/>
  <c r="AH44" i="4"/>
  <c r="AI43" i="4"/>
  <c r="AH43" i="4"/>
  <c r="AI42" i="4"/>
  <c r="AH42" i="4"/>
  <c r="AI41" i="4"/>
  <c r="AH41" i="4"/>
  <c r="AI40" i="4"/>
  <c r="AH40" i="4"/>
  <c r="AI39" i="4"/>
  <c r="AH39" i="4"/>
  <c r="AI38" i="4"/>
  <c r="AH38" i="4"/>
  <c r="AI37" i="4"/>
  <c r="AH37" i="4"/>
  <c r="AI36" i="4"/>
  <c r="AH36" i="4"/>
  <c r="AI35" i="4"/>
  <c r="AH35" i="4"/>
  <c r="AI34" i="4"/>
  <c r="AH34" i="4"/>
  <c r="AI33" i="4"/>
  <c r="AH33" i="4"/>
  <c r="AI32" i="4"/>
  <c r="AH32" i="4"/>
  <c r="AI31" i="4"/>
  <c r="AH31" i="4"/>
  <c r="AI30" i="4"/>
  <c r="AH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AS23" i="4"/>
  <c r="AI23" i="4"/>
  <c r="AH23" i="4"/>
  <c r="AI22" i="4"/>
  <c r="AH22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I21" i="4"/>
  <c r="AH21" i="4"/>
  <c r="AX20" i="4"/>
  <c r="AW20" i="4"/>
  <c r="AV20" i="4"/>
  <c r="AU20" i="4"/>
  <c r="AS20" i="4"/>
  <c r="AR20" i="4"/>
  <c r="AQ20" i="4"/>
  <c r="AP20" i="4"/>
  <c r="AO20" i="4"/>
  <c r="AM20" i="4"/>
  <c r="AI20" i="4"/>
  <c r="AH20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I19" i="4"/>
  <c r="AH19" i="4"/>
  <c r="AX18" i="4"/>
  <c r="AV18" i="4"/>
  <c r="AU18" i="4"/>
  <c r="AT18" i="4"/>
  <c r="AQ18" i="4"/>
  <c r="AP18" i="4"/>
  <c r="AP22" i="4" s="1"/>
  <c r="AN18" i="4"/>
  <c r="AN22" i="4" s="1"/>
  <c r="AI18" i="4"/>
  <c r="AH18" i="4"/>
  <c r="AX17" i="4"/>
  <c r="AU17" i="4"/>
  <c r="AT17" i="4"/>
  <c r="AP17" i="4"/>
  <c r="AO17" i="4"/>
  <c r="AN17" i="4"/>
  <c r="AI17" i="4"/>
  <c r="AH17" i="4"/>
  <c r="AU16" i="4"/>
  <c r="AT16" i="4"/>
  <c r="AP16" i="4"/>
  <c r="AN16" i="4"/>
  <c r="AM16" i="4"/>
  <c r="AI16" i="4"/>
  <c r="AH16" i="4"/>
  <c r="AI15" i="4"/>
  <c r="AH15" i="4"/>
  <c r="AI14" i="4"/>
  <c r="AH14" i="4"/>
  <c r="AI13" i="4"/>
  <c r="AH13" i="4"/>
  <c r="AL12" i="4"/>
  <c r="AI12" i="4"/>
  <c r="AH12" i="4"/>
  <c r="AI11" i="4"/>
  <c r="AH11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G4" i="4"/>
  <c r="K4" i="4"/>
  <c r="E4" i="4"/>
  <c r="H4" i="4" s="1"/>
  <c r="B4" i="4"/>
  <c r="D258" i="4" s="1"/>
  <c r="AG2" i="4"/>
  <c r="J247" i="6" l="1"/>
  <c r="I252" i="6"/>
  <c r="K118" i="6"/>
  <c r="L246" i="6"/>
  <c r="AI108" i="5"/>
  <c r="AT9" i="5"/>
  <c r="AI100" i="5"/>
  <c r="AH100" i="5"/>
  <c r="B7" i="5"/>
  <c r="A7" i="5" s="1"/>
  <c r="I252" i="5"/>
  <c r="I118" i="5"/>
  <c r="J246" i="5"/>
  <c r="AF97" i="2"/>
  <c r="AF99" i="2" s="1"/>
  <c r="AF107" i="2"/>
  <c r="AF108" i="2" s="1"/>
  <c r="AE107" i="2"/>
  <c r="AE97" i="2"/>
  <c r="AE99" i="2" s="1"/>
  <c r="AE100" i="2" s="1"/>
  <c r="AE108" i="2"/>
  <c r="AD107" i="2"/>
  <c r="AD108" i="2" s="1"/>
  <c r="AD97" i="2"/>
  <c r="AD99" i="2" s="1"/>
  <c r="AD100" i="2" s="1"/>
  <c r="AC97" i="2"/>
  <c r="AC99" i="2" s="1"/>
  <c r="AC107" i="2"/>
  <c r="AC108" i="2"/>
  <c r="AL13" i="4"/>
  <c r="W100" i="4"/>
  <c r="W7" i="4" s="1"/>
  <c r="AW16" i="4"/>
  <c r="AW22" i="4" s="1"/>
  <c r="O97" i="4"/>
  <c r="O99" i="4" s="1"/>
  <c r="AC100" i="4"/>
  <c r="AC7" i="4" s="1"/>
  <c r="AI105" i="4"/>
  <c r="AM22" i="4"/>
  <c r="AI62" i="4"/>
  <c r="AH80" i="4"/>
  <c r="AI80" i="4"/>
  <c r="AR16" i="4"/>
  <c r="AR22" i="4" s="1"/>
  <c r="AR24" i="4" s="1"/>
  <c r="AE108" i="4"/>
  <c r="D97" i="4"/>
  <c r="D99" i="4" s="1"/>
  <c r="AO16" i="4"/>
  <c r="AO22" i="4" s="1"/>
  <c r="AO24" i="4" s="1"/>
  <c r="E107" i="4"/>
  <c r="AP23" i="4" s="1"/>
  <c r="AP24" i="4" s="1"/>
  <c r="U107" i="4"/>
  <c r="U108" i="4" s="1"/>
  <c r="AC107" i="4"/>
  <c r="AS22" i="4"/>
  <c r="AS24" i="4" s="1"/>
  <c r="G108" i="4"/>
  <c r="W108" i="4"/>
  <c r="AM18" i="4"/>
  <c r="AI76" i="4"/>
  <c r="B97" i="4"/>
  <c r="H108" i="4"/>
  <c r="AT22" i="4"/>
  <c r="L97" i="4"/>
  <c r="L99" i="4" s="1"/>
  <c r="L100" i="4" s="1"/>
  <c r="L7" i="4" s="1"/>
  <c r="T97" i="4"/>
  <c r="T99" i="4" s="1"/>
  <c r="T100" i="4" s="1"/>
  <c r="T7" i="4" s="1"/>
  <c r="AB97" i="4"/>
  <c r="AB99" i="4" s="1"/>
  <c r="AB100" i="4" s="1"/>
  <c r="AB7" i="4" s="1"/>
  <c r="AG99" i="4"/>
  <c r="G107" i="4"/>
  <c r="AR23" i="4" s="1"/>
  <c r="O107" i="4"/>
  <c r="AW23" i="4" s="1"/>
  <c r="W107" i="4"/>
  <c r="BG84" i="4" a="1"/>
  <c r="M107" i="4"/>
  <c r="AU23" i="4" s="1"/>
  <c r="AU22" i="4"/>
  <c r="AU24" i="4" s="1"/>
  <c r="E100" i="4"/>
  <c r="E7" i="4" s="1"/>
  <c r="U100" i="4"/>
  <c r="U7" i="4" s="1"/>
  <c r="AI57" i="4"/>
  <c r="AH57" i="4"/>
  <c r="F97" i="4"/>
  <c r="F99" i="4" s="1"/>
  <c r="AQ16" i="4"/>
  <c r="AQ22" i="4" s="1"/>
  <c r="N97" i="4"/>
  <c r="N99" i="4" s="1"/>
  <c r="N100" i="4" s="1"/>
  <c r="N7" i="4" s="1"/>
  <c r="AV16" i="4"/>
  <c r="AV22" i="4" s="1"/>
  <c r="V97" i="4"/>
  <c r="V99" i="4" s="1"/>
  <c r="AD97" i="4"/>
  <c r="AD99" i="4" s="1"/>
  <c r="AD100" i="4" s="1"/>
  <c r="AD7" i="4" s="1"/>
  <c r="L108" i="4"/>
  <c r="T108" i="4"/>
  <c r="AB108" i="4"/>
  <c r="D107" i="4"/>
  <c r="AO23" i="4" s="1"/>
  <c r="AM17" i="4"/>
  <c r="AC108" i="4"/>
  <c r="C107" i="4"/>
  <c r="AN23" i="4" s="1"/>
  <c r="AN24" i="4" s="1"/>
  <c r="AH101" i="4"/>
  <c r="K107" i="4"/>
  <c r="AT23" i="4" s="1"/>
  <c r="S107" i="4"/>
  <c r="AA107" i="4"/>
  <c r="AI123" i="4"/>
  <c r="AF100" i="4"/>
  <c r="AF7" i="4" s="1"/>
  <c r="F107" i="4"/>
  <c r="N107" i="4"/>
  <c r="V107" i="4"/>
  <c r="V108" i="4" s="1"/>
  <c r="AD107" i="4"/>
  <c r="AD108" i="4" s="1"/>
  <c r="AG97" i="4"/>
  <c r="I108" i="4"/>
  <c r="Y108" i="4"/>
  <c r="D252" i="4"/>
  <c r="E246" i="4"/>
  <c r="I97" i="4"/>
  <c r="I99" i="4" s="1"/>
  <c r="I100" i="4" s="1"/>
  <c r="I7" i="4" s="1"/>
  <c r="Q97" i="4"/>
  <c r="Q99" i="4" s="1"/>
  <c r="Q100" i="4" s="1"/>
  <c r="Q7" i="4" s="1"/>
  <c r="Y97" i="4"/>
  <c r="Y99" i="4" s="1"/>
  <c r="Y100" i="4" s="1"/>
  <c r="Y7" i="4" s="1"/>
  <c r="AH58" i="4"/>
  <c r="AH62" i="4"/>
  <c r="B108" i="4"/>
  <c r="AI92" i="4"/>
  <c r="J108" i="4"/>
  <c r="AH92" i="4"/>
  <c r="H107" i="4"/>
  <c r="H100" i="4" s="1"/>
  <c r="H7" i="4" s="1"/>
  <c r="P107" i="4"/>
  <c r="AX23" i="4" s="1"/>
  <c r="X107" i="4"/>
  <c r="X108" i="4" s="1"/>
  <c r="AF107" i="4"/>
  <c r="AF108" i="4" s="1"/>
  <c r="AH105" i="4"/>
  <c r="AX16" i="4"/>
  <c r="AX22" i="4" s="1"/>
  <c r="AX24" i="4" s="1"/>
  <c r="C97" i="4"/>
  <c r="C99" i="4" s="1"/>
  <c r="K97" i="4"/>
  <c r="K99" i="4" s="1"/>
  <c r="K100" i="4" s="1"/>
  <c r="K7" i="4" s="1"/>
  <c r="S97" i="4"/>
  <c r="S99" i="4" s="1"/>
  <c r="S100" i="4" s="1"/>
  <c r="S7" i="4" s="1"/>
  <c r="AA97" i="4"/>
  <c r="AA99" i="4" s="1"/>
  <c r="AA100" i="4" s="1"/>
  <c r="AA7" i="4" s="1"/>
  <c r="S108" i="4"/>
  <c r="AA108" i="4"/>
  <c r="AH102" i="4"/>
  <c r="B107" i="4"/>
  <c r="J107" i="4"/>
  <c r="J100" i="4" s="1"/>
  <c r="J7" i="4" s="1"/>
  <c r="R107" i="4"/>
  <c r="R108" i="4" s="1"/>
  <c r="Z107" i="4"/>
  <c r="Z100" i="4" s="1"/>
  <c r="Z7" i="4" s="1"/>
  <c r="AI103" i="4"/>
  <c r="AI104" i="4"/>
  <c r="D118" i="4"/>
  <c r="AH123" i="4"/>
  <c r="AH104" i="4"/>
  <c r="M246" i="6" l="1"/>
  <c r="L118" i="6"/>
  <c r="K247" i="6"/>
  <c r="J252" i="6"/>
  <c r="K246" i="5"/>
  <c r="J118" i="5"/>
  <c r="J252" i="5"/>
  <c r="AF100" i="2"/>
  <c r="AC100" i="2"/>
  <c r="AI107" i="4"/>
  <c r="AM23" i="4"/>
  <c r="AH107" i="4"/>
  <c r="X100" i="4"/>
  <c r="X7" i="4" s="1"/>
  <c r="O108" i="4"/>
  <c r="C100" i="4"/>
  <c r="C7" i="4" s="1"/>
  <c r="P100" i="4"/>
  <c r="P7" i="4" s="1"/>
  <c r="N108" i="4"/>
  <c r="AV23" i="4"/>
  <c r="AV24" i="4" s="1"/>
  <c r="V100" i="4"/>
  <c r="V7" i="4" s="1"/>
  <c r="AI97" i="4"/>
  <c r="B99" i="4"/>
  <c r="AH97" i="4"/>
  <c r="F246" i="4"/>
  <c r="E252" i="4"/>
  <c r="E118" i="4"/>
  <c r="F108" i="4"/>
  <c r="AQ23" i="4"/>
  <c r="AQ24" i="4" s="1"/>
  <c r="AT8" i="4"/>
  <c r="AM24" i="4"/>
  <c r="M100" i="4"/>
  <c r="M7" i="4" s="1"/>
  <c r="K108" i="4"/>
  <c r="BH107" i="4"/>
  <c r="BL105" i="4"/>
  <c r="BJ104" i="4"/>
  <c r="BH103" i="4"/>
  <c r="BL101" i="4"/>
  <c r="BJ100" i="4"/>
  <c r="BH99" i="4"/>
  <c r="BL97" i="4"/>
  <c r="BJ96" i="4"/>
  <c r="BH95" i="4"/>
  <c r="BL93" i="4"/>
  <c r="BJ92" i="4"/>
  <c r="BH91" i="4"/>
  <c r="BL89" i="4"/>
  <c r="BJ88" i="4"/>
  <c r="BH87" i="4"/>
  <c r="BL85" i="4"/>
  <c r="BJ84" i="4"/>
  <c r="BG107" i="4"/>
  <c r="BK105" i="4"/>
  <c r="BI104" i="4"/>
  <c r="BG103" i="4"/>
  <c r="BK101" i="4"/>
  <c r="BI100" i="4"/>
  <c r="BG99" i="4"/>
  <c r="BK97" i="4"/>
  <c r="BI96" i="4"/>
  <c r="BG95" i="4"/>
  <c r="BK93" i="4"/>
  <c r="BI92" i="4"/>
  <c r="BG91" i="4"/>
  <c r="BK89" i="4"/>
  <c r="BI88" i="4"/>
  <c r="BG87" i="4"/>
  <c r="BK85" i="4"/>
  <c r="BI84" i="4"/>
  <c r="BK106" i="4"/>
  <c r="BI105" i="4"/>
  <c r="BG104" i="4"/>
  <c r="BK102" i="4"/>
  <c r="BI101" i="4"/>
  <c r="BG100" i="4"/>
  <c r="BK98" i="4"/>
  <c r="BI97" i="4"/>
  <c r="BG96" i="4"/>
  <c r="BK94" i="4"/>
  <c r="BI93" i="4"/>
  <c r="BG92" i="4"/>
  <c r="BK90" i="4"/>
  <c r="BI89" i="4"/>
  <c r="BG88" i="4"/>
  <c r="BK86" i="4"/>
  <c r="BI85" i="4"/>
  <c r="BG84" i="4"/>
  <c r="BJ107" i="4"/>
  <c r="BH106" i="4"/>
  <c r="BL104" i="4"/>
  <c r="BJ103" i="4"/>
  <c r="BH102" i="4"/>
  <c r="BL100" i="4"/>
  <c r="BJ99" i="4"/>
  <c r="BH98" i="4"/>
  <c r="BL96" i="4"/>
  <c r="BJ95" i="4"/>
  <c r="BH94" i="4"/>
  <c r="BL92" i="4"/>
  <c r="BJ91" i="4"/>
  <c r="BH90" i="4"/>
  <c r="BL88" i="4"/>
  <c r="BJ87" i="4"/>
  <c r="BH86" i="4"/>
  <c r="BL84" i="4"/>
  <c r="BL107" i="4"/>
  <c r="BH105" i="4"/>
  <c r="BJ102" i="4"/>
  <c r="BL99" i="4"/>
  <c r="BH97" i="4"/>
  <c r="BJ94" i="4"/>
  <c r="BL91" i="4"/>
  <c r="BH89" i="4"/>
  <c r="BJ86" i="4"/>
  <c r="BK107" i="4"/>
  <c r="BG105" i="4"/>
  <c r="BI102" i="4"/>
  <c r="BK99" i="4"/>
  <c r="BG97" i="4"/>
  <c r="BI94" i="4"/>
  <c r="BK91" i="4"/>
  <c r="BG89" i="4"/>
  <c r="BI86" i="4"/>
  <c r="BI107" i="4"/>
  <c r="BK104" i="4"/>
  <c r="BG102" i="4"/>
  <c r="BI99" i="4"/>
  <c r="BK96" i="4"/>
  <c r="BG94" i="4"/>
  <c r="BI91" i="4"/>
  <c r="BK88" i="4"/>
  <c r="BG86" i="4"/>
  <c r="BL106" i="4"/>
  <c r="BH104" i="4"/>
  <c r="BJ101" i="4"/>
  <c r="BL98" i="4"/>
  <c r="BH96" i="4"/>
  <c r="BJ93" i="4"/>
  <c r="BL90" i="4"/>
  <c r="BH88" i="4"/>
  <c r="BJ85" i="4"/>
  <c r="BG106" i="4"/>
  <c r="BI103" i="4"/>
  <c r="BK100" i="4"/>
  <c r="BG98" i="4"/>
  <c r="BI95" i="4"/>
  <c r="BK92" i="4"/>
  <c r="BG90" i="4"/>
  <c r="BI87" i="4"/>
  <c r="BK84" i="4"/>
  <c r="BJ105" i="4"/>
  <c r="BL102" i="4"/>
  <c r="BH100" i="4"/>
  <c r="BJ97" i="4"/>
  <c r="BL94" i="4"/>
  <c r="BH92" i="4"/>
  <c r="BJ89" i="4"/>
  <c r="BL86" i="4"/>
  <c r="BH84" i="4"/>
  <c r="BI98" i="4"/>
  <c r="BK87" i="4"/>
  <c r="BG85" i="4"/>
  <c r="BG93" i="4"/>
  <c r="BJ106" i="4"/>
  <c r="BL95" i="4"/>
  <c r="BH85" i="4"/>
  <c r="BK103" i="4"/>
  <c r="BH101" i="4"/>
  <c r="BI106" i="4"/>
  <c r="BK95" i="4"/>
  <c r="BL103" i="4"/>
  <c r="BH93" i="4"/>
  <c r="BG101" i="4"/>
  <c r="BI90" i="4"/>
  <c r="BJ98" i="4"/>
  <c r="BL87" i="4"/>
  <c r="BJ90" i="4"/>
  <c r="G100" i="4"/>
  <c r="G7" i="4" s="1"/>
  <c r="M108" i="4"/>
  <c r="F100" i="4"/>
  <c r="F7" i="4" s="1"/>
  <c r="O100" i="4"/>
  <c r="O7" i="4" s="1"/>
  <c r="B256" i="4"/>
  <c r="K6" i="4" s="1"/>
  <c r="Z108" i="4"/>
  <c r="E108" i="4"/>
  <c r="R100" i="4"/>
  <c r="R7" i="4" s="1"/>
  <c r="P108" i="4"/>
  <c r="AW24" i="4"/>
  <c r="C256" i="4"/>
  <c r="D100" i="4"/>
  <c r="D7" i="4" s="1"/>
  <c r="C108" i="4"/>
  <c r="AH108" i="4" s="1"/>
  <c r="D108" i="4"/>
  <c r="AT24" i="4"/>
  <c r="L247" i="6" l="1"/>
  <c r="K252" i="6"/>
  <c r="N246" i="6"/>
  <c r="M118" i="6"/>
  <c r="K252" i="5"/>
  <c r="K118" i="5"/>
  <c r="L246" i="5"/>
  <c r="G246" i="4"/>
  <c r="F118" i="4"/>
  <c r="F252" i="4"/>
  <c r="AT9" i="4"/>
  <c r="AI108" i="4"/>
  <c r="B100" i="4"/>
  <c r="AH99" i="4"/>
  <c r="AI99" i="4"/>
  <c r="O246" i="6" l="1"/>
  <c r="N118" i="6"/>
  <c r="M247" i="6"/>
  <c r="L252" i="6"/>
  <c r="M246" i="5"/>
  <c r="L118" i="5"/>
  <c r="L252" i="5"/>
  <c r="AI100" i="4"/>
  <c r="AH100" i="4"/>
  <c r="B7" i="4"/>
  <c r="A7" i="4" s="1"/>
  <c r="H246" i="4"/>
  <c r="G118" i="4"/>
  <c r="G252" i="4"/>
  <c r="N247" i="6" l="1"/>
  <c r="M252" i="6"/>
  <c r="P246" i="6"/>
  <c r="O118" i="6"/>
  <c r="N246" i="5"/>
  <c r="M252" i="5"/>
  <c r="M118" i="5"/>
  <c r="I246" i="4"/>
  <c r="H118" i="4"/>
  <c r="H252" i="4"/>
  <c r="Q246" i="6" l="1"/>
  <c r="O247" i="6"/>
  <c r="N252" i="6"/>
  <c r="N252" i="5"/>
  <c r="N118" i="5"/>
  <c r="O246" i="5"/>
  <c r="I252" i="4"/>
  <c r="J246" i="4"/>
  <c r="I118" i="4"/>
  <c r="P247" i="6" l="1"/>
  <c r="O252" i="6"/>
  <c r="Q118" i="6"/>
  <c r="R246" i="6"/>
  <c r="P246" i="5"/>
  <c r="O252" i="5"/>
  <c r="O118" i="5"/>
  <c r="J252" i="4"/>
  <c r="K246" i="4"/>
  <c r="J118" i="4"/>
  <c r="Q247" i="6" l="1"/>
  <c r="P252" i="6"/>
  <c r="R118" i="6"/>
  <c r="S246" i="6"/>
  <c r="P252" i="5"/>
  <c r="Q246" i="5"/>
  <c r="K252" i="4"/>
  <c r="L246" i="4"/>
  <c r="K118" i="4"/>
  <c r="T246" i="6" l="1"/>
  <c r="R247" i="6"/>
  <c r="Q252" i="6"/>
  <c r="Q252" i="5"/>
  <c r="Q118" i="5"/>
  <c r="R246" i="5"/>
  <c r="L252" i="4"/>
  <c r="M246" i="4"/>
  <c r="L118" i="4"/>
  <c r="S247" i="6" l="1"/>
  <c r="R252" i="6"/>
  <c r="U246" i="6"/>
  <c r="R118" i="5"/>
  <c r="S246" i="5"/>
  <c r="R252" i="5"/>
  <c r="N246" i="4"/>
  <c r="M252" i="4"/>
  <c r="M118" i="4"/>
  <c r="V246" i="6" l="1"/>
  <c r="T247" i="6"/>
  <c r="S252" i="6"/>
  <c r="S252" i="5"/>
  <c r="T246" i="5"/>
  <c r="O246" i="4"/>
  <c r="N118" i="4"/>
  <c r="N252" i="4"/>
  <c r="W246" i="6" l="1"/>
  <c r="U247" i="6"/>
  <c r="T252" i="6"/>
  <c r="U246" i="5"/>
  <c r="T252" i="5"/>
  <c r="P246" i="4"/>
  <c r="O252" i="4"/>
  <c r="O118" i="4"/>
  <c r="X246" i="6" l="1"/>
  <c r="V247" i="6"/>
  <c r="U252" i="6"/>
  <c r="V246" i="5"/>
  <c r="U252" i="5"/>
  <c r="Q246" i="4"/>
  <c r="P252" i="4"/>
  <c r="Y246" i="6" l="1"/>
  <c r="W247" i="6"/>
  <c r="V252" i="6"/>
  <c r="V252" i="5"/>
  <c r="W246" i="5"/>
  <c r="Q118" i="4"/>
  <c r="Q252" i="4"/>
  <c r="R246" i="4"/>
  <c r="Z246" i="6" l="1"/>
  <c r="X247" i="6"/>
  <c r="W252" i="6"/>
  <c r="X246" i="5"/>
  <c r="W252" i="5"/>
  <c r="R118" i="4"/>
  <c r="R252" i="4"/>
  <c r="S246" i="4"/>
  <c r="Y247" i="6" l="1"/>
  <c r="X252" i="6"/>
  <c r="AA246" i="6"/>
  <c r="X252" i="5"/>
  <c r="X118" i="5"/>
  <c r="Y246" i="5"/>
  <c r="S252" i="4"/>
  <c r="T246" i="4"/>
  <c r="S118" i="4"/>
  <c r="Z247" i="6" l="1"/>
  <c r="Y252" i="6"/>
  <c r="AB246" i="6"/>
  <c r="Y252" i="5"/>
  <c r="Z246" i="5"/>
  <c r="T252" i="4"/>
  <c r="U246" i="4"/>
  <c r="T118" i="4"/>
  <c r="AB118" i="6" l="1"/>
  <c r="AC246" i="6"/>
  <c r="AA247" i="6"/>
  <c r="Z252" i="6"/>
  <c r="AA246" i="5"/>
  <c r="Z252" i="5"/>
  <c r="V246" i="4"/>
  <c r="U252" i="4"/>
  <c r="U118" i="4"/>
  <c r="AB247" i="6" l="1"/>
  <c r="AA252" i="6"/>
  <c r="AD246" i="6"/>
  <c r="AC118" i="6"/>
  <c r="AA252" i="5"/>
  <c r="AB246" i="5"/>
  <c r="AA118" i="5"/>
  <c r="W246" i="4"/>
  <c r="V252" i="4"/>
  <c r="V118" i="4"/>
  <c r="AC247" i="6" l="1"/>
  <c r="AB252" i="6"/>
  <c r="AE246" i="6"/>
  <c r="AB252" i="5"/>
  <c r="AC246" i="5"/>
  <c r="X246" i="4"/>
  <c r="W118" i="4"/>
  <c r="W252" i="4"/>
  <c r="AD247" i="6" l="1"/>
  <c r="AC252" i="6"/>
  <c r="AF246" i="6"/>
  <c r="AD246" i="5"/>
  <c r="AC252" i="5"/>
  <c r="AC118" i="5"/>
  <c r="Y246" i="4"/>
  <c r="X252" i="4"/>
  <c r="X118" i="4"/>
  <c r="AE247" i="6" l="1"/>
  <c r="AD252" i="6"/>
  <c r="B246" i="6"/>
  <c r="B118" i="6" s="1"/>
  <c r="AD252" i="5"/>
  <c r="AD118" i="5"/>
  <c r="AE246" i="5"/>
  <c r="Y118" i="4"/>
  <c r="Y252" i="4"/>
  <c r="Z246" i="4"/>
  <c r="AF247" i="6" l="1"/>
  <c r="AE252" i="6"/>
  <c r="AF246" i="5"/>
  <c r="AE252" i="5"/>
  <c r="Z118" i="4"/>
  <c r="Z252" i="4"/>
  <c r="AA246" i="4"/>
  <c r="B247" i="6" l="1"/>
  <c r="B252" i="6" s="1"/>
  <c r="AF252" i="6"/>
  <c r="AI118" i="6"/>
  <c r="AH118" i="6"/>
  <c r="AF252" i="5"/>
  <c r="B246" i="5"/>
  <c r="AA252" i="4"/>
  <c r="AB246" i="4"/>
  <c r="AA118" i="4"/>
  <c r="B252" i="5" l="1"/>
  <c r="AB252" i="4"/>
  <c r="AC246" i="4"/>
  <c r="AB118" i="4"/>
  <c r="AI118" i="5" l="1"/>
  <c r="AH118" i="5"/>
  <c r="AD246" i="4"/>
  <c r="AC252" i="4"/>
  <c r="AC118" i="4"/>
  <c r="AE246" i="4" l="1"/>
  <c r="AD252" i="4"/>
  <c r="AD118" i="4"/>
  <c r="AF246" i="4" l="1"/>
  <c r="AE118" i="4"/>
  <c r="AE252" i="4"/>
  <c r="AF118" i="4" l="1"/>
  <c r="AF252" i="4"/>
  <c r="B246" i="4"/>
  <c r="B118" i="4" l="1"/>
  <c r="B252" i="4"/>
  <c r="AI118" i="4" l="1"/>
  <c r="AH118" i="4"/>
  <c r="C142" i="2" l="1"/>
  <c r="D140" i="2"/>
  <c r="E140" i="2"/>
  <c r="F140" i="2"/>
  <c r="G140" i="2"/>
  <c r="C140" i="2"/>
  <c r="AB123" i="2"/>
  <c r="AB58" i="2"/>
  <c r="AB62" i="2"/>
  <c r="AB76" i="2"/>
  <c r="AB80" i="2"/>
  <c r="AB92" i="2"/>
  <c r="AB101" i="2"/>
  <c r="AB107" i="2" s="1"/>
  <c r="AB102" i="2"/>
  <c r="AB103" i="2"/>
  <c r="AB104" i="2"/>
  <c r="AB105" i="2"/>
  <c r="AB118" i="2"/>
  <c r="AA123" i="2"/>
  <c r="Z123" i="2"/>
  <c r="AB97" i="2" l="1"/>
  <c r="AB99" i="2" s="1"/>
  <c r="AB100" i="2" s="1"/>
  <c r="AB108" i="2"/>
  <c r="Y123" i="2"/>
  <c r="X123" i="2"/>
  <c r="W123" i="2"/>
  <c r="V58" i="2"/>
  <c r="V62" i="2"/>
  <c r="V76" i="2"/>
  <c r="V80" i="2"/>
  <c r="V92" i="2"/>
  <c r="V101" i="2"/>
  <c r="V102" i="2"/>
  <c r="V103" i="2"/>
  <c r="V104" i="2"/>
  <c r="V105" i="2"/>
  <c r="V118" i="2"/>
  <c r="U123" i="2"/>
  <c r="V108" i="2" l="1"/>
  <c r="V97" i="2"/>
  <c r="V99" i="2" s="1"/>
  <c r="V100" i="2" s="1"/>
  <c r="T123" i="2"/>
  <c r="T57" i="2" l="1"/>
  <c r="S57" i="2"/>
  <c r="S58" i="2"/>
  <c r="S62" i="2"/>
  <c r="S76" i="2"/>
  <c r="S80" i="2"/>
  <c r="S92" i="2"/>
  <c r="S101" i="2"/>
  <c r="S102" i="2"/>
  <c r="S103" i="2"/>
  <c r="S104" i="2"/>
  <c r="S105" i="2"/>
  <c r="S123" i="2"/>
  <c r="S118" i="2" s="1"/>
  <c r="R123" i="2"/>
  <c r="R121" i="2"/>
  <c r="R57" i="2"/>
  <c r="Q123" i="2"/>
  <c r="Q121" i="2"/>
  <c r="Q57" i="2"/>
  <c r="P123" i="2"/>
  <c r="P121" i="2"/>
  <c r="P57" i="2"/>
  <c r="O123" i="2"/>
  <c r="O121" i="2"/>
  <c r="O57" i="2"/>
  <c r="N123" i="2"/>
  <c r="N121" i="2"/>
  <c r="N57" i="2"/>
  <c r="AG252" i="2"/>
  <c r="C252" i="2"/>
  <c r="L251" i="2"/>
  <c r="M251" i="2" s="1"/>
  <c r="N251" i="2" s="1"/>
  <c r="O251" i="2" s="1"/>
  <c r="P251" i="2" s="1"/>
  <c r="Q251" i="2" s="1"/>
  <c r="R251" i="2" s="1"/>
  <c r="S251" i="2" s="1"/>
  <c r="T251" i="2" s="1"/>
  <c r="U251" i="2" s="1"/>
  <c r="V251" i="2" s="1"/>
  <c r="W251" i="2" s="1"/>
  <c r="X251" i="2" s="1"/>
  <c r="Y251" i="2" s="1"/>
  <c r="Z251" i="2" s="1"/>
  <c r="AA251" i="2" s="1"/>
  <c r="AB251" i="2" s="1"/>
  <c r="AC251" i="2" s="1"/>
  <c r="AD251" i="2" s="1"/>
  <c r="AE251" i="2" s="1"/>
  <c r="AF251" i="2" s="1"/>
  <c r="B251" i="2" s="1"/>
  <c r="F251" i="2"/>
  <c r="G251" i="2" s="1"/>
  <c r="H251" i="2" s="1"/>
  <c r="I251" i="2" s="1"/>
  <c r="J251" i="2" s="1"/>
  <c r="K251" i="2" s="1"/>
  <c r="D251" i="2"/>
  <c r="E251" i="2" s="1"/>
  <c r="J250" i="2"/>
  <c r="K250" i="2" s="1"/>
  <c r="L250" i="2" s="1"/>
  <c r="M250" i="2" s="1"/>
  <c r="N250" i="2" s="1"/>
  <c r="O250" i="2" s="1"/>
  <c r="P250" i="2" s="1"/>
  <c r="Q250" i="2" s="1"/>
  <c r="R250" i="2" s="1"/>
  <c r="S250" i="2" s="1"/>
  <c r="T250" i="2" s="1"/>
  <c r="U250" i="2" s="1"/>
  <c r="V250" i="2" s="1"/>
  <c r="W250" i="2" s="1"/>
  <c r="X250" i="2" s="1"/>
  <c r="Y250" i="2" s="1"/>
  <c r="Z250" i="2" s="1"/>
  <c r="AA250" i="2" s="1"/>
  <c r="AB250" i="2" s="1"/>
  <c r="AC250" i="2" s="1"/>
  <c r="AD250" i="2" s="1"/>
  <c r="AE250" i="2" s="1"/>
  <c r="AF250" i="2" s="1"/>
  <c r="B250" i="2" s="1"/>
  <c r="D250" i="2"/>
  <c r="E250" i="2" s="1"/>
  <c r="F250" i="2" s="1"/>
  <c r="G250" i="2" s="1"/>
  <c r="H250" i="2" s="1"/>
  <c r="I250" i="2" s="1"/>
  <c r="H249" i="2"/>
  <c r="I249" i="2" s="1"/>
  <c r="J249" i="2" s="1"/>
  <c r="K249" i="2" s="1"/>
  <c r="L249" i="2" s="1"/>
  <c r="M249" i="2" s="1"/>
  <c r="N249" i="2" s="1"/>
  <c r="O249" i="2" s="1"/>
  <c r="P249" i="2" s="1"/>
  <c r="Q249" i="2" s="1"/>
  <c r="R249" i="2" s="1"/>
  <c r="S249" i="2" s="1"/>
  <c r="T249" i="2" s="1"/>
  <c r="U249" i="2" s="1"/>
  <c r="V249" i="2" s="1"/>
  <c r="W249" i="2" s="1"/>
  <c r="X249" i="2" s="1"/>
  <c r="Y249" i="2" s="1"/>
  <c r="Z249" i="2" s="1"/>
  <c r="AA249" i="2" s="1"/>
  <c r="AB249" i="2" s="1"/>
  <c r="AC249" i="2" s="1"/>
  <c r="AD249" i="2" s="1"/>
  <c r="AE249" i="2" s="1"/>
  <c r="AF249" i="2" s="1"/>
  <c r="B249" i="2" s="1"/>
  <c r="D249" i="2"/>
  <c r="E249" i="2" s="1"/>
  <c r="F249" i="2" s="1"/>
  <c r="G249" i="2" s="1"/>
  <c r="H248" i="2"/>
  <c r="I248" i="2" s="1"/>
  <c r="J248" i="2" s="1"/>
  <c r="K248" i="2" s="1"/>
  <c r="L248" i="2" s="1"/>
  <c r="M248" i="2" s="1"/>
  <c r="N248" i="2" s="1"/>
  <c r="O248" i="2" s="1"/>
  <c r="P248" i="2" s="1"/>
  <c r="Q248" i="2" s="1"/>
  <c r="R248" i="2" s="1"/>
  <c r="S248" i="2" s="1"/>
  <c r="T248" i="2" s="1"/>
  <c r="U248" i="2" s="1"/>
  <c r="V248" i="2" s="1"/>
  <c r="W248" i="2" s="1"/>
  <c r="X248" i="2" s="1"/>
  <c r="Y248" i="2" s="1"/>
  <c r="Z248" i="2" s="1"/>
  <c r="AA248" i="2" s="1"/>
  <c r="AB248" i="2" s="1"/>
  <c r="AC248" i="2" s="1"/>
  <c r="AD248" i="2" s="1"/>
  <c r="AE248" i="2" s="1"/>
  <c r="AF248" i="2" s="1"/>
  <c r="B248" i="2" s="1"/>
  <c r="F248" i="2"/>
  <c r="G248" i="2" s="1"/>
  <c r="E248" i="2"/>
  <c r="D248" i="2"/>
  <c r="D247" i="2"/>
  <c r="E247" i="2" s="1"/>
  <c r="F247" i="2" s="1"/>
  <c r="G247" i="2" s="1"/>
  <c r="H247" i="2" s="1"/>
  <c r="I247" i="2" s="1"/>
  <c r="J247" i="2" s="1"/>
  <c r="K247" i="2" s="1"/>
  <c r="L247" i="2" s="1"/>
  <c r="M247" i="2" s="1"/>
  <c r="N247" i="2" s="1"/>
  <c r="O247" i="2" s="1"/>
  <c r="P247" i="2" s="1"/>
  <c r="Q247" i="2" s="1"/>
  <c r="R247" i="2" s="1"/>
  <c r="S247" i="2" s="1"/>
  <c r="T247" i="2" s="1"/>
  <c r="U247" i="2" s="1"/>
  <c r="V247" i="2" s="1"/>
  <c r="W247" i="2" s="1"/>
  <c r="X247" i="2" s="1"/>
  <c r="Y247" i="2" s="1"/>
  <c r="Z247" i="2" s="1"/>
  <c r="AA247" i="2" s="1"/>
  <c r="AB247" i="2" s="1"/>
  <c r="AC247" i="2" s="1"/>
  <c r="AD247" i="2" s="1"/>
  <c r="AE247" i="2" s="1"/>
  <c r="AF247" i="2" s="1"/>
  <c r="B247" i="2" s="1"/>
  <c r="D246" i="2"/>
  <c r="AG244" i="2"/>
  <c r="AF244" i="2"/>
  <c r="AE244" i="2"/>
  <c r="AD244" i="2"/>
  <c r="AC244" i="2"/>
  <c r="AB244" i="2"/>
  <c r="AA244" i="2"/>
  <c r="Z244" i="2"/>
  <c r="Y244" i="2"/>
  <c r="Y118" i="2" s="1"/>
  <c r="X244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AI130" i="2"/>
  <c r="AH130" i="2"/>
  <c r="AI129" i="2"/>
  <c r="AH129" i="2"/>
  <c r="AI128" i="2"/>
  <c r="AH128" i="2"/>
  <c r="AI127" i="2"/>
  <c r="AH127" i="2"/>
  <c r="AI126" i="2"/>
  <c r="AH126" i="2"/>
  <c r="AI125" i="2"/>
  <c r="AH125" i="2"/>
  <c r="AI124" i="2"/>
  <c r="AH124" i="2"/>
  <c r="L123" i="2"/>
  <c r="K123" i="2"/>
  <c r="J123" i="2"/>
  <c r="I123" i="2"/>
  <c r="H123" i="2"/>
  <c r="G123" i="2"/>
  <c r="F123" i="2"/>
  <c r="E123" i="2"/>
  <c r="AI122" i="2"/>
  <c r="AH122" i="2"/>
  <c r="M121" i="2"/>
  <c r="AI121" i="2" s="1"/>
  <c r="AI120" i="2"/>
  <c r="AH120" i="2"/>
  <c r="AI119" i="2"/>
  <c r="AH119" i="2"/>
  <c r="Z118" i="2"/>
  <c r="D118" i="2"/>
  <c r="C118" i="2"/>
  <c r="AI117" i="2"/>
  <c r="AH117" i="2"/>
  <c r="AI116" i="2"/>
  <c r="AH116" i="2"/>
  <c r="AI115" i="2"/>
  <c r="AH115" i="2"/>
  <c r="AI114" i="2"/>
  <c r="AH114" i="2"/>
  <c r="AI113" i="2"/>
  <c r="AH113" i="2"/>
  <c r="AI112" i="2"/>
  <c r="AH112" i="2"/>
  <c r="AI111" i="2"/>
  <c r="AH111" i="2"/>
  <c r="AI110" i="2"/>
  <c r="AH110" i="2"/>
  <c r="AI109" i="2"/>
  <c r="AH109" i="2"/>
  <c r="C107" i="2"/>
  <c r="AI106" i="2"/>
  <c r="AH106" i="2"/>
  <c r="AA105" i="2"/>
  <c r="Z105" i="2"/>
  <c r="Y105" i="2"/>
  <c r="X105" i="2"/>
  <c r="W105" i="2"/>
  <c r="U105" i="2"/>
  <c r="T105" i="2"/>
  <c r="R105" i="2"/>
  <c r="Q105" i="2"/>
  <c r="P105" i="2"/>
  <c r="O105" i="2"/>
  <c r="N105" i="2"/>
  <c r="M105" i="2"/>
  <c r="L105" i="2"/>
  <c r="K105" i="2"/>
  <c r="K107" i="2" s="1"/>
  <c r="J105" i="2"/>
  <c r="I105" i="2"/>
  <c r="H105" i="2"/>
  <c r="G105" i="2"/>
  <c r="F105" i="2"/>
  <c r="E105" i="2"/>
  <c r="D105" i="2"/>
  <c r="C105" i="2"/>
  <c r="B105" i="2"/>
  <c r="AA104" i="2"/>
  <c r="Z104" i="2"/>
  <c r="Y104" i="2"/>
  <c r="X104" i="2"/>
  <c r="W104" i="2"/>
  <c r="U104" i="2"/>
  <c r="T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A103" i="2"/>
  <c r="Z103" i="2"/>
  <c r="Y103" i="2"/>
  <c r="X103" i="2"/>
  <c r="W103" i="2"/>
  <c r="U103" i="2"/>
  <c r="T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A102" i="2"/>
  <c r="Z102" i="2"/>
  <c r="Y102" i="2"/>
  <c r="X102" i="2"/>
  <c r="W102" i="2"/>
  <c r="U102" i="2"/>
  <c r="T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F107" i="2" s="1"/>
  <c r="E102" i="2"/>
  <c r="D102" i="2"/>
  <c r="C102" i="2"/>
  <c r="B102" i="2"/>
  <c r="AA101" i="2"/>
  <c r="Z101" i="2"/>
  <c r="Y101" i="2"/>
  <c r="X101" i="2"/>
  <c r="W101" i="2"/>
  <c r="U101" i="2"/>
  <c r="T101" i="2"/>
  <c r="R101" i="2"/>
  <c r="Q101" i="2"/>
  <c r="P101" i="2"/>
  <c r="O101" i="2"/>
  <c r="N101" i="2"/>
  <c r="M101" i="2"/>
  <c r="L101" i="2"/>
  <c r="K101" i="2"/>
  <c r="J101" i="2"/>
  <c r="I101" i="2"/>
  <c r="I107" i="2" s="1"/>
  <c r="H101" i="2"/>
  <c r="H107" i="2" s="1"/>
  <c r="H108" i="2" s="1"/>
  <c r="G101" i="2"/>
  <c r="F101" i="2"/>
  <c r="E101" i="2"/>
  <c r="D101" i="2"/>
  <c r="C101" i="2"/>
  <c r="B101" i="2"/>
  <c r="AI98" i="2"/>
  <c r="AH98" i="2"/>
  <c r="AI96" i="2"/>
  <c r="AH96" i="2"/>
  <c r="AG96" i="2"/>
  <c r="AI95" i="2"/>
  <c r="AH95" i="2"/>
  <c r="AI94" i="2"/>
  <c r="AH94" i="2"/>
  <c r="AI93" i="2"/>
  <c r="AH93" i="2"/>
  <c r="AG92" i="2"/>
  <c r="AC5" i="2"/>
  <c r="AA92" i="2"/>
  <c r="Z92" i="2"/>
  <c r="Y5" i="2" s="1"/>
  <c r="Y92" i="2"/>
  <c r="X92" i="2"/>
  <c r="W5" i="2" s="1"/>
  <c r="W92" i="2"/>
  <c r="V5" i="2" s="1"/>
  <c r="U5" i="2"/>
  <c r="U92" i="2"/>
  <c r="T5" i="2" s="1"/>
  <c r="T92" i="2"/>
  <c r="S5" i="2" s="1"/>
  <c r="R92" i="2"/>
  <c r="Q5" i="2" s="1"/>
  <c r="Q92" i="2"/>
  <c r="P92" i="2"/>
  <c r="O92" i="2"/>
  <c r="N5" i="2" s="1"/>
  <c r="N92" i="2"/>
  <c r="M5" i="2" s="1"/>
  <c r="M92" i="2"/>
  <c r="L92" i="2"/>
  <c r="K92" i="2"/>
  <c r="J92" i="2"/>
  <c r="I92" i="2"/>
  <c r="I108" i="2" s="1"/>
  <c r="H92" i="2"/>
  <c r="G92" i="2"/>
  <c r="F92" i="2"/>
  <c r="E5" i="2" s="1"/>
  <c r="E92" i="2"/>
  <c r="D92" i="2"/>
  <c r="C92" i="2"/>
  <c r="B92" i="2"/>
  <c r="AI91" i="2"/>
  <c r="AH91" i="2"/>
  <c r="AI90" i="2"/>
  <c r="AH90" i="2"/>
  <c r="AI89" i="2"/>
  <c r="AH89" i="2"/>
  <c r="AI88" i="2"/>
  <c r="AH88" i="2"/>
  <c r="AI87" i="2"/>
  <c r="AH87" i="2"/>
  <c r="AI86" i="2"/>
  <c r="AH86" i="2"/>
  <c r="AI85" i="2"/>
  <c r="AH85" i="2"/>
  <c r="AI84" i="2"/>
  <c r="AH84" i="2"/>
  <c r="AI83" i="2"/>
  <c r="AH83" i="2"/>
  <c r="AI82" i="2"/>
  <c r="AH82" i="2"/>
  <c r="AI81" i="2"/>
  <c r="AH81" i="2"/>
  <c r="BW80" i="2"/>
  <c r="BF80" i="2"/>
  <c r="BC80" i="2"/>
  <c r="AG80" i="2"/>
  <c r="AA80" i="2"/>
  <c r="Z80" i="2"/>
  <c r="Y80" i="2"/>
  <c r="X80" i="2"/>
  <c r="W80" i="2"/>
  <c r="U80" i="2"/>
  <c r="T80" i="2"/>
  <c r="R80" i="2"/>
  <c r="Q80" i="2"/>
  <c r="P80" i="2"/>
  <c r="O80" i="2"/>
  <c r="N80" i="2"/>
  <c r="M80" i="2"/>
  <c r="L80" i="2"/>
  <c r="K80" i="2"/>
  <c r="J80" i="2"/>
  <c r="I80" i="2"/>
  <c r="H80" i="2"/>
  <c r="H97" i="2" s="1"/>
  <c r="H99" i="2" s="1"/>
  <c r="H100" i="2" s="1"/>
  <c r="H7" i="2" s="1"/>
  <c r="G80" i="2"/>
  <c r="F80" i="2"/>
  <c r="E80" i="2"/>
  <c r="D80" i="2"/>
  <c r="C80" i="2"/>
  <c r="B80" i="2"/>
  <c r="BQ79" i="2"/>
  <c r="BH79" i="2"/>
  <c r="BB79" i="2"/>
  <c r="AZ79" i="2"/>
  <c r="AI79" i="2"/>
  <c r="AH79" i="2"/>
  <c r="BW78" i="2"/>
  <c r="BT78" i="2"/>
  <c r="BG78" i="2"/>
  <c r="BE78" i="2"/>
  <c r="BC78" i="2"/>
  <c r="BB78" i="2"/>
  <c r="AI78" i="2"/>
  <c r="AH78" i="2"/>
  <c r="BT77" i="2"/>
  <c r="BN77" i="2"/>
  <c r="BA77" i="2"/>
  <c r="AI77" i="2"/>
  <c r="AH77" i="2"/>
  <c r="BW76" i="2"/>
  <c r="BS76" i="2"/>
  <c r="BP76" i="2"/>
  <c r="BN76" i="2"/>
  <c r="BH76" i="2"/>
  <c r="BF76" i="2"/>
  <c r="BC76" i="2"/>
  <c r="AZ76" i="2"/>
  <c r="AG76" i="2"/>
  <c r="AG3" i="2" s="1"/>
  <c r="AA76" i="2"/>
  <c r="Z76" i="2"/>
  <c r="Y76" i="2"/>
  <c r="X76" i="2"/>
  <c r="W76" i="2"/>
  <c r="U76" i="2"/>
  <c r="T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BW75" i="2"/>
  <c r="BG75" i="2"/>
  <c r="BE75" i="2"/>
  <c r="BB75" i="2"/>
  <c r="AI75" i="2"/>
  <c r="AH75" i="2"/>
  <c r="AG75" i="2"/>
  <c r="AI74" i="2"/>
  <c r="AH74" i="2"/>
  <c r="BW73" i="2"/>
  <c r="BV73" i="2"/>
  <c r="BV80" i="2" s="1"/>
  <c r="BU73" i="2"/>
  <c r="BU80" i="2" s="1"/>
  <c r="BT73" i="2"/>
  <c r="BT80" i="2" s="1"/>
  <c r="BS73" i="2"/>
  <c r="BS80" i="2" s="1"/>
  <c r="BR73" i="2"/>
  <c r="BR80" i="2" s="1"/>
  <c r="BQ73" i="2"/>
  <c r="BQ80" i="2" s="1"/>
  <c r="BP73" i="2"/>
  <c r="BP80" i="2" s="1"/>
  <c r="BO73" i="2"/>
  <c r="BO80" i="2" s="1"/>
  <c r="BN73" i="2"/>
  <c r="BN80" i="2" s="1"/>
  <c r="BM73" i="2"/>
  <c r="BM80" i="2" s="1"/>
  <c r="BL73" i="2"/>
  <c r="BL80" i="2" s="1"/>
  <c r="BK73" i="2"/>
  <c r="BK80" i="2" s="1"/>
  <c r="BJ73" i="2"/>
  <c r="BJ80" i="2" s="1"/>
  <c r="BI73" i="2"/>
  <c r="BI80" i="2" s="1"/>
  <c r="BH73" i="2"/>
  <c r="BH80" i="2" s="1"/>
  <c r="BG73" i="2"/>
  <c r="BG80" i="2" s="1"/>
  <c r="BF73" i="2"/>
  <c r="BE73" i="2"/>
  <c r="BE80" i="2" s="1"/>
  <c r="BD73" i="2"/>
  <c r="BD80" i="2" s="1"/>
  <c r="BC73" i="2"/>
  <c r="BB73" i="2"/>
  <c r="BB80" i="2" s="1"/>
  <c r="BA73" i="2"/>
  <c r="BA80" i="2" s="1"/>
  <c r="AZ73" i="2"/>
  <c r="AZ80" i="2" s="1"/>
  <c r="AI73" i="2"/>
  <c r="AH73" i="2"/>
  <c r="BW72" i="2"/>
  <c r="BW79" i="2" s="1"/>
  <c r="BV72" i="2"/>
  <c r="BV79" i="2" s="1"/>
  <c r="BU72" i="2"/>
  <c r="BU79" i="2" s="1"/>
  <c r="BT72" i="2"/>
  <c r="BT79" i="2" s="1"/>
  <c r="BS72" i="2"/>
  <c r="BS79" i="2" s="1"/>
  <c r="BR72" i="2"/>
  <c r="BR79" i="2" s="1"/>
  <c r="BQ72" i="2"/>
  <c r="BP72" i="2"/>
  <c r="BP79" i="2" s="1"/>
  <c r="BO72" i="2"/>
  <c r="BO79" i="2" s="1"/>
  <c r="BN72" i="2"/>
  <c r="BN79" i="2" s="1"/>
  <c r="BM72" i="2"/>
  <c r="BM79" i="2" s="1"/>
  <c r="BL72" i="2"/>
  <c r="BL79" i="2" s="1"/>
  <c r="BK72" i="2"/>
  <c r="BK79" i="2" s="1"/>
  <c r="BJ72" i="2"/>
  <c r="BJ79" i="2" s="1"/>
  <c r="BI72" i="2"/>
  <c r="BI79" i="2" s="1"/>
  <c r="BH72" i="2"/>
  <c r="BG72" i="2"/>
  <c r="BG79" i="2" s="1"/>
  <c r="BF72" i="2"/>
  <c r="BF79" i="2" s="1"/>
  <c r="BE72" i="2"/>
  <c r="BE79" i="2" s="1"/>
  <c r="BD72" i="2"/>
  <c r="BD79" i="2" s="1"/>
  <c r="BC72" i="2"/>
  <c r="BC79" i="2" s="1"/>
  <c r="BB72" i="2"/>
  <c r="BA72" i="2"/>
  <c r="BA79" i="2" s="1"/>
  <c r="AZ72" i="2"/>
  <c r="AI72" i="2"/>
  <c r="AH72" i="2"/>
  <c r="BW71" i="2"/>
  <c r="BV71" i="2"/>
  <c r="BV78" i="2" s="1"/>
  <c r="BU71" i="2"/>
  <c r="BU78" i="2" s="1"/>
  <c r="BT71" i="2"/>
  <c r="BS71" i="2"/>
  <c r="BS78" i="2" s="1"/>
  <c r="BR71" i="2"/>
  <c r="BR78" i="2" s="1"/>
  <c r="BQ71" i="2"/>
  <c r="BQ78" i="2" s="1"/>
  <c r="BP71" i="2"/>
  <c r="BP78" i="2" s="1"/>
  <c r="BO71" i="2"/>
  <c r="BO78" i="2" s="1"/>
  <c r="BN71" i="2"/>
  <c r="BN78" i="2" s="1"/>
  <c r="BM71" i="2"/>
  <c r="BM78" i="2" s="1"/>
  <c r="BL71" i="2"/>
  <c r="BL78" i="2" s="1"/>
  <c r="BK71" i="2"/>
  <c r="BK78" i="2" s="1"/>
  <c r="BJ71" i="2"/>
  <c r="BJ78" i="2" s="1"/>
  <c r="BI71" i="2"/>
  <c r="BI78" i="2" s="1"/>
  <c r="BH71" i="2"/>
  <c r="BH78" i="2" s="1"/>
  <c r="BG71" i="2"/>
  <c r="BF71" i="2"/>
  <c r="BF78" i="2" s="1"/>
  <c r="BE71" i="2"/>
  <c r="BD71" i="2"/>
  <c r="BD78" i="2" s="1"/>
  <c r="BC71" i="2"/>
  <c r="BB71" i="2"/>
  <c r="BA71" i="2"/>
  <c r="BA78" i="2" s="1"/>
  <c r="AZ71" i="2"/>
  <c r="AZ78" i="2" s="1"/>
  <c r="AI71" i="2"/>
  <c r="AH71" i="2"/>
  <c r="BW70" i="2"/>
  <c r="BW77" i="2" s="1"/>
  <c r="BV70" i="2"/>
  <c r="BV77" i="2" s="1"/>
  <c r="BU70" i="2"/>
  <c r="BU77" i="2" s="1"/>
  <c r="BT70" i="2"/>
  <c r="BS70" i="2"/>
  <c r="BS77" i="2" s="1"/>
  <c r="BR70" i="2"/>
  <c r="BR77" i="2" s="1"/>
  <c r="BQ70" i="2"/>
  <c r="BQ77" i="2" s="1"/>
  <c r="BP70" i="2"/>
  <c r="BP77" i="2" s="1"/>
  <c r="BO70" i="2"/>
  <c r="BO77" i="2" s="1"/>
  <c r="BN70" i="2"/>
  <c r="BM70" i="2"/>
  <c r="BM77" i="2" s="1"/>
  <c r="BL70" i="2"/>
  <c r="BL77" i="2" s="1"/>
  <c r="BK70" i="2"/>
  <c r="BK77" i="2" s="1"/>
  <c r="BJ70" i="2"/>
  <c r="BJ77" i="2" s="1"/>
  <c r="BI70" i="2"/>
  <c r="BI77" i="2" s="1"/>
  <c r="BH70" i="2"/>
  <c r="BH77" i="2" s="1"/>
  <c r="BG70" i="2"/>
  <c r="BG77" i="2" s="1"/>
  <c r="BF70" i="2"/>
  <c r="BF77" i="2" s="1"/>
  <c r="BE70" i="2"/>
  <c r="BE77" i="2" s="1"/>
  <c r="BD70" i="2"/>
  <c r="BD77" i="2" s="1"/>
  <c r="BC70" i="2"/>
  <c r="BC77" i="2" s="1"/>
  <c r="BB70" i="2"/>
  <c r="BB77" i="2" s="1"/>
  <c r="BA70" i="2"/>
  <c r="AZ70" i="2"/>
  <c r="AZ77" i="2" s="1"/>
  <c r="AI70" i="2"/>
  <c r="AH70" i="2"/>
  <c r="BW69" i="2"/>
  <c r="BV69" i="2"/>
  <c r="BV76" i="2" s="1"/>
  <c r="BU69" i="2"/>
  <c r="BU76" i="2" s="1"/>
  <c r="BT69" i="2"/>
  <c r="BT76" i="2" s="1"/>
  <c r="BS69" i="2"/>
  <c r="BR69" i="2"/>
  <c r="BR76" i="2" s="1"/>
  <c r="BQ69" i="2"/>
  <c r="BQ76" i="2" s="1"/>
  <c r="BP69" i="2"/>
  <c r="BO69" i="2"/>
  <c r="BO76" i="2" s="1"/>
  <c r="BN69" i="2"/>
  <c r="BM69" i="2"/>
  <c r="BM76" i="2" s="1"/>
  <c r="BL69" i="2"/>
  <c r="BL76" i="2" s="1"/>
  <c r="BK69" i="2"/>
  <c r="BK76" i="2" s="1"/>
  <c r="BJ69" i="2"/>
  <c r="BJ76" i="2" s="1"/>
  <c r="BI69" i="2"/>
  <c r="BI76" i="2" s="1"/>
  <c r="BH69" i="2"/>
  <c r="BG69" i="2"/>
  <c r="BG76" i="2" s="1"/>
  <c r="BF69" i="2"/>
  <c r="BE69" i="2"/>
  <c r="BE76" i="2" s="1"/>
  <c r="BD69" i="2"/>
  <c r="BD76" i="2" s="1"/>
  <c r="BC69" i="2"/>
  <c r="BB69" i="2"/>
  <c r="BB76" i="2" s="1"/>
  <c r="BA69" i="2"/>
  <c r="BA76" i="2" s="1"/>
  <c r="AZ69" i="2"/>
  <c r="AI69" i="2"/>
  <c r="AH69" i="2"/>
  <c r="BW68" i="2"/>
  <c r="BV68" i="2"/>
  <c r="BV75" i="2" s="1"/>
  <c r="BU68" i="2"/>
  <c r="BU75" i="2" s="1"/>
  <c r="BT68" i="2"/>
  <c r="BT75" i="2" s="1"/>
  <c r="BS68" i="2"/>
  <c r="BS75" i="2" s="1"/>
  <c r="BR68" i="2"/>
  <c r="BR75" i="2" s="1"/>
  <c r="BQ68" i="2"/>
  <c r="BQ75" i="2" s="1"/>
  <c r="BP68" i="2"/>
  <c r="BP75" i="2" s="1"/>
  <c r="BO68" i="2"/>
  <c r="BO75" i="2" s="1"/>
  <c r="BN68" i="2"/>
  <c r="BN75" i="2" s="1"/>
  <c r="BM68" i="2"/>
  <c r="BM75" i="2" s="1"/>
  <c r="BL68" i="2"/>
  <c r="BL75" i="2" s="1"/>
  <c r="BK68" i="2"/>
  <c r="BK75" i="2" s="1"/>
  <c r="BJ68" i="2"/>
  <c r="BJ75" i="2" s="1"/>
  <c r="BI68" i="2"/>
  <c r="BI75" i="2" s="1"/>
  <c r="BH68" i="2"/>
  <c r="BH75" i="2" s="1"/>
  <c r="BG68" i="2"/>
  <c r="BF68" i="2"/>
  <c r="BF75" i="2" s="1"/>
  <c r="BE68" i="2"/>
  <c r="BD68" i="2"/>
  <c r="BD75" i="2" s="1"/>
  <c r="BC68" i="2"/>
  <c r="BC75" i="2" s="1"/>
  <c r="BB68" i="2"/>
  <c r="BA68" i="2"/>
  <c r="BA75" i="2" s="1"/>
  <c r="AZ68" i="2"/>
  <c r="AZ75" i="2" s="1"/>
  <c r="AI68" i="2"/>
  <c r="AH68" i="2"/>
  <c r="AI67" i="2"/>
  <c r="AH67" i="2"/>
  <c r="AI66" i="2"/>
  <c r="AH66" i="2"/>
  <c r="AI65" i="2"/>
  <c r="AH65" i="2"/>
  <c r="AI64" i="2"/>
  <c r="AH64" i="2"/>
  <c r="AI63" i="2"/>
  <c r="AH63" i="2"/>
  <c r="AG62" i="2"/>
  <c r="AA62" i="2"/>
  <c r="Z62" i="2"/>
  <c r="Y62" i="2"/>
  <c r="X62" i="2"/>
  <c r="W62" i="2"/>
  <c r="U62" i="2"/>
  <c r="T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I61" i="2"/>
  <c r="AH61" i="2"/>
  <c r="AI60" i="2"/>
  <c r="AH60" i="2"/>
  <c r="AI59" i="2"/>
  <c r="AH59" i="2"/>
  <c r="AG58" i="2"/>
  <c r="AG97" i="2" s="1"/>
  <c r="AF7" i="2"/>
  <c r="AA58" i="2"/>
  <c r="AA97" i="2" s="1"/>
  <c r="AA99" i="2" s="1"/>
  <c r="Z58" i="2"/>
  <c r="Y58" i="2"/>
  <c r="X58" i="2"/>
  <c r="W58" i="2"/>
  <c r="U58" i="2"/>
  <c r="T58" i="2"/>
  <c r="R58" i="2"/>
  <c r="Q58" i="2"/>
  <c r="P58" i="2"/>
  <c r="O58" i="2"/>
  <c r="N58" i="2"/>
  <c r="M58" i="2"/>
  <c r="L58" i="2"/>
  <c r="L97" i="2" s="1"/>
  <c r="L99" i="2" s="1"/>
  <c r="K58" i="2"/>
  <c r="J58" i="2"/>
  <c r="I58" i="2"/>
  <c r="I97" i="2" s="1"/>
  <c r="I99" i="2" s="1"/>
  <c r="I100" i="2" s="1"/>
  <c r="I7" i="2" s="1"/>
  <c r="H58" i="2"/>
  <c r="G58" i="2"/>
  <c r="F58" i="2"/>
  <c r="E58" i="2"/>
  <c r="D58" i="2"/>
  <c r="D97" i="2" s="1"/>
  <c r="D99" i="2" s="1"/>
  <c r="C58" i="2"/>
  <c r="B58" i="2"/>
  <c r="M57" i="2"/>
  <c r="AI56" i="2"/>
  <c r="AH56" i="2"/>
  <c r="AI55" i="2"/>
  <c r="AH55" i="2"/>
  <c r="AI54" i="2"/>
  <c r="AH54" i="2"/>
  <c r="AI53" i="2"/>
  <c r="AH53" i="2"/>
  <c r="AI52" i="2"/>
  <c r="AH52" i="2"/>
  <c r="AI51" i="2"/>
  <c r="AH51" i="2"/>
  <c r="AI50" i="2"/>
  <c r="AH50" i="2"/>
  <c r="AI49" i="2"/>
  <c r="AH49" i="2"/>
  <c r="AI48" i="2"/>
  <c r="AH48" i="2"/>
  <c r="AI47" i="2"/>
  <c r="AH47" i="2"/>
  <c r="AI46" i="2"/>
  <c r="AH46" i="2"/>
  <c r="AI45" i="2"/>
  <c r="AH45" i="2"/>
  <c r="AI44" i="2"/>
  <c r="AH44" i="2"/>
  <c r="AI43" i="2"/>
  <c r="AH43" i="2"/>
  <c r="AI42" i="2"/>
  <c r="AH42" i="2"/>
  <c r="AI41" i="2"/>
  <c r="AH41" i="2"/>
  <c r="AI40" i="2"/>
  <c r="AH40" i="2"/>
  <c r="AI39" i="2"/>
  <c r="AH39" i="2"/>
  <c r="AI38" i="2"/>
  <c r="AH38" i="2"/>
  <c r="AI37" i="2"/>
  <c r="AH37" i="2"/>
  <c r="AI36" i="2"/>
  <c r="AH36" i="2"/>
  <c r="AI35" i="2"/>
  <c r="AH35" i="2"/>
  <c r="AI34" i="2"/>
  <c r="AH34" i="2"/>
  <c r="AI33" i="2"/>
  <c r="AH33" i="2"/>
  <c r="AI32" i="2"/>
  <c r="AH32" i="2"/>
  <c r="AI31" i="2"/>
  <c r="AH31" i="2"/>
  <c r="AI30" i="2"/>
  <c r="AH30" i="2"/>
  <c r="AI29" i="2"/>
  <c r="AH29" i="2"/>
  <c r="AI28" i="2"/>
  <c r="AH28" i="2"/>
  <c r="AI27" i="2"/>
  <c r="AH27" i="2"/>
  <c r="AI26" i="2"/>
  <c r="AH26" i="2"/>
  <c r="AI25" i="2"/>
  <c r="AH25" i="2"/>
  <c r="AI24" i="2"/>
  <c r="AH24" i="2"/>
  <c r="AI23" i="2"/>
  <c r="AH23" i="2"/>
  <c r="AI22" i="2"/>
  <c r="AH22" i="2"/>
  <c r="AI21" i="2"/>
  <c r="AH21" i="2"/>
  <c r="AI20" i="2"/>
  <c r="AH20" i="2"/>
  <c r="AI19" i="2"/>
  <c r="AH19" i="2"/>
  <c r="AI18" i="2"/>
  <c r="AH18" i="2"/>
  <c r="AI17" i="2"/>
  <c r="AH17" i="2"/>
  <c r="AI16" i="2"/>
  <c r="AH16" i="2"/>
  <c r="AI15" i="2"/>
  <c r="AH15" i="2"/>
  <c r="AI14" i="2"/>
  <c r="AH14" i="2"/>
  <c r="AI13" i="2"/>
  <c r="AH13" i="2"/>
  <c r="AL12" i="2"/>
  <c r="AI12" i="2"/>
  <c r="AH12" i="2"/>
  <c r="AI11" i="2"/>
  <c r="AH11" i="2"/>
  <c r="AF5" i="2"/>
  <c r="AE5" i="2"/>
  <c r="AD5" i="2"/>
  <c r="AB5" i="2"/>
  <c r="AA5" i="2"/>
  <c r="L5" i="2"/>
  <c r="K5" i="2"/>
  <c r="I5" i="2"/>
  <c r="G5" i="2"/>
  <c r="F5" i="2"/>
  <c r="D5" i="2"/>
  <c r="C5" i="2"/>
  <c r="AG4" i="2"/>
  <c r="K4" i="2"/>
  <c r="E4" i="2"/>
  <c r="H4" i="2" s="1"/>
  <c r="B4" i="2"/>
  <c r="D258" i="2" s="1"/>
  <c r="AG2" i="2"/>
  <c r="AG6" i="2" s="1"/>
  <c r="AA107" i="2" l="1"/>
  <c r="AA100" i="2" s="1"/>
  <c r="AA7" i="2" s="1"/>
  <c r="Y107" i="2"/>
  <c r="Y108" i="2" s="1"/>
  <c r="Y97" i="2"/>
  <c r="Y99" i="2" s="1"/>
  <c r="Y100" i="2" s="1"/>
  <c r="Y7" i="2" s="1"/>
  <c r="X107" i="2"/>
  <c r="X108" i="2" s="1"/>
  <c r="X97" i="2"/>
  <c r="X99" i="2" s="1"/>
  <c r="X100" i="2" s="1"/>
  <c r="X7" i="2" s="1"/>
  <c r="W97" i="2"/>
  <c r="W99" i="2" s="1"/>
  <c r="AI104" i="2"/>
  <c r="AH80" i="2"/>
  <c r="T97" i="2"/>
  <c r="T99" i="2" s="1"/>
  <c r="S107" i="2"/>
  <c r="S97" i="2"/>
  <c r="S99" i="2" s="1"/>
  <c r="S100" i="2" s="1"/>
  <c r="S7" i="2" s="1"/>
  <c r="S108" i="2"/>
  <c r="AH102" i="2"/>
  <c r="AI80" i="2"/>
  <c r="AI103" i="2"/>
  <c r="Q107" i="2"/>
  <c r="Q108" i="2" s="1"/>
  <c r="Q97" i="2"/>
  <c r="Q99" i="2" s="1"/>
  <c r="Q100" i="2" s="1"/>
  <c r="Q7" i="2" s="1"/>
  <c r="O5" i="2"/>
  <c r="AH101" i="2"/>
  <c r="P107" i="2"/>
  <c r="P97" i="2"/>
  <c r="P99" i="2" s="1"/>
  <c r="AI58" i="2"/>
  <c r="O97" i="2"/>
  <c r="O99" i="2" s="1"/>
  <c r="N107" i="2"/>
  <c r="AH105" i="2"/>
  <c r="AI76" i="2"/>
  <c r="AH62" i="2"/>
  <c r="AI57" i="2"/>
  <c r="AL13" i="2"/>
  <c r="AI62" i="2"/>
  <c r="N97" i="2"/>
  <c r="N99" i="2" s="1"/>
  <c r="N100" i="2" s="1"/>
  <c r="N7" i="2" s="1"/>
  <c r="AB7" i="2"/>
  <c r="B108" i="2"/>
  <c r="G108" i="2"/>
  <c r="V7" i="2"/>
  <c r="AD7" i="2"/>
  <c r="P108" i="2"/>
  <c r="F97" i="2"/>
  <c r="F99" i="2" s="1"/>
  <c r="F100" i="2" s="1"/>
  <c r="F7" i="2" s="1"/>
  <c r="E97" i="2"/>
  <c r="E99" i="2" s="1"/>
  <c r="E100" i="2" s="1"/>
  <c r="E7" i="2" s="1"/>
  <c r="M97" i="2"/>
  <c r="M99" i="2" s="1"/>
  <c r="M100" i="2" s="1"/>
  <c r="M7" i="2" s="1"/>
  <c r="U97" i="2"/>
  <c r="U99" i="2" s="1"/>
  <c r="AC7" i="2"/>
  <c r="G97" i="2"/>
  <c r="G99" i="2" s="1"/>
  <c r="G107" i="2"/>
  <c r="O107" i="2"/>
  <c r="W107" i="2"/>
  <c r="W100" i="2" s="1"/>
  <c r="W7" i="2" s="1"/>
  <c r="AH76" i="2"/>
  <c r="AH92" i="2"/>
  <c r="AG99" i="2"/>
  <c r="AH57" i="2"/>
  <c r="C108" i="2"/>
  <c r="K108" i="2"/>
  <c r="AA108" i="2"/>
  <c r="AI92" i="2"/>
  <c r="K97" i="2"/>
  <c r="K99" i="2" s="1"/>
  <c r="K100" i="2" s="1"/>
  <c r="K7" i="2" s="1"/>
  <c r="B107" i="2"/>
  <c r="J107" i="2"/>
  <c r="J108" i="2" s="1"/>
  <c r="R107" i="2"/>
  <c r="R108" i="2" s="1"/>
  <c r="Z107" i="2"/>
  <c r="Z108" i="2" s="1"/>
  <c r="AI101" i="2"/>
  <c r="AH104" i="2"/>
  <c r="AI102" i="2"/>
  <c r="AH103" i="2"/>
  <c r="H5" i="2"/>
  <c r="P5" i="2"/>
  <c r="X5" i="2"/>
  <c r="B5" i="2"/>
  <c r="J5" i="2"/>
  <c r="R5" i="2"/>
  <c r="Z5" i="2"/>
  <c r="B97" i="2"/>
  <c r="J97" i="2"/>
  <c r="J99" i="2" s="1"/>
  <c r="J100" i="2" s="1"/>
  <c r="J7" i="2" s="1"/>
  <c r="R97" i="2"/>
  <c r="R99" i="2" s="1"/>
  <c r="Z97" i="2"/>
  <c r="Z99" i="2" s="1"/>
  <c r="AH58" i="2"/>
  <c r="C97" i="2"/>
  <c r="C99" i="2" s="1"/>
  <c r="C100" i="2" s="1"/>
  <c r="C7" i="2" s="1"/>
  <c r="D107" i="2"/>
  <c r="L107" i="2"/>
  <c r="L108" i="2" s="1"/>
  <c r="T107" i="2"/>
  <c r="T100" i="2" s="1"/>
  <c r="T7" i="2" s="1"/>
  <c r="AI105" i="2"/>
  <c r="D252" i="2"/>
  <c r="E246" i="2"/>
  <c r="F108" i="2"/>
  <c r="N108" i="2"/>
  <c r="E107" i="2"/>
  <c r="M107" i="2"/>
  <c r="U107" i="2"/>
  <c r="U108" i="2" s="1"/>
  <c r="AH123" i="2"/>
  <c r="AI123" i="2"/>
  <c r="AH121" i="2"/>
  <c r="T108" i="2" l="1"/>
  <c r="R100" i="2"/>
  <c r="R7" i="2" s="1"/>
  <c r="P100" i="2"/>
  <c r="P7" i="2" s="1"/>
  <c r="AT8" i="2"/>
  <c r="L100" i="2"/>
  <c r="L7" i="2" s="1"/>
  <c r="AI107" i="2"/>
  <c r="AH107" i="2"/>
  <c r="AH97" i="2"/>
  <c r="AI97" i="2"/>
  <c r="B99" i="2"/>
  <c r="D108" i="2"/>
  <c r="U100" i="2"/>
  <c r="U7" i="2" s="1"/>
  <c r="O108" i="2"/>
  <c r="W108" i="2"/>
  <c r="D100" i="2"/>
  <c r="D7" i="2" s="1"/>
  <c r="F246" i="2"/>
  <c r="E118" i="2"/>
  <c r="E252" i="2"/>
  <c r="AE7" i="2"/>
  <c r="M108" i="2"/>
  <c r="Z100" i="2"/>
  <c r="Z7" i="2" s="1"/>
  <c r="E108" i="2"/>
  <c r="C256" i="2"/>
  <c r="B256" i="2"/>
  <c r="G100" i="2"/>
  <c r="G7" i="2" s="1"/>
  <c r="O100" i="2"/>
  <c r="O7" i="2" s="1"/>
  <c r="AH108" i="2" l="1"/>
  <c r="AT9" i="2"/>
  <c r="K6" i="2"/>
  <c r="AI108" i="2"/>
  <c r="G246" i="2"/>
  <c r="F252" i="2"/>
  <c r="F118" i="2"/>
  <c r="AI99" i="2"/>
  <c r="B100" i="2"/>
  <c r="AH99" i="2"/>
  <c r="AH100" i="2" l="1"/>
  <c r="AI100" i="2"/>
  <c r="B7" i="2"/>
  <c r="A7" i="2" s="1"/>
  <c r="H246" i="2"/>
  <c r="G118" i="2"/>
  <c r="G252" i="2"/>
  <c r="I246" i="2" l="1"/>
  <c r="H252" i="2"/>
  <c r="H118" i="2"/>
  <c r="I118" i="2" l="1"/>
  <c r="I252" i="2"/>
  <c r="J246" i="2"/>
  <c r="J252" i="2" l="1"/>
  <c r="K246" i="2"/>
  <c r="J118" i="2"/>
  <c r="K252" i="2" l="1"/>
  <c r="L246" i="2"/>
  <c r="K118" i="2"/>
  <c r="L252" i="2" l="1"/>
  <c r="M246" i="2"/>
  <c r="L118" i="2"/>
  <c r="N246" i="2" l="1"/>
  <c r="M118" i="2"/>
  <c r="M252" i="2"/>
  <c r="O246" i="2" l="1"/>
  <c r="N118" i="2"/>
  <c r="N252" i="2"/>
  <c r="P246" i="2" l="1"/>
  <c r="O252" i="2"/>
  <c r="O118" i="2"/>
  <c r="Q246" i="2" l="1"/>
  <c r="P252" i="2"/>
  <c r="Q118" i="2" l="1"/>
  <c r="Q252" i="2"/>
  <c r="R246" i="2"/>
  <c r="R118" i="2" l="1"/>
  <c r="R252" i="2"/>
  <c r="S246" i="2"/>
  <c r="S252" i="2" l="1"/>
  <c r="T246" i="2"/>
  <c r="T252" i="2" l="1"/>
  <c r="U246" i="2"/>
  <c r="T118" i="2"/>
  <c r="V246" i="2" l="1"/>
  <c r="U252" i="2"/>
  <c r="U118" i="2"/>
  <c r="W246" i="2" l="1"/>
  <c r="V252" i="2"/>
  <c r="X246" i="2" l="1"/>
  <c r="W118" i="2"/>
  <c r="W252" i="2"/>
  <c r="Y246" i="2" l="1"/>
  <c r="X252" i="2"/>
  <c r="X118" i="2"/>
  <c r="Y252" i="2" l="1"/>
  <c r="Z246" i="2"/>
  <c r="Z252" i="2" l="1"/>
  <c r="AA246" i="2"/>
  <c r="AA252" i="2" l="1"/>
  <c r="AA118" i="2"/>
  <c r="AB246" i="2"/>
  <c r="AB252" i="2" l="1"/>
  <c r="AC246" i="2"/>
  <c r="AD246" i="2" l="1"/>
  <c r="AC252" i="2"/>
  <c r="AE246" i="2" l="1"/>
  <c r="AD252" i="2"/>
  <c r="AF246" i="2" l="1"/>
  <c r="AE252" i="2"/>
  <c r="AF252" i="2" l="1"/>
  <c r="B246" i="2"/>
  <c r="B252" i="2" l="1"/>
  <c r="B118" i="2"/>
  <c r="AI118" i="2" l="1"/>
  <c r="AH1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BD07943-A14C-446B-BB10-051AC5FF4892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F88813C8-7DEE-4405-9C11-22B0309AD89D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C6F85614-915F-45EB-B4CF-140594585842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C186CCE9-4C4D-4092-A605-0A18D6410638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9856F3C8-236C-4402-84BD-77F4B873509D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684CAABF-00EF-4147-925E-A2BADC1EC374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5A180FC6-FA0B-486B-A84A-32F33CE54F1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63177F2-F0D9-4FBB-AC57-0C963B9D25B8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F6E3D5D9-CEFB-4707-8F9C-0B140A0A8EAE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55820502-2E4A-4BBB-BC65-981E0F1A591C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FA2524E2-CB3B-4C2C-8C72-59C24710440B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35BE9E03-29C4-43B8-9254-20105DC206E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6F798FA-4C04-4D3A-ACEF-8FDD2D297EBC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F0BF83E2-2B65-4ADD-91E4-8FD654790C59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A476E055-EEDF-4D90-B3F4-5C981F6A32B2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E1AF78F4-DF0B-4A46-B3D4-E58745A9A81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C75AA52F-6B38-4606-9787-43536734DD4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90919A7B-57F3-4525-8A93-F3784B75F4C2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1E6A4F92-6158-4CF3-8EC4-8059F83241F2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1D4C27D4-1818-42C0-B9D6-D8E63F8E121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F550E472-5C0A-49D9-948B-A6B518CB488A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E19E5398-9FBD-423B-AA47-76170E0FA8A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E0CB981B-3A94-456B-989B-7A5709D2FD01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128F25B8-7E8C-4FEB-AC46-050E6BBF59ED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A70CF281-716F-40F7-AA5B-1397A001144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49CBDD49-F2CD-412D-BFD8-B0EC50A47657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9CD3E7E7-30E6-41CA-90B0-3BAC2F583797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A312AC64-D452-4CD8-A70B-F4C821DE83AD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658143EB-2AAE-444C-90AF-279FF0DA44DA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7A518DFC-FF95-48E8-80A2-3E98D4C3160D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F6BF2E34-113A-429B-BB68-0CDA7C08E608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<sst xmlns="http://schemas.openxmlformats.org/spreadsheetml/2006/main" count="9331" uniqueCount="329">
  <si>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</si>
  <si>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</si>
  <si>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</si>
  <si>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</si>
  <si>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</si>
  <si>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</si>
  <si>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</si>
  <si>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</si>
  <si>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</si>
  <si>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</si>
  <si>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</si>
  <si>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</si>
  <si>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</si>
  <si>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</si>
  <si>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</si>
  <si>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</si>
  <si>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</si>
  <si>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</si>
  <si>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</si>
  <si>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Solu Khola Dudhkoshi(86)</t>
  </si>
  <si>
    <t>Likhu-II(55)</t>
  </si>
  <si>
    <t>Super Dordi (54)</t>
  </si>
  <si>
    <t>Likhu-IV(52.4)</t>
  </si>
  <si>
    <t>Upper Marsyangdi "A"(50)</t>
  </si>
  <si>
    <t xml:space="preserve"> Hrs.</t>
  </si>
  <si>
    <t>Upper Bhotekoshi Khola(45)</t>
  </si>
  <si>
    <t>Super Madi ( 44 )</t>
  </si>
  <si>
    <t>NEA SUB</t>
  </si>
  <si>
    <t>Mistri Khola(42)</t>
  </si>
  <si>
    <t>NEA ROR PROR</t>
  </si>
  <si>
    <t>Upper Chameliya(40)</t>
  </si>
  <si>
    <t>IMPORT</t>
  </si>
  <si>
    <t>Upper Kalanga Gad(38.46)</t>
  </si>
  <si>
    <t>NEA STORAGE</t>
  </si>
  <si>
    <t>Upper Balefi (36)</t>
  </si>
  <si>
    <t>INTERRUPTION</t>
  </si>
  <si>
    <t>Nyadi(30)</t>
  </si>
  <si>
    <t>System_Load</t>
  </si>
  <si>
    <t>Likhu Khola A(29.04)</t>
  </si>
  <si>
    <t>Export</t>
  </si>
  <si>
    <t>Lower Likhu(28)</t>
  </si>
  <si>
    <t>National_Load</t>
  </si>
  <si>
    <t>Dordi(27)</t>
  </si>
  <si>
    <t>Upper Madi(25)</t>
  </si>
  <si>
    <t>Kabeli B-1(25)</t>
  </si>
  <si>
    <t>Singati Khola(25)</t>
  </si>
  <si>
    <t>Upper Dordi (25)</t>
  </si>
  <si>
    <t>Solu Khola(23.5)</t>
  </si>
  <si>
    <t>Upper Chaku A(22.2)</t>
  </si>
  <si>
    <t>Tallo Hewa Khola(22.1)</t>
  </si>
  <si>
    <t xml:space="preserve"> Sanima Mai Khola(22)</t>
  </si>
  <si>
    <t>Bagmati Khola Small(22)</t>
  </si>
  <si>
    <t>Lower Modi (20)</t>
  </si>
  <si>
    <t>Mathilo Solu khola(19.8)</t>
  </si>
  <si>
    <t>Middle Modi (18)</t>
  </si>
  <si>
    <t>Kalanga Gad(15.33)</t>
  </si>
  <si>
    <t>Hewa Khola A(14.9)</t>
  </si>
  <si>
    <t>Sangen(14.8)</t>
  </si>
  <si>
    <t>Ghar khola(14)</t>
  </si>
  <si>
    <t>Thapa Khola(13.6)</t>
  </si>
  <si>
    <t>Madkyu Khola(13)</t>
  </si>
  <si>
    <t>Dordi12)</t>
  </si>
  <si>
    <t>Jhimruk Khola(12)</t>
  </si>
  <si>
    <t>Upper Khimti(12)</t>
  </si>
  <si>
    <t>Upper Mai Khola (12)</t>
  </si>
  <si>
    <t>Namarjun Madi(11.88)</t>
  </si>
  <si>
    <t>Lower Khare(11)</t>
  </si>
  <si>
    <t>Upper Sanigad(10.7)</t>
  </si>
  <si>
    <t>Down Piluwa(10.3)</t>
  </si>
  <si>
    <t>Lower Modi 1(10)</t>
  </si>
  <si>
    <t>Makari Gad(10.0)</t>
  </si>
  <si>
    <t>Mithila Solar PV Electric Project(10)</t>
  </si>
  <si>
    <t>Pure-Solar(10)</t>
  </si>
  <si>
    <t>Other IPP Total</t>
  </si>
  <si>
    <t>Kabeli Corridor</t>
  </si>
  <si>
    <t>Total IPP</t>
  </si>
  <si>
    <t>Upper Tamakoshi(456)</t>
  </si>
  <si>
    <t>Khimti Khola(60)</t>
  </si>
  <si>
    <t>Chilime(22.1)</t>
  </si>
  <si>
    <t>Total NEA SUBSIDIARIES</t>
  </si>
  <si>
    <t>KGA(144)</t>
  </si>
  <si>
    <t>Middle MRS(70)</t>
  </si>
  <si>
    <t>MRS(69)</t>
  </si>
  <si>
    <t>U Trisuli 3A(60)</t>
  </si>
  <si>
    <t>CHM(30)</t>
  </si>
  <si>
    <t>NEA  SOLAR(25)</t>
  </si>
  <si>
    <t>Tanakpur</t>
  </si>
  <si>
    <t>TRI(24)</t>
  </si>
  <si>
    <t>Kat</t>
  </si>
  <si>
    <t>GDK(15)</t>
  </si>
  <si>
    <t>Muz</t>
  </si>
  <si>
    <t>DEVI(14.1)</t>
  </si>
  <si>
    <t>Ram</t>
  </si>
  <si>
    <t>MODI(14)</t>
  </si>
  <si>
    <t>Rax</t>
  </si>
  <si>
    <t>SUN(10.05)</t>
  </si>
  <si>
    <t>Sam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</si>
  <si>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</si>
  <si>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</si>
  <si>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</si>
  <si>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</si>
  <si>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</si>
  <si>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</si>
  <si>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</si>
  <si>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TANAKPUR</t>
  </si>
  <si>
    <t>KATAIYA</t>
  </si>
  <si>
    <t>MUJAFFARPUR</t>
  </si>
  <si>
    <t>RAMNAGAR</t>
  </si>
  <si>
    <t>RAXAUL 132</t>
  </si>
  <si>
    <t>NANPARA(33kV)</t>
  </si>
  <si>
    <t>BISHANPUR(33kV)</t>
  </si>
  <si>
    <t xml:space="preserve">UTK Discharge Test </t>
  </si>
  <si>
    <t>JALESHWOR(33kV)</t>
  </si>
  <si>
    <t>RAJBIRAJ(33kV)</t>
  </si>
  <si>
    <t>Line1</t>
  </si>
  <si>
    <t>RAXAUL(33kV)</t>
  </si>
  <si>
    <t>Line 2</t>
  </si>
  <si>
    <t>SAMPATIYA 132 kV</t>
  </si>
  <si>
    <t>Total IMPORT</t>
  </si>
  <si>
    <t>MULTI F(39)</t>
  </si>
  <si>
    <t>HTD DIE(14.41)</t>
  </si>
  <si>
    <t>MRS DI()</t>
  </si>
  <si>
    <t>Total THERMAL</t>
  </si>
  <si>
    <t>TOTAL SYSTEM LOAD (ACTUAL)</t>
  </si>
  <si>
    <t>Interruption/Tripping</t>
  </si>
  <si>
    <t>TOTAL SYSTEM LOAD (EXPECTED)</t>
  </si>
  <si>
    <t>TOTAL NATIONAL LOAD (ACTUAL)</t>
  </si>
  <si>
    <t>RAXAUL</t>
  </si>
  <si>
    <t>MUZAFFARPUR</t>
  </si>
  <si>
    <t>OTHERS EXPORT</t>
  </si>
  <si>
    <t>Total EXPORT</t>
  </si>
  <si>
    <t>NET IMPORT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</si>
  <si>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</si>
  <si>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</si>
  <si>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</si>
  <si>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</si>
  <si>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</si>
  <si>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</si>
  <si>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</si>
  <si>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</si>
  <si>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/>
  </si>
  <si>
    <t>Kathmandu Load</t>
  </si>
  <si>
    <t>MRS-SYU</t>
  </si>
  <si>
    <t>NMRS-MATA</t>
  </si>
  <si>
    <t>KL2-MATA</t>
  </si>
  <si>
    <t>KL1-SYU</t>
  </si>
  <si>
    <t>KHIMTI-LAMOSANGHU</t>
  </si>
  <si>
    <t>LAMOSHANGU-BHAKTAPUR</t>
  </si>
  <si>
    <t>BALAJU-SYUCHATAR</t>
  </si>
  <si>
    <t>DHALKE-NAWALPUR I</t>
  </si>
  <si>
    <t>N. BHARATPUR-BARDGHAT I</t>
  </si>
  <si>
    <t>DAMAK-DUHABI</t>
  </si>
  <si>
    <t>HETAUDA-KAMANE</t>
  </si>
  <si>
    <t>MIRCHAIYA LAHAN 2</t>
  </si>
  <si>
    <t>Water Level</t>
  </si>
  <si>
    <t>UTK</t>
  </si>
  <si>
    <t>KGA</t>
  </si>
  <si>
    <t>521..06</t>
  </si>
  <si>
    <t>MMRS</t>
  </si>
  <si>
    <t>MRS</t>
  </si>
  <si>
    <t>CHM</t>
  </si>
  <si>
    <t>KL 1</t>
  </si>
  <si>
    <t>Others IPP Detail</t>
  </si>
  <si>
    <t xml:space="preserve"> </t>
  </si>
  <si>
    <t>Upper Mai Khola(9.98)</t>
  </si>
  <si>
    <t>Kabeli B-1 Cascade(9.94)</t>
  </si>
  <si>
    <t>Iwa Khola(9.9)</t>
  </si>
  <si>
    <t>Sipring Khola(9.658)</t>
  </si>
  <si>
    <t>Super Mai 'A' (9.6)</t>
  </si>
  <si>
    <t>Mai Beni(9.51)</t>
  </si>
  <si>
    <t>Andhi Khola(9.4)</t>
  </si>
  <si>
    <t>Rudi Khola A(8.8)</t>
  </si>
  <si>
    <t>Naugadh gad Khola(8.5)</t>
  </si>
  <si>
    <t>Butwal Solar Project(8.5)</t>
  </si>
  <si>
    <t>Upper Hewa Khola Small(8.5)</t>
  </si>
  <si>
    <t>Ankhu Khola - 1(8.4)</t>
  </si>
  <si>
    <t>Mai sana Cascade(8)</t>
  </si>
  <si>
    <t>Upper Naugad Gad(8)</t>
  </si>
  <si>
    <t>Taksar Pikhuwa(8)</t>
  </si>
  <si>
    <t>Super Mai(7.8)</t>
  </si>
  <si>
    <t>Jogmai(7.6)</t>
  </si>
  <si>
    <t>Indrawati - III (7.5)</t>
  </si>
  <si>
    <t>Upper Khorunga(7.5)</t>
  </si>
  <si>
    <t>Mai Cascade(7)</t>
  </si>
  <si>
    <t>Molung Khola(7)</t>
  </si>
  <si>
    <t>Upper Mardi(7)</t>
  </si>
  <si>
    <t>Upper Khimti II(7)</t>
  </si>
  <si>
    <t>Rudi Khola B(6.6)</t>
  </si>
  <si>
    <t>Sapsup Khola(6.6)</t>
  </si>
  <si>
    <t>Suri Khola(6.4)</t>
  </si>
  <si>
    <t>Lower Jogmai(6.2)</t>
  </si>
  <si>
    <t>Daraudi Khola A(6)</t>
  </si>
  <si>
    <t>Upper Mai C(5.1)</t>
  </si>
  <si>
    <t>Tadi Khola (Thaprek)(5)</t>
  </si>
  <si>
    <t>Mailung Khola(5)</t>
  </si>
  <si>
    <t>Upper Hugdi Khola(5)</t>
  </si>
  <si>
    <t>Pikhuwa Khola(5)</t>
  </si>
  <si>
    <t>Ghalemdi Khola(5)</t>
  </si>
  <si>
    <t>Ghatte Khola(5)</t>
  </si>
  <si>
    <t>Belchautara Solar Project(5)</t>
  </si>
  <si>
    <t>Lower Tadi(4.993)</t>
  </si>
  <si>
    <t>Richet Khola(4.98)</t>
  </si>
  <si>
    <t>Siuri Khola(4.95)</t>
  </si>
  <si>
    <t>Phawa Khola(4.95)</t>
  </si>
  <si>
    <t>Mardi Khola(4.8)</t>
  </si>
  <si>
    <t>Padam Khola(4.8)</t>
  </si>
  <si>
    <t>Mai Khola(4.5)</t>
  </si>
  <si>
    <t>Bijayapur 2 Khola Small(4.5)</t>
  </si>
  <si>
    <t>Hewa Khola(4.455)</t>
  </si>
  <si>
    <t>Bijayapur-1(4.41)</t>
  </si>
  <si>
    <t>Radhi Khola(4.4)</t>
  </si>
  <si>
    <t>Tungun-Thosne(4.36)</t>
  </si>
  <si>
    <t>Baramchi Khola(4.2)</t>
  </si>
  <si>
    <t>Khudi Khola(4)</t>
  </si>
  <si>
    <t>Sabha Khola(4)</t>
  </si>
  <si>
    <t>Puwa Khola -1 (4)</t>
  </si>
  <si>
    <t>Sardi Khola(4)</t>
  </si>
  <si>
    <t>Chandranigahpur Solar Project(4)</t>
  </si>
  <si>
    <t>Upper Chhyangdi Khola(4)</t>
  </si>
  <si>
    <t>Super Mai Cascade(3.8)</t>
  </si>
  <si>
    <t>Dwari Khola(3.75)</t>
  </si>
  <si>
    <t>Charanawati  Khola(3.52)</t>
  </si>
  <si>
    <t>Kapadi Gad(3.33)</t>
  </si>
  <si>
    <t>Piluwa Khola Small(3)</t>
  </si>
  <si>
    <t>Chaku Khola(3)</t>
  </si>
  <si>
    <t>Bhairab Kunda(3)</t>
  </si>
  <si>
    <t>Upper Puwa -1(3)</t>
  </si>
  <si>
    <t>Midim Karapu(3)</t>
  </si>
  <si>
    <t>Upper Rawa(3)</t>
  </si>
  <si>
    <t>Everest Sugar and Chemical Industries Ltd.(3)</t>
  </si>
  <si>
    <t>Indushankar Chini Udhyog Ltd.(3)</t>
  </si>
  <si>
    <t>Dhalkebar Solar Project(3)</t>
  </si>
  <si>
    <t>Chake Khola(2.83)</t>
  </si>
  <si>
    <t>Sunkoshi Small(2.5)</t>
  </si>
  <si>
    <t>Daram Khola A(2.5)</t>
  </si>
  <si>
    <t>Ridi Khola(2.4)</t>
  </si>
  <si>
    <t>Upper Syange Khola(2.4)</t>
  </si>
  <si>
    <t>Jiri Khola Small(2.2)</t>
  </si>
  <si>
    <t>Chhandi(2)</t>
  </si>
  <si>
    <t>Jhyadi Khola(2)</t>
  </si>
  <si>
    <t>Khani Khola(2)</t>
  </si>
  <si>
    <t>Middle Chaku(1.8)</t>
  </si>
  <si>
    <t>Lower Chaku Khola(1.8)</t>
  </si>
  <si>
    <t>Thoppal Khola(1.65)</t>
  </si>
  <si>
    <t>Theule Khola(1.5)</t>
  </si>
  <si>
    <t>Dhalkebar Saurya Aayojana(1)</t>
  </si>
  <si>
    <t>Suspa Bukhari(0.998)</t>
  </si>
  <si>
    <t>Lower Chhote Khola(0.997)</t>
  </si>
  <si>
    <t>Hadi Khola Sunkoshi A(0.997)</t>
  </si>
  <si>
    <t>Pati Khola Small(0.996)</t>
  </si>
  <si>
    <t>Miya Khola(0.996)</t>
  </si>
  <si>
    <t>Jeuligad(0.996)</t>
  </si>
  <si>
    <t>Pheme Khola(0.995)</t>
  </si>
  <si>
    <t>Chhote Khola(0.993)</t>
  </si>
  <si>
    <t>Upper Hadi Khola(0.991)</t>
  </si>
  <si>
    <t>Lower Piluwa Small(0.99)</t>
  </si>
  <si>
    <t>Seti-II(0.979)</t>
  </si>
  <si>
    <t>Bishnu Priya Solar Farm Project(0.96)</t>
  </si>
  <si>
    <t>Sisne Khola Small(0.75)</t>
  </si>
  <si>
    <t>Solar(0.68)</t>
  </si>
  <si>
    <t>Dhunge-Jiri(0.6)</t>
  </si>
  <si>
    <t>Belkhu(0.518)</t>
  </si>
  <si>
    <t>Rairang Khola(0.5)</t>
  </si>
  <si>
    <t>Sali Nadi(0.25)</t>
  </si>
  <si>
    <t>Syange Khola(0.183)</t>
  </si>
  <si>
    <t>Midim Khola(0.1)</t>
  </si>
  <si>
    <t>Sobuwa Khola-2 MHP(0.09)</t>
  </si>
  <si>
    <t>Leguwa Khola(0.04)</t>
  </si>
  <si>
    <t>Syauri Bhumey(0.023)</t>
  </si>
  <si>
    <t>Others IPP Total</t>
  </si>
  <si>
    <t>PANAUTI(2.4)</t>
  </si>
  <si>
    <t>TATOPANI(2)</t>
  </si>
  <si>
    <t>SETI(1.5)</t>
  </si>
  <si>
    <t>FEWA(1)</t>
  </si>
  <si>
    <t>TINAU(1)</t>
  </si>
  <si>
    <t>SUNDARIJAL(0.66)</t>
  </si>
  <si>
    <t>Morning Peak</t>
  </si>
  <si>
    <t>PEAK SUMMARY</t>
  </si>
  <si>
    <t>NEA(RoR+PRoR)</t>
  </si>
  <si>
    <t>KL1+KL2+KL3</t>
  </si>
  <si>
    <t>Import</t>
  </si>
  <si>
    <t>Total</t>
  </si>
  <si>
    <t>Time</t>
  </si>
  <si>
    <t>Frequency</t>
  </si>
  <si>
    <t>Industrial Interruption near (or fed by) Import Points (MW)</t>
  </si>
  <si>
    <t>Block</t>
  </si>
  <si>
    <t xml:space="preserve">Muzaffarpur </t>
  </si>
  <si>
    <t>Raxaul</t>
  </si>
  <si>
    <t>Ramnagar</t>
  </si>
  <si>
    <t>Sampatiya</t>
  </si>
  <si>
    <t>Duhabi</t>
  </si>
  <si>
    <t>Mirchaiya</t>
  </si>
  <si>
    <t>DHALKE-MIRCHAIYA</t>
  </si>
  <si>
    <t>DHALKE-KHIMTI</t>
  </si>
  <si>
    <t>DHALKE-KHIMTI-1</t>
  </si>
  <si>
    <t>S</t>
  </si>
  <si>
    <t>Y</t>
  </si>
  <si>
    <t>T</t>
  </si>
  <si>
    <t>E</t>
  </si>
  <si>
    <t>M</t>
  </si>
  <si>
    <t>C</t>
  </si>
  <si>
    <t>O</t>
  </si>
  <si>
    <t>L</t>
  </si>
  <si>
    <t>A</t>
  </si>
  <si>
    <t>P</t>
  </si>
  <si>
    <t>DHALKE-KHIMTI I</t>
  </si>
  <si>
    <t>DHALKE-MIRCHAIYA I</t>
  </si>
  <si>
    <t>D</t>
  </si>
  <si>
    <t>K</t>
  </si>
  <si>
    <t>B</t>
  </si>
  <si>
    <t>U</t>
  </si>
  <si>
    <t>V</t>
  </si>
  <si>
    <t>I</t>
  </si>
  <si>
    <t>.</t>
  </si>
  <si>
    <t>887.40.</t>
  </si>
  <si>
    <t xml:space="preserve">KGA </t>
  </si>
  <si>
    <t>57..8</t>
  </si>
  <si>
    <t>d</t>
  </si>
  <si>
    <t>a</t>
  </si>
  <si>
    <t>t</t>
  </si>
  <si>
    <t>b</t>
  </si>
  <si>
    <t>l</t>
  </si>
  <si>
    <t>c</t>
  </si>
  <si>
    <t>k</t>
  </si>
  <si>
    <t>o</t>
  </si>
  <si>
    <t>u</t>
  </si>
  <si>
    <t>11..4</t>
  </si>
  <si>
    <t>110..6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</si>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</sst>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F800]dddd\,\ mmmm\ dd\,\ yyyy"/>
    <numFmt numFmtId="165" formatCode="h:mm;@"/>
    <numFmt numFmtId="166" formatCode="0.0"/>
    <numFmt numFmtId="167" formatCode="[hh]:mm"/>
    <numFmt numFmtId="168" formatCode="00.00"/>
    <numFmt numFmtId="169" formatCode="0.00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sz val="8"/>
      <name val="Arial Narrow"/>
      <family val="2"/>
    </font>
    <font>
      <sz val="10"/>
      <color indexed="10"/>
      <name val="Times New Roman"/>
      <family val="1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11"/>
      <name val="Arial Narrow"/>
      <family val="2"/>
    </font>
  </fonts>
  <fills count="18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 style="double">
        <color indexed="64"/>
      </bottom>
      <diagonal style="double">
        <color indexed="64"/>
      </diagonal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/>
    <xf numFmtId="43" fontId="1" fillId="0" borderId="0" applyFont="0" applyFill="0" applyBorder="0" applyAlignment="0" applyProtection="0"/>
  </cellStyleXfs>
  <cellXfs count="226">
    <xf numFmtId="0" fontId="0" fillId="0" borderId="0" xfId="0"/>
    <xf numFmtId="164" fontId="1" fillId="0" borderId="0" xfId="1"/>
    <xf numFmtId="164" fontId="1" fillId="0" borderId="0" xfId="1" applyProtection="1">
      <protection locked="0"/>
    </xf>
    <xf numFmtId="164" fontId="7" fillId="0" borderId="0" xfId="1" applyFont="1" applyAlignment="1">
      <alignment vertical="center"/>
    </xf>
    <xf numFmtId="164" fontId="8" fillId="0" borderId="2" xfId="1" applyFont="1" applyBorder="1" applyAlignment="1">
      <alignment vertical="center"/>
    </xf>
    <xf numFmtId="164" fontId="8" fillId="0" borderId="4" xfId="1" applyFont="1" applyBorder="1" applyAlignment="1">
      <alignment vertical="center"/>
    </xf>
    <xf numFmtId="164" fontId="5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vertical="center"/>
    </xf>
    <xf numFmtId="164" fontId="5" fillId="0" borderId="0" xfId="1" applyFont="1" applyAlignment="1">
      <alignment vertical="center"/>
    </xf>
    <xf numFmtId="14" fontId="9" fillId="0" borderId="0" xfId="1" applyNumberFormat="1" applyFont="1" applyAlignment="1">
      <alignment vertical="center"/>
    </xf>
    <xf numFmtId="43" fontId="10" fillId="3" borderId="0" xfId="2" applyFont="1" applyFill="1" applyAlignment="1">
      <alignment horizontal="center"/>
    </xf>
    <xf numFmtId="164" fontId="10" fillId="3" borderId="0" xfId="1" applyFont="1" applyFill="1"/>
    <xf numFmtId="164" fontId="1" fillId="3" borderId="0" xfId="1" applyFill="1"/>
    <xf numFmtId="164" fontId="11" fillId="0" borderId="0" xfId="1" applyFont="1" applyAlignment="1">
      <alignment horizontal="center" vertical="center"/>
    </xf>
    <xf numFmtId="164" fontId="12" fillId="0" borderId="0" xfId="1" applyFont="1"/>
    <xf numFmtId="164" fontId="13" fillId="0" borderId="0" xfId="1" applyFont="1" applyAlignment="1">
      <alignment vertical="center"/>
    </xf>
    <xf numFmtId="164" fontId="8" fillId="0" borderId="8" xfId="1" applyFont="1" applyBorder="1" applyAlignment="1">
      <alignment vertical="center"/>
    </xf>
    <xf numFmtId="164" fontId="8" fillId="0" borderId="10" xfId="1" applyFont="1" applyBorder="1" applyAlignment="1">
      <alignment vertical="center"/>
    </xf>
    <xf numFmtId="164" fontId="1" fillId="0" borderId="6" xfId="1" applyBorder="1" applyAlignment="1">
      <alignment horizontal="center" vertical="center"/>
    </xf>
    <xf numFmtId="164" fontId="3" fillId="0" borderId="0" xfId="1" applyFont="1" applyAlignment="1">
      <alignment horizontal="center" vertical="center"/>
    </xf>
    <xf numFmtId="164" fontId="3" fillId="0" borderId="0" xfId="1" applyFont="1" applyAlignment="1">
      <alignment vertical="center"/>
    </xf>
    <xf numFmtId="164" fontId="13" fillId="0" borderId="0" xfId="1" applyFont="1" applyAlignment="1">
      <alignment horizontal="center" vertical="center"/>
    </xf>
    <xf numFmtId="43" fontId="14" fillId="3" borderId="0" xfId="2" applyFont="1" applyFill="1" applyAlignment="1">
      <alignment horizontal="center" vertical="center"/>
    </xf>
    <xf numFmtId="20" fontId="1" fillId="0" borderId="0" xfId="1" applyNumberFormat="1" applyAlignment="1">
      <alignment horizontal="center" vertical="center"/>
    </xf>
    <xf numFmtId="165" fontId="15" fillId="0" borderId="0" xfId="1" applyNumberFormat="1" applyFont="1"/>
    <xf numFmtId="164" fontId="16" fillId="4" borderId="0" xfId="1" applyFont="1" applyFill="1" applyAlignment="1">
      <alignment horizontal="right" vertical="center"/>
    </xf>
    <xf numFmtId="164" fontId="17" fillId="0" borderId="0" xfId="1" applyFont="1" applyAlignment="1">
      <alignment vertical="center"/>
    </xf>
    <xf numFmtId="164" fontId="18" fillId="0" borderId="0" xfId="1" applyFont="1" applyAlignment="1">
      <alignment vertical="center"/>
    </xf>
    <xf numFmtId="164" fontId="1" fillId="0" borderId="0" xfId="1" applyAlignment="1">
      <alignment horizontal="center" vertical="center"/>
    </xf>
    <xf numFmtId="164" fontId="16" fillId="4" borderId="0" xfId="1" applyFont="1" applyFill="1" applyAlignment="1">
      <alignment vertical="center"/>
    </xf>
    <xf numFmtId="166" fontId="1" fillId="5" borderId="0" xfId="1" applyNumberFormat="1" applyFill="1"/>
    <xf numFmtId="164" fontId="1" fillId="5" borderId="0" xfId="1" applyFill="1"/>
    <xf numFmtId="164" fontId="16" fillId="4" borderId="0" xfId="1" applyFont="1" applyFill="1" applyAlignment="1">
      <alignment horizontal="left" vertical="center"/>
    </xf>
    <xf numFmtId="164" fontId="19" fillId="3" borderId="0" xfId="1" applyFont="1" applyFill="1"/>
    <xf numFmtId="164" fontId="20" fillId="0" borderId="0" xfId="1" applyFont="1" applyAlignment="1">
      <alignment horizontal="left" vertical="center"/>
    </xf>
    <xf numFmtId="1" fontId="21" fillId="0" borderId="0" xfId="1" applyNumberFormat="1" applyFont="1" applyAlignment="1">
      <alignment horizontal="center" vertical="center"/>
    </xf>
    <xf numFmtId="43" fontId="22" fillId="0" borderId="0" xfId="2" applyFont="1" applyFill="1" applyAlignment="1">
      <alignment horizontal="center" vertical="center"/>
    </xf>
    <xf numFmtId="164" fontId="2" fillId="0" borderId="0" xfId="1" applyFont="1"/>
    <xf numFmtId="164" fontId="13" fillId="0" borderId="12" xfId="1" applyFont="1" applyBorder="1" applyAlignment="1">
      <alignment vertical="center"/>
    </xf>
    <xf numFmtId="2" fontId="13" fillId="6" borderId="16" xfId="1" applyNumberFormat="1" applyFont="1" applyFill="1" applyBorder="1" applyAlignment="1">
      <alignment horizontal="center" vertical="center"/>
    </xf>
    <xf numFmtId="164" fontId="19" fillId="0" borderId="0" xfId="1" applyFont="1" applyAlignment="1">
      <alignment horizontal="center"/>
    </xf>
    <xf numFmtId="164" fontId="19" fillId="0" borderId="0" xfId="1" applyFont="1"/>
    <xf numFmtId="165" fontId="4" fillId="0" borderId="0" xfId="1" applyNumberFormat="1" applyFont="1"/>
    <xf numFmtId="164" fontId="19" fillId="0" borderId="0" xfId="1" applyFont="1" applyAlignment="1">
      <alignment horizontal="left"/>
    </xf>
    <xf numFmtId="164" fontId="1" fillId="0" borderId="0" xfId="1" applyAlignment="1">
      <alignment horizontal="center"/>
    </xf>
    <xf numFmtId="164" fontId="13" fillId="0" borderId="24" xfId="1" applyFont="1" applyBorder="1" applyAlignment="1">
      <alignment horizontal="right" vertical="center"/>
    </xf>
    <xf numFmtId="166" fontId="13" fillId="0" borderId="25" xfId="1" applyNumberFormat="1" applyFont="1" applyBorder="1" applyAlignment="1" applyProtection="1">
      <alignment horizontal="center" vertical="center"/>
      <protection locked="0"/>
    </xf>
    <xf numFmtId="169" fontId="13" fillId="0" borderId="25" xfId="1" applyNumberFormat="1" applyFont="1" applyBorder="1" applyAlignment="1" applyProtection="1">
      <alignment horizontal="center" vertical="center"/>
      <protection locked="0"/>
    </xf>
    <xf numFmtId="166" fontId="1" fillId="0" borderId="0" xfId="1" applyNumberFormat="1" applyAlignment="1" applyProtection="1">
      <alignment horizontal="center"/>
      <protection locked="0"/>
    </xf>
    <xf numFmtId="166" fontId="1" fillId="0" borderId="0" xfId="1" applyNumberFormat="1" applyProtection="1">
      <protection locked="0"/>
    </xf>
    <xf numFmtId="169" fontId="13" fillId="0" borderId="26" xfId="1" applyNumberFormat="1" applyFont="1" applyBorder="1" applyAlignment="1" applyProtection="1">
      <alignment horizontal="center" vertical="center"/>
      <protection locked="0"/>
    </xf>
    <xf numFmtId="20" fontId="1" fillId="0" borderId="0" xfId="1" applyNumberFormat="1"/>
    <xf numFmtId="164" fontId="1" fillId="0" borderId="0" xfId="1" applyAlignment="1">
      <alignment horizontal="left"/>
    </xf>
    <xf numFmtId="166" fontId="13" fillId="9" borderId="25" xfId="1" applyNumberFormat="1" applyFont="1" applyFill="1" applyBorder="1" applyAlignment="1" applyProtection="1">
      <alignment horizontal="center" vertical="center"/>
      <protection locked="0"/>
    </xf>
    <xf numFmtId="164" fontId="17" fillId="0" borderId="0" xfId="1" applyFont="1" applyAlignment="1">
      <alignment vertical="top" wrapText="1"/>
    </xf>
    <xf numFmtId="20" fontId="13" fillId="0" borderId="27" xfId="1" applyNumberFormat="1" applyFont="1" applyBorder="1" applyAlignment="1">
      <alignment vertical="center"/>
    </xf>
    <xf numFmtId="167" fontId="13" fillId="0" borderId="28" xfId="1" applyNumberFormat="1" applyFont="1" applyBorder="1" applyAlignment="1">
      <alignment vertical="center"/>
    </xf>
    <xf numFmtId="167" fontId="13" fillId="0" borderId="27" xfId="1" applyNumberFormat="1" applyFont="1" applyBorder="1" applyAlignment="1">
      <alignment vertical="center"/>
    </xf>
    <xf numFmtId="167" fontId="13" fillId="0" borderId="19" xfId="1" applyNumberFormat="1" applyFont="1" applyBorder="1" applyAlignment="1">
      <alignment vertical="center"/>
    </xf>
    <xf numFmtId="0" fontId="13" fillId="0" borderId="0" xfId="1" applyNumberFormat="1" applyFont="1" applyAlignment="1">
      <alignment vertical="center"/>
    </xf>
    <xf numFmtId="169" fontId="26" fillId="0" borderId="29" xfId="1" applyNumberFormat="1" applyFont="1" applyBorder="1" applyAlignment="1">
      <alignment horizontal="center" vertical="center"/>
    </xf>
    <xf numFmtId="164" fontId="2" fillId="0" borderId="0" xfId="1" applyFont="1" applyAlignment="1">
      <alignment horizontal="center"/>
    </xf>
    <xf numFmtId="0" fontId="1" fillId="0" borderId="0" xfId="1" applyNumberFormat="1" applyAlignment="1">
      <alignment horizontal="center"/>
    </xf>
    <xf numFmtId="2" fontId="26" fillId="0" borderId="29" xfId="1" applyNumberFormat="1" applyFont="1" applyBorder="1" applyAlignment="1">
      <alignment horizontal="center" vertical="center"/>
    </xf>
    <xf numFmtId="164" fontId="13" fillId="0" borderId="30" xfId="1" applyFont="1" applyBorder="1" applyAlignment="1">
      <alignment horizontal="right" vertical="center"/>
    </xf>
    <xf numFmtId="169" fontId="26" fillId="0" borderId="31" xfId="1" applyNumberFormat="1" applyFont="1" applyBorder="1" applyAlignment="1">
      <alignment horizontal="center" vertical="center"/>
    </xf>
    <xf numFmtId="164" fontId="27" fillId="0" borderId="30" xfId="1" applyFont="1" applyBorder="1" applyAlignment="1">
      <alignment horizontal="right" vertical="center"/>
    </xf>
    <xf numFmtId="166" fontId="13" fillId="10" borderId="6" xfId="1" applyNumberFormat="1" applyFont="1" applyFill="1" applyBorder="1" applyAlignment="1" applyProtection="1">
      <alignment horizontal="center" vertical="center"/>
      <protection locked="0"/>
    </xf>
    <xf numFmtId="164" fontId="17" fillId="0" borderId="24" xfId="1" applyFont="1" applyBorder="1" applyAlignment="1">
      <alignment horizontal="right" vertical="center"/>
    </xf>
    <xf numFmtId="164" fontId="17" fillId="0" borderId="32" xfId="1" applyFont="1" applyBorder="1" applyAlignment="1">
      <alignment horizontal="left" vertical="center"/>
    </xf>
    <xf numFmtId="166" fontId="17" fillId="0" borderId="33" xfId="1" applyNumberFormat="1" applyFont="1" applyBorder="1" applyAlignment="1">
      <alignment horizontal="center" vertical="center"/>
    </xf>
    <xf numFmtId="169" fontId="17" fillId="0" borderId="33" xfId="1" applyNumberFormat="1" applyFont="1" applyBorder="1" applyAlignment="1">
      <alignment horizontal="center" vertical="center"/>
    </xf>
    <xf numFmtId="164" fontId="13" fillId="0" borderId="34" xfId="1" applyFont="1" applyBorder="1" applyAlignment="1">
      <alignment horizontal="right" vertical="center"/>
    </xf>
    <xf numFmtId="166" fontId="13" fillId="11" borderId="25" xfId="1" applyNumberFormat="1" applyFont="1" applyFill="1" applyBorder="1" applyAlignment="1" applyProtection="1">
      <alignment horizontal="center" vertical="center"/>
      <protection locked="0"/>
    </xf>
    <xf numFmtId="164" fontId="13" fillId="0" borderId="35" xfId="1" applyFont="1" applyBorder="1" applyAlignment="1">
      <alignment horizontal="right" vertical="center"/>
    </xf>
    <xf numFmtId="166" fontId="13" fillId="0" borderId="6" xfId="1" applyNumberFormat="1" applyFont="1" applyBorder="1" applyAlignment="1" applyProtection="1">
      <alignment horizontal="center" vertical="center"/>
      <protection locked="0"/>
    </xf>
    <xf numFmtId="164" fontId="13" fillId="0" borderId="36" xfId="1" applyFont="1" applyBorder="1" applyAlignment="1">
      <alignment horizontal="right" vertical="center"/>
    </xf>
    <xf numFmtId="166" fontId="13" fillId="0" borderId="18" xfId="1" applyNumberFormat="1" applyFont="1" applyBorder="1" applyAlignment="1" applyProtection="1">
      <alignment horizontal="center" vertical="center"/>
      <protection locked="0"/>
    </xf>
    <xf numFmtId="169" fontId="26" fillId="0" borderId="23" xfId="1" applyNumberFormat="1" applyFont="1" applyBorder="1" applyAlignment="1">
      <alignment horizontal="center" vertical="center"/>
    </xf>
    <xf numFmtId="164" fontId="17" fillId="0" borderId="37" xfId="1" applyFont="1" applyBorder="1" applyAlignment="1">
      <alignment horizontal="left" vertical="center"/>
    </xf>
    <xf numFmtId="0" fontId="1" fillId="0" borderId="0" xfId="1" applyNumberFormat="1"/>
    <xf numFmtId="166" fontId="1" fillId="0" borderId="0" xfId="1" applyNumberFormat="1"/>
    <xf numFmtId="164" fontId="28" fillId="0" borderId="0" xfId="1" applyFont="1"/>
    <xf numFmtId="164" fontId="13" fillId="0" borderId="38" xfId="1" applyFont="1" applyBorder="1" applyAlignment="1">
      <alignment horizontal="right" vertical="center"/>
    </xf>
    <xf numFmtId="2" fontId="27" fillId="0" borderId="27" xfId="1" applyNumberFormat="1" applyFont="1" applyBorder="1" applyAlignment="1">
      <alignment horizontal="center" vertical="center"/>
    </xf>
    <xf numFmtId="169" fontId="27" fillId="0" borderId="27" xfId="1" applyNumberFormat="1" applyFont="1" applyBorder="1" applyAlignment="1">
      <alignment horizontal="center" vertical="center"/>
    </xf>
    <xf numFmtId="164" fontId="17" fillId="0" borderId="39" xfId="1" applyFont="1" applyBorder="1" applyAlignment="1">
      <alignment horizontal="left" vertical="center"/>
    </xf>
    <xf numFmtId="169" fontId="13" fillId="0" borderId="31" xfId="1" applyNumberFormat="1" applyFont="1" applyBorder="1" applyAlignment="1">
      <alignment horizontal="center" vertical="center"/>
    </xf>
    <xf numFmtId="166" fontId="13" fillId="0" borderId="25" xfId="1" applyNumberFormat="1" applyFont="1" applyBorder="1" applyAlignment="1">
      <alignment horizontal="center" vertical="center"/>
    </xf>
    <xf numFmtId="166" fontId="13" fillId="0" borderId="6" xfId="1" applyNumberFormat="1" applyFont="1" applyBorder="1" applyAlignment="1">
      <alignment horizontal="center" vertical="center"/>
    </xf>
    <xf numFmtId="164" fontId="2" fillId="12" borderId="0" xfId="1" applyFont="1" applyFill="1"/>
    <xf numFmtId="20" fontId="1" fillId="0" borderId="40" xfId="1" applyNumberFormat="1" applyBorder="1"/>
    <xf numFmtId="166" fontId="13" fillId="0" borderId="2" xfId="1" applyNumberFormat="1" applyFont="1" applyBorder="1" applyAlignment="1" applyProtection="1">
      <alignment horizontal="center" vertical="center"/>
      <protection locked="0"/>
    </xf>
    <xf numFmtId="166" fontId="13" fillId="0" borderId="4" xfId="1" applyNumberFormat="1" applyFont="1" applyBorder="1" applyAlignment="1" applyProtection="1">
      <alignment horizontal="center" vertical="center"/>
      <protection locked="0"/>
    </xf>
    <xf numFmtId="164" fontId="0" fillId="0" borderId="5" xfId="1" applyFont="1" applyBorder="1"/>
    <xf numFmtId="166" fontId="13" fillId="0" borderId="41" xfId="1" applyNumberFormat="1" applyFont="1" applyBorder="1" applyAlignment="1" applyProtection="1">
      <alignment horizontal="center" vertical="center"/>
      <protection locked="0"/>
    </xf>
    <xf numFmtId="164" fontId="13" fillId="0" borderId="42" xfId="1" applyFont="1" applyBorder="1" applyAlignment="1">
      <alignment horizontal="right" vertical="center"/>
    </xf>
    <xf numFmtId="169" fontId="13" fillId="0" borderId="43" xfId="1" applyNumberFormat="1" applyFont="1" applyBorder="1" applyAlignment="1">
      <alignment horizontal="center" vertical="center"/>
    </xf>
    <xf numFmtId="164" fontId="1" fillId="0" borderId="5" xfId="1" applyBorder="1"/>
    <xf numFmtId="166" fontId="13" fillId="12" borderId="44" xfId="1" applyNumberFormat="1" applyFont="1" applyFill="1" applyBorder="1" applyAlignment="1" applyProtection="1">
      <alignment horizontal="center" vertical="center"/>
      <protection locked="0"/>
    </xf>
    <xf numFmtId="169" fontId="17" fillId="0" borderId="45" xfId="1" applyNumberFormat="1" applyFont="1" applyBorder="1" applyAlignment="1">
      <alignment horizontal="center" vertical="center"/>
    </xf>
    <xf numFmtId="166" fontId="13" fillId="0" borderId="46" xfId="1" applyNumberFormat="1" applyFont="1" applyBorder="1" applyAlignment="1">
      <alignment horizontal="center" vertical="center"/>
    </xf>
    <xf numFmtId="169" fontId="13" fillId="0" borderId="29" xfId="1" applyNumberFormat="1" applyFont="1" applyBorder="1" applyAlignment="1">
      <alignment horizontal="center" vertical="center"/>
    </xf>
    <xf numFmtId="164" fontId="1" fillId="0" borderId="49" xfId="1" applyBorder="1"/>
    <xf numFmtId="166" fontId="13" fillId="0" borderId="8" xfId="1" applyNumberFormat="1" applyFont="1" applyBorder="1" applyAlignment="1" applyProtection="1">
      <alignment horizontal="center" vertical="center"/>
      <protection locked="0"/>
    </xf>
    <xf numFmtId="166" fontId="13" fillId="0" borderId="10" xfId="1" applyNumberFormat="1" applyFont="1" applyBorder="1" applyAlignment="1" applyProtection="1">
      <alignment horizontal="center" vertical="center"/>
      <protection locked="0"/>
    </xf>
    <xf numFmtId="166" fontId="13" fillId="0" borderId="27" xfId="1" applyNumberFormat="1" applyFont="1" applyBorder="1" applyAlignment="1">
      <alignment horizontal="center" vertical="center"/>
    </xf>
    <xf numFmtId="1" fontId="17" fillId="0" borderId="33" xfId="1" applyNumberFormat="1" applyFont="1" applyBorder="1" applyAlignment="1">
      <alignment horizontal="center" vertical="center"/>
    </xf>
    <xf numFmtId="164" fontId="17" fillId="12" borderId="39" xfId="1" applyFont="1" applyFill="1" applyBorder="1" applyAlignment="1">
      <alignment vertical="center" wrapText="1"/>
    </xf>
    <xf numFmtId="166" fontId="13" fillId="0" borderId="33" xfId="1" applyNumberFormat="1" applyFont="1" applyBorder="1" applyAlignment="1" applyProtection="1">
      <alignment horizontal="center" vertical="center"/>
      <protection locked="0"/>
    </xf>
    <xf numFmtId="169" fontId="26" fillId="0" borderId="43" xfId="1" applyNumberFormat="1" applyFont="1" applyBorder="1" applyAlignment="1">
      <alignment horizontal="center" vertical="center"/>
    </xf>
    <xf numFmtId="164" fontId="17" fillId="0" borderId="39" xfId="1" applyFont="1" applyBorder="1" applyAlignment="1">
      <alignment horizontal="center" vertical="center"/>
    </xf>
    <xf numFmtId="164" fontId="13" fillId="0" borderId="50" xfId="1" applyFont="1" applyBorder="1" applyAlignment="1">
      <alignment horizontal="right" vertical="center"/>
    </xf>
    <xf numFmtId="2" fontId="13" fillId="0" borderId="2" xfId="1" applyNumberFormat="1" applyFont="1" applyBorder="1" applyAlignment="1" applyProtection="1">
      <alignment horizontal="center" vertical="center"/>
      <protection locked="0"/>
    </xf>
    <xf numFmtId="169" fontId="13" fillId="0" borderId="51" xfId="1" applyNumberFormat="1" applyFont="1" applyBorder="1" applyAlignment="1">
      <alignment horizontal="center" vertical="center"/>
    </xf>
    <xf numFmtId="164" fontId="13" fillId="0" borderId="52" xfId="1" applyFont="1" applyBorder="1" applyAlignment="1">
      <alignment horizontal="right" vertical="center"/>
    </xf>
    <xf numFmtId="169" fontId="13" fillId="0" borderId="53" xfId="1" applyNumberFormat="1" applyFont="1" applyBorder="1" applyAlignment="1">
      <alignment horizontal="center" vertical="center"/>
    </xf>
    <xf numFmtId="164" fontId="13" fillId="0" borderId="54" xfId="1" applyFont="1" applyBorder="1" applyAlignment="1">
      <alignment horizontal="right" vertical="center"/>
    </xf>
    <xf numFmtId="166" fontId="13" fillId="0" borderId="6" xfId="1" applyNumberFormat="1" applyFont="1" applyBorder="1" applyAlignment="1" applyProtection="1">
      <alignment horizontal="center"/>
      <protection locked="0"/>
    </xf>
    <xf numFmtId="169" fontId="13" fillId="0" borderId="53" xfId="1" applyNumberFormat="1" applyFont="1" applyBorder="1" applyAlignment="1">
      <alignment horizontal="center"/>
    </xf>
    <xf numFmtId="169" fontId="13" fillId="0" borderId="55" xfId="1" applyNumberFormat="1" applyFont="1" applyBorder="1" applyAlignment="1">
      <alignment horizontal="center" vertical="center"/>
    </xf>
    <xf numFmtId="164" fontId="17" fillId="0" borderId="0" xfId="1" applyFont="1" applyAlignment="1">
      <alignment horizontal="right" vertical="center"/>
    </xf>
    <xf numFmtId="164" fontId="13" fillId="0" borderId="1" xfId="1" applyFont="1" applyBorder="1" applyAlignment="1">
      <alignment vertical="center"/>
    </xf>
    <xf numFmtId="166" fontId="17" fillId="0" borderId="3" xfId="1" applyNumberFormat="1" applyFont="1" applyBorder="1" applyAlignment="1">
      <alignment horizontal="center" vertical="center"/>
    </xf>
    <xf numFmtId="169" fontId="1" fillId="0" borderId="0" xfId="1" applyNumberFormat="1"/>
    <xf numFmtId="164" fontId="13" fillId="0" borderId="50" xfId="1" applyFont="1" applyBorder="1" applyAlignment="1">
      <alignment horizontal="right" vertical="center" indent="1"/>
    </xf>
    <xf numFmtId="166" fontId="13" fillId="0" borderId="56" xfId="1" applyNumberFormat="1" applyFont="1" applyBorder="1" applyAlignment="1" applyProtection="1">
      <alignment horizontal="center" vertical="center"/>
      <protection locked="0"/>
    </xf>
    <xf numFmtId="169" fontId="1" fillId="0" borderId="6" xfId="1" applyNumberFormat="1" applyBorder="1" applyAlignment="1">
      <alignment horizontal="center"/>
    </xf>
    <xf numFmtId="164" fontId="13" fillId="0" borderId="52" xfId="1" applyFont="1" applyBorder="1" applyAlignment="1">
      <alignment horizontal="right" vertical="center" indent="1"/>
    </xf>
    <xf numFmtId="166" fontId="13" fillId="0" borderId="46" xfId="1" applyNumberFormat="1" applyFont="1" applyBorder="1" applyAlignment="1" applyProtection="1">
      <alignment horizontal="center" vertical="center"/>
      <protection locked="0"/>
    </xf>
    <xf numFmtId="166" fontId="13" fillId="0" borderId="57" xfId="1" applyNumberFormat="1" applyFont="1" applyBorder="1" applyAlignment="1" applyProtection="1">
      <alignment horizontal="center"/>
      <protection locked="0"/>
    </xf>
    <xf numFmtId="169" fontId="1" fillId="0" borderId="27" xfId="1" applyNumberFormat="1" applyBorder="1" applyAlignment="1">
      <alignment horizontal="center"/>
    </xf>
    <xf numFmtId="164" fontId="17" fillId="0" borderId="50" xfId="1" applyFont="1" applyBorder="1" applyAlignment="1">
      <alignment vertical="center"/>
    </xf>
    <xf numFmtId="2" fontId="29" fillId="0" borderId="2" xfId="1" applyNumberFormat="1" applyFont="1" applyBorder="1" applyAlignment="1">
      <alignment horizontal="center" vertical="center"/>
    </xf>
    <xf numFmtId="2" fontId="29" fillId="0" borderId="4" xfId="1" applyNumberFormat="1" applyFont="1" applyBorder="1" applyAlignment="1">
      <alignment horizontal="center" vertical="center"/>
    </xf>
    <xf numFmtId="164" fontId="17" fillId="0" borderId="52" xfId="1" applyFont="1" applyBorder="1" applyAlignment="1">
      <alignment horizontal="right" vertical="center" indent="1"/>
    </xf>
    <xf numFmtId="2" fontId="29" fillId="0" borderId="25" xfId="1" applyNumberFormat="1" applyFont="1" applyBorder="1" applyAlignment="1">
      <alignment horizontal="center" vertical="center"/>
    </xf>
    <xf numFmtId="2" fontId="29" fillId="0" borderId="58" xfId="1" applyNumberFormat="1" applyFont="1" applyBorder="1" applyAlignment="1">
      <alignment horizontal="center" vertical="center"/>
    </xf>
    <xf numFmtId="164" fontId="1" fillId="0" borderId="59" xfId="1" applyBorder="1" applyAlignment="1">
      <alignment horizontal="center"/>
    </xf>
    <xf numFmtId="2" fontId="29" fillId="0" borderId="6" xfId="1" applyNumberFormat="1" applyFont="1" applyBorder="1" applyAlignment="1">
      <alignment horizontal="center" vertical="center"/>
    </xf>
    <xf numFmtId="2" fontId="29" fillId="0" borderId="41" xfId="1" applyNumberFormat="1" applyFont="1" applyBorder="1" applyAlignment="1">
      <alignment horizontal="center" vertical="center"/>
    </xf>
    <xf numFmtId="2" fontId="29" fillId="0" borderId="8" xfId="1" applyNumberFormat="1" applyFont="1" applyBorder="1" applyAlignment="1">
      <alignment horizontal="center" vertical="center"/>
    </xf>
    <xf numFmtId="2" fontId="29" fillId="0" borderId="10" xfId="1" applyNumberFormat="1" applyFont="1" applyBorder="1" applyAlignment="1">
      <alignment horizontal="center" vertical="center"/>
    </xf>
    <xf numFmtId="164" fontId="17" fillId="0" borderId="49" xfId="1" applyFont="1" applyBorder="1" applyAlignment="1">
      <alignment vertical="center"/>
    </xf>
    <xf numFmtId="164" fontId="1" fillId="0" borderId="60" xfId="1" applyBorder="1" applyAlignment="1">
      <alignment horizontal="center"/>
    </xf>
    <xf numFmtId="164" fontId="0" fillId="0" borderId="60" xfId="1" applyFont="1" applyBorder="1" applyAlignment="1">
      <alignment horizontal="center"/>
    </xf>
    <xf numFmtId="169" fontId="1" fillId="0" borderId="60" xfId="1" applyNumberFormat="1" applyBorder="1" applyAlignment="1">
      <alignment horizontal="center"/>
    </xf>
    <xf numFmtId="164" fontId="13" fillId="0" borderId="61" xfId="1" applyFont="1" applyBorder="1" applyAlignment="1">
      <alignment horizontal="right" vertical="center"/>
    </xf>
    <xf numFmtId="2" fontId="13" fillId="0" borderId="25" xfId="1" applyNumberFormat="1" applyFont="1" applyBorder="1" applyAlignment="1">
      <alignment horizontal="center" vertical="center"/>
    </xf>
    <xf numFmtId="2" fontId="13" fillId="0" borderId="25" xfId="1" applyNumberFormat="1" applyFont="1" applyBorder="1" applyAlignment="1" applyProtection="1">
      <alignment horizontal="center" vertical="center"/>
      <protection locked="0"/>
    </xf>
    <xf numFmtId="169" fontId="26" fillId="0" borderId="58" xfId="1" applyNumberFormat="1" applyFont="1" applyBorder="1" applyAlignment="1">
      <alignment horizontal="center" vertical="center"/>
    </xf>
    <xf numFmtId="2" fontId="13" fillId="0" borderId="6" xfId="1" applyNumberFormat="1" applyFont="1" applyBorder="1" applyAlignment="1">
      <alignment horizontal="center" vertical="center"/>
    </xf>
    <xf numFmtId="2" fontId="13" fillId="0" borderId="6" xfId="1" applyNumberFormat="1" applyFont="1" applyBorder="1" applyAlignment="1" applyProtection="1">
      <alignment horizontal="center" vertical="center"/>
      <protection locked="0"/>
    </xf>
    <xf numFmtId="169" fontId="26" fillId="0" borderId="41" xfId="1" applyNumberFormat="1" applyFont="1" applyBorder="1" applyAlignment="1">
      <alignment horizontal="center" vertical="center"/>
    </xf>
    <xf numFmtId="164" fontId="13" fillId="0" borderId="62" xfId="1" applyFont="1" applyBorder="1" applyAlignment="1">
      <alignment horizontal="right" vertical="center"/>
    </xf>
    <xf numFmtId="169" fontId="26" fillId="0" borderId="63" xfId="1" applyNumberFormat="1" applyFont="1" applyBorder="1" applyAlignment="1">
      <alignment horizontal="center" vertical="center"/>
    </xf>
    <xf numFmtId="2" fontId="13" fillId="0" borderId="27" xfId="1" applyNumberFormat="1" applyFont="1" applyBorder="1" applyAlignment="1">
      <alignment horizontal="center" vertical="center"/>
    </xf>
    <xf numFmtId="2" fontId="13" fillId="0" borderId="18" xfId="1" applyNumberFormat="1" applyFont="1" applyBorder="1" applyAlignment="1" applyProtection="1">
      <alignment horizontal="center" vertical="center"/>
      <protection locked="0"/>
    </xf>
    <xf numFmtId="164" fontId="13" fillId="0" borderId="37" xfId="1" applyFont="1" applyBorder="1" applyAlignment="1">
      <alignment vertical="center"/>
    </xf>
    <xf numFmtId="2" fontId="13" fillId="0" borderId="64" xfId="1" applyNumberFormat="1" applyFont="1" applyBorder="1" applyAlignment="1">
      <alignment horizontal="center" vertical="center"/>
    </xf>
    <xf numFmtId="2" fontId="13" fillId="0" borderId="33" xfId="1" applyNumberFormat="1" applyFont="1" applyBorder="1" applyAlignment="1">
      <alignment horizontal="center" vertical="center"/>
    </xf>
    <xf numFmtId="2" fontId="13" fillId="0" borderId="65" xfId="1" applyNumberFormat="1" applyFont="1" applyBorder="1" applyAlignment="1">
      <alignment horizontal="center" vertical="center"/>
    </xf>
    <xf numFmtId="169" fontId="26" fillId="0" borderId="37" xfId="1" applyNumberFormat="1" applyFont="1" applyBorder="1" applyAlignment="1">
      <alignment horizontal="center" vertical="center"/>
    </xf>
    <xf numFmtId="2" fontId="1" fillId="0" borderId="0" xfId="1" applyNumberFormat="1" applyAlignment="1">
      <alignment horizontal="center"/>
    </xf>
    <xf numFmtId="169" fontId="1" fillId="0" borderId="0" xfId="1" applyNumberFormat="1" applyAlignment="1">
      <alignment horizontal="center"/>
    </xf>
    <xf numFmtId="2" fontId="13" fillId="0" borderId="2" xfId="1" applyNumberFormat="1" applyFont="1" applyBorder="1" applyAlignment="1">
      <alignment horizontal="center" vertical="center"/>
    </xf>
    <xf numFmtId="169" fontId="30" fillId="0" borderId="4" xfId="1" applyNumberFormat="1" applyFont="1" applyBorder="1" applyAlignment="1">
      <alignment horizontal="center" vertical="center"/>
    </xf>
    <xf numFmtId="169" fontId="30" fillId="0" borderId="41" xfId="1" applyNumberFormat="1" applyFont="1" applyBorder="1" applyAlignment="1">
      <alignment horizontal="center" vertical="center"/>
    </xf>
    <xf numFmtId="169" fontId="30" fillId="0" borderId="63" xfId="1" applyNumberFormat="1" applyFont="1" applyBorder="1" applyAlignment="1">
      <alignment horizontal="center" vertical="center"/>
    </xf>
    <xf numFmtId="164" fontId="13" fillId="0" borderId="64" xfId="1" applyFont="1" applyBorder="1" applyAlignment="1">
      <alignment horizontal="right" vertical="center"/>
    </xf>
    <xf numFmtId="169" fontId="1" fillId="0" borderId="66" xfId="1" applyNumberFormat="1" applyBorder="1" applyAlignment="1">
      <alignment horizontal="center"/>
    </xf>
    <xf numFmtId="164" fontId="13" fillId="13" borderId="6" xfId="1" applyFont="1" applyFill="1" applyBorder="1" applyAlignment="1">
      <alignment vertical="center"/>
    </xf>
    <xf numFmtId="1" fontId="1" fillId="13" borderId="6" xfId="1" applyNumberFormat="1" applyFill="1" applyBorder="1"/>
    <xf numFmtId="20" fontId="31" fillId="13" borderId="6" xfId="1" applyNumberFormat="1" applyFont="1" applyFill="1" applyBorder="1" applyAlignment="1">
      <alignment horizontal="center"/>
    </xf>
    <xf numFmtId="164" fontId="32" fillId="15" borderId="0" xfId="1" applyFont="1" applyFill="1"/>
    <xf numFmtId="164" fontId="1" fillId="16" borderId="0" xfId="1" applyFill="1" applyProtection="1">
      <protection locked="0"/>
    </xf>
    <xf numFmtId="165" fontId="1" fillId="16" borderId="0" xfId="1" applyNumberFormat="1" applyFill="1" applyProtection="1">
      <protection locked="0"/>
    </xf>
    <xf numFmtId="165" fontId="15" fillId="17" borderId="6" xfId="1" applyNumberFormat="1" applyFont="1" applyFill="1" applyBorder="1" applyAlignment="1">
      <alignment horizontal="center"/>
    </xf>
    <xf numFmtId="165" fontId="15" fillId="17" borderId="6" xfId="1" applyNumberFormat="1" applyFont="1" applyFill="1" applyBorder="1"/>
    <xf numFmtId="165" fontId="15" fillId="0" borderId="6" xfId="1" applyNumberFormat="1" applyFont="1" applyBorder="1"/>
    <xf numFmtId="1" fontId="15" fillId="0" borderId="6" xfId="1" applyNumberFormat="1" applyFont="1" applyBorder="1"/>
    <xf numFmtId="1" fontId="15" fillId="17" borderId="6" xfId="1" applyNumberFormat="1" applyFont="1" applyFill="1" applyBorder="1" applyAlignment="1">
      <alignment horizontal="center"/>
    </xf>
    <xf numFmtId="164" fontId="1" fillId="17" borderId="6" xfId="1" applyFill="1" applyBorder="1"/>
    <xf numFmtId="1" fontId="1" fillId="0" borderId="6" xfId="1" applyNumberFormat="1" applyBorder="1"/>
    <xf numFmtId="164" fontId="28" fillId="17" borderId="6" xfId="1" applyFont="1" applyFill="1" applyBorder="1"/>
    <xf numFmtId="1" fontId="15" fillId="13" borderId="6" xfId="1" applyNumberFormat="1" applyFont="1" applyFill="1" applyBorder="1" applyAlignment="1">
      <alignment horizontal="center"/>
    </xf>
    <xf numFmtId="165" fontId="15" fillId="13" borderId="6" xfId="1" applyNumberFormat="1" applyFont="1" applyFill="1" applyBorder="1" applyAlignment="1">
      <alignment horizontal="center"/>
    </xf>
    <xf numFmtId="164" fontId="1" fillId="13" borderId="6" xfId="1" applyFill="1" applyBorder="1"/>
    <xf numFmtId="165" fontId="15" fillId="0" borderId="0" xfId="1" applyNumberFormat="1" applyFont="1" applyAlignment="1">
      <alignment horizontal="center"/>
    </xf>
    <xf numFmtId="167" fontId="13" fillId="9" borderId="19" xfId="1" applyNumberFormat="1" applyFont="1" applyFill="1" applyBorder="1" applyAlignment="1">
      <alignment vertical="center"/>
    </xf>
    <xf numFmtId="165" fontId="15" fillId="9" borderId="0" xfId="1" applyNumberFormat="1" applyFont="1" applyFill="1"/>
    <xf numFmtId="0" fontId="13" fillId="9" borderId="0" xfId="1" applyNumberFormat="1" applyFont="1" applyFill="1" applyAlignment="1">
      <alignment vertical="center"/>
    </xf>
    <xf numFmtId="0" fontId="1" fillId="9" borderId="0" xfId="1" applyNumberFormat="1" applyFill="1" applyAlignment="1">
      <alignment horizontal="center"/>
    </xf>
    <xf numFmtId="2" fontId="34" fillId="0" borderId="25" xfId="1" applyNumberFormat="1" applyFont="1" applyBorder="1" applyAlignment="1">
      <alignment horizontal="center" vertical="center"/>
    </xf>
    <xf numFmtId="2" fontId="34" fillId="0" borderId="6" xfId="1" applyNumberFormat="1" applyFont="1" applyBorder="1" applyAlignment="1">
      <alignment horizontal="center" vertical="center"/>
    </xf>
    <xf numFmtId="2" fontId="34" fillId="0" borderId="8" xfId="1" applyNumberFormat="1" applyFont="1" applyBorder="1" applyAlignment="1">
      <alignment horizontal="center" vertical="center"/>
    </xf>
    <xf numFmtId="2" fontId="1" fillId="0" borderId="60" xfId="1" applyNumberFormat="1" applyBorder="1" applyAlignment="1">
      <alignment horizontal="center"/>
    </xf>
    <xf numFmtId="166" fontId="13" fillId="0" borderId="0" xfId="1" applyNumberFormat="1" applyFont="1" applyAlignment="1">
      <alignment vertical="center"/>
    </xf>
    <xf numFmtId="167" fontId="13" fillId="0" borderId="19" xfId="1" applyNumberFormat="1" applyFont="1" applyBorder="1" applyAlignment="1">
      <alignment horizontal="center" vertical="center"/>
    </xf>
    <xf numFmtId="167" fontId="13" fillId="0" borderId="22" xfId="1" applyNumberFormat="1" applyFont="1" applyBorder="1" applyAlignment="1">
      <alignment horizontal="center" vertical="center"/>
    </xf>
    <xf numFmtId="168" fontId="25" fillId="8" borderId="20" xfId="1" applyNumberFormat="1" applyFont="1" applyFill="1" applyBorder="1" applyAlignment="1">
      <alignment horizontal="center" vertical="center" wrapText="1"/>
    </xf>
    <xf numFmtId="168" fontId="25" fillId="8" borderId="23" xfId="1" applyNumberFormat="1" applyFont="1" applyFill="1" applyBorder="1" applyAlignment="1">
      <alignment horizontal="center" vertical="center" wrapText="1"/>
    </xf>
    <xf numFmtId="166" fontId="17" fillId="12" borderId="47" xfId="1" applyNumberFormat="1" applyFont="1" applyFill="1" applyBorder="1" applyAlignment="1">
      <alignment horizontal="center" vertical="center"/>
    </xf>
    <xf numFmtId="166" fontId="17" fillId="12" borderId="48" xfId="1" applyNumberFormat="1" applyFont="1" applyFill="1" applyBorder="1" applyAlignment="1">
      <alignment horizontal="center" vertical="center"/>
    </xf>
    <xf numFmtId="164" fontId="32" fillId="14" borderId="0" xfId="1" applyFont="1" applyFill="1" applyAlignment="1">
      <alignment horizontal="center"/>
    </xf>
    <xf numFmtId="167" fontId="13" fillId="7" borderId="19" xfId="1" applyNumberFormat="1" applyFont="1" applyFill="1" applyBorder="1" applyAlignment="1">
      <alignment horizontal="center" vertical="center"/>
    </xf>
    <xf numFmtId="167" fontId="13" fillId="7" borderId="22" xfId="1" applyNumberFormat="1" applyFont="1" applyFill="1" applyBorder="1" applyAlignment="1">
      <alignment horizontal="center" vertical="center"/>
    </xf>
    <xf numFmtId="2" fontId="24" fillId="0" borderId="13" xfId="1" applyNumberFormat="1" applyFont="1" applyBorder="1" applyAlignment="1">
      <alignment horizontal="center" vertical="center"/>
    </xf>
    <xf numFmtId="2" fontId="24" fillId="0" borderId="14" xfId="1" applyNumberFormat="1" applyFont="1" applyBorder="1" applyAlignment="1">
      <alignment horizontal="center" vertical="center"/>
    </xf>
    <xf numFmtId="2" fontId="24" fillId="0" borderId="15" xfId="1" applyNumberFormat="1" applyFont="1" applyBorder="1" applyAlignment="1">
      <alignment horizontal="center" vertical="center"/>
    </xf>
    <xf numFmtId="165" fontId="15" fillId="17" borderId="27" xfId="1" applyNumberFormat="1" applyFont="1" applyFill="1" applyBorder="1" applyAlignment="1">
      <alignment horizontal="center"/>
    </xf>
    <xf numFmtId="164" fontId="17" fillId="0" borderId="17" xfId="1" applyFont="1" applyBorder="1" applyAlignment="1">
      <alignment horizontal="left" vertical="top" wrapText="1"/>
    </xf>
    <xf numFmtId="164" fontId="17" fillId="0" borderId="21" xfId="1" applyFont="1" applyBorder="1" applyAlignment="1">
      <alignment horizontal="left" vertical="top" wrapText="1"/>
    </xf>
    <xf numFmtId="167" fontId="13" fillId="0" borderId="18" xfId="1" applyNumberFormat="1" applyFont="1" applyBorder="1" applyAlignment="1">
      <alignment horizontal="center" vertical="center"/>
    </xf>
    <xf numFmtId="164" fontId="16" fillId="4" borderId="11" xfId="1" applyFont="1" applyFill="1" applyBorder="1" applyAlignment="1">
      <alignment horizontal="left" vertical="center"/>
    </xf>
    <xf numFmtId="164" fontId="16" fillId="4" borderId="11" xfId="1" applyFont="1" applyFill="1" applyBorder="1" applyAlignment="1">
      <alignment horizontal="center" vertical="center"/>
    </xf>
    <xf numFmtId="2" fontId="23" fillId="0" borderId="13" xfId="1" applyNumberFormat="1" applyFont="1" applyBorder="1" applyAlignment="1">
      <alignment horizontal="center" vertical="center"/>
    </xf>
    <xf numFmtId="2" fontId="23" fillId="0" borderId="14" xfId="1" applyNumberFormat="1" applyFont="1" applyBorder="1" applyAlignment="1">
      <alignment horizontal="center" vertical="center"/>
    </xf>
    <xf numFmtId="2" fontId="23" fillId="0" borderId="15" xfId="1" applyNumberFormat="1" applyFont="1" applyBorder="1" applyAlignment="1">
      <alignment horizontal="center" vertical="center"/>
    </xf>
    <xf numFmtId="164" fontId="5" fillId="0" borderId="0" xfId="1" applyFont="1" applyAlignment="1">
      <alignment horizontal="center" vertical="center" wrapText="1"/>
    </xf>
    <xf numFmtId="164" fontId="6" fillId="2" borderId="0" xfId="1" applyFont="1" applyFill="1" applyAlignment="1">
      <alignment horizontal="center" vertical="center"/>
    </xf>
    <xf numFmtId="164" fontId="5" fillId="0" borderId="1" xfId="1" applyFont="1" applyBorder="1" applyAlignment="1">
      <alignment horizontal="center" vertical="center"/>
    </xf>
    <xf numFmtId="164" fontId="5" fillId="0" borderId="7" xfId="1" applyFont="1" applyBorder="1" applyAlignment="1">
      <alignment horizontal="center" vertical="center"/>
    </xf>
    <xf numFmtId="164" fontId="5" fillId="0" borderId="3" xfId="1" applyFont="1" applyBorder="1" applyAlignment="1">
      <alignment horizontal="center" vertical="center"/>
    </xf>
    <xf numFmtId="164" fontId="5" fillId="0" borderId="9" xfId="1" applyFont="1" applyBorder="1" applyAlignment="1">
      <alignment horizontal="center" vertical="center"/>
    </xf>
    <xf numFmtId="164" fontId="1" fillId="0" borderId="5" xfId="1" applyBorder="1" applyAlignment="1">
      <alignment horizontal="center" textRotation="90"/>
    </xf>
  </cellXfs>
  <cellStyles count="3">
    <cellStyle name="Comma 2" xfId="2" xr:uid="{6B3AA243-5F0B-4481-A61D-38039E0A18CA}"/>
    <cellStyle name="Normal" xfId="0" builtinId="0"/>
    <cellStyle name="Normal 2" xfId="1" xr:uid="{BDF5F384-8145-4C2D-928D-41A9FD478CAE}"/>
  </cellStyles>
  <dxfs count="4184"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4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6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8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2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4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6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8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0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2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5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4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5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6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5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8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6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0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6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2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B68-428A-9629-5E4578B046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B68-428A-9629-5E4578B046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B68-428A-9629-5E4578B046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B68-428A-9629-5E4578B046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B68-428A-9629-5E4578B0463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2B68-428A-9629-5E4578B0463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'0'!$AM$16:$BJ$16</c:f>
              <c:numCache>
                <c:formatCode>General</c:formatCode>
                <c:ptCount val="24"/>
                <c:pt idx="0">
                  <c:v>459.45</c:v>
                </c:pt>
                <c:pt idx="1">
                  <c:v>459.45</c:v>
                </c:pt>
                <c:pt idx="2">
                  <c:v>464.74999999999994</c:v>
                </c:pt>
                <c:pt idx="3">
                  <c:v>464.74999999999994</c:v>
                </c:pt>
                <c:pt idx="4">
                  <c:v>464.74999999999994</c:v>
                </c:pt>
                <c:pt idx="5">
                  <c:v>464.74999999999994</c:v>
                </c:pt>
                <c:pt idx="6">
                  <c:v>462.95</c:v>
                </c:pt>
                <c:pt idx="7">
                  <c:v>458.95</c:v>
                </c:pt>
                <c:pt idx="8">
                  <c:v>459.45</c:v>
                </c:pt>
                <c:pt idx="9">
                  <c:v>459.45</c:v>
                </c:pt>
                <c:pt idx="10">
                  <c:v>458.84999999999997</c:v>
                </c:pt>
                <c:pt idx="11">
                  <c:v>458.95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3-4967-9545-C0565262101B}"/>
            </c:ext>
          </c:extLst>
        </c:ser>
        <c:ser>
          <c:idx val="2"/>
          <c:order val="1"/>
          <c:tx>
            <c:strRef>
              <c:f>'0'!$AL$17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'0'!$AM$17:$BJ$17</c:f>
              <c:numCache>
                <c:formatCode>General</c:formatCode>
                <c:ptCount val="24"/>
                <c:pt idx="0">
                  <c:v>36.200000000000003</c:v>
                </c:pt>
                <c:pt idx="1">
                  <c:v>36.200000000000003</c:v>
                </c:pt>
                <c:pt idx="2">
                  <c:v>36.200000000000003</c:v>
                </c:pt>
                <c:pt idx="3">
                  <c:v>36.200000000000003</c:v>
                </c:pt>
                <c:pt idx="4">
                  <c:v>36.200000000000003</c:v>
                </c:pt>
                <c:pt idx="5">
                  <c:v>36.200000000000003</c:v>
                </c:pt>
                <c:pt idx="6">
                  <c:v>36.200000000000003</c:v>
                </c:pt>
                <c:pt idx="7">
                  <c:v>96.2</c:v>
                </c:pt>
                <c:pt idx="8">
                  <c:v>341.2</c:v>
                </c:pt>
                <c:pt idx="9">
                  <c:v>66.2</c:v>
                </c:pt>
                <c:pt idx="10">
                  <c:v>73.099999999999994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93-4967-9545-C0565262101B}"/>
            </c:ext>
          </c:extLst>
        </c:ser>
        <c:ser>
          <c:idx val="3"/>
          <c:order val="2"/>
          <c:tx>
            <c:strRef>
              <c:f>'0'!$AL$18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'0'!$AM$18:$BJ$18</c:f>
              <c:numCache>
                <c:formatCode>General</c:formatCode>
                <c:ptCount val="24"/>
                <c:pt idx="0">
                  <c:v>72.84</c:v>
                </c:pt>
                <c:pt idx="1">
                  <c:v>72.84</c:v>
                </c:pt>
                <c:pt idx="2">
                  <c:v>79.239999999999995</c:v>
                </c:pt>
                <c:pt idx="3">
                  <c:v>79.239999999999995</c:v>
                </c:pt>
                <c:pt idx="4">
                  <c:v>79.239999999999995</c:v>
                </c:pt>
                <c:pt idx="5">
                  <c:v>79.239999999999995</c:v>
                </c:pt>
                <c:pt idx="6">
                  <c:v>233.23999999999998</c:v>
                </c:pt>
                <c:pt idx="7">
                  <c:v>248.73999999999998</c:v>
                </c:pt>
                <c:pt idx="8">
                  <c:v>284.53000000000009</c:v>
                </c:pt>
                <c:pt idx="9">
                  <c:v>272.73000000000008</c:v>
                </c:pt>
                <c:pt idx="10">
                  <c:v>266.73</c:v>
                </c:pt>
                <c:pt idx="11">
                  <c:v>268.73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93-4967-9545-C0565262101B}"/>
            </c:ext>
          </c:extLst>
        </c:ser>
        <c:ser>
          <c:idx val="0"/>
          <c:order val="3"/>
          <c:tx>
            <c:strRef>
              <c:f>'0'!$AL$19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'0'!$AM$19:$BJ$19</c:f>
              <c:numCache>
                <c:formatCode>General</c:formatCode>
                <c:ptCount val="24"/>
                <c:pt idx="0">
                  <c:v>671</c:v>
                </c:pt>
                <c:pt idx="1">
                  <c:v>684</c:v>
                </c:pt>
                <c:pt idx="2">
                  <c:v>640</c:v>
                </c:pt>
                <c:pt idx="3">
                  <c:v>631.4</c:v>
                </c:pt>
                <c:pt idx="4">
                  <c:v>650.69999999999993</c:v>
                </c:pt>
                <c:pt idx="5">
                  <c:v>668.4</c:v>
                </c:pt>
                <c:pt idx="6">
                  <c:v>672.80000000000007</c:v>
                </c:pt>
                <c:pt idx="7">
                  <c:v>633.79999999999995</c:v>
                </c:pt>
                <c:pt idx="8">
                  <c:v>261.5</c:v>
                </c:pt>
                <c:pt idx="9">
                  <c:v>541.5</c:v>
                </c:pt>
                <c:pt idx="10">
                  <c:v>539.20000000000005</c:v>
                </c:pt>
                <c:pt idx="11">
                  <c:v>565.70000000000005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93-4967-9545-C0565262101B}"/>
            </c:ext>
          </c:extLst>
        </c:ser>
        <c:ser>
          <c:idx val="4"/>
          <c:order val="4"/>
          <c:tx>
            <c:strRef>
              <c:f>'0'!$AL$20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'0'!$AM$20:$BJ$20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93-4967-9545-C0565262101B}"/>
            </c:ext>
          </c:extLst>
        </c:ser>
        <c:ser>
          <c:idx val="5"/>
          <c:order val="5"/>
          <c:tx>
            <c:strRef>
              <c:f>'0'!$AL$21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'0'!$AM$21:$BJ$21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</c:v>
                </c:pt>
                <c:pt idx="8">
                  <c:v>250</c:v>
                </c:pt>
                <c:pt idx="9">
                  <c:v>200</c:v>
                </c:pt>
                <c:pt idx="10">
                  <c:v>180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93-4967-9545-C05652621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'0'!$AM$23:$BJ$23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93-4967-9545-C05652621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'0'!$AM$22:$BJ$22</c:f>
              <c:numCache>
                <c:formatCode>General</c:formatCode>
                <c:ptCount val="24"/>
                <c:pt idx="0">
                  <c:v>1239.49</c:v>
                </c:pt>
                <c:pt idx="1">
                  <c:v>1252.49</c:v>
                </c:pt>
                <c:pt idx="2">
                  <c:v>1220.19</c:v>
                </c:pt>
                <c:pt idx="3">
                  <c:v>1211.5899999999999</c:v>
                </c:pt>
                <c:pt idx="4">
                  <c:v>1230.8899999999999</c:v>
                </c:pt>
                <c:pt idx="5">
                  <c:v>1248.5899999999999</c:v>
                </c:pt>
                <c:pt idx="6">
                  <c:v>1405.19</c:v>
                </c:pt>
                <c:pt idx="7">
                  <c:v>1487.69</c:v>
                </c:pt>
                <c:pt idx="8">
                  <c:v>1596.68</c:v>
                </c:pt>
                <c:pt idx="9">
                  <c:v>1539.88</c:v>
                </c:pt>
                <c:pt idx="10">
                  <c:v>1517.88</c:v>
                </c:pt>
                <c:pt idx="11">
                  <c:v>1384.38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2193-4967-9545-C0565262101B}"/>
            </c:ext>
          </c:extLst>
        </c:ser>
        <c:ser>
          <c:idx val="8"/>
          <c:order val="8"/>
          <c:tx>
            <c:strRef>
              <c:f>'0'!$AL$24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'0'!$AM$24:$BJ$24</c:f>
              <c:numCache>
                <c:formatCode>General</c:formatCode>
                <c:ptCount val="24"/>
                <c:pt idx="0">
                  <c:v>1239.49</c:v>
                </c:pt>
                <c:pt idx="1">
                  <c:v>1252.49</c:v>
                </c:pt>
                <c:pt idx="2">
                  <c:v>1220.19</c:v>
                </c:pt>
                <c:pt idx="3">
                  <c:v>1211.5899999999999</c:v>
                </c:pt>
                <c:pt idx="4">
                  <c:v>1230.8899999999999</c:v>
                </c:pt>
                <c:pt idx="5">
                  <c:v>1248.5899999999999</c:v>
                </c:pt>
                <c:pt idx="6">
                  <c:v>1405.19</c:v>
                </c:pt>
                <c:pt idx="7">
                  <c:v>1487.69</c:v>
                </c:pt>
                <c:pt idx="8">
                  <c:v>1596.68</c:v>
                </c:pt>
                <c:pt idx="9">
                  <c:v>1539.88</c:v>
                </c:pt>
                <c:pt idx="10">
                  <c:v>1517.88</c:v>
                </c:pt>
                <c:pt idx="11">
                  <c:v>1384.38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193-4967-9545-C05652621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D69-4A6B-A0C4-A91867C2D0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D69-4A6B-A0C4-A91867C2D0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D69-4A6B-A0C4-A91867C2D0C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D69-4A6B-A0C4-A91867C2D0C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D69-4A6B-A0C4-A91867C2D0C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2D69-4A6B-A0C4-A91867C2D0C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'1'!$AM$15:$BN$15</c:f>
              <c:numCache>
                <c:formatCode>[hh]:mm</c:formatCode>
                <c:ptCount val="27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0.499999999999999</c:v>
                </c:pt>
                <c:pt idx="13">
                  <c:v>0.54166666666666496</c:v>
                </c:pt>
                <c:pt idx="14">
                  <c:v>0.58333333333333104</c:v>
                </c:pt>
                <c:pt idx="15">
                  <c:v>0.624999999999997</c:v>
                </c:pt>
                <c:pt idx="16">
                  <c:v>0.66666666666666297</c:v>
                </c:pt>
                <c:pt idx="17">
                  <c:v>0.70833333333332904</c:v>
                </c:pt>
                <c:pt idx="18">
                  <c:v>0.75</c:v>
                </c:pt>
                <c:pt idx="19">
                  <c:v>0.77083333333333337</c:v>
                </c:pt>
                <c:pt idx="20">
                  <c:v>0.79166666666666663</c:v>
                </c:pt>
                <c:pt idx="21">
                  <c:v>0.8125</c:v>
                </c:pt>
                <c:pt idx="22">
                  <c:v>0.83333333333333337</c:v>
                </c:pt>
                <c:pt idx="23">
                  <c:v>0.85416666666666663</c:v>
                </c:pt>
                <c:pt idx="24">
                  <c:v>0.875</c:v>
                </c:pt>
                <c:pt idx="25">
                  <c:v>0.91666666666666663</c:v>
                </c:pt>
                <c:pt idx="26">
                  <c:v>0.95833333333333337</c:v>
                </c:pt>
              </c:numCache>
            </c:numRef>
          </c:cat>
          <c:val>
            <c:numRef>
              <c:f>'1'!$AM$16:$BN$16</c:f>
              <c:numCache>
                <c:formatCode>General</c:formatCode>
                <c:ptCount val="27"/>
                <c:pt idx="0">
                  <c:v>461.34999999999997</c:v>
                </c:pt>
                <c:pt idx="1">
                  <c:v>461.34999999999997</c:v>
                </c:pt>
                <c:pt idx="2">
                  <c:v>461.34999999999997</c:v>
                </c:pt>
                <c:pt idx="3">
                  <c:v>462.34999999999997</c:v>
                </c:pt>
                <c:pt idx="4">
                  <c:v>462.34999999999997</c:v>
                </c:pt>
                <c:pt idx="5">
                  <c:v>462.34999999999997</c:v>
                </c:pt>
                <c:pt idx="6">
                  <c:v>461.84999999999997</c:v>
                </c:pt>
                <c:pt idx="7">
                  <c:v>459.34999999999997</c:v>
                </c:pt>
                <c:pt idx="8">
                  <c:v>451.74999999999994</c:v>
                </c:pt>
                <c:pt idx="9">
                  <c:v>450.94999999999993</c:v>
                </c:pt>
                <c:pt idx="10">
                  <c:v>450.65</c:v>
                </c:pt>
                <c:pt idx="11">
                  <c:v>450.65</c:v>
                </c:pt>
                <c:pt idx="12">
                  <c:v>450.65</c:v>
                </c:pt>
                <c:pt idx="13">
                  <c:v>450.65</c:v>
                </c:pt>
                <c:pt idx="14">
                  <c:v>450.65</c:v>
                </c:pt>
                <c:pt idx="15">
                  <c:v>450.65</c:v>
                </c:pt>
                <c:pt idx="16">
                  <c:v>450.65</c:v>
                </c:pt>
                <c:pt idx="17">
                  <c:v>450.65</c:v>
                </c:pt>
                <c:pt idx="18">
                  <c:v>450.65</c:v>
                </c:pt>
                <c:pt idx="19">
                  <c:v>450.65</c:v>
                </c:pt>
                <c:pt idx="20">
                  <c:v>450.65</c:v>
                </c:pt>
                <c:pt idx="21">
                  <c:v>450.65</c:v>
                </c:pt>
                <c:pt idx="22">
                  <c:v>450.65</c:v>
                </c:pt>
                <c:pt idx="23">
                  <c:v>450.65</c:v>
                </c:pt>
                <c:pt idx="24">
                  <c:v>450.65</c:v>
                </c:pt>
                <c:pt idx="25">
                  <c:v>450.65</c:v>
                </c:pt>
                <c:pt idx="26">
                  <c:v>450.65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C-4B99-B01D-FAA46C7D66A1}"/>
            </c:ext>
          </c:extLst>
        </c:ser>
        <c:ser>
          <c:idx val="2"/>
          <c:order val="1"/>
          <c:tx>
            <c:strRef>
              <c:f>'1'!$AL$17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'1'!$AM$15:$BN$15</c:f>
              <c:numCache>
                <c:formatCode>[hh]:mm</c:formatCode>
                <c:ptCount val="27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0.499999999999999</c:v>
                </c:pt>
                <c:pt idx="13">
                  <c:v>0.54166666666666496</c:v>
                </c:pt>
                <c:pt idx="14">
                  <c:v>0.58333333333333104</c:v>
                </c:pt>
                <c:pt idx="15">
                  <c:v>0.624999999999997</c:v>
                </c:pt>
                <c:pt idx="16">
                  <c:v>0.66666666666666297</c:v>
                </c:pt>
                <c:pt idx="17">
                  <c:v>0.70833333333332904</c:v>
                </c:pt>
                <c:pt idx="18">
                  <c:v>0.75</c:v>
                </c:pt>
                <c:pt idx="19">
                  <c:v>0.77083333333333337</c:v>
                </c:pt>
                <c:pt idx="20">
                  <c:v>0.79166666666666663</c:v>
                </c:pt>
                <c:pt idx="21">
                  <c:v>0.8125</c:v>
                </c:pt>
                <c:pt idx="22">
                  <c:v>0.83333333333333337</c:v>
                </c:pt>
                <c:pt idx="23">
                  <c:v>0.85416666666666663</c:v>
                </c:pt>
                <c:pt idx="24">
                  <c:v>0.875</c:v>
                </c:pt>
                <c:pt idx="25">
                  <c:v>0.91666666666666663</c:v>
                </c:pt>
                <c:pt idx="26">
                  <c:v>0.95833333333333337</c:v>
                </c:pt>
              </c:numCache>
            </c:numRef>
          </c:cat>
          <c:val>
            <c:numRef>
              <c:f>'1'!$AM$17:$BN$17</c:f>
              <c:numCache>
                <c:formatCode>General</c:formatCode>
                <c:ptCount val="27"/>
                <c:pt idx="0">
                  <c:v>62.1</c:v>
                </c:pt>
                <c:pt idx="1">
                  <c:v>77.099999999999994</c:v>
                </c:pt>
                <c:pt idx="2">
                  <c:v>77.099999999999994</c:v>
                </c:pt>
                <c:pt idx="3">
                  <c:v>87.1</c:v>
                </c:pt>
                <c:pt idx="4">
                  <c:v>87.1</c:v>
                </c:pt>
                <c:pt idx="5">
                  <c:v>87.1</c:v>
                </c:pt>
                <c:pt idx="6">
                  <c:v>67.099999999999994</c:v>
                </c:pt>
                <c:pt idx="7">
                  <c:v>237.1</c:v>
                </c:pt>
                <c:pt idx="8">
                  <c:v>387.1</c:v>
                </c:pt>
                <c:pt idx="9">
                  <c:v>321.2</c:v>
                </c:pt>
                <c:pt idx="10">
                  <c:v>52</c:v>
                </c:pt>
                <c:pt idx="11">
                  <c:v>113</c:v>
                </c:pt>
                <c:pt idx="12">
                  <c:v>51.1</c:v>
                </c:pt>
                <c:pt idx="13">
                  <c:v>51.1</c:v>
                </c:pt>
                <c:pt idx="14">
                  <c:v>51.1</c:v>
                </c:pt>
                <c:pt idx="15">
                  <c:v>36.1</c:v>
                </c:pt>
                <c:pt idx="16">
                  <c:v>51.1</c:v>
                </c:pt>
                <c:pt idx="17">
                  <c:v>51.1</c:v>
                </c:pt>
                <c:pt idx="18">
                  <c:v>71.099999999999994</c:v>
                </c:pt>
                <c:pt idx="19">
                  <c:v>136.1</c:v>
                </c:pt>
                <c:pt idx="20">
                  <c:v>368.5</c:v>
                </c:pt>
                <c:pt idx="21">
                  <c:v>447.5</c:v>
                </c:pt>
                <c:pt idx="22">
                  <c:v>317.5</c:v>
                </c:pt>
                <c:pt idx="23">
                  <c:v>167.5</c:v>
                </c:pt>
                <c:pt idx="24">
                  <c:v>170</c:v>
                </c:pt>
                <c:pt idx="25">
                  <c:v>67.5</c:v>
                </c:pt>
                <c:pt idx="26">
                  <c:v>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6C-4B99-B01D-FAA46C7D66A1}"/>
            </c:ext>
          </c:extLst>
        </c:ser>
        <c:ser>
          <c:idx val="3"/>
          <c:order val="2"/>
          <c:tx>
            <c:strRef>
              <c:f>'1'!$AL$18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'1'!$AM$15:$BN$15</c:f>
              <c:numCache>
                <c:formatCode>[hh]:mm</c:formatCode>
                <c:ptCount val="27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0.499999999999999</c:v>
                </c:pt>
                <c:pt idx="13">
                  <c:v>0.54166666666666496</c:v>
                </c:pt>
                <c:pt idx="14">
                  <c:v>0.58333333333333104</c:v>
                </c:pt>
                <c:pt idx="15">
                  <c:v>0.624999999999997</c:v>
                </c:pt>
                <c:pt idx="16">
                  <c:v>0.66666666666666297</c:v>
                </c:pt>
                <c:pt idx="17">
                  <c:v>0.70833333333332904</c:v>
                </c:pt>
                <c:pt idx="18">
                  <c:v>0.75</c:v>
                </c:pt>
                <c:pt idx="19">
                  <c:v>0.77083333333333337</c:v>
                </c:pt>
                <c:pt idx="20">
                  <c:v>0.79166666666666663</c:v>
                </c:pt>
                <c:pt idx="21">
                  <c:v>0.8125</c:v>
                </c:pt>
                <c:pt idx="22">
                  <c:v>0.83333333333333337</c:v>
                </c:pt>
                <c:pt idx="23">
                  <c:v>0.85416666666666663</c:v>
                </c:pt>
                <c:pt idx="24">
                  <c:v>0.875</c:v>
                </c:pt>
                <c:pt idx="25">
                  <c:v>0.91666666666666663</c:v>
                </c:pt>
                <c:pt idx="26">
                  <c:v>0.95833333333333337</c:v>
                </c:pt>
              </c:numCache>
            </c:numRef>
          </c:cat>
          <c:val>
            <c:numRef>
              <c:f>'1'!$AM$18:$BN$18</c:f>
              <c:numCache>
                <c:formatCode>General</c:formatCode>
                <c:ptCount val="27"/>
                <c:pt idx="0">
                  <c:v>128.34</c:v>
                </c:pt>
                <c:pt idx="1">
                  <c:v>74.84</c:v>
                </c:pt>
                <c:pt idx="2">
                  <c:v>74.84</c:v>
                </c:pt>
                <c:pt idx="3">
                  <c:v>77.34</c:v>
                </c:pt>
                <c:pt idx="4">
                  <c:v>77.34</c:v>
                </c:pt>
                <c:pt idx="5">
                  <c:v>77.34</c:v>
                </c:pt>
                <c:pt idx="6">
                  <c:v>169.93999999999997</c:v>
                </c:pt>
                <c:pt idx="7">
                  <c:v>357.03999999999996</c:v>
                </c:pt>
                <c:pt idx="8">
                  <c:v>351.93999999999994</c:v>
                </c:pt>
                <c:pt idx="9">
                  <c:v>280.14000000000004</c:v>
                </c:pt>
                <c:pt idx="10">
                  <c:v>228.04</c:v>
                </c:pt>
                <c:pt idx="11">
                  <c:v>239.14000000000001</c:v>
                </c:pt>
                <c:pt idx="12">
                  <c:v>230.94</c:v>
                </c:pt>
                <c:pt idx="13">
                  <c:v>194.64000000000001</c:v>
                </c:pt>
                <c:pt idx="14">
                  <c:v>204.73999999999998</c:v>
                </c:pt>
                <c:pt idx="15">
                  <c:v>199.04</c:v>
                </c:pt>
                <c:pt idx="16">
                  <c:v>177.14</c:v>
                </c:pt>
                <c:pt idx="17">
                  <c:v>148.34</c:v>
                </c:pt>
                <c:pt idx="18">
                  <c:v>179.93999999999997</c:v>
                </c:pt>
                <c:pt idx="19">
                  <c:v>286.8</c:v>
                </c:pt>
                <c:pt idx="20">
                  <c:v>355.99999999999994</c:v>
                </c:pt>
                <c:pt idx="21">
                  <c:v>356.03999999999996</c:v>
                </c:pt>
                <c:pt idx="22">
                  <c:v>259.64000000000004</c:v>
                </c:pt>
                <c:pt idx="23">
                  <c:v>228.23999999999998</c:v>
                </c:pt>
                <c:pt idx="24">
                  <c:v>228.94</c:v>
                </c:pt>
                <c:pt idx="25">
                  <c:v>206.93999999999997</c:v>
                </c:pt>
                <c:pt idx="26">
                  <c:v>148.33999999999997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6C-4B99-B01D-FAA46C7D66A1}"/>
            </c:ext>
          </c:extLst>
        </c:ser>
        <c:ser>
          <c:idx val="0"/>
          <c:order val="3"/>
          <c:tx>
            <c:strRef>
              <c:f>'1'!$AL$19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'1'!$AM$15:$BN$15</c:f>
              <c:numCache>
                <c:formatCode>[hh]:mm</c:formatCode>
                <c:ptCount val="27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0.499999999999999</c:v>
                </c:pt>
                <c:pt idx="13">
                  <c:v>0.54166666666666496</c:v>
                </c:pt>
                <c:pt idx="14">
                  <c:v>0.58333333333333104</c:v>
                </c:pt>
                <c:pt idx="15">
                  <c:v>0.624999999999997</c:v>
                </c:pt>
                <c:pt idx="16">
                  <c:v>0.66666666666666297</c:v>
                </c:pt>
                <c:pt idx="17">
                  <c:v>0.70833333333332904</c:v>
                </c:pt>
                <c:pt idx="18">
                  <c:v>0.75</c:v>
                </c:pt>
                <c:pt idx="19">
                  <c:v>0.77083333333333337</c:v>
                </c:pt>
                <c:pt idx="20">
                  <c:v>0.79166666666666663</c:v>
                </c:pt>
                <c:pt idx="21">
                  <c:v>0.8125</c:v>
                </c:pt>
                <c:pt idx="22">
                  <c:v>0.83333333333333337</c:v>
                </c:pt>
                <c:pt idx="23">
                  <c:v>0.85416666666666663</c:v>
                </c:pt>
                <c:pt idx="24">
                  <c:v>0.875</c:v>
                </c:pt>
                <c:pt idx="25">
                  <c:v>0.91666666666666663</c:v>
                </c:pt>
                <c:pt idx="26">
                  <c:v>0.95833333333333337</c:v>
                </c:pt>
              </c:numCache>
            </c:numRef>
          </c:cat>
          <c:val>
            <c:numRef>
              <c:f>'1'!$AM$19:$BN$19</c:f>
              <c:numCache>
                <c:formatCode>General</c:formatCode>
                <c:ptCount val="27"/>
                <c:pt idx="0">
                  <c:v>594</c:v>
                </c:pt>
                <c:pt idx="1">
                  <c:v>581</c:v>
                </c:pt>
                <c:pt idx="2">
                  <c:v>575</c:v>
                </c:pt>
                <c:pt idx="3">
                  <c:v>565.4</c:v>
                </c:pt>
                <c:pt idx="4">
                  <c:v>579.29999999999995</c:v>
                </c:pt>
                <c:pt idx="5">
                  <c:v>613.4</c:v>
                </c:pt>
                <c:pt idx="6">
                  <c:v>655.29999999999995</c:v>
                </c:pt>
                <c:pt idx="7">
                  <c:v>340.09999999999997</c:v>
                </c:pt>
                <c:pt idx="8">
                  <c:v>118.19999999999999</c:v>
                </c:pt>
                <c:pt idx="9">
                  <c:v>213.1</c:v>
                </c:pt>
                <c:pt idx="10">
                  <c:v>544.79999999999995</c:v>
                </c:pt>
                <c:pt idx="11">
                  <c:v>670.6</c:v>
                </c:pt>
                <c:pt idx="12">
                  <c:v>704.09999999999991</c:v>
                </c:pt>
                <c:pt idx="13">
                  <c:v>730</c:v>
                </c:pt>
                <c:pt idx="14">
                  <c:v>771</c:v>
                </c:pt>
                <c:pt idx="15">
                  <c:v>837.1</c:v>
                </c:pt>
                <c:pt idx="16">
                  <c:v>820.5</c:v>
                </c:pt>
                <c:pt idx="17">
                  <c:v>736.3</c:v>
                </c:pt>
                <c:pt idx="18">
                  <c:v>639.4</c:v>
                </c:pt>
                <c:pt idx="19">
                  <c:v>575.70000000000005</c:v>
                </c:pt>
                <c:pt idx="20">
                  <c:v>254.5</c:v>
                </c:pt>
                <c:pt idx="21">
                  <c:v>228.1</c:v>
                </c:pt>
                <c:pt idx="22">
                  <c:v>339.1</c:v>
                </c:pt>
                <c:pt idx="23">
                  <c:v>633.38</c:v>
                </c:pt>
                <c:pt idx="24">
                  <c:v>584.79999999999995</c:v>
                </c:pt>
                <c:pt idx="25">
                  <c:v>630.80000000000007</c:v>
                </c:pt>
                <c:pt idx="26">
                  <c:v>666.19999999999993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6C-4B99-B01D-FAA46C7D66A1}"/>
            </c:ext>
          </c:extLst>
        </c:ser>
        <c:ser>
          <c:idx val="4"/>
          <c:order val="4"/>
          <c:tx>
            <c:strRef>
              <c:f>'1'!$AL$20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'1'!$AM$15:$BN$15</c:f>
              <c:numCache>
                <c:formatCode>[hh]:mm</c:formatCode>
                <c:ptCount val="27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0.499999999999999</c:v>
                </c:pt>
                <c:pt idx="13">
                  <c:v>0.54166666666666496</c:v>
                </c:pt>
                <c:pt idx="14">
                  <c:v>0.58333333333333104</c:v>
                </c:pt>
                <c:pt idx="15">
                  <c:v>0.624999999999997</c:v>
                </c:pt>
                <c:pt idx="16">
                  <c:v>0.66666666666666297</c:v>
                </c:pt>
                <c:pt idx="17">
                  <c:v>0.70833333333332904</c:v>
                </c:pt>
                <c:pt idx="18">
                  <c:v>0.75</c:v>
                </c:pt>
                <c:pt idx="19">
                  <c:v>0.77083333333333337</c:v>
                </c:pt>
                <c:pt idx="20">
                  <c:v>0.79166666666666663</c:v>
                </c:pt>
                <c:pt idx="21">
                  <c:v>0.8125</c:v>
                </c:pt>
                <c:pt idx="22">
                  <c:v>0.83333333333333337</c:v>
                </c:pt>
                <c:pt idx="23">
                  <c:v>0.85416666666666663</c:v>
                </c:pt>
                <c:pt idx="24">
                  <c:v>0.875</c:v>
                </c:pt>
                <c:pt idx="25">
                  <c:v>0.91666666666666663</c:v>
                </c:pt>
                <c:pt idx="26">
                  <c:v>0.95833333333333337</c:v>
                </c:pt>
              </c:numCache>
            </c:numRef>
          </c:cat>
          <c:val>
            <c:numRef>
              <c:f>'1'!$AM$20:$BN$20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36.700000000000003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42.2</c:v>
                </c:pt>
                <c:pt idx="17">
                  <c:v>58</c:v>
                </c:pt>
                <c:pt idx="18">
                  <c:v>55.9</c:v>
                </c:pt>
                <c:pt idx="19">
                  <c:v>63.1</c:v>
                </c:pt>
                <c:pt idx="20">
                  <c:v>63.1</c:v>
                </c:pt>
                <c:pt idx="21">
                  <c:v>56.300000000000004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6C-4B99-B01D-FAA46C7D66A1}"/>
            </c:ext>
          </c:extLst>
        </c:ser>
        <c:ser>
          <c:idx val="5"/>
          <c:order val="5"/>
          <c:tx>
            <c:strRef>
              <c:f>'1'!$AL$21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'1'!$AM$15:$BN$15</c:f>
              <c:numCache>
                <c:formatCode>[hh]:mm</c:formatCode>
                <c:ptCount val="27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0.499999999999999</c:v>
                </c:pt>
                <c:pt idx="13">
                  <c:v>0.54166666666666496</c:v>
                </c:pt>
                <c:pt idx="14">
                  <c:v>0.58333333333333104</c:v>
                </c:pt>
                <c:pt idx="15">
                  <c:v>0.624999999999997</c:v>
                </c:pt>
                <c:pt idx="16">
                  <c:v>0.66666666666666297</c:v>
                </c:pt>
                <c:pt idx="17">
                  <c:v>0.70833333333332904</c:v>
                </c:pt>
                <c:pt idx="18">
                  <c:v>0.75</c:v>
                </c:pt>
                <c:pt idx="19">
                  <c:v>0.77083333333333337</c:v>
                </c:pt>
                <c:pt idx="20">
                  <c:v>0.79166666666666663</c:v>
                </c:pt>
                <c:pt idx="21">
                  <c:v>0.8125</c:v>
                </c:pt>
                <c:pt idx="22">
                  <c:v>0.83333333333333337</c:v>
                </c:pt>
                <c:pt idx="23">
                  <c:v>0.85416666666666663</c:v>
                </c:pt>
                <c:pt idx="24">
                  <c:v>0.875</c:v>
                </c:pt>
                <c:pt idx="25">
                  <c:v>0.91666666666666663</c:v>
                </c:pt>
                <c:pt idx="26">
                  <c:v>0.95833333333333337</c:v>
                </c:pt>
              </c:numCache>
            </c:numRef>
          </c:cat>
          <c:val>
            <c:numRef>
              <c:f>'1'!$AM$21:$BN$21</c:f>
              <c:numCache>
                <c:formatCode>General</c:formatCode>
                <c:ptCount val="27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250</c:v>
                </c:pt>
                <c:pt idx="9">
                  <c:v>250</c:v>
                </c:pt>
                <c:pt idx="10">
                  <c:v>180</c:v>
                </c:pt>
                <c:pt idx="11">
                  <c:v>0</c:v>
                </c:pt>
                <c:pt idx="12">
                  <c:v>20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40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100</c:v>
                </c:pt>
                <c:pt idx="24">
                  <c:v>30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6C-4B99-B01D-FAA46C7D6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'1'!$AM$15:$BN$15</c:f>
              <c:numCache>
                <c:formatCode>[hh]:mm</c:formatCode>
                <c:ptCount val="27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0.499999999999999</c:v>
                </c:pt>
                <c:pt idx="13">
                  <c:v>0.54166666666666496</c:v>
                </c:pt>
                <c:pt idx="14">
                  <c:v>0.58333333333333104</c:v>
                </c:pt>
                <c:pt idx="15">
                  <c:v>0.624999999999997</c:v>
                </c:pt>
                <c:pt idx="16">
                  <c:v>0.66666666666666297</c:v>
                </c:pt>
                <c:pt idx="17">
                  <c:v>0.70833333333332904</c:v>
                </c:pt>
                <c:pt idx="18">
                  <c:v>0.75</c:v>
                </c:pt>
                <c:pt idx="19">
                  <c:v>0.77083333333333337</c:v>
                </c:pt>
                <c:pt idx="20">
                  <c:v>0.79166666666666663</c:v>
                </c:pt>
                <c:pt idx="21">
                  <c:v>0.8125</c:v>
                </c:pt>
                <c:pt idx="22">
                  <c:v>0.83333333333333337</c:v>
                </c:pt>
                <c:pt idx="23">
                  <c:v>0.85416666666666663</c:v>
                </c:pt>
                <c:pt idx="24">
                  <c:v>0.875</c:v>
                </c:pt>
                <c:pt idx="25">
                  <c:v>0.91666666666666663</c:v>
                </c:pt>
                <c:pt idx="26">
                  <c:v>0.95833333333333337</c:v>
                </c:pt>
              </c:numCache>
            </c:numRef>
          </c:cat>
          <c:val>
            <c:numRef>
              <c:f>'1'!$AM$23:$BN$23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6C-4B99-B01D-FAA46C7D6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'1'!$AM$15:$BN$15</c:f>
              <c:numCache>
                <c:formatCode>[hh]:mm</c:formatCode>
                <c:ptCount val="27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0.499999999999999</c:v>
                </c:pt>
                <c:pt idx="13">
                  <c:v>0.54166666666666496</c:v>
                </c:pt>
                <c:pt idx="14">
                  <c:v>0.58333333333333104</c:v>
                </c:pt>
                <c:pt idx="15">
                  <c:v>0.624999999999997</c:v>
                </c:pt>
                <c:pt idx="16">
                  <c:v>0.66666666666666297</c:v>
                </c:pt>
                <c:pt idx="17">
                  <c:v>0.70833333333332904</c:v>
                </c:pt>
                <c:pt idx="18">
                  <c:v>0.75</c:v>
                </c:pt>
                <c:pt idx="19">
                  <c:v>0.77083333333333337</c:v>
                </c:pt>
                <c:pt idx="20">
                  <c:v>0.79166666666666663</c:v>
                </c:pt>
                <c:pt idx="21">
                  <c:v>0.8125</c:v>
                </c:pt>
                <c:pt idx="22">
                  <c:v>0.83333333333333337</c:v>
                </c:pt>
                <c:pt idx="23">
                  <c:v>0.85416666666666663</c:v>
                </c:pt>
                <c:pt idx="24">
                  <c:v>0.875</c:v>
                </c:pt>
                <c:pt idx="25">
                  <c:v>0.91666666666666663</c:v>
                </c:pt>
                <c:pt idx="26">
                  <c:v>0.95833333333333337</c:v>
                </c:pt>
              </c:numCache>
            </c:numRef>
          </c:cat>
          <c:val>
            <c:numRef>
              <c:f>'1'!$AM$22:$BN$22</c:f>
              <c:numCache>
                <c:formatCode>General</c:formatCode>
                <c:ptCount val="27"/>
                <c:pt idx="0">
                  <c:v>1295.79</c:v>
                </c:pt>
                <c:pt idx="1">
                  <c:v>1244.29</c:v>
                </c:pt>
                <c:pt idx="2">
                  <c:v>1238.29</c:v>
                </c:pt>
                <c:pt idx="3">
                  <c:v>1242.19</c:v>
                </c:pt>
                <c:pt idx="4">
                  <c:v>1256.0899999999999</c:v>
                </c:pt>
                <c:pt idx="5">
                  <c:v>1290.19</c:v>
                </c:pt>
                <c:pt idx="6">
                  <c:v>1404.1899999999998</c:v>
                </c:pt>
                <c:pt idx="7">
                  <c:v>1443.5899999999997</c:v>
                </c:pt>
                <c:pt idx="8">
                  <c:v>1595.69</c:v>
                </c:pt>
                <c:pt idx="9">
                  <c:v>1515.3899999999999</c:v>
                </c:pt>
                <c:pt idx="10">
                  <c:v>1455.4899999999998</c:v>
                </c:pt>
                <c:pt idx="11">
                  <c:v>1473.3899999999999</c:v>
                </c:pt>
                <c:pt idx="12">
                  <c:v>1456.79</c:v>
                </c:pt>
                <c:pt idx="13">
                  <c:v>1441.3899999999999</c:v>
                </c:pt>
                <c:pt idx="14">
                  <c:v>1492.49</c:v>
                </c:pt>
                <c:pt idx="15">
                  <c:v>1537.8899999999999</c:v>
                </c:pt>
                <c:pt idx="16">
                  <c:v>1556.59</c:v>
                </c:pt>
                <c:pt idx="17">
                  <c:v>1484.3899999999999</c:v>
                </c:pt>
                <c:pt idx="18">
                  <c:v>1596.99</c:v>
                </c:pt>
                <c:pt idx="19">
                  <c:v>1712.35</c:v>
                </c:pt>
                <c:pt idx="20">
                  <c:v>1692.7499999999998</c:v>
                </c:pt>
                <c:pt idx="21">
                  <c:v>1738.59</c:v>
                </c:pt>
                <c:pt idx="22">
                  <c:v>1566.8899999999999</c:v>
                </c:pt>
                <c:pt idx="23">
                  <c:v>1579.77</c:v>
                </c:pt>
                <c:pt idx="24">
                  <c:v>1464.3899999999999</c:v>
                </c:pt>
                <c:pt idx="25">
                  <c:v>1355.8899999999999</c:v>
                </c:pt>
                <c:pt idx="26">
                  <c:v>1322.69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06C-4B99-B01D-FAA46C7D66A1}"/>
            </c:ext>
          </c:extLst>
        </c:ser>
        <c:ser>
          <c:idx val="8"/>
          <c:order val="8"/>
          <c:tx>
            <c:strRef>
              <c:f>'1'!$AL$24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'1'!$AM$15:$BN$15</c:f>
              <c:numCache>
                <c:formatCode>[hh]:mm</c:formatCode>
                <c:ptCount val="27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0.499999999999999</c:v>
                </c:pt>
                <c:pt idx="13">
                  <c:v>0.54166666666666496</c:v>
                </c:pt>
                <c:pt idx="14">
                  <c:v>0.58333333333333104</c:v>
                </c:pt>
                <c:pt idx="15">
                  <c:v>0.624999999999997</c:v>
                </c:pt>
                <c:pt idx="16">
                  <c:v>0.66666666666666297</c:v>
                </c:pt>
                <c:pt idx="17">
                  <c:v>0.70833333333332904</c:v>
                </c:pt>
                <c:pt idx="18">
                  <c:v>0.75</c:v>
                </c:pt>
                <c:pt idx="19">
                  <c:v>0.77083333333333337</c:v>
                </c:pt>
                <c:pt idx="20">
                  <c:v>0.79166666666666663</c:v>
                </c:pt>
                <c:pt idx="21">
                  <c:v>0.8125</c:v>
                </c:pt>
                <c:pt idx="22">
                  <c:v>0.83333333333333337</c:v>
                </c:pt>
                <c:pt idx="23">
                  <c:v>0.85416666666666663</c:v>
                </c:pt>
                <c:pt idx="24">
                  <c:v>0.875</c:v>
                </c:pt>
                <c:pt idx="25">
                  <c:v>0.91666666666666663</c:v>
                </c:pt>
                <c:pt idx="26">
                  <c:v>0.95833333333333337</c:v>
                </c:pt>
              </c:numCache>
            </c:numRef>
          </c:cat>
          <c:val>
            <c:numRef>
              <c:f>'1'!$AM$24:$BN$24</c:f>
              <c:numCache>
                <c:formatCode>General</c:formatCode>
                <c:ptCount val="27"/>
                <c:pt idx="0">
                  <c:v>1295.79</c:v>
                </c:pt>
                <c:pt idx="1">
                  <c:v>1244.29</c:v>
                </c:pt>
                <c:pt idx="2">
                  <c:v>1238.29</c:v>
                </c:pt>
                <c:pt idx="3">
                  <c:v>1242.19</c:v>
                </c:pt>
                <c:pt idx="4">
                  <c:v>1256.0899999999999</c:v>
                </c:pt>
                <c:pt idx="5">
                  <c:v>1290.19</c:v>
                </c:pt>
                <c:pt idx="6">
                  <c:v>1404.1899999999998</c:v>
                </c:pt>
                <c:pt idx="7">
                  <c:v>1443.5899999999997</c:v>
                </c:pt>
                <c:pt idx="8">
                  <c:v>1595.69</c:v>
                </c:pt>
                <c:pt idx="9">
                  <c:v>1515.3899999999999</c:v>
                </c:pt>
                <c:pt idx="10">
                  <c:v>1455.4899999999998</c:v>
                </c:pt>
                <c:pt idx="11">
                  <c:v>1473.3899999999999</c:v>
                </c:pt>
                <c:pt idx="12">
                  <c:v>1456.79</c:v>
                </c:pt>
                <c:pt idx="13">
                  <c:v>1441.3899999999999</c:v>
                </c:pt>
                <c:pt idx="14">
                  <c:v>1491.49</c:v>
                </c:pt>
                <c:pt idx="15">
                  <c:v>1537.8899999999999</c:v>
                </c:pt>
                <c:pt idx="16">
                  <c:v>1556.59</c:v>
                </c:pt>
                <c:pt idx="17">
                  <c:v>1484.3899999999999</c:v>
                </c:pt>
                <c:pt idx="18">
                  <c:v>1596.99</c:v>
                </c:pt>
                <c:pt idx="19">
                  <c:v>1712.35</c:v>
                </c:pt>
                <c:pt idx="20">
                  <c:v>1692.7499999999998</c:v>
                </c:pt>
                <c:pt idx="21">
                  <c:v>1738.59</c:v>
                </c:pt>
                <c:pt idx="22">
                  <c:v>1566.8899999999999</c:v>
                </c:pt>
                <c:pt idx="23">
                  <c:v>1579.77</c:v>
                </c:pt>
                <c:pt idx="24">
                  <c:v>1464.3899999999999</c:v>
                </c:pt>
                <c:pt idx="25">
                  <c:v>1355.8899999999999</c:v>
                </c:pt>
                <c:pt idx="26">
                  <c:v>1322.69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06C-4B99-B01D-FAA46C7D6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911-48EF-9A96-4B83C4248B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911-48EF-9A96-4B83C4248B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911-48EF-9A96-4B83C4248B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911-48EF-9A96-4B83C4248B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911-48EF-9A96-4B83C4248BD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911-48EF-9A96-4B83C4248BD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'2'!$AM$15:$BN$15</c:f>
              <c:numCache>
                <c:formatCode>[hh]:mm</c:formatCode>
                <c:ptCount val="28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0.499999999999999</c:v>
                </c:pt>
                <c:pt idx="13">
                  <c:v>0.54166666666666496</c:v>
                </c:pt>
                <c:pt idx="14">
                  <c:v>0.58333333333333104</c:v>
                </c:pt>
                <c:pt idx="15">
                  <c:v>0.624999999999997</c:v>
                </c:pt>
                <c:pt idx="16">
                  <c:v>0.66666666666666297</c:v>
                </c:pt>
                <c:pt idx="17">
                  <c:v>0.70833333333332904</c:v>
                </c:pt>
                <c:pt idx="18">
                  <c:v>0.72916666666666663</c:v>
                </c:pt>
                <c:pt idx="19">
                  <c:v>0.75</c:v>
                </c:pt>
                <c:pt idx="20">
                  <c:v>0.77083333333333337</c:v>
                </c:pt>
                <c:pt idx="21">
                  <c:v>0.79166666666666663</c:v>
                </c:pt>
                <c:pt idx="22">
                  <c:v>0.8125</c:v>
                </c:pt>
                <c:pt idx="23">
                  <c:v>0.83333333333333337</c:v>
                </c:pt>
                <c:pt idx="24">
                  <c:v>0.85416666666666663</c:v>
                </c:pt>
                <c:pt idx="25">
                  <c:v>0.875</c:v>
                </c:pt>
                <c:pt idx="26">
                  <c:v>0.91666666666666663</c:v>
                </c:pt>
                <c:pt idx="27">
                  <c:v>0.95833333333333337</c:v>
                </c:pt>
              </c:numCache>
            </c:numRef>
          </c:cat>
          <c:val>
            <c:numRef>
              <c:f>'2'!$AM$16:$BN$16</c:f>
              <c:numCache>
                <c:formatCode>General</c:formatCode>
                <c:ptCount val="28"/>
                <c:pt idx="0">
                  <c:v>450.65</c:v>
                </c:pt>
                <c:pt idx="1">
                  <c:v>450.65</c:v>
                </c:pt>
                <c:pt idx="2">
                  <c:v>450.65</c:v>
                </c:pt>
                <c:pt idx="3">
                  <c:v>450.65</c:v>
                </c:pt>
                <c:pt idx="4">
                  <c:v>450.65</c:v>
                </c:pt>
                <c:pt idx="5">
                  <c:v>450.65</c:v>
                </c:pt>
                <c:pt idx="6">
                  <c:v>450.65</c:v>
                </c:pt>
                <c:pt idx="7">
                  <c:v>450.65</c:v>
                </c:pt>
                <c:pt idx="8">
                  <c:v>448.34999999999997</c:v>
                </c:pt>
                <c:pt idx="9">
                  <c:v>448.34999999999997</c:v>
                </c:pt>
                <c:pt idx="10">
                  <c:v>448.34999999999997</c:v>
                </c:pt>
                <c:pt idx="11">
                  <c:v>448.34999999999997</c:v>
                </c:pt>
                <c:pt idx="12">
                  <c:v>448.54999999999995</c:v>
                </c:pt>
                <c:pt idx="13">
                  <c:v>448.54999999999995</c:v>
                </c:pt>
                <c:pt idx="14">
                  <c:v>448.54999999999995</c:v>
                </c:pt>
                <c:pt idx="15">
                  <c:v>448.54999999999995</c:v>
                </c:pt>
                <c:pt idx="16">
                  <c:v>448.54999999999995</c:v>
                </c:pt>
                <c:pt idx="17">
                  <c:v>448.54999999999995</c:v>
                </c:pt>
                <c:pt idx="18">
                  <c:v>448.54999999999995</c:v>
                </c:pt>
                <c:pt idx="19">
                  <c:v>448.54999999999995</c:v>
                </c:pt>
                <c:pt idx="20">
                  <c:v>447.24999999999994</c:v>
                </c:pt>
                <c:pt idx="21">
                  <c:v>447.24999999999994</c:v>
                </c:pt>
                <c:pt idx="22">
                  <c:v>447.24999999999994</c:v>
                </c:pt>
                <c:pt idx="23">
                  <c:v>453.84999999999997</c:v>
                </c:pt>
                <c:pt idx="24">
                  <c:v>451.05</c:v>
                </c:pt>
                <c:pt idx="25">
                  <c:v>443.34999999999997</c:v>
                </c:pt>
                <c:pt idx="26">
                  <c:v>459.45</c:v>
                </c:pt>
                <c:pt idx="27">
                  <c:v>459.45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1-46C6-B689-6F4AABCFCAD8}"/>
            </c:ext>
          </c:extLst>
        </c:ser>
        <c:ser>
          <c:idx val="2"/>
          <c:order val="1"/>
          <c:tx>
            <c:strRef>
              <c:f>'2'!$AL$17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'2'!$AM$15:$BN$15</c:f>
              <c:numCache>
                <c:formatCode>[hh]:mm</c:formatCode>
                <c:ptCount val="28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0.499999999999999</c:v>
                </c:pt>
                <c:pt idx="13">
                  <c:v>0.54166666666666496</c:v>
                </c:pt>
                <c:pt idx="14">
                  <c:v>0.58333333333333104</c:v>
                </c:pt>
                <c:pt idx="15">
                  <c:v>0.624999999999997</c:v>
                </c:pt>
                <c:pt idx="16">
                  <c:v>0.66666666666666297</c:v>
                </c:pt>
                <c:pt idx="17">
                  <c:v>0.70833333333332904</c:v>
                </c:pt>
                <c:pt idx="18">
                  <c:v>0.72916666666666663</c:v>
                </c:pt>
                <c:pt idx="19">
                  <c:v>0.75</c:v>
                </c:pt>
                <c:pt idx="20">
                  <c:v>0.77083333333333337</c:v>
                </c:pt>
                <c:pt idx="21">
                  <c:v>0.79166666666666663</c:v>
                </c:pt>
                <c:pt idx="22">
                  <c:v>0.8125</c:v>
                </c:pt>
                <c:pt idx="23">
                  <c:v>0.83333333333333337</c:v>
                </c:pt>
                <c:pt idx="24">
                  <c:v>0.85416666666666663</c:v>
                </c:pt>
                <c:pt idx="25">
                  <c:v>0.875</c:v>
                </c:pt>
                <c:pt idx="26">
                  <c:v>0.91666666666666663</c:v>
                </c:pt>
                <c:pt idx="27">
                  <c:v>0.95833333333333337</c:v>
                </c:pt>
              </c:numCache>
            </c:numRef>
          </c:cat>
          <c:val>
            <c:numRef>
              <c:f>'2'!$AM$17:$BN$17</c:f>
              <c:numCache>
                <c:formatCode>General</c:formatCode>
                <c:ptCount val="28"/>
                <c:pt idx="0">
                  <c:v>57.5</c:v>
                </c:pt>
                <c:pt idx="1">
                  <c:v>52.5</c:v>
                </c:pt>
                <c:pt idx="2">
                  <c:v>37.5</c:v>
                </c:pt>
                <c:pt idx="3">
                  <c:v>36.700000000000003</c:v>
                </c:pt>
                <c:pt idx="4">
                  <c:v>36.6</c:v>
                </c:pt>
                <c:pt idx="5">
                  <c:v>66.8</c:v>
                </c:pt>
                <c:pt idx="6">
                  <c:v>76.900000000000006</c:v>
                </c:pt>
                <c:pt idx="7">
                  <c:v>116.6</c:v>
                </c:pt>
                <c:pt idx="8">
                  <c:v>436.6</c:v>
                </c:pt>
                <c:pt idx="9">
                  <c:v>51.6</c:v>
                </c:pt>
                <c:pt idx="10">
                  <c:v>66.599999999999994</c:v>
                </c:pt>
                <c:pt idx="11">
                  <c:v>66.599999999999994</c:v>
                </c:pt>
                <c:pt idx="12">
                  <c:v>80.5</c:v>
                </c:pt>
                <c:pt idx="13">
                  <c:v>65.5</c:v>
                </c:pt>
                <c:pt idx="14">
                  <c:v>85.5</c:v>
                </c:pt>
                <c:pt idx="15">
                  <c:v>50.5</c:v>
                </c:pt>
                <c:pt idx="16">
                  <c:v>50.5</c:v>
                </c:pt>
                <c:pt idx="17">
                  <c:v>50.5</c:v>
                </c:pt>
                <c:pt idx="18">
                  <c:v>50.5</c:v>
                </c:pt>
                <c:pt idx="19">
                  <c:v>50.5</c:v>
                </c:pt>
                <c:pt idx="20">
                  <c:v>95.5</c:v>
                </c:pt>
                <c:pt idx="21">
                  <c:v>78.8</c:v>
                </c:pt>
                <c:pt idx="22">
                  <c:v>416.8</c:v>
                </c:pt>
                <c:pt idx="23">
                  <c:v>403.2</c:v>
                </c:pt>
                <c:pt idx="24">
                  <c:v>174.5</c:v>
                </c:pt>
                <c:pt idx="25">
                  <c:v>159.5</c:v>
                </c:pt>
                <c:pt idx="26">
                  <c:v>171.1</c:v>
                </c:pt>
                <c:pt idx="27">
                  <c:v>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01-46C6-B689-6F4AABCFCAD8}"/>
            </c:ext>
          </c:extLst>
        </c:ser>
        <c:ser>
          <c:idx val="3"/>
          <c:order val="2"/>
          <c:tx>
            <c:strRef>
              <c:f>'2'!$AL$18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'2'!$AM$15:$BN$15</c:f>
              <c:numCache>
                <c:formatCode>[hh]:mm</c:formatCode>
                <c:ptCount val="28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0.499999999999999</c:v>
                </c:pt>
                <c:pt idx="13">
                  <c:v>0.54166666666666496</c:v>
                </c:pt>
                <c:pt idx="14">
                  <c:v>0.58333333333333104</c:v>
                </c:pt>
                <c:pt idx="15">
                  <c:v>0.624999999999997</c:v>
                </c:pt>
                <c:pt idx="16">
                  <c:v>0.66666666666666297</c:v>
                </c:pt>
                <c:pt idx="17">
                  <c:v>0.70833333333332904</c:v>
                </c:pt>
                <c:pt idx="18">
                  <c:v>0.72916666666666663</c:v>
                </c:pt>
                <c:pt idx="19">
                  <c:v>0.75</c:v>
                </c:pt>
                <c:pt idx="20">
                  <c:v>0.77083333333333337</c:v>
                </c:pt>
                <c:pt idx="21">
                  <c:v>0.79166666666666663</c:v>
                </c:pt>
                <c:pt idx="22">
                  <c:v>0.8125</c:v>
                </c:pt>
                <c:pt idx="23">
                  <c:v>0.83333333333333337</c:v>
                </c:pt>
                <c:pt idx="24">
                  <c:v>0.85416666666666663</c:v>
                </c:pt>
                <c:pt idx="25">
                  <c:v>0.875</c:v>
                </c:pt>
                <c:pt idx="26">
                  <c:v>0.91666666666666663</c:v>
                </c:pt>
                <c:pt idx="27">
                  <c:v>0.95833333333333337</c:v>
                </c:pt>
              </c:numCache>
            </c:numRef>
          </c:cat>
          <c:val>
            <c:numRef>
              <c:f>'2'!$AM$18:$BN$18</c:f>
              <c:numCache>
                <c:formatCode>General</c:formatCode>
                <c:ptCount val="28"/>
                <c:pt idx="0">
                  <c:v>85.44</c:v>
                </c:pt>
                <c:pt idx="1">
                  <c:v>85.44</c:v>
                </c:pt>
                <c:pt idx="2">
                  <c:v>85.44</c:v>
                </c:pt>
                <c:pt idx="3">
                  <c:v>75.540000000000006</c:v>
                </c:pt>
                <c:pt idx="4">
                  <c:v>90.940000000000012</c:v>
                </c:pt>
                <c:pt idx="5">
                  <c:v>75.240000000000009</c:v>
                </c:pt>
                <c:pt idx="6">
                  <c:v>191.54</c:v>
                </c:pt>
                <c:pt idx="7">
                  <c:v>243.04</c:v>
                </c:pt>
                <c:pt idx="8">
                  <c:v>296.83999999999997</c:v>
                </c:pt>
                <c:pt idx="9">
                  <c:v>205.04</c:v>
                </c:pt>
                <c:pt idx="10">
                  <c:v>205.04</c:v>
                </c:pt>
                <c:pt idx="11">
                  <c:v>199.33999999999997</c:v>
                </c:pt>
                <c:pt idx="12">
                  <c:v>200.14</c:v>
                </c:pt>
                <c:pt idx="13">
                  <c:v>206.54</c:v>
                </c:pt>
                <c:pt idx="14">
                  <c:v>197.73999999999998</c:v>
                </c:pt>
                <c:pt idx="15">
                  <c:v>199.34</c:v>
                </c:pt>
                <c:pt idx="16">
                  <c:v>199.34</c:v>
                </c:pt>
                <c:pt idx="17">
                  <c:v>199.34</c:v>
                </c:pt>
                <c:pt idx="18">
                  <c:v>251.94000000000003</c:v>
                </c:pt>
                <c:pt idx="19">
                  <c:v>281.74</c:v>
                </c:pt>
                <c:pt idx="20">
                  <c:v>300.10000000000002</c:v>
                </c:pt>
                <c:pt idx="21">
                  <c:v>368.8</c:v>
                </c:pt>
                <c:pt idx="22">
                  <c:v>379.84000000000003</c:v>
                </c:pt>
                <c:pt idx="23">
                  <c:v>259.34000000000003</c:v>
                </c:pt>
                <c:pt idx="24">
                  <c:v>247.14000000000001</c:v>
                </c:pt>
                <c:pt idx="25">
                  <c:v>244.34</c:v>
                </c:pt>
                <c:pt idx="26">
                  <c:v>191.44</c:v>
                </c:pt>
                <c:pt idx="27">
                  <c:v>149.64000000000001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01-46C6-B689-6F4AABCFCAD8}"/>
            </c:ext>
          </c:extLst>
        </c:ser>
        <c:ser>
          <c:idx val="0"/>
          <c:order val="3"/>
          <c:tx>
            <c:strRef>
              <c:f>'2'!$AL$19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'2'!$AM$15:$BN$15</c:f>
              <c:numCache>
                <c:formatCode>[hh]:mm</c:formatCode>
                <c:ptCount val="28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0.499999999999999</c:v>
                </c:pt>
                <c:pt idx="13">
                  <c:v>0.54166666666666496</c:v>
                </c:pt>
                <c:pt idx="14">
                  <c:v>0.58333333333333104</c:v>
                </c:pt>
                <c:pt idx="15">
                  <c:v>0.624999999999997</c:v>
                </c:pt>
                <c:pt idx="16">
                  <c:v>0.66666666666666297</c:v>
                </c:pt>
                <c:pt idx="17">
                  <c:v>0.70833333333332904</c:v>
                </c:pt>
                <c:pt idx="18">
                  <c:v>0.72916666666666663</c:v>
                </c:pt>
                <c:pt idx="19">
                  <c:v>0.75</c:v>
                </c:pt>
                <c:pt idx="20">
                  <c:v>0.77083333333333337</c:v>
                </c:pt>
                <c:pt idx="21">
                  <c:v>0.79166666666666663</c:v>
                </c:pt>
                <c:pt idx="22">
                  <c:v>0.8125</c:v>
                </c:pt>
                <c:pt idx="23">
                  <c:v>0.83333333333333337</c:v>
                </c:pt>
                <c:pt idx="24">
                  <c:v>0.85416666666666663</c:v>
                </c:pt>
                <c:pt idx="25">
                  <c:v>0.875</c:v>
                </c:pt>
                <c:pt idx="26">
                  <c:v>0.91666666666666663</c:v>
                </c:pt>
                <c:pt idx="27">
                  <c:v>0.95833333333333337</c:v>
                </c:pt>
              </c:numCache>
            </c:numRef>
          </c:cat>
          <c:val>
            <c:numRef>
              <c:f>'2'!$AM$19:$BN$19</c:f>
              <c:numCache>
                <c:formatCode>General</c:formatCode>
                <c:ptCount val="28"/>
                <c:pt idx="0">
                  <c:v>658.9</c:v>
                </c:pt>
                <c:pt idx="1">
                  <c:v>637.6</c:v>
                </c:pt>
                <c:pt idx="2">
                  <c:v>648.79999999999995</c:v>
                </c:pt>
                <c:pt idx="3">
                  <c:v>655.9</c:v>
                </c:pt>
                <c:pt idx="4">
                  <c:v>665.8</c:v>
                </c:pt>
                <c:pt idx="5">
                  <c:v>667.9</c:v>
                </c:pt>
                <c:pt idx="6">
                  <c:v>680.69999999999993</c:v>
                </c:pt>
                <c:pt idx="7">
                  <c:v>667.9</c:v>
                </c:pt>
                <c:pt idx="8">
                  <c:v>253.6</c:v>
                </c:pt>
                <c:pt idx="9">
                  <c:v>668.19999999999993</c:v>
                </c:pt>
                <c:pt idx="10">
                  <c:v>666.3</c:v>
                </c:pt>
                <c:pt idx="11">
                  <c:v>751.1</c:v>
                </c:pt>
                <c:pt idx="12">
                  <c:v>740.7</c:v>
                </c:pt>
                <c:pt idx="13">
                  <c:v>783.3</c:v>
                </c:pt>
                <c:pt idx="14">
                  <c:v>802.8</c:v>
                </c:pt>
                <c:pt idx="15">
                  <c:v>804</c:v>
                </c:pt>
                <c:pt idx="16">
                  <c:v>809</c:v>
                </c:pt>
                <c:pt idx="17">
                  <c:v>637.29999999999995</c:v>
                </c:pt>
                <c:pt idx="18">
                  <c:v>639.9</c:v>
                </c:pt>
                <c:pt idx="19">
                  <c:v>601</c:v>
                </c:pt>
                <c:pt idx="20">
                  <c:v>656.3</c:v>
                </c:pt>
                <c:pt idx="21">
                  <c:v>351.5</c:v>
                </c:pt>
                <c:pt idx="22">
                  <c:v>225</c:v>
                </c:pt>
                <c:pt idx="23">
                  <c:v>243.90000000000003</c:v>
                </c:pt>
                <c:pt idx="24">
                  <c:v>474.1</c:v>
                </c:pt>
                <c:pt idx="25">
                  <c:v>469</c:v>
                </c:pt>
                <c:pt idx="26">
                  <c:v>581.4</c:v>
                </c:pt>
                <c:pt idx="27">
                  <c:v>606.9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01-46C6-B689-6F4AABCFCAD8}"/>
            </c:ext>
          </c:extLst>
        </c:ser>
        <c:ser>
          <c:idx val="4"/>
          <c:order val="4"/>
          <c:tx>
            <c:strRef>
              <c:f>'2'!$AL$20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'2'!$AM$15:$BN$15</c:f>
              <c:numCache>
                <c:formatCode>[hh]:mm</c:formatCode>
                <c:ptCount val="28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0.499999999999999</c:v>
                </c:pt>
                <c:pt idx="13">
                  <c:v>0.54166666666666496</c:v>
                </c:pt>
                <c:pt idx="14">
                  <c:v>0.58333333333333104</c:v>
                </c:pt>
                <c:pt idx="15">
                  <c:v>0.624999999999997</c:v>
                </c:pt>
                <c:pt idx="16">
                  <c:v>0.66666666666666297</c:v>
                </c:pt>
                <c:pt idx="17">
                  <c:v>0.70833333333332904</c:v>
                </c:pt>
                <c:pt idx="18">
                  <c:v>0.72916666666666663</c:v>
                </c:pt>
                <c:pt idx="19">
                  <c:v>0.75</c:v>
                </c:pt>
                <c:pt idx="20">
                  <c:v>0.77083333333333337</c:v>
                </c:pt>
                <c:pt idx="21">
                  <c:v>0.79166666666666663</c:v>
                </c:pt>
                <c:pt idx="22">
                  <c:v>0.8125</c:v>
                </c:pt>
                <c:pt idx="23">
                  <c:v>0.83333333333333337</c:v>
                </c:pt>
                <c:pt idx="24">
                  <c:v>0.85416666666666663</c:v>
                </c:pt>
                <c:pt idx="25">
                  <c:v>0.875</c:v>
                </c:pt>
                <c:pt idx="26">
                  <c:v>0.91666666666666663</c:v>
                </c:pt>
                <c:pt idx="27">
                  <c:v>0.95833333333333337</c:v>
                </c:pt>
              </c:numCache>
            </c:numRef>
          </c:cat>
          <c:val>
            <c:numRef>
              <c:f>'2'!$AM$20:$BN$20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53.4</c:v>
                </c:pt>
                <c:pt idx="24">
                  <c:v>19.399999999999999</c:v>
                </c:pt>
                <c:pt idx="25">
                  <c:v>15.200000000000001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01-46C6-B689-6F4AABCFCAD8}"/>
            </c:ext>
          </c:extLst>
        </c:ser>
        <c:ser>
          <c:idx val="5"/>
          <c:order val="5"/>
          <c:tx>
            <c:strRef>
              <c:f>'2'!$AL$21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'2'!$AM$15:$BN$15</c:f>
              <c:numCache>
                <c:formatCode>[hh]:mm</c:formatCode>
                <c:ptCount val="28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0.499999999999999</c:v>
                </c:pt>
                <c:pt idx="13">
                  <c:v>0.54166666666666496</c:v>
                </c:pt>
                <c:pt idx="14">
                  <c:v>0.58333333333333104</c:v>
                </c:pt>
                <c:pt idx="15">
                  <c:v>0.624999999999997</c:v>
                </c:pt>
                <c:pt idx="16">
                  <c:v>0.66666666666666297</c:v>
                </c:pt>
                <c:pt idx="17">
                  <c:v>0.70833333333332904</c:v>
                </c:pt>
                <c:pt idx="18">
                  <c:v>0.72916666666666663</c:v>
                </c:pt>
                <c:pt idx="19">
                  <c:v>0.75</c:v>
                </c:pt>
                <c:pt idx="20">
                  <c:v>0.77083333333333337</c:v>
                </c:pt>
                <c:pt idx="21">
                  <c:v>0.79166666666666663</c:v>
                </c:pt>
                <c:pt idx="22">
                  <c:v>0.8125</c:v>
                </c:pt>
                <c:pt idx="23">
                  <c:v>0.83333333333333337</c:v>
                </c:pt>
                <c:pt idx="24">
                  <c:v>0.85416666666666663</c:v>
                </c:pt>
                <c:pt idx="25">
                  <c:v>0.875</c:v>
                </c:pt>
                <c:pt idx="26">
                  <c:v>0.91666666666666663</c:v>
                </c:pt>
                <c:pt idx="27">
                  <c:v>0.95833333333333337</c:v>
                </c:pt>
              </c:numCache>
            </c:numRef>
          </c:cat>
          <c:val>
            <c:numRef>
              <c:f>'2'!$AM$21:$BN$21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200</c:v>
                </c:pt>
                <c:pt idx="9">
                  <c:v>100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280</c:v>
                </c:pt>
                <c:pt idx="22">
                  <c:v>0</c:v>
                </c:pt>
                <c:pt idx="23">
                  <c:v>250</c:v>
                </c:pt>
                <c:pt idx="24">
                  <c:v>250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01-46C6-B689-6F4AABCFC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'2'!$AM$15:$BN$15</c:f>
              <c:numCache>
                <c:formatCode>[hh]:mm</c:formatCode>
                <c:ptCount val="28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0.499999999999999</c:v>
                </c:pt>
                <c:pt idx="13">
                  <c:v>0.54166666666666496</c:v>
                </c:pt>
                <c:pt idx="14">
                  <c:v>0.58333333333333104</c:v>
                </c:pt>
                <c:pt idx="15">
                  <c:v>0.624999999999997</c:v>
                </c:pt>
                <c:pt idx="16">
                  <c:v>0.66666666666666297</c:v>
                </c:pt>
                <c:pt idx="17">
                  <c:v>0.70833333333332904</c:v>
                </c:pt>
                <c:pt idx="18">
                  <c:v>0.72916666666666663</c:v>
                </c:pt>
                <c:pt idx="19">
                  <c:v>0.75</c:v>
                </c:pt>
                <c:pt idx="20">
                  <c:v>0.77083333333333337</c:v>
                </c:pt>
                <c:pt idx="21">
                  <c:v>0.79166666666666663</c:v>
                </c:pt>
                <c:pt idx="22">
                  <c:v>0.8125</c:v>
                </c:pt>
                <c:pt idx="23">
                  <c:v>0.83333333333333337</c:v>
                </c:pt>
                <c:pt idx="24">
                  <c:v>0.85416666666666663</c:v>
                </c:pt>
                <c:pt idx="25">
                  <c:v>0.875</c:v>
                </c:pt>
                <c:pt idx="26">
                  <c:v>0.91666666666666663</c:v>
                </c:pt>
                <c:pt idx="27">
                  <c:v>0.95833333333333337</c:v>
                </c:pt>
              </c:numCache>
            </c:numRef>
          </c:cat>
          <c:val>
            <c:numRef>
              <c:f>'2'!$AM$23:$BN$23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01-46C6-B689-6F4AABCFC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'2'!$AM$15:$BN$15</c:f>
              <c:numCache>
                <c:formatCode>[hh]:mm</c:formatCode>
                <c:ptCount val="28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0.499999999999999</c:v>
                </c:pt>
                <c:pt idx="13">
                  <c:v>0.54166666666666496</c:v>
                </c:pt>
                <c:pt idx="14">
                  <c:v>0.58333333333333104</c:v>
                </c:pt>
                <c:pt idx="15">
                  <c:v>0.624999999999997</c:v>
                </c:pt>
                <c:pt idx="16">
                  <c:v>0.66666666666666297</c:v>
                </c:pt>
                <c:pt idx="17">
                  <c:v>0.70833333333332904</c:v>
                </c:pt>
                <c:pt idx="18">
                  <c:v>0.72916666666666663</c:v>
                </c:pt>
                <c:pt idx="19">
                  <c:v>0.75</c:v>
                </c:pt>
                <c:pt idx="20">
                  <c:v>0.77083333333333337</c:v>
                </c:pt>
                <c:pt idx="21">
                  <c:v>0.79166666666666663</c:v>
                </c:pt>
                <c:pt idx="22">
                  <c:v>0.8125</c:v>
                </c:pt>
                <c:pt idx="23">
                  <c:v>0.83333333333333337</c:v>
                </c:pt>
                <c:pt idx="24">
                  <c:v>0.85416666666666663</c:v>
                </c:pt>
                <c:pt idx="25">
                  <c:v>0.875</c:v>
                </c:pt>
                <c:pt idx="26">
                  <c:v>0.91666666666666663</c:v>
                </c:pt>
                <c:pt idx="27">
                  <c:v>0.95833333333333337</c:v>
                </c:pt>
              </c:numCache>
            </c:numRef>
          </c:cat>
          <c:val>
            <c:numRef>
              <c:f>'2'!$AM$22:$BN$22</c:f>
              <c:numCache>
                <c:formatCode>General</c:formatCode>
                <c:ptCount val="28"/>
                <c:pt idx="0">
                  <c:v>1252.4899999999998</c:v>
                </c:pt>
                <c:pt idx="1">
                  <c:v>1226.19</c:v>
                </c:pt>
                <c:pt idx="2">
                  <c:v>1222.3899999999999</c:v>
                </c:pt>
                <c:pt idx="3">
                  <c:v>1218.79</c:v>
                </c:pt>
                <c:pt idx="4">
                  <c:v>1243.99</c:v>
                </c:pt>
                <c:pt idx="5">
                  <c:v>1260.5899999999999</c:v>
                </c:pt>
                <c:pt idx="6">
                  <c:v>1399.79</c:v>
                </c:pt>
                <c:pt idx="7">
                  <c:v>1478.19</c:v>
                </c:pt>
                <c:pt idx="8">
                  <c:v>1635.3899999999999</c:v>
                </c:pt>
                <c:pt idx="9">
                  <c:v>1473.19</c:v>
                </c:pt>
                <c:pt idx="10">
                  <c:v>1486.29</c:v>
                </c:pt>
                <c:pt idx="11">
                  <c:v>1465.3899999999999</c:v>
                </c:pt>
                <c:pt idx="12">
                  <c:v>1469.8899999999999</c:v>
                </c:pt>
                <c:pt idx="13">
                  <c:v>1503.8899999999999</c:v>
                </c:pt>
                <c:pt idx="14">
                  <c:v>1549.59</c:v>
                </c:pt>
                <c:pt idx="15">
                  <c:v>1517.3899999999999</c:v>
                </c:pt>
                <c:pt idx="16">
                  <c:v>1522.3899999999999</c:v>
                </c:pt>
                <c:pt idx="17">
                  <c:v>1435.69</c:v>
                </c:pt>
                <c:pt idx="18">
                  <c:v>1490.8899999999999</c:v>
                </c:pt>
                <c:pt idx="19">
                  <c:v>1481.79</c:v>
                </c:pt>
                <c:pt idx="20">
                  <c:v>1599.15</c:v>
                </c:pt>
                <c:pt idx="21">
                  <c:v>1526.35</c:v>
                </c:pt>
                <c:pt idx="22">
                  <c:v>1468.8899999999999</c:v>
                </c:pt>
                <c:pt idx="23">
                  <c:v>1663.69</c:v>
                </c:pt>
                <c:pt idx="24">
                  <c:v>1616.19</c:v>
                </c:pt>
                <c:pt idx="25">
                  <c:v>1331.39</c:v>
                </c:pt>
                <c:pt idx="26">
                  <c:v>1403.3899999999999</c:v>
                </c:pt>
                <c:pt idx="27">
                  <c:v>1386.99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4A01-46C6-B689-6F4AABCFCAD8}"/>
            </c:ext>
          </c:extLst>
        </c:ser>
        <c:ser>
          <c:idx val="8"/>
          <c:order val="8"/>
          <c:tx>
            <c:strRef>
              <c:f>'2'!$AL$24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'2'!$AM$15:$BN$15</c:f>
              <c:numCache>
                <c:formatCode>[hh]:mm</c:formatCode>
                <c:ptCount val="28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0.499999999999999</c:v>
                </c:pt>
                <c:pt idx="13">
                  <c:v>0.54166666666666496</c:v>
                </c:pt>
                <c:pt idx="14">
                  <c:v>0.58333333333333104</c:v>
                </c:pt>
                <c:pt idx="15">
                  <c:v>0.624999999999997</c:v>
                </c:pt>
                <c:pt idx="16">
                  <c:v>0.66666666666666297</c:v>
                </c:pt>
                <c:pt idx="17">
                  <c:v>0.70833333333332904</c:v>
                </c:pt>
                <c:pt idx="18">
                  <c:v>0.72916666666666663</c:v>
                </c:pt>
                <c:pt idx="19">
                  <c:v>0.75</c:v>
                </c:pt>
                <c:pt idx="20">
                  <c:v>0.77083333333333337</c:v>
                </c:pt>
                <c:pt idx="21">
                  <c:v>0.79166666666666663</c:v>
                </c:pt>
                <c:pt idx="22">
                  <c:v>0.8125</c:v>
                </c:pt>
                <c:pt idx="23">
                  <c:v>0.83333333333333337</c:v>
                </c:pt>
                <c:pt idx="24">
                  <c:v>0.85416666666666663</c:v>
                </c:pt>
                <c:pt idx="25">
                  <c:v>0.875</c:v>
                </c:pt>
                <c:pt idx="26">
                  <c:v>0.91666666666666663</c:v>
                </c:pt>
                <c:pt idx="27">
                  <c:v>0.95833333333333337</c:v>
                </c:pt>
              </c:numCache>
            </c:numRef>
          </c:cat>
          <c:val>
            <c:numRef>
              <c:f>'2'!$AM$24:$BN$24</c:f>
              <c:numCache>
                <c:formatCode>General</c:formatCode>
                <c:ptCount val="28"/>
                <c:pt idx="0">
                  <c:v>1252.4899999999998</c:v>
                </c:pt>
                <c:pt idx="1">
                  <c:v>1226.19</c:v>
                </c:pt>
                <c:pt idx="2">
                  <c:v>1222.3899999999999</c:v>
                </c:pt>
                <c:pt idx="3">
                  <c:v>1218.79</c:v>
                </c:pt>
                <c:pt idx="4">
                  <c:v>1243.99</c:v>
                </c:pt>
                <c:pt idx="5">
                  <c:v>1260.5899999999999</c:v>
                </c:pt>
                <c:pt idx="6">
                  <c:v>1399.79</c:v>
                </c:pt>
                <c:pt idx="7">
                  <c:v>1478.19</c:v>
                </c:pt>
                <c:pt idx="8">
                  <c:v>1635.3899999999999</c:v>
                </c:pt>
                <c:pt idx="9">
                  <c:v>1473.19</c:v>
                </c:pt>
                <c:pt idx="10">
                  <c:v>1486.29</c:v>
                </c:pt>
                <c:pt idx="11">
                  <c:v>1465.3899999999999</c:v>
                </c:pt>
                <c:pt idx="12">
                  <c:v>1469.8899999999999</c:v>
                </c:pt>
                <c:pt idx="13">
                  <c:v>1503.8899999999999</c:v>
                </c:pt>
                <c:pt idx="14">
                  <c:v>1549.59</c:v>
                </c:pt>
                <c:pt idx="15">
                  <c:v>1517.3899999999999</c:v>
                </c:pt>
                <c:pt idx="16">
                  <c:v>1522.3899999999999</c:v>
                </c:pt>
                <c:pt idx="17">
                  <c:v>1435.69</c:v>
                </c:pt>
                <c:pt idx="18">
                  <c:v>1490.8899999999999</c:v>
                </c:pt>
                <c:pt idx="19">
                  <c:v>1481.79</c:v>
                </c:pt>
                <c:pt idx="20">
                  <c:v>1599.15</c:v>
                </c:pt>
                <c:pt idx="21">
                  <c:v>1526.35</c:v>
                </c:pt>
                <c:pt idx="22">
                  <c:v>1468.8899999999999</c:v>
                </c:pt>
                <c:pt idx="23">
                  <c:v>1663.69</c:v>
                </c:pt>
                <c:pt idx="24">
                  <c:v>1616.19</c:v>
                </c:pt>
                <c:pt idx="25">
                  <c:v>1331.39</c:v>
                </c:pt>
                <c:pt idx="26">
                  <c:v>1403.3899999999999</c:v>
                </c:pt>
                <c:pt idx="27">
                  <c:v>1386.99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A01-46C6-B689-6F4AABCFC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4C8-4448-BA48-F8B39107F1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4C8-4448-BA48-F8B39107F1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4C8-4448-BA48-F8B39107F1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4C8-4448-BA48-F8B39107F1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4C8-4448-BA48-F8B39107F10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D4C8-4448-BA48-F8B39107F10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'3'!$AL$16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'3'!$AM$16:$BJ$16</c:f>
              <c:numCache>
                <c:formatCode>General</c:formatCode>
                <c:ptCount val="24"/>
                <c:pt idx="0">
                  <c:v>463.35</c:v>
                </c:pt>
                <c:pt idx="1">
                  <c:v>463.35</c:v>
                </c:pt>
                <c:pt idx="2">
                  <c:v>463.35</c:v>
                </c:pt>
                <c:pt idx="3">
                  <c:v>462.95000000000005</c:v>
                </c:pt>
                <c:pt idx="4">
                  <c:v>462.95000000000005</c:v>
                </c:pt>
                <c:pt idx="5">
                  <c:v>461.95000000000005</c:v>
                </c:pt>
                <c:pt idx="6">
                  <c:v>459.65000000000003</c:v>
                </c:pt>
                <c:pt idx="7">
                  <c:v>460.95000000000005</c:v>
                </c:pt>
                <c:pt idx="8">
                  <c:v>460.95000000000005</c:v>
                </c:pt>
                <c:pt idx="9">
                  <c:v>460.95000000000005</c:v>
                </c:pt>
                <c:pt idx="10">
                  <c:v>460.95000000000005</c:v>
                </c:pt>
                <c:pt idx="11">
                  <c:v>461.24900000000002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9-4779-8005-124A34554F14}"/>
            </c:ext>
          </c:extLst>
        </c:ser>
        <c:ser>
          <c:idx val="2"/>
          <c:order val="1"/>
          <c:tx>
            <c:strRef>
              <c:f>'3'!$AL$17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'3'!$AM$17:$BJ$17</c:f>
              <c:numCache>
                <c:formatCode>General</c:formatCode>
                <c:ptCount val="24"/>
                <c:pt idx="0">
                  <c:v>93.4</c:v>
                </c:pt>
                <c:pt idx="1">
                  <c:v>37</c:v>
                </c:pt>
                <c:pt idx="2">
                  <c:v>37</c:v>
                </c:pt>
                <c:pt idx="3">
                  <c:v>37</c:v>
                </c:pt>
                <c:pt idx="4">
                  <c:v>37</c:v>
                </c:pt>
                <c:pt idx="5">
                  <c:v>37</c:v>
                </c:pt>
                <c:pt idx="6">
                  <c:v>67</c:v>
                </c:pt>
                <c:pt idx="7">
                  <c:v>317</c:v>
                </c:pt>
                <c:pt idx="8">
                  <c:v>207</c:v>
                </c:pt>
                <c:pt idx="9">
                  <c:v>137</c:v>
                </c:pt>
                <c:pt idx="10">
                  <c:v>52</c:v>
                </c:pt>
                <c:pt idx="11">
                  <c:v>37.200000000000003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89-4779-8005-124A34554F14}"/>
            </c:ext>
          </c:extLst>
        </c:ser>
        <c:ser>
          <c:idx val="3"/>
          <c:order val="2"/>
          <c:tx>
            <c:strRef>
              <c:f>'3'!$AL$18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'3'!$AM$18:$BJ$18</c:f>
              <c:numCache>
                <c:formatCode>General</c:formatCode>
                <c:ptCount val="24"/>
                <c:pt idx="0">
                  <c:v>140.94</c:v>
                </c:pt>
                <c:pt idx="1">
                  <c:v>92.34</c:v>
                </c:pt>
                <c:pt idx="2">
                  <c:v>113.84</c:v>
                </c:pt>
                <c:pt idx="3">
                  <c:v>113.84</c:v>
                </c:pt>
                <c:pt idx="4">
                  <c:v>90.84</c:v>
                </c:pt>
                <c:pt idx="5">
                  <c:v>90.84</c:v>
                </c:pt>
                <c:pt idx="6">
                  <c:v>179.84</c:v>
                </c:pt>
                <c:pt idx="7">
                  <c:v>270.44</c:v>
                </c:pt>
                <c:pt idx="8">
                  <c:v>273.94</c:v>
                </c:pt>
                <c:pt idx="9">
                  <c:v>274.64</c:v>
                </c:pt>
                <c:pt idx="10">
                  <c:v>280.64</c:v>
                </c:pt>
                <c:pt idx="11">
                  <c:v>200.74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89-4779-8005-124A34554F14}"/>
            </c:ext>
          </c:extLst>
        </c:ser>
        <c:ser>
          <c:idx val="0"/>
          <c:order val="3"/>
          <c:tx>
            <c:strRef>
              <c:f>'3'!$AL$19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'3'!$AM$19:$BJ$19</c:f>
              <c:numCache>
                <c:formatCode>General</c:formatCode>
                <c:ptCount val="24"/>
                <c:pt idx="0">
                  <c:v>590.5</c:v>
                </c:pt>
                <c:pt idx="1">
                  <c:v>648.59999999999991</c:v>
                </c:pt>
                <c:pt idx="2">
                  <c:v>656.9</c:v>
                </c:pt>
                <c:pt idx="3">
                  <c:v>623.20000000000005</c:v>
                </c:pt>
                <c:pt idx="4">
                  <c:v>685.7</c:v>
                </c:pt>
                <c:pt idx="5">
                  <c:v>696.6</c:v>
                </c:pt>
                <c:pt idx="6">
                  <c:v>654</c:v>
                </c:pt>
                <c:pt idx="7">
                  <c:v>189</c:v>
                </c:pt>
                <c:pt idx="8">
                  <c:v>377</c:v>
                </c:pt>
                <c:pt idx="9">
                  <c:v>446.6</c:v>
                </c:pt>
                <c:pt idx="10">
                  <c:v>562.79999999999995</c:v>
                </c:pt>
                <c:pt idx="11">
                  <c:v>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89-4779-8005-124A34554F14}"/>
            </c:ext>
          </c:extLst>
        </c:ser>
        <c:ser>
          <c:idx val="4"/>
          <c:order val="4"/>
          <c:tx>
            <c:strRef>
              <c:f>'3'!$AL$20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'3'!$AM$20:$BJ$20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89-4779-8005-124A34554F14}"/>
            </c:ext>
          </c:extLst>
        </c:ser>
        <c:ser>
          <c:idx val="5"/>
          <c:order val="5"/>
          <c:tx>
            <c:strRef>
              <c:f>'3'!$AL$21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'3'!$AM$21:$BJ$21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89-4779-8005-124A34554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'3'!$AL$23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'3'!$AM$23:$BJ$23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89-4779-8005-124A34554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'3'!$AL$22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'3'!$AM$22:$BJ$22</c:f>
              <c:numCache>
                <c:formatCode>General</c:formatCode>
                <c:ptCount val="24"/>
                <c:pt idx="0">
                  <c:v>1288.19</c:v>
                </c:pt>
                <c:pt idx="1">
                  <c:v>1241.29</c:v>
                </c:pt>
                <c:pt idx="2">
                  <c:v>1271.0900000000001</c:v>
                </c:pt>
                <c:pt idx="3">
                  <c:v>1236.9900000000002</c:v>
                </c:pt>
                <c:pt idx="4">
                  <c:v>1276.4900000000002</c:v>
                </c:pt>
                <c:pt idx="5">
                  <c:v>1286.3900000000001</c:v>
                </c:pt>
                <c:pt idx="6">
                  <c:v>1430.4900000000002</c:v>
                </c:pt>
                <c:pt idx="7">
                  <c:v>1487.39</c:v>
                </c:pt>
                <c:pt idx="8">
                  <c:v>1568.89</c:v>
                </c:pt>
                <c:pt idx="9">
                  <c:v>1569.19</c:v>
                </c:pt>
                <c:pt idx="10">
                  <c:v>1606.3899999999999</c:v>
                </c:pt>
                <c:pt idx="11">
                  <c:v>1534.1890000000001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4B89-4779-8005-124A34554F14}"/>
            </c:ext>
          </c:extLst>
        </c:ser>
        <c:ser>
          <c:idx val="8"/>
          <c:order val="8"/>
          <c:tx>
            <c:strRef>
              <c:f>'3'!$AL$24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'3'!$AM$24:$BJ$24</c:f>
              <c:numCache>
                <c:formatCode>General</c:formatCode>
                <c:ptCount val="24"/>
                <c:pt idx="0">
                  <c:v>1288.19</c:v>
                </c:pt>
                <c:pt idx="1">
                  <c:v>1241.29</c:v>
                </c:pt>
                <c:pt idx="2">
                  <c:v>1271.0900000000001</c:v>
                </c:pt>
                <c:pt idx="3">
                  <c:v>1236.9900000000002</c:v>
                </c:pt>
                <c:pt idx="4">
                  <c:v>1276.4900000000002</c:v>
                </c:pt>
                <c:pt idx="5">
                  <c:v>1286.3900000000001</c:v>
                </c:pt>
                <c:pt idx="6">
                  <c:v>1430.4900000000002</c:v>
                </c:pt>
                <c:pt idx="7">
                  <c:v>1487.39</c:v>
                </c:pt>
                <c:pt idx="8">
                  <c:v>1568.89</c:v>
                </c:pt>
                <c:pt idx="9">
                  <c:v>1569.19</c:v>
                </c:pt>
                <c:pt idx="10">
                  <c:v>1606.3899999999999</c:v>
                </c:pt>
                <c:pt idx="11">
                  <c:v>1534.1890000000001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B89-4779-8005-124A34554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8C7-4179-AACA-B072ACBA87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8C7-4179-AACA-B072ACBA87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8C7-4179-AACA-B072ACBA87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8C7-4179-AACA-B072ACBA875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8C7-4179-AACA-B072ACBA875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48C7-4179-AACA-B072ACBA875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'4'!$AL$16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'4'!$AM$16:$BJ$16</c:f>
              <c:numCache>
                <c:formatCode>General</c:formatCode>
                <c:ptCount val="24"/>
                <c:pt idx="0">
                  <c:v>456.24900000000002</c:v>
                </c:pt>
                <c:pt idx="1">
                  <c:v>456.24900000000002</c:v>
                </c:pt>
                <c:pt idx="2">
                  <c:v>456.24900000000002</c:v>
                </c:pt>
                <c:pt idx="3">
                  <c:v>456.24900000000002</c:v>
                </c:pt>
                <c:pt idx="4">
                  <c:v>456.24900000000002</c:v>
                </c:pt>
                <c:pt idx="5">
                  <c:v>456.24900000000002</c:v>
                </c:pt>
                <c:pt idx="6">
                  <c:v>456.24900000000002</c:v>
                </c:pt>
                <c:pt idx="7">
                  <c:v>456.24900000000002</c:v>
                </c:pt>
                <c:pt idx="8">
                  <c:v>456.24900000000002</c:v>
                </c:pt>
                <c:pt idx="9">
                  <c:v>456.24900000000002</c:v>
                </c:pt>
                <c:pt idx="10">
                  <c:v>456.24900000000002</c:v>
                </c:pt>
                <c:pt idx="11">
                  <c:v>456.24900000000002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0-4678-8826-C4A4EDAABED8}"/>
            </c:ext>
          </c:extLst>
        </c:ser>
        <c:ser>
          <c:idx val="2"/>
          <c:order val="1"/>
          <c:tx>
            <c:strRef>
              <c:f>'4'!$AL$17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'4'!$AM$17:$BJ$17</c:f>
              <c:numCache>
                <c:formatCode>General</c:formatCode>
                <c:ptCount val="24"/>
                <c:pt idx="0">
                  <c:v>27</c:v>
                </c:pt>
                <c:pt idx="1">
                  <c:v>38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  <c:pt idx="6">
                  <c:v>38</c:v>
                </c:pt>
                <c:pt idx="7">
                  <c:v>38</c:v>
                </c:pt>
                <c:pt idx="8">
                  <c:v>58.2</c:v>
                </c:pt>
                <c:pt idx="9">
                  <c:v>63.1</c:v>
                </c:pt>
                <c:pt idx="10">
                  <c:v>53.1</c:v>
                </c:pt>
                <c:pt idx="11">
                  <c:v>53.1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10-4678-8826-C4A4EDAABED8}"/>
            </c:ext>
          </c:extLst>
        </c:ser>
        <c:ser>
          <c:idx val="3"/>
          <c:order val="2"/>
          <c:tx>
            <c:strRef>
              <c:f>'4'!$AL$18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'4'!$AM$18:$BJ$18</c:f>
              <c:numCache>
                <c:formatCode>General</c:formatCode>
                <c:ptCount val="24"/>
                <c:pt idx="0">
                  <c:v>82.740000000000009</c:v>
                </c:pt>
                <c:pt idx="1">
                  <c:v>64.739999999999995</c:v>
                </c:pt>
                <c:pt idx="2">
                  <c:v>64.739999999999995</c:v>
                </c:pt>
                <c:pt idx="3">
                  <c:v>66.739999999999995</c:v>
                </c:pt>
                <c:pt idx="4">
                  <c:v>68.14</c:v>
                </c:pt>
                <c:pt idx="5">
                  <c:v>68.14</c:v>
                </c:pt>
                <c:pt idx="6">
                  <c:v>187.34</c:v>
                </c:pt>
                <c:pt idx="7">
                  <c:v>294.14000000000004</c:v>
                </c:pt>
                <c:pt idx="8">
                  <c:v>364.84000000000003</c:v>
                </c:pt>
                <c:pt idx="9">
                  <c:v>285.44</c:v>
                </c:pt>
                <c:pt idx="10">
                  <c:v>263.74000000000007</c:v>
                </c:pt>
                <c:pt idx="11">
                  <c:v>210.74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10-4678-8826-C4A4EDAABED8}"/>
            </c:ext>
          </c:extLst>
        </c:ser>
        <c:ser>
          <c:idx val="0"/>
          <c:order val="3"/>
          <c:tx>
            <c:strRef>
              <c:f>'4'!$AL$19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'4'!$AM$19:$BJ$19</c:f>
              <c:numCache>
                <c:formatCode>General</c:formatCode>
                <c:ptCount val="24"/>
                <c:pt idx="0">
                  <c:v>611</c:v>
                </c:pt>
                <c:pt idx="1">
                  <c:v>632</c:v>
                </c:pt>
                <c:pt idx="2">
                  <c:v>562</c:v>
                </c:pt>
                <c:pt idx="3">
                  <c:v>509.90000000000003</c:v>
                </c:pt>
                <c:pt idx="4">
                  <c:v>542</c:v>
                </c:pt>
                <c:pt idx="5">
                  <c:v>625.9</c:v>
                </c:pt>
                <c:pt idx="6">
                  <c:v>697.40000000000009</c:v>
                </c:pt>
                <c:pt idx="7">
                  <c:v>560.4</c:v>
                </c:pt>
                <c:pt idx="8">
                  <c:v>545.80000000000007</c:v>
                </c:pt>
                <c:pt idx="9">
                  <c:v>558.9</c:v>
                </c:pt>
                <c:pt idx="10">
                  <c:v>541</c:v>
                </c:pt>
                <c:pt idx="11">
                  <c:v>665.4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10-4678-8826-C4A4EDAABED8}"/>
            </c:ext>
          </c:extLst>
        </c:ser>
        <c:ser>
          <c:idx val="4"/>
          <c:order val="4"/>
          <c:tx>
            <c:strRef>
              <c:f>'4'!$AL$20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'4'!$AM$20:$BJ$20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10-4678-8826-C4A4EDAABED8}"/>
            </c:ext>
          </c:extLst>
        </c:ser>
        <c:ser>
          <c:idx val="5"/>
          <c:order val="5"/>
          <c:tx>
            <c:strRef>
              <c:f>'4'!$AL$21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'4'!$AM$21:$BJ$21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10-4678-8826-C4A4EDAAB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'4'!$AL$23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'4'!$AM$23:$BJ$23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-1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10-4678-8826-C4A4EDAAB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'4'!$AL$22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'4'!$AM$22:$BJ$22</c:f>
              <c:numCache>
                <c:formatCode>General</c:formatCode>
                <c:ptCount val="24"/>
                <c:pt idx="0">
                  <c:v>1176.989</c:v>
                </c:pt>
                <c:pt idx="1">
                  <c:v>1190.989</c:v>
                </c:pt>
                <c:pt idx="2">
                  <c:v>1120.989</c:v>
                </c:pt>
                <c:pt idx="3">
                  <c:v>1070.8890000000001</c:v>
                </c:pt>
                <c:pt idx="4">
                  <c:v>1104.3890000000001</c:v>
                </c:pt>
                <c:pt idx="5">
                  <c:v>1188.289</c:v>
                </c:pt>
                <c:pt idx="6">
                  <c:v>1378.989</c:v>
                </c:pt>
                <c:pt idx="7">
                  <c:v>1548.7890000000002</c:v>
                </c:pt>
                <c:pt idx="8">
                  <c:v>1675.0890000000002</c:v>
                </c:pt>
                <c:pt idx="9">
                  <c:v>1613.6889999999999</c:v>
                </c:pt>
                <c:pt idx="10">
                  <c:v>1564.0890000000002</c:v>
                </c:pt>
                <c:pt idx="11">
                  <c:v>1385.489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7510-4678-8826-C4A4EDAABED8}"/>
            </c:ext>
          </c:extLst>
        </c:ser>
        <c:ser>
          <c:idx val="8"/>
          <c:order val="8"/>
          <c:tx>
            <c:strRef>
              <c:f>'4'!$AL$24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'4'!$AM$24:$BJ$24</c:f>
              <c:numCache>
                <c:formatCode>General</c:formatCode>
                <c:ptCount val="24"/>
                <c:pt idx="0">
                  <c:v>1176.989</c:v>
                </c:pt>
                <c:pt idx="1">
                  <c:v>1189.989</c:v>
                </c:pt>
                <c:pt idx="2">
                  <c:v>1120.989</c:v>
                </c:pt>
                <c:pt idx="3">
                  <c:v>1070.8890000000001</c:v>
                </c:pt>
                <c:pt idx="4">
                  <c:v>1104.3890000000001</c:v>
                </c:pt>
                <c:pt idx="5">
                  <c:v>1188.289</c:v>
                </c:pt>
                <c:pt idx="6">
                  <c:v>1378.989</c:v>
                </c:pt>
                <c:pt idx="7">
                  <c:v>1548.7890000000002</c:v>
                </c:pt>
                <c:pt idx="8">
                  <c:v>1675.0890000000002</c:v>
                </c:pt>
                <c:pt idx="9">
                  <c:v>1613.6889999999999</c:v>
                </c:pt>
                <c:pt idx="10">
                  <c:v>1564.0890000000002</c:v>
                </c:pt>
                <c:pt idx="11">
                  <c:v>1385.489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510-4678-8826-C4A4EDAAB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08-400A-8BB3-2817D4B29C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208-400A-8BB3-2817D4B29C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208-400A-8BB3-2817D4B29C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208-400A-8BB3-2817D4B29CC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208-400A-8BB3-2817D4B29CC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4208-400A-8BB3-2817D4B29CC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'5'!$AL$16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'5'!$AM$16:$BJ$16</c:f>
              <c:numCache>
                <c:formatCode>General</c:formatCode>
                <c:ptCount val="24"/>
                <c:pt idx="0">
                  <c:v>456.24900000000002</c:v>
                </c:pt>
                <c:pt idx="1">
                  <c:v>456.24900000000002</c:v>
                </c:pt>
                <c:pt idx="2">
                  <c:v>456.24900000000002</c:v>
                </c:pt>
                <c:pt idx="3">
                  <c:v>456.24900000000002</c:v>
                </c:pt>
                <c:pt idx="4">
                  <c:v>456.24900000000002</c:v>
                </c:pt>
                <c:pt idx="5">
                  <c:v>456.24900000000002</c:v>
                </c:pt>
                <c:pt idx="6">
                  <c:v>456.24900000000002</c:v>
                </c:pt>
                <c:pt idx="7">
                  <c:v>456.24900000000002</c:v>
                </c:pt>
                <c:pt idx="8">
                  <c:v>456.25000000000006</c:v>
                </c:pt>
                <c:pt idx="9">
                  <c:v>456.25000000000006</c:v>
                </c:pt>
                <c:pt idx="10">
                  <c:v>456.25000000000006</c:v>
                </c:pt>
                <c:pt idx="11">
                  <c:v>456.25000000000006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6-4725-B208-354B42FE3F4B}"/>
            </c:ext>
          </c:extLst>
        </c:ser>
        <c:ser>
          <c:idx val="2"/>
          <c:order val="1"/>
          <c:tx>
            <c:strRef>
              <c:f>'5'!$AL$17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'5'!$AM$17:$BJ$17</c:f>
              <c:numCache>
                <c:formatCode>General</c:formatCode>
                <c:ptCount val="24"/>
                <c:pt idx="0">
                  <c:v>77.2</c:v>
                </c:pt>
                <c:pt idx="1">
                  <c:v>37.200000000000003</c:v>
                </c:pt>
                <c:pt idx="2">
                  <c:v>37.200000000000003</c:v>
                </c:pt>
                <c:pt idx="3">
                  <c:v>37.200000000000003</c:v>
                </c:pt>
                <c:pt idx="4">
                  <c:v>37.200000000000003</c:v>
                </c:pt>
                <c:pt idx="5">
                  <c:v>37.200000000000003</c:v>
                </c:pt>
                <c:pt idx="6">
                  <c:v>87.2</c:v>
                </c:pt>
                <c:pt idx="7">
                  <c:v>167.2</c:v>
                </c:pt>
                <c:pt idx="8">
                  <c:v>296.60000000000002</c:v>
                </c:pt>
                <c:pt idx="9">
                  <c:v>204.6</c:v>
                </c:pt>
                <c:pt idx="10">
                  <c:v>126.5</c:v>
                </c:pt>
                <c:pt idx="11">
                  <c:v>126.5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76-4725-B208-354B42FE3F4B}"/>
            </c:ext>
          </c:extLst>
        </c:ser>
        <c:ser>
          <c:idx val="3"/>
          <c:order val="2"/>
          <c:tx>
            <c:strRef>
              <c:f>'5'!$AL$18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'5'!$AM$18:$BJ$18</c:f>
              <c:numCache>
                <c:formatCode>General</c:formatCode>
                <c:ptCount val="24"/>
                <c:pt idx="0">
                  <c:v>135.43999999999997</c:v>
                </c:pt>
                <c:pt idx="1">
                  <c:v>68.44</c:v>
                </c:pt>
                <c:pt idx="2">
                  <c:v>68.44</c:v>
                </c:pt>
                <c:pt idx="3">
                  <c:v>68.44</c:v>
                </c:pt>
                <c:pt idx="4">
                  <c:v>68.44</c:v>
                </c:pt>
                <c:pt idx="5">
                  <c:v>68.44</c:v>
                </c:pt>
                <c:pt idx="6">
                  <c:v>160.44000000000003</c:v>
                </c:pt>
                <c:pt idx="7">
                  <c:v>285.74000000000007</c:v>
                </c:pt>
                <c:pt idx="8">
                  <c:v>253.24000000000004</c:v>
                </c:pt>
                <c:pt idx="9">
                  <c:v>212.64000000000001</c:v>
                </c:pt>
                <c:pt idx="10">
                  <c:v>193.64000000000001</c:v>
                </c:pt>
                <c:pt idx="11">
                  <c:v>198.23999999999998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76-4725-B208-354B42FE3F4B}"/>
            </c:ext>
          </c:extLst>
        </c:ser>
        <c:ser>
          <c:idx val="0"/>
          <c:order val="3"/>
          <c:tx>
            <c:strRef>
              <c:f>'5'!$AL$19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'5'!$AM$19:$BJ$19</c:f>
              <c:numCache>
                <c:formatCode>General</c:formatCode>
                <c:ptCount val="24"/>
                <c:pt idx="0">
                  <c:v>644</c:v>
                </c:pt>
                <c:pt idx="1">
                  <c:v>658</c:v>
                </c:pt>
                <c:pt idx="2">
                  <c:v>695</c:v>
                </c:pt>
                <c:pt idx="3">
                  <c:v>667</c:v>
                </c:pt>
                <c:pt idx="4">
                  <c:v>705</c:v>
                </c:pt>
                <c:pt idx="5">
                  <c:v>705</c:v>
                </c:pt>
                <c:pt idx="6">
                  <c:v>637.1</c:v>
                </c:pt>
                <c:pt idx="7">
                  <c:v>597.1</c:v>
                </c:pt>
                <c:pt idx="8">
                  <c:v>485.8</c:v>
                </c:pt>
                <c:pt idx="9">
                  <c:v>490.2</c:v>
                </c:pt>
                <c:pt idx="10">
                  <c:v>587.4</c:v>
                </c:pt>
                <c:pt idx="11">
                  <c:v>665.7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76-4725-B208-354B42FE3F4B}"/>
            </c:ext>
          </c:extLst>
        </c:ser>
        <c:ser>
          <c:idx val="4"/>
          <c:order val="4"/>
          <c:tx>
            <c:strRef>
              <c:f>'5'!$AL$20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'5'!$AM$20:$BJ$20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76-4725-B208-354B42FE3F4B}"/>
            </c:ext>
          </c:extLst>
        </c:ser>
        <c:ser>
          <c:idx val="5"/>
          <c:order val="5"/>
          <c:tx>
            <c:strRef>
              <c:f>'5'!$AL$21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'5'!$AM$21:$BJ$21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160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76-4725-B208-354B42FE3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'5'!$AL$23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'5'!$AM$23:$BJ$23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76-4725-B208-354B42FE3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'5'!$AL$22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'5'!$AM$22:$BJ$22</c:f>
              <c:numCache>
                <c:formatCode>General</c:formatCode>
                <c:ptCount val="24"/>
                <c:pt idx="0">
                  <c:v>1312.8890000000001</c:v>
                </c:pt>
                <c:pt idx="1">
                  <c:v>1219.8890000000001</c:v>
                </c:pt>
                <c:pt idx="2">
                  <c:v>1256.8890000000001</c:v>
                </c:pt>
                <c:pt idx="3">
                  <c:v>1228.8890000000001</c:v>
                </c:pt>
                <c:pt idx="4">
                  <c:v>1266.8890000000001</c:v>
                </c:pt>
                <c:pt idx="5">
                  <c:v>1266.8890000000001</c:v>
                </c:pt>
                <c:pt idx="6">
                  <c:v>1410.989</c:v>
                </c:pt>
                <c:pt idx="7">
                  <c:v>1706.2890000000002</c:v>
                </c:pt>
                <c:pt idx="8">
                  <c:v>1691.89</c:v>
                </c:pt>
                <c:pt idx="9">
                  <c:v>1563.69</c:v>
                </c:pt>
                <c:pt idx="10">
                  <c:v>1523.79</c:v>
                </c:pt>
                <c:pt idx="11">
                  <c:v>1446.69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0376-4725-B208-354B42FE3F4B}"/>
            </c:ext>
          </c:extLst>
        </c:ser>
        <c:ser>
          <c:idx val="8"/>
          <c:order val="8"/>
          <c:tx>
            <c:strRef>
              <c:f>'5'!$AL$24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'5'!$AM$24:$BJ$24</c:f>
              <c:numCache>
                <c:formatCode>General</c:formatCode>
                <c:ptCount val="24"/>
                <c:pt idx="0">
                  <c:v>1312.8890000000001</c:v>
                </c:pt>
                <c:pt idx="1">
                  <c:v>1219.8890000000001</c:v>
                </c:pt>
                <c:pt idx="2">
                  <c:v>1256.8890000000001</c:v>
                </c:pt>
                <c:pt idx="3">
                  <c:v>1228.8890000000001</c:v>
                </c:pt>
                <c:pt idx="4">
                  <c:v>1266.8890000000001</c:v>
                </c:pt>
                <c:pt idx="5">
                  <c:v>1266.8890000000001</c:v>
                </c:pt>
                <c:pt idx="6">
                  <c:v>1410.989</c:v>
                </c:pt>
                <c:pt idx="7">
                  <c:v>1706.2890000000002</c:v>
                </c:pt>
                <c:pt idx="8">
                  <c:v>1691.89</c:v>
                </c:pt>
                <c:pt idx="9">
                  <c:v>1563.69</c:v>
                </c:pt>
                <c:pt idx="10">
                  <c:v>1523.79</c:v>
                </c:pt>
                <c:pt idx="11">
                  <c:v>1446.69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376-4725-B208-354B42FE3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00C-4376-811E-C7AE97898E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00C-4376-811E-C7AE97898E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00C-4376-811E-C7AE97898E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00C-4376-811E-C7AE97898EC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00C-4376-811E-C7AE97898EC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00C-4376-811E-C7AE97898EC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'6'!$AL$16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'6'!$AM$16:$BJ$16</c:f>
              <c:numCache>
                <c:formatCode>General</c:formatCode>
                <c:ptCount val="24"/>
                <c:pt idx="0">
                  <c:v>456.25000000000006</c:v>
                </c:pt>
                <c:pt idx="1">
                  <c:v>456.25000000000006</c:v>
                </c:pt>
                <c:pt idx="2">
                  <c:v>456.25000000000006</c:v>
                </c:pt>
                <c:pt idx="3">
                  <c:v>456.25000000000006</c:v>
                </c:pt>
                <c:pt idx="4">
                  <c:v>456.25000000000006</c:v>
                </c:pt>
                <c:pt idx="5">
                  <c:v>456.25000000000006</c:v>
                </c:pt>
                <c:pt idx="6">
                  <c:v>456.25000000000006</c:v>
                </c:pt>
                <c:pt idx="7">
                  <c:v>456.25000000000006</c:v>
                </c:pt>
                <c:pt idx="8">
                  <c:v>455.75000000000006</c:v>
                </c:pt>
                <c:pt idx="9">
                  <c:v>455.75000000000006</c:v>
                </c:pt>
                <c:pt idx="10">
                  <c:v>456.65000000000003</c:v>
                </c:pt>
                <c:pt idx="11">
                  <c:v>455.75000000000006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B-4EB0-9A09-4B068D2FD650}"/>
            </c:ext>
          </c:extLst>
        </c:ser>
        <c:ser>
          <c:idx val="2"/>
          <c:order val="1"/>
          <c:tx>
            <c:strRef>
              <c:f>'6'!$AL$17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'6'!$AM$17:$BJ$17</c:f>
              <c:numCache>
                <c:formatCode>General</c:formatCode>
                <c:ptCount val="24"/>
                <c:pt idx="0">
                  <c:v>106.1</c:v>
                </c:pt>
                <c:pt idx="1">
                  <c:v>36.1</c:v>
                </c:pt>
                <c:pt idx="2">
                  <c:v>36.1</c:v>
                </c:pt>
                <c:pt idx="3">
                  <c:v>36.5</c:v>
                </c:pt>
                <c:pt idx="4">
                  <c:v>37.1</c:v>
                </c:pt>
                <c:pt idx="5">
                  <c:v>37.1</c:v>
                </c:pt>
                <c:pt idx="6">
                  <c:v>37</c:v>
                </c:pt>
                <c:pt idx="7">
                  <c:v>187.1</c:v>
                </c:pt>
                <c:pt idx="8">
                  <c:v>218</c:v>
                </c:pt>
                <c:pt idx="9">
                  <c:v>97</c:v>
                </c:pt>
                <c:pt idx="10">
                  <c:v>67</c:v>
                </c:pt>
                <c:pt idx="11">
                  <c:v>66.2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BB-4EB0-9A09-4B068D2FD650}"/>
            </c:ext>
          </c:extLst>
        </c:ser>
        <c:ser>
          <c:idx val="3"/>
          <c:order val="2"/>
          <c:tx>
            <c:strRef>
              <c:f>'6'!$AL$18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'6'!$AM$18:$BJ$18</c:f>
              <c:numCache>
                <c:formatCode>General</c:formatCode>
                <c:ptCount val="24"/>
                <c:pt idx="0">
                  <c:v>97.14</c:v>
                </c:pt>
                <c:pt idx="1">
                  <c:v>66.14</c:v>
                </c:pt>
                <c:pt idx="2">
                  <c:v>66.14</c:v>
                </c:pt>
                <c:pt idx="3">
                  <c:v>76.140000000000015</c:v>
                </c:pt>
                <c:pt idx="4">
                  <c:v>74.640000000000015</c:v>
                </c:pt>
                <c:pt idx="5">
                  <c:v>89.640000000000015</c:v>
                </c:pt>
                <c:pt idx="6">
                  <c:v>191.43999999999997</c:v>
                </c:pt>
                <c:pt idx="7">
                  <c:v>277.64</c:v>
                </c:pt>
                <c:pt idx="8">
                  <c:v>247.93999999999997</c:v>
                </c:pt>
                <c:pt idx="9">
                  <c:v>210.93999999999997</c:v>
                </c:pt>
                <c:pt idx="10">
                  <c:v>187.94</c:v>
                </c:pt>
                <c:pt idx="11">
                  <c:v>189.04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BB-4EB0-9A09-4B068D2FD650}"/>
            </c:ext>
          </c:extLst>
        </c:ser>
        <c:ser>
          <c:idx val="0"/>
          <c:order val="3"/>
          <c:tx>
            <c:strRef>
              <c:f>'6'!$AL$19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'6'!$AM$19:$BJ$19</c:f>
              <c:numCache>
                <c:formatCode>General</c:formatCode>
                <c:ptCount val="24"/>
                <c:pt idx="0">
                  <c:v>654.6</c:v>
                </c:pt>
                <c:pt idx="1">
                  <c:v>737.3</c:v>
                </c:pt>
                <c:pt idx="2">
                  <c:v>700.8</c:v>
                </c:pt>
                <c:pt idx="3">
                  <c:v>707.4</c:v>
                </c:pt>
                <c:pt idx="4">
                  <c:v>711</c:v>
                </c:pt>
                <c:pt idx="5">
                  <c:v>759.69999999999993</c:v>
                </c:pt>
                <c:pt idx="6">
                  <c:v>682.5</c:v>
                </c:pt>
                <c:pt idx="7">
                  <c:v>488</c:v>
                </c:pt>
                <c:pt idx="8">
                  <c:v>559.29999999999995</c:v>
                </c:pt>
                <c:pt idx="9">
                  <c:v>548.6</c:v>
                </c:pt>
                <c:pt idx="10">
                  <c:v>597.70000000000005</c:v>
                </c:pt>
                <c:pt idx="11">
                  <c:v>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BB-4EB0-9A09-4B068D2FD650}"/>
            </c:ext>
          </c:extLst>
        </c:ser>
        <c:ser>
          <c:idx val="4"/>
          <c:order val="4"/>
          <c:tx>
            <c:strRef>
              <c:f>'6'!$AL$20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'6'!$AM$20:$BJ$20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96.6</c:v>
                </c:pt>
                <c:pt idx="7">
                  <c:v>97.2</c:v>
                </c:pt>
                <c:pt idx="8">
                  <c:v>41.3</c:v>
                </c:pt>
                <c:pt idx="9">
                  <c:v>5.3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BB-4EB0-9A09-4B068D2FD650}"/>
            </c:ext>
          </c:extLst>
        </c:ser>
        <c:ser>
          <c:idx val="5"/>
          <c:order val="5"/>
          <c:tx>
            <c:strRef>
              <c:f>'6'!$AL$21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'6'!$AM$21:$BJ$21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150</c:v>
                </c:pt>
                <c:pt idx="8">
                  <c:v>300</c:v>
                </c:pt>
                <c:pt idx="9">
                  <c:v>250</c:v>
                </c:pt>
                <c:pt idx="10">
                  <c:v>250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BB-4EB0-9A09-4B068D2FD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'6'!$AL$23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'6'!$AM$23:$BJ$23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BB-4EB0-9A09-4B068D2FD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'6'!$AL$22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'6'!$AM$22:$BJ$22</c:f>
              <c:numCache>
                <c:formatCode>General</c:formatCode>
                <c:ptCount val="24"/>
                <c:pt idx="0">
                  <c:v>1314.0900000000001</c:v>
                </c:pt>
                <c:pt idx="1">
                  <c:v>1295.79</c:v>
                </c:pt>
                <c:pt idx="2">
                  <c:v>1259.29</c:v>
                </c:pt>
                <c:pt idx="3">
                  <c:v>1276.29</c:v>
                </c:pt>
                <c:pt idx="4">
                  <c:v>1278.9900000000002</c:v>
                </c:pt>
                <c:pt idx="5">
                  <c:v>1342.69</c:v>
                </c:pt>
                <c:pt idx="6">
                  <c:v>1463.79</c:v>
                </c:pt>
                <c:pt idx="7">
                  <c:v>1656.19</c:v>
                </c:pt>
                <c:pt idx="8">
                  <c:v>1822.2899999999997</c:v>
                </c:pt>
                <c:pt idx="9">
                  <c:v>1567.59</c:v>
                </c:pt>
                <c:pt idx="10">
                  <c:v>1559.2900000000002</c:v>
                </c:pt>
                <c:pt idx="11">
                  <c:v>1389.99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B3BB-4EB0-9A09-4B068D2FD650}"/>
            </c:ext>
          </c:extLst>
        </c:ser>
        <c:ser>
          <c:idx val="8"/>
          <c:order val="8"/>
          <c:tx>
            <c:strRef>
              <c:f>'6'!$AL$24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'6'!$AM$24:$BJ$24</c:f>
              <c:numCache>
                <c:formatCode>General</c:formatCode>
                <c:ptCount val="24"/>
                <c:pt idx="0">
                  <c:v>1314.0900000000001</c:v>
                </c:pt>
                <c:pt idx="1">
                  <c:v>1295.79</c:v>
                </c:pt>
                <c:pt idx="2">
                  <c:v>1259.29</c:v>
                </c:pt>
                <c:pt idx="3">
                  <c:v>1276.29</c:v>
                </c:pt>
                <c:pt idx="4">
                  <c:v>1278.9900000000002</c:v>
                </c:pt>
                <c:pt idx="5">
                  <c:v>1342.69</c:v>
                </c:pt>
                <c:pt idx="6">
                  <c:v>1463.79</c:v>
                </c:pt>
                <c:pt idx="7">
                  <c:v>1656.19</c:v>
                </c:pt>
                <c:pt idx="8">
                  <c:v>1822.2899999999997</c:v>
                </c:pt>
                <c:pt idx="9">
                  <c:v>1567.59</c:v>
                </c:pt>
                <c:pt idx="10">
                  <c:v>1559.2900000000002</c:v>
                </c:pt>
                <c:pt idx="11">
                  <c:v>1389.99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3BB-4EB0-9A09-4B068D2FD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121-460A-9241-4EE05A6733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121-460A-9241-4EE05A6733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121-460A-9241-4EE05A6733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121-460A-9241-4EE05A6733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121-460A-9241-4EE05A6733A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A121-460A-9241-4EE05A6733A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'7'!$AL$16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'7'!$AM$16:$BJ$16</c:f>
              <c:numCache>
                <c:formatCode>General</c:formatCode>
                <c:ptCount val="24"/>
                <c:pt idx="0">
                  <c:v>455.95000000000005</c:v>
                </c:pt>
                <c:pt idx="1">
                  <c:v>455.95000000000005</c:v>
                </c:pt>
                <c:pt idx="2">
                  <c:v>455.95000000000005</c:v>
                </c:pt>
                <c:pt idx="3">
                  <c:v>455.95000000000005</c:v>
                </c:pt>
                <c:pt idx="4">
                  <c:v>455.95000000000005</c:v>
                </c:pt>
                <c:pt idx="5">
                  <c:v>455.95000000000005</c:v>
                </c:pt>
                <c:pt idx="6">
                  <c:v>455.95000000000005</c:v>
                </c:pt>
                <c:pt idx="7">
                  <c:v>455.95000000000005</c:v>
                </c:pt>
                <c:pt idx="8">
                  <c:v>455.95000000000005</c:v>
                </c:pt>
                <c:pt idx="9">
                  <c:v>455.95000000000005</c:v>
                </c:pt>
                <c:pt idx="10">
                  <c:v>455.95000000000005</c:v>
                </c:pt>
                <c:pt idx="11">
                  <c:v>455.95000000000005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AA-4110-B667-78706E2DC914}"/>
            </c:ext>
          </c:extLst>
        </c:ser>
        <c:ser>
          <c:idx val="2"/>
          <c:order val="1"/>
          <c:tx>
            <c:strRef>
              <c:f>'7'!$AL$17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'7'!$AM$17:$BJ$17</c:f>
              <c:numCache>
                <c:formatCode>General</c:formatCode>
                <c:ptCount val="24"/>
                <c:pt idx="0">
                  <c:v>137.1</c:v>
                </c:pt>
                <c:pt idx="1">
                  <c:v>77.099999999999994</c:v>
                </c:pt>
                <c:pt idx="2">
                  <c:v>37.1</c:v>
                </c:pt>
                <c:pt idx="3">
                  <c:v>37</c:v>
                </c:pt>
                <c:pt idx="4">
                  <c:v>37.1</c:v>
                </c:pt>
                <c:pt idx="5">
                  <c:v>37</c:v>
                </c:pt>
                <c:pt idx="6">
                  <c:v>37.1</c:v>
                </c:pt>
                <c:pt idx="7">
                  <c:v>148.69999999999999</c:v>
                </c:pt>
                <c:pt idx="8">
                  <c:v>118.6</c:v>
                </c:pt>
                <c:pt idx="9">
                  <c:v>80</c:v>
                </c:pt>
                <c:pt idx="10">
                  <c:v>80</c:v>
                </c:pt>
                <c:pt idx="11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AA-4110-B667-78706E2DC914}"/>
            </c:ext>
          </c:extLst>
        </c:ser>
        <c:ser>
          <c:idx val="3"/>
          <c:order val="2"/>
          <c:tx>
            <c:strRef>
              <c:f>'7'!$AL$18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'7'!$AM$18:$BJ$18</c:f>
              <c:numCache>
                <c:formatCode>General</c:formatCode>
                <c:ptCount val="24"/>
                <c:pt idx="0">
                  <c:v>136.64000000000001</c:v>
                </c:pt>
                <c:pt idx="1">
                  <c:v>75.240000000000009</c:v>
                </c:pt>
                <c:pt idx="2">
                  <c:v>75.240000000000009</c:v>
                </c:pt>
                <c:pt idx="3">
                  <c:v>76.240000000000009</c:v>
                </c:pt>
                <c:pt idx="4">
                  <c:v>75.739999999999995</c:v>
                </c:pt>
                <c:pt idx="5">
                  <c:v>91.140000000000015</c:v>
                </c:pt>
                <c:pt idx="6">
                  <c:v>204.24</c:v>
                </c:pt>
                <c:pt idx="7">
                  <c:v>260.44</c:v>
                </c:pt>
                <c:pt idx="8">
                  <c:v>246.54000000000002</c:v>
                </c:pt>
                <c:pt idx="9">
                  <c:v>198.04000000000002</c:v>
                </c:pt>
                <c:pt idx="10">
                  <c:v>198.04000000000002</c:v>
                </c:pt>
                <c:pt idx="11">
                  <c:v>203.24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AA-4110-B667-78706E2DC914}"/>
            </c:ext>
          </c:extLst>
        </c:ser>
        <c:ser>
          <c:idx val="0"/>
          <c:order val="3"/>
          <c:tx>
            <c:strRef>
              <c:f>'7'!$AL$19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'7'!$AM$19:$BJ$19</c:f>
              <c:numCache>
                <c:formatCode>General</c:formatCode>
                <c:ptCount val="24"/>
                <c:pt idx="0">
                  <c:v>627</c:v>
                </c:pt>
                <c:pt idx="1">
                  <c:v>723.69999999999993</c:v>
                </c:pt>
                <c:pt idx="2">
                  <c:v>733.7</c:v>
                </c:pt>
                <c:pt idx="3">
                  <c:v>727.2</c:v>
                </c:pt>
                <c:pt idx="4">
                  <c:v>695.80000000000007</c:v>
                </c:pt>
                <c:pt idx="5">
                  <c:v>630.70000000000005</c:v>
                </c:pt>
                <c:pt idx="6">
                  <c:v>562.79999999999995</c:v>
                </c:pt>
                <c:pt idx="7">
                  <c:v>537.40000000000009</c:v>
                </c:pt>
                <c:pt idx="8">
                  <c:v>557.29999999999995</c:v>
                </c:pt>
                <c:pt idx="9">
                  <c:v>589</c:v>
                </c:pt>
                <c:pt idx="10">
                  <c:v>641.70000000000005</c:v>
                </c:pt>
                <c:pt idx="11">
                  <c:v>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AA-4110-B667-78706E2DC914}"/>
            </c:ext>
          </c:extLst>
        </c:ser>
        <c:ser>
          <c:idx val="4"/>
          <c:order val="4"/>
          <c:tx>
            <c:strRef>
              <c:f>'7'!$AL$20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'7'!$AM$20:$BJ$20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AA-4110-B667-78706E2DC914}"/>
            </c:ext>
          </c:extLst>
        </c:ser>
        <c:ser>
          <c:idx val="5"/>
          <c:order val="5"/>
          <c:tx>
            <c:strRef>
              <c:f>'7'!$AL$21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'7'!$AM$21:$BJ$21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80</c:v>
                </c:pt>
                <c:pt idx="7">
                  <c:v>140</c:v>
                </c:pt>
                <c:pt idx="8">
                  <c:v>240</c:v>
                </c:pt>
                <c:pt idx="9">
                  <c:v>200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AA-4110-B667-78706E2DC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'7'!$AL$23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'7'!$AM$23:$BJ$23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AA-4110-B667-78706E2DC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'7'!$AL$22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'7'!$AM$22:$BJ$22</c:f>
              <c:numCache>
                <c:formatCode>General</c:formatCode>
                <c:ptCount val="24"/>
                <c:pt idx="0">
                  <c:v>1356.69</c:v>
                </c:pt>
                <c:pt idx="1">
                  <c:v>1331.99</c:v>
                </c:pt>
                <c:pt idx="2">
                  <c:v>1301.9900000000002</c:v>
                </c:pt>
                <c:pt idx="3">
                  <c:v>1296.3900000000001</c:v>
                </c:pt>
                <c:pt idx="4">
                  <c:v>1264.5900000000001</c:v>
                </c:pt>
                <c:pt idx="5">
                  <c:v>1214.79</c:v>
                </c:pt>
                <c:pt idx="6">
                  <c:v>1340.0900000000001</c:v>
                </c:pt>
                <c:pt idx="7">
                  <c:v>1542.4900000000002</c:v>
                </c:pt>
                <c:pt idx="8">
                  <c:v>1618.39</c:v>
                </c:pt>
                <c:pt idx="9">
                  <c:v>1522.99</c:v>
                </c:pt>
                <c:pt idx="10">
                  <c:v>1375.69</c:v>
                </c:pt>
                <c:pt idx="11">
                  <c:v>1400.19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BEAA-4110-B667-78706E2DC914}"/>
            </c:ext>
          </c:extLst>
        </c:ser>
        <c:ser>
          <c:idx val="8"/>
          <c:order val="8"/>
          <c:tx>
            <c:strRef>
              <c:f>'7'!$AL$24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'7'!$AM$24:$BJ$24</c:f>
              <c:numCache>
                <c:formatCode>General</c:formatCode>
                <c:ptCount val="24"/>
                <c:pt idx="0">
                  <c:v>1356.69</c:v>
                </c:pt>
                <c:pt idx="1">
                  <c:v>1331.99</c:v>
                </c:pt>
                <c:pt idx="2">
                  <c:v>1301.9900000000002</c:v>
                </c:pt>
                <c:pt idx="3">
                  <c:v>1296.3900000000001</c:v>
                </c:pt>
                <c:pt idx="4">
                  <c:v>1264.5900000000001</c:v>
                </c:pt>
                <c:pt idx="5">
                  <c:v>1214.79</c:v>
                </c:pt>
                <c:pt idx="6">
                  <c:v>1340.0900000000001</c:v>
                </c:pt>
                <c:pt idx="7">
                  <c:v>1542.4900000000002</c:v>
                </c:pt>
                <c:pt idx="8">
                  <c:v>1618.39</c:v>
                </c:pt>
                <c:pt idx="9">
                  <c:v>1522.99</c:v>
                </c:pt>
                <c:pt idx="10">
                  <c:v>1375.69</c:v>
                </c:pt>
                <c:pt idx="11">
                  <c:v>1400.19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EAA-4110-B667-78706E2DC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FD0-4E99-91A8-FE12AD5DB4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FD0-4E99-91A8-FE12AD5DB4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FD0-4E99-91A8-FE12AD5DB4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FD0-4E99-91A8-FE12AD5DB4C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FD0-4E99-91A8-FE12AD5DB4C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FFD0-4E99-91A8-FE12AD5DB4C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'8'!$AL$16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'8'!$AM$16:$BJ$16</c:f>
              <c:numCache>
                <c:formatCode>General</c:formatCode>
                <c:ptCount val="24"/>
                <c:pt idx="0">
                  <c:v>445.15</c:v>
                </c:pt>
                <c:pt idx="1">
                  <c:v>445.15</c:v>
                </c:pt>
                <c:pt idx="2">
                  <c:v>445.15</c:v>
                </c:pt>
                <c:pt idx="3">
                  <c:v>466.75</c:v>
                </c:pt>
                <c:pt idx="4">
                  <c:v>460.35</c:v>
                </c:pt>
                <c:pt idx="5">
                  <c:v>460.25</c:v>
                </c:pt>
                <c:pt idx="6">
                  <c:v>471.75</c:v>
                </c:pt>
                <c:pt idx="7">
                  <c:v>471.95</c:v>
                </c:pt>
                <c:pt idx="8">
                  <c:v>473.55</c:v>
                </c:pt>
                <c:pt idx="9">
                  <c:v>473.55</c:v>
                </c:pt>
                <c:pt idx="10">
                  <c:v>473.55</c:v>
                </c:pt>
                <c:pt idx="11">
                  <c:v>473.55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08-47E3-93DF-9126BC21C656}"/>
            </c:ext>
          </c:extLst>
        </c:ser>
        <c:ser>
          <c:idx val="2"/>
          <c:order val="1"/>
          <c:tx>
            <c:strRef>
              <c:f>'8'!$AL$17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'8'!$AM$17:$BJ$17</c:f>
              <c:numCache>
                <c:formatCode>General</c:formatCode>
                <c:ptCount val="24"/>
                <c:pt idx="0">
                  <c:v>37</c:v>
                </c:pt>
                <c:pt idx="1">
                  <c:v>37</c:v>
                </c:pt>
                <c:pt idx="2">
                  <c:v>37</c:v>
                </c:pt>
                <c:pt idx="3">
                  <c:v>37</c:v>
                </c:pt>
                <c:pt idx="4">
                  <c:v>37</c:v>
                </c:pt>
                <c:pt idx="5">
                  <c:v>37</c:v>
                </c:pt>
                <c:pt idx="6">
                  <c:v>36</c:v>
                </c:pt>
                <c:pt idx="7">
                  <c:v>66</c:v>
                </c:pt>
                <c:pt idx="8">
                  <c:v>86.3</c:v>
                </c:pt>
                <c:pt idx="9">
                  <c:v>86.399999999999991</c:v>
                </c:pt>
                <c:pt idx="10">
                  <c:v>116.1</c:v>
                </c:pt>
                <c:pt idx="11">
                  <c:v>66.099999999999994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08-47E3-93DF-9126BC21C656}"/>
            </c:ext>
          </c:extLst>
        </c:ser>
        <c:ser>
          <c:idx val="3"/>
          <c:order val="2"/>
          <c:tx>
            <c:strRef>
              <c:f>'8'!$AL$18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'8'!$AM$18:$BJ$18</c:f>
              <c:numCache>
                <c:formatCode>General</c:formatCode>
                <c:ptCount val="24"/>
                <c:pt idx="0">
                  <c:v>106.84</c:v>
                </c:pt>
                <c:pt idx="1">
                  <c:v>76.84</c:v>
                </c:pt>
                <c:pt idx="2">
                  <c:v>76.940000000000012</c:v>
                </c:pt>
                <c:pt idx="3">
                  <c:v>76.940000000000012</c:v>
                </c:pt>
                <c:pt idx="4">
                  <c:v>76.940000000000012</c:v>
                </c:pt>
                <c:pt idx="5">
                  <c:v>76.940000000000012</c:v>
                </c:pt>
                <c:pt idx="6">
                  <c:v>223.94</c:v>
                </c:pt>
                <c:pt idx="7">
                  <c:v>257.24</c:v>
                </c:pt>
                <c:pt idx="8">
                  <c:v>272.33999999999997</c:v>
                </c:pt>
                <c:pt idx="9">
                  <c:v>268.03999999999996</c:v>
                </c:pt>
                <c:pt idx="10">
                  <c:v>242.33999999999997</c:v>
                </c:pt>
                <c:pt idx="11">
                  <c:v>236.94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08-47E3-93DF-9126BC21C656}"/>
            </c:ext>
          </c:extLst>
        </c:ser>
        <c:ser>
          <c:idx val="0"/>
          <c:order val="3"/>
          <c:tx>
            <c:strRef>
              <c:f>'8'!$AL$19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'8'!$AM$19:$BJ$19</c:f>
              <c:numCache>
                <c:formatCode>General</c:formatCode>
                <c:ptCount val="24"/>
                <c:pt idx="0">
                  <c:v>519.79999999999995</c:v>
                </c:pt>
                <c:pt idx="1">
                  <c:v>554.9</c:v>
                </c:pt>
                <c:pt idx="2">
                  <c:v>532.29999999999995</c:v>
                </c:pt>
                <c:pt idx="3">
                  <c:v>516.29999999999995</c:v>
                </c:pt>
                <c:pt idx="4">
                  <c:v>516.9</c:v>
                </c:pt>
                <c:pt idx="5">
                  <c:v>496.3</c:v>
                </c:pt>
                <c:pt idx="6">
                  <c:v>469</c:v>
                </c:pt>
                <c:pt idx="7">
                  <c:v>464.1</c:v>
                </c:pt>
                <c:pt idx="8">
                  <c:v>470.6</c:v>
                </c:pt>
                <c:pt idx="9">
                  <c:v>455.70000000000005</c:v>
                </c:pt>
                <c:pt idx="10">
                  <c:v>481.1</c:v>
                </c:pt>
                <c:pt idx="11">
                  <c:v>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08-47E3-93DF-9126BC21C656}"/>
            </c:ext>
          </c:extLst>
        </c:ser>
        <c:ser>
          <c:idx val="4"/>
          <c:order val="4"/>
          <c:tx>
            <c:strRef>
              <c:f>'8'!$AL$20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'8'!$AM$20:$BJ$20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08-47E3-93DF-9126BC21C656}"/>
            </c:ext>
          </c:extLst>
        </c:ser>
        <c:ser>
          <c:idx val="5"/>
          <c:order val="5"/>
          <c:tx>
            <c:strRef>
              <c:f>'8'!$AL$21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'8'!$AM$21:$BJ$21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180</c:v>
                </c:pt>
                <c:pt idx="9">
                  <c:v>80</c:v>
                </c:pt>
                <c:pt idx="10">
                  <c:v>80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08-47E3-93DF-9126BC21C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'8'!$AL$23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'8'!$AM$23:$BJ$23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08-47E3-93DF-9126BC21C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'8'!$AL$22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'8'!$AM$22:$BJ$22</c:f>
              <c:numCache>
                <c:formatCode>General</c:formatCode>
                <c:ptCount val="24"/>
                <c:pt idx="0">
                  <c:v>1108.79</c:v>
                </c:pt>
                <c:pt idx="1">
                  <c:v>1113.8899999999999</c:v>
                </c:pt>
                <c:pt idx="2">
                  <c:v>1091.3899999999999</c:v>
                </c:pt>
                <c:pt idx="3">
                  <c:v>1096.99</c:v>
                </c:pt>
                <c:pt idx="4">
                  <c:v>1091.19</c:v>
                </c:pt>
                <c:pt idx="5">
                  <c:v>1070.49</c:v>
                </c:pt>
                <c:pt idx="6">
                  <c:v>1200.69</c:v>
                </c:pt>
                <c:pt idx="7">
                  <c:v>1259.29</c:v>
                </c:pt>
                <c:pt idx="8">
                  <c:v>1482.79</c:v>
                </c:pt>
                <c:pt idx="9">
                  <c:v>1363.69</c:v>
                </c:pt>
                <c:pt idx="10">
                  <c:v>1393.0900000000001</c:v>
                </c:pt>
                <c:pt idx="11">
                  <c:v>1368.59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5F08-47E3-93DF-9126BC21C656}"/>
            </c:ext>
          </c:extLst>
        </c:ser>
        <c:ser>
          <c:idx val="8"/>
          <c:order val="8"/>
          <c:tx>
            <c:strRef>
              <c:f>'8'!$AL$24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'8'!$AM$24:$BJ$24</c:f>
              <c:numCache>
                <c:formatCode>General</c:formatCode>
                <c:ptCount val="24"/>
                <c:pt idx="0">
                  <c:v>1108.79</c:v>
                </c:pt>
                <c:pt idx="1">
                  <c:v>1112.8899999999999</c:v>
                </c:pt>
                <c:pt idx="2">
                  <c:v>1089.3899999999999</c:v>
                </c:pt>
                <c:pt idx="3">
                  <c:v>1096.99</c:v>
                </c:pt>
                <c:pt idx="4">
                  <c:v>1091.19</c:v>
                </c:pt>
                <c:pt idx="5">
                  <c:v>1070.49</c:v>
                </c:pt>
                <c:pt idx="6">
                  <c:v>1200.69</c:v>
                </c:pt>
                <c:pt idx="7">
                  <c:v>1259.29</c:v>
                </c:pt>
                <c:pt idx="8">
                  <c:v>1482.79</c:v>
                </c:pt>
                <c:pt idx="9">
                  <c:v>1363.69</c:v>
                </c:pt>
                <c:pt idx="10">
                  <c:v>1393.0900000000001</c:v>
                </c:pt>
                <c:pt idx="11">
                  <c:v>1368.59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F08-47E3-93DF-9126BC21C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99A-41EE-8B78-5723E6E1D8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99A-41EE-8B78-5723E6E1D8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99A-41EE-8B78-5723E6E1D8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99A-41EE-8B78-5723E6E1D80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99A-41EE-8B78-5723E6E1D80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099A-41EE-8B78-5723E6E1D80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'9'!$AL$16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'9'!$AM$16:$BJ$16</c:f>
              <c:numCache>
                <c:formatCode>General</c:formatCode>
                <c:ptCount val="24"/>
                <c:pt idx="0">
                  <c:v>473.55</c:v>
                </c:pt>
                <c:pt idx="1">
                  <c:v>473.55</c:v>
                </c:pt>
                <c:pt idx="2">
                  <c:v>473.55</c:v>
                </c:pt>
                <c:pt idx="3">
                  <c:v>473.55</c:v>
                </c:pt>
                <c:pt idx="4">
                  <c:v>473.55</c:v>
                </c:pt>
                <c:pt idx="5">
                  <c:v>473.55</c:v>
                </c:pt>
                <c:pt idx="6">
                  <c:v>473.55</c:v>
                </c:pt>
                <c:pt idx="7">
                  <c:v>473.55</c:v>
                </c:pt>
                <c:pt idx="8">
                  <c:v>473.55</c:v>
                </c:pt>
                <c:pt idx="9">
                  <c:v>473.55</c:v>
                </c:pt>
                <c:pt idx="10">
                  <c:v>473.55</c:v>
                </c:pt>
                <c:pt idx="11">
                  <c:v>473.55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8-40F9-B3D1-1932D74E0617}"/>
            </c:ext>
          </c:extLst>
        </c:ser>
        <c:ser>
          <c:idx val="2"/>
          <c:order val="1"/>
          <c:tx>
            <c:strRef>
              <c:f>'9'!$AL$17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'9'!$AM$17:$BJ$17</c:f>
              <c:numCache>
                <c:formatCode>General</c:formatCode>
                <c:ptCount val="24"/>
                <c:pt idx="0">
                  <c:v>35.6</c:v>
                </c:pt>
                <c:pt idx="1">
                  <c:v>35.6</c:v>
                </c:pt>
                <c:pt idx="2">
                  <c:v>70.599999999999994</c:v>
                </c:pt>
                <c:pt idx="3">
                  <c:v>85.63</c:v>
                </c:pt>
                <c:pt idx="4">
                  <c:v>60.6</c:v>
                </c:pt>
                <c:pt idx="5">
                  <c:v>85.8</c:v>
                </c:pt>
                <c:pt idx="6">
                  <c:v>85.6</c:v>
                </c:pt>
                <c:pt idx="7">
                  <c:v>135.6</c:v>
                </c:pt>
                <c:pt idx="8">
                  <c:v>176.6</c:v>
                </c:pt>
                <c:pt idx="9">
                  <c:v>176.6</c:v>
                </c:pt>
                <c:pt idx="10">
                  <c:v>176.6</c:v>
                </c:pt>
                <c:pt idx="11">
                  <c:v>86.9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48-40F9-B3D1-1932D74E0617}"/>
            </c:ext>
          </c:extLst>
        </c:ser>
        <c:ser>
          <c:idx val="3"/>
          <c:order val="2"/>
          <c:tx>
            <c:strRef>
              <c:f>'9'!$AL$18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'9'!$AM$18:$BJ$18</c:f>
              <c:numCache>
                <c:formatCode>General</c:formatCode>
                <c:ptCount val="24"/>
                <c:pt idx="0">
                  <c:v>77.340000000000018</c:v>
                </c:pt>
                <c:pt idx="1">
                  <c:v>77.340000000000018</c:v>
                </c:pt>
                <c:pt idx="2">
                  <c:v>77.340000000000018</c:v>
                </c:pt>
                <c:pt idx="3">
                  <c:v>77.340000000000018</c:v>
                </c:pt>
                <c:pt idx="4">
                  <c:v>77.340000000000018</c:v>
                </c:pt>
                <c:pt idx="5">
                  <c:v>94.940000000000012</c:v>
                </c:pt>
                <c:pt idx="6">
                  <c:v>272.24</c:v>
                </c:pt>
                <c:pt idx="7">
                  <c:v>354.23999999999995</c:v>
                </c:pt>
                <c:pt idx="8">
                  <c:v>335.34</c:v>
                </c:pt>
                <c:pt idx="9">
                  <c:v>194.03999999999996</c:v>
                </c:pt>
                <c:pt idx="10">
                  <c:v>189.03999999999996</c:v>
                </c:pt>
                <c:pt idx="11">
                  <c:v>178.03999999999996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48-40F9-B3D1-1932D74E0617}"/>
            </c:ext>
          </c:extLst>
        </c:ser>
        <c:ser>
          <c:idx val="0"/>
          <c:order val="3"/>
          <c:tx>
            <c:strRef>
              <c:f>'9'!$AL$19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'9'!$AM$19:$BJ$19</c:f>
              <c:numCache>
                <c:formatCode>General</c:formatCode>
                <c:ptCount val="24"/>
                <c:pt idx="0">
                  <c:v>573</c:v>
                </c:pt>
                <c:pt idx="1">
                  <c:v>585</c:v>
                </c:pt>
                <c:pt idx="2">
                  <c:v>493.7</c:v>
                </c:pt>
                <c:pt idx="3">
                  <c:v>499.7</c:v>
                </c:pt>
                <c:pt idx="4">
                  <c:v>553.4</c:v>
                </c:pt>
                <c:pt idx="5">
                  <c:v>521.1</c:v>
                </c:pt>
                <c:pt idx="6">
                  <c:v>481.8</c:v>
                </c:pt>
                <c:pt idx="7">
                  <c:v>483.5</c:v>
                </c:pt>
                <c:pt idx="8">
                  <c:v>441</c:v>
                </c:pt>
                <c:pt idx="9">
                  <c:v>491.4</c:v>
                </c:pt>
                <c:pt idx="10">
                  <c:v>0</c:v>
                </c:pt>
                <c:pt idx="11">
                  <c:v>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48-40F9-B3D1-1932D74E0617}"/>
            </c:ext>
          </c:extLst>
        </c:ser>
        <c:ser>
          <c:idx val="4"/>
          <c:order val="4"/>
          <c:tx>
            <c:strRef>
              <c:f>'9'!$AL$20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'9'!$AM$20:$BJ$20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27.1</c:v>
                </c:pt>
                <c:pt idx="8">
                  <c:v>16.5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48-40F9-B3D1-1932D74E0617}"/>
            </c:ext>
          </c:extLst>
        </c:ser>
        <c:ser>
          <c:idx val="5"/>
          <c:order val="5"/>
          <c:tx>
            <c:strRef>
              <c:f>'9'!$AL$21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'9'!$AM$21:$BJ$21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48-40F9-B3D1-1932D74E0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'9'!$AL$23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'9'!$AM$23:$BJ$23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48-40F9-B3D1-1932D74E0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'9'!$AL$22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'9'!$AM$22:$BJ$22</c:f>
              <c:numCache>
                <c:formatCode>General</c:formatCode>
                <c:ptCount val="24"/>
                <c:pt idx="0">
                  <c:v>1159.49</c:v>
                </c:pt>
                <c:pt idx="1">
                  <c:v>1171.49</c:v>
                </c:pt>
                <c:pt idx="2">
                  <c:v>1115.19</c:v>
                </c:pt>
                <c:pt idx="3">
                  <c:v>1136.22</c:v>
                </c:pt>
                <c:pt idx="4">
                  <c:v>1164.8899999999999</c:v>
                </c:pt>
                <c:pt idx="5">
                  <c:v>1175.3900000000001</c:v>
                </c:pt>
                <c:pt idx="6">
                  <c:v>1313.19</c:v>
                </c:pt>
                <c:pt idx="7">
                  <c:v>1473.9899999999998</c:v>
                </c:pt>
                <c:pt idx="8">
                  <c:v>1592.99</c:v>
                </c:pt>
                <c:pt idx="9">
                  <c:v>1485.59</c:v>
                </c:pt>
                <c:pt idx="10">
                  <c:v>989.18999999999994</c:v>
                </c:pt>
                <c:pt idx="11">
                  <c:v>1301.49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A48-40F9-B3D1-1932D74E0617}"/>
            </c:ext>
          </c:extLst>
        </c:ser>
        <c:ser>
          <c:idx val="8"/>
          <c:order val="8"/>
          <c:tx>
            <c:strRef>
              <c:f>'9'!$AL$24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'9'!$AM$24:$BJ$24</c:f>
              <c:numCache>
                <c:formatCode>General</c:formatCode>
                <c:ptCount val="24"/>
                <c:pt idx="0">
                  <c:v>1159.49</c:v>
                </c:pt>
                <c:pt idx="1">
                  <c:v>1171.49</c:v>
                </c:pt>
                <c:pt idx="2">
                  <c:v>1115.19</c:v>
                </c:pt>
                <c:pt idx="3">
                  <c:v>1136.22</c:v>
                </c:pt>
                <c:pt idx="4">
                  <c:v>1164.8899999999999</c:v>
                </c:pt>
                <c:pt idx="5">
                  <c:v>1175.3900000000001</c:v>
                </c:pt>
                <c:pt idx="6">
                  <c:v>1313.19</c:v>
                </c:pt>
                <c:pt idx="7">
                  <c:v>1473.9899999999998</c:v>
                </c:pt>
                <c:pt idx="8">
                  <c:v>1592.99</c:v>
                </c:pt>
                <c:pt idx="9">
                  <c:v>1485.59</c:v>
                </c:pt>
                <c:pt idx="10">
                  <c:v>989.18999999999994</c:v>
                </c:pt>
                <c:pt idx="11">
                  <c:v>1301.49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A48-40F9-B3D1-1932D74E0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6DC-4DEC-AB37-38B520F923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6DC-4DEC-AB37-38B520F923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6DC-4DEC-AB37-38B520F923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6DC-4DEC-AB37-38B520F923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6DC-4DEC-AB37-38B520F9231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6DC-4DEC-AB37-38B520F9231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'10'!$AL$16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'10'!$AM$16:$BJ$16</c:f>
              <c:numCache>
                <c:formatCode>General</c:formatCode>
                <c:ptCount val="24"/>
                <c:pt idx="0">
                  <c:v>457.85</c:v>
                </c:pt>
                <c:pt idx="1">
                  <c:v>457.85</c:v>
                </c:pt>
                <c:pt idx="2">
                  <c:v>457.85</c:v>
                </c:pt>
                <c:pt idx="3">
                  <c:v>469.15000000000003</c:v>
                </c:pt>
                <c:pt idx="4">
                  <c:v>469.15000000000003</c:v>
                </c:pt>
                <c:pt idx="5">
                  <c:v>469.15000000000003</c:v>
                </c:pt>
                <c:pt idx="6">
                  <c:v>451.75000000000006</c:v>
                </c:pt>
                <c:pt idx="7">
                  <c:v>446.75</c:v>
                </c:pt>
                <c:pt idx="8">
                  <c:v>441.15000000000003</c:v>
                </c:pt>
                <c:pt idx="9">
                  <c:v>432.85</c:v>
                </c:pt>
                <c:pt idx="10">
                  <c:v>432.85</c:v>
                </c:pt>
                <c:pt idx="11">
                  <c:v>440.65000000000003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D6-4B75-BC9A-AAFCB35E9EE9}"/>
            </c:ext>
          </c:extLst>
        </c:ser>
        <c:ser>
          <c:idx val="2"/>
          <c:order val="1"/>
          <c:tx>
            <c:strRef>
              <c:f>'10'!$AL$17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'10'!$AM$17:$BJ$17</c:f>
              <c:numCache>
                <c:formatCode>General</c:formatCode>
                <c:ptCount val="24"/>
                <c:pt idx="0">
                  <c:v>55.9</c:v>
                </c:pt>
                <c:pt idx="1">
                  <c:v>35.9</c:v>
                </c:pt>
                <c:pt idx="2">
                  <c:v>35.9</c:v>
                </c:pt>
                <c:pt idx="3">
                  <c:v>35.9</c:v>
                </c:pt>
                <c:pt idx="4">
                  <c:v>90.9</c:v>
                </c:pt>
                <c:pt idx="5">
                  <c:v>70.900000000000006</c:v>
                </c:pt>
                <c:pt idx="6">
                  <c:v>36</c:v>
                </c:pt>
                <c:pt idx="7">
                  <c:v>147</c:v>
                </c:pt>
                <c:pt idx="8">
                  <c:v>167.5</c:v>
                </c:pt>
                <c:pt idx="9">
                  <c:v>65.900000000000006</c:v>
                </c:pt>
                <c:pt idx="10">
                  <c:v>66</c:v>
                </c:pt>
                <c:pt idx="11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D6-4B75-BC9A-AAFCB35E9EE9}"/>
            </c:ext>
          </c:extLst>
        </c:ser>
        <c:ser>
          <c:idx val="3"/>
          <c:order val="2"/>
          <c:tx>
            <c:strRef>
              <c:f>'10'!$AL$18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'10'!$AM$18:$BJ$18</c:f>
              <c:numCache>
                <c:formatCode>General</c:formatCode>
                <c:ptCount val="24"/>
                <c:pt idx="0">
                  <c:v>105.84</c:v>
                </c:pt>
                <c:pt idx="1">
                  <c:v>75.84</c:v>
                </c:pt>
                <c:pt idx="2">
                  <c:v>75.84</c:v>
                </c:pt>
                <c:pt idx="3">
                  <c:v>75.84</c:v>
                </c:pt>
                <c:pt idx="4">
                  <c:v>75.84</c:v>
                </c:pt>
                <c:pt idx="5">
                  <c:v>115.94</c:v>
                </c:pt>
                <c:pt idx="6">
                  <c:v>166.34</c:v>
                </c:pt>
                <c:pt idx="7">
                  <c:v>229.23999999999998</c:v>
                </c:pt>
                <c:pt idx="8">
                  <c:v>219.03999999999996</c:v>
                </c:pt>
                <c:pt idx="9">
                  <c:v>219.34</c:v>
                </c:pt>
                <c:pt idx="10">
                  <c:v>219.34</c:v>
                </c:pt>
                <c:pt idx="11">
                  <c:v>216.84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D6-4B75-BC9A-AAFCB35E9EE9}"/>
            </c:ext>
          </c:extLst>
        </c:ser>
        <c:ser>
          <c:idx val="0"/>
          <c:order val="3"/>
          <c:tx>
            <c:strRef>
              <c:f>'10'!$AL$19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'10'!$AM$19:$BJ$19</c:f>
              <c:numCache>
                <c:formatCode>General</c:formatCode>
                <c:ptCount val="24"/>
                <c:pt idx="0">
                  <c:v>607</c:v>
                </c:pt>
                <c:pt idx="1">
                  <c:v>576.79999999999995</c:v>
                </c:pt>
                <c:pt idx="2">
                  <c:v>584.70000000000005</c:v>
                </c:pt>
                <c:pt idx="3">
                  <c:v>577.29999999999995</c:v>
                </c:pt>
                <c:pt idx="4">
                  <c:v>518.4</c:v>
                </c:pt>
                <c:pt idx="5">
                  <c:v>513</c:v>
                </c:pt>
                <c:pt idx="6">
                  <c:v>549.9</c:v>
                </c:pt>
                <c:pt idx="7">
                  <c:v>386.6</c:v>
                </c:pt>
                <c:pt idx="8">
                  <c:v>408.6</c:v>
                </c:pt>
                <c:pt idx="9">
                  <c:v>506.3</c:v>
                </c:pt>
                <c:pt idx="10">
                  <c:v>462.4</c:v>
                </c:pt>
                <c:pt idx="11">
                  <c:v>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D6-4B75-BC9A-AAFCB35E9EE9}"/>
            </c:ext>
          </c:extLst>
        </c:ser>
        <c:ser>
          <c:idx val="4"/>
          <c:order val="4"/>
          <c:tx>
            <c:strRef>
              <c:f>'10'!$AL$20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'10'!$AM$20:$BJ$20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D6-4B75-BC9A-AAFCB35E9EE9}"/>
            </c:ext>
          </c:extLst>
        </c:ser>
        <c:ser>
          <c:idx val="5"/>
          <c:order val="5"/>
          <c:tx>
            <c:strRef>
              <c:f>'10'!$AL$21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'10'!$AM$21:$BJ$21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80</c:v>
                </c:pt>
                <c:pt idx="7">
                  <c:v>250</c:v>
                </c:pt>
                <c:pt idx="8">
                  <c:v>250</c:v>
                </c:pt>
                <c:pt idx="9">
                  <c:v>180</c:v>
                </c:pt>
                <c:pt idx="10">
                  <c:v>180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9D6-4B75-BC9A-AAFCB35E9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'10'!$AL$23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'10'!$AM$23:$BJ$23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D6-4B75-BC9A-AAFCB35E9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'10'!$AL$22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'10'!$AM$22:$BJ$22</c:f>
              <c:numCache>
                <c:formatCode>General</c:formatCode>
                <c:ptCount val="24"/>
                <c:pt idx="0">
                  <c:v>1226.5900000000001</c:v>
                </c:pt>
                <c:pt idx="1">
                  <c:v>1146.3899999999999</c:v>
                </c:pt>
                <c:pt idx="2">
                  <c:v>1154.29</c:v>
                </c:pt>
                <c:pt idx="3">
                  <c:v>1158.19</c:v>
                </c:pt>
                <c:pt idx="4">
                  <c:v>1154.29</c:v>
                </c:pt>
                <c:pt idx="5">
                  <c:v>1168.99</c:v>
                </c:pt>
                <c:pt idx="6">
                  <c:v>1283.99</c:v>
                </c:pt>
                <c:pt idx="7">
                  <c:v>1459.5900000000001</c:v>
                </c:pt>
                <c:pt idx="8">
                  <c:v>1486.29</c:v>
                </c:pt>
                <c:pt idx="9">
                  <c:v>1404.39</c:v>
                </c:pt>
                <c:pt idx="10">
                  <c:v>1360.5900000000001</c:v>
                </c:pt>
                <c:pt idx="11">
                  <c:v>1178.49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9D6-4B75-BC9A-AAFCB35E9EE9}"/>
            </c:ext>
          </c:extLst>
        </c:ser>
        <c:ser>
          <c:idx val="8"/>
          <c:order val="8"/>
          <c:tx>
            <c:strRef>
              <c:f>'10'!$AL$24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'10'!$AM$24:$BJ$24</c:f>
              <c:numCache>
                <c:formatCode>General</c:formatCode>
                <c:ptCount val="24"/>
                <c:pt idx="0">
                  <c:v>1226.5900000000001</c:v>
                </c:pt>
                <c:pt idx="1">
                  <c:v>1146.3899999999999</c:v>
                </c:pt>
                <c:pt idx="2">
                  <c:v>1154.29</c:v>
                </c:pt>
                <c:pt idx="3">
                  <c:v>1158.19</c:v>
                </c:pt>
                <c:pt idx="4">
                  <c:v>1154.29</c:v>
                </c:pt>
                <c:pt idx="5">
                  <c:v>1168.99</c:v>
                </c:pt>
                <c:pt idx="6">
                  <c:v>1283.99</c:v>
                </c:pt>
                <c:pt idx="7">
                  <c:v>1459.5900000000001</c:v>
                </c:pt>
                <c:pt idx="8">
                  <c:v>1486.29</c:v>
                </c:pt>
                <c:pt idx="9">
                  <c:v>1404.39</c:v>
                </c:pt>
                <c:pt idx="10">
                  <c:v>1360.5900000000001</c:v>
                </c:pt>
                <c:pt idx="11">
                  <c:v>1178.49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9D6-4B75-BC9A-AAFCB35E9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F93-4D06-9862-1DCF5EDFB8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F93-4D06-9862-1DCF5EDFB8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F93-4D06-9862-1DCF5EDFB8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F93-4D06-9862-1DCF5EDFB83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F93-4D06-9862-1DCF5EDFB83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F93-4D06-9862-1DCF5EDFB83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'11'!$AL$16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'11'!$AM$16:$BJ$16</c:f>
              <c:numCache>
                <c:formatCode>General</c:formatCode>
                <c:ptCount val="24"/>
                <c:pt idx="0">
                  <c:v>447.05</c:v>
                </c:pt>
                <c:pt idx="1">
                  <c:v>447.05</c:v>
                </c:pt>
                <c:pt idx="2">
                  <c:v>447.05</c:v>
                </c:pt>
                <c:pt idx="3">
                  <c:v>446.65</c:v>
                </c:pt>
                <c:pt idx="4">
                  <c:v>446.65</c:v>
                </c:pt>
                <c:pt idx="5">
                  <c:v>446.25</c:v>
                </c:pt>
                <c:pt idx="6">
                  <c:v>445.34999999999997</c:v>
                </c:pt>
                <c:pt idx="7">
                  <c:v>461.15000000000003</c:v>
                </c:pt>
                <c:pt idx="8">
                  <c:v>444.55</c:v>
                </c:pt>
                <c:pt idx="9">
                  <c:v>441.65000000000003</c:v>
                </c:pt>
                <c:pt idx="10">
                  <c:v>437.35</c:v>
                </c:pt>
                <c:pt idx="11">
                  <c:v>437.35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A1-4BC9-8A42-C956014E929E}"/>
            </c:ext>
          </c:extLst>
        </c:ser>
        <c:ser>
          <c:idx val="2"/>
          <c:order val="1"/>
          <c:tx>
            <c:strRef>
              <c:f>'11'!$AL$17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'11'!$AM$17:$BJ$17</c:f>
              <c:numCache>
                <c:formatCode>General</c:formatCode>
                <c:ptCount val="24"/>
                <c:pt idx="0">
                  <c:v>69.2</c:v>
                </c:pt>
                <c:pt idx="1">
                  <c:v>55.2</c:v>
                </c:pt>
                <c:pt idx="2">
                  <c:v>54.2</c:v>
                </c:pt>
                <c:pt idx="3">
                  <c:v>54.2</c:v>
                </c:pt>
                <c:pt idx="4">
                  <c:v>102.4</c:v>
                </c:pt>
                <c:pt idx="5">
                  <c:v>87.1</c:v>
                </c:pt>
                <c:pt idx="6">
                  <c:v>52.1</c:v>
                </c:pt>
                <c:pt idx="7">
                  <c:v>121.39999999999999</c:v>
                </c:pt>
                <c:pt idx="8">
                  <c:v>267.3</c:v>
                </c:pt>
                <c:pt idx="9">
                  <c:v>181.9</c:v>
                </c:pt>
                <c:pt idx="10">
                  <c:v>157.5</c:v>
                </c:pt>
                <c:pt idx="11">
                  <c:v>77.3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A1-4BC9-8A42-C956014E929E}"/>
            </c:ext>
          </c:extLst>
        </c:ser>
        <c:ser>
          <c:idx val="3"/>
          <c:order val="2"/>
          <c:tx>
            <c:strRef>
              <c:f>'11'!$AL$18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'11'!$AM$18:$BJ$18</c:f>
              <c:numCache>
                <c:formatCode>General</c:formatCode>
                <c:ptCount val="24"/>
                <c:pt idx="0">
                  <c:v>153.04</c:v>
                </c:pt>
                <c:pt idx="1">
                  <c:v>106.44</c:v>
                </c:pt>
                <c:pt idx="2">
                  <c:v>119.24000000000001</c:v>
                </c:pt>
                <c:pt idx="3">
                  <c:v>119.14</c:v>
                </c:pt>
                <c:pt idx="4">
                  <c:v>133.73999999999998</c:v>
                </c:pt>
                <c:pt idx="5">
                  <c:v>118.84</c:v>
                </c:pt>
                <c:pt idx="6">
                  <c:v>207.14</c:v>
                </c:pt>
                <c:pt idx="7">
                  <c:v>280.74</c:v>
                </c:pt>
                <c:pt idx="8">
                  <c:v>292.24</c:v>
                </c:pt>
                <c:pt idx="9">
                  <c:v>320.64</c:v>
                </c:pt>
                <c:pt idx="10">
                  <c:v>303.94000000000005</c:v>
                </c:pt>
                <c:pt idx="11">
                  <c:v>251.83999999999997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A1-4BC9-8A42-C956014E929E}"/>
            </c:ext>
          </c:extLst>
        </c:ser>
        <c:ser>
          <c:idx val="0"/>
          <c:order val="3"/>
          <c:tx>
            <c:strRef>
              <c:f>'11'!$AL$19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'11'!$AM$19:$BJ$19</c:f>
              <c:numCache>
                <c:formatCode>General</c:formatCode>
                <c:ptCount val="24"/>
                <c:pt idx="0">
                  <c:v>395.9</c:v>
                </c:pt>
                <c:pt idx="1">
                  <c:v>376.80000000000007</c:v>
                </c:pt>
                <c:pt idx="2">
                  <c:v>371.7</c:v>
                </c:pt>
                <c:pt idx="3">
                  <c:v>380.1</c:v>
                </c:pt>
                <c:pt idx="4">
                  <c:v>304.70000000000005</c:v>
                </c:pt>
                <c:pt idx="5">
                  <c:v>329.09999999999997</c:v>
                </c:pt>
                <c:pt idx="6">
                  <c:v>408.3</c:v>
                </c:pt>
                <c:pt idx="7">
                  <c:v>346.3</c:v>
                </c:pt>
                <c:pt idx="8">
                  <c:v>357.8</c:v>
                </c:pt>
                <c:pt idx="9">
                  <c:v>369.7</c:v>
                </c:pt>
                <c:pt idx="10">
                  <c:v>339.40000000000003</c:v>
                </c:pt>
                <c:pt idx="11">
                  <c:v>326.59999999999997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A1-4BC9-8A42-C956014E929E}"/>
            </c:ext>
          </c:extLst>
        </c:ser>
        <c:ser>
          <c:idx val="4"/>
          <c:order val="4"/>
          <c:tx>
            <c:strRef>
              <c:f>'11'!$AL$20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'11'!$AM$20:$BJ$20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A1-4BC9-8A42-C956014E929E}"/>
            </c:ext>
          </c:extLst>
        </c:ser>
        <c:ser>
          <c:idx val="5"/>
          <c:order val="5"/>
          <c:tx>
            <c:strRef>
              <c:f>'11'!$AL$21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'11'!$AM$21:$BJ$21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A1-4BC9-8A42-C956014E9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'11'!$AL$23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'11'!$AM$23:$BJ$23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A1-4BC9-8A42-C956014E9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'11'!$AL$22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'11'!$AM$22:$BJ$22</c:f>
              <c:numCache>
                <c:formatCode>General</c:formatCode>
                <c:ptCount val="24"/>
                <c:pt idx="0">
                  <c:v>1065.19</c:v>
                </c:pt>
                <c:pt idx="1">
                  <c:v>985.49000000000012</c:v>
                </c:pt>
                <c:pt idx="2">
                  <c:v>992.19</c:v>
                </c:pt>
                <c:pt idx="3">
                  <c:v>1000.09</c:v>
                </c:pt>
                <c:pt idx="4">
                  <c:v>987.49</c:v>
                </c:pt>
                <c:pt idx="5">
                  <c:v>981.29</c:v>
                </c:pt>
                <c:pt idx="6">
                  <c:v>1112.8899999999999</c:v>
                </c:pt>
                <c:pt idx="7">
                  <c:v>1209.5900000000001</c:v>
                </c:pt>
                <c:pt idx="8">
                  <c:v>1361.89</c:v>
                </c:pt>
                <c:pt idx="9">
                  <c:v>1313.89</c:v>
                </c:pt>
                <c:pt idx="10">
                  <c:v>1238.19</c:v>
                </c:pt>
                <c:pt idx="11">
                  <c:v>1093.0899999999999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50A1-4BC9-8A42-C956014E929E}"/>
            </c:ext>
          </c:extLst>
        </c:ser>
        <c:ser>
          <c:idx val="8"/>
          <c:order val="8"/>
          <c:tx>
            <c:strRef>
              <c:f>'11'!$AL$24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'11'!$AM$24:$BJ$24</c:f>
              <c:numCache>
                <c:formatCode>General</c:formatCode>
                <c:ptCount val="24"/>
                <c:pt idx="0">
                  <c:v>1065.19</c:v>
                </c:pt>
                <c:pt idx="1">
                  <c:v>985.49000000000012</c:v>
                </c:pt>
                <c:pt idx="2">
                  <c:v>992.19</c:v>
                </c:pt>
                <c:pt idx="3">
                  <c:v>1000.09</c:v>
                </c:pt>
                <c:pt idx="4">
                  <c:v>987.49</c:v>
                </c:pt>
                <c:pt idx="5">
                  <c:v>981.29</c:v>
                </c:pt>
                <c:pt idx="6">
                  <c:v>1112.8899999999999</c:v>
                </c:pt>
                <c:pt idx="7">
                  <c:v>1209.5900000000001</c:v>
                </c:pt>
                <c:pt idx="8">
                  <c:v>1361.89</c:v>
                </c:pt>
                <c:pt idx="9">
                  <c:v>1313.89</c:v>
                </c:pt>
                <c:pt idx="10">
                  <c:v>1237.19</c:v>
                </c:pt>
                <c:pt idx="11">
                  <c:v>1093.0899999999999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0A1-4BC9-8A42-C956014E9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3D7-4FBE-9459-6C6DAF1DD9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3D7-4FBE-9459-6C6DAF1DD9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3D7-4FBE-9459-6C6DAF1DD9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3D7-4FBE-9459-6C6DAF1DD9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3D7-4FBE-9459-6C6DAF1DD93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43D7-4FBE-9459-6C6DAF1DD93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'12'!$AL$16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'12'!$AM$16:$BJ$16</c:f>
              <c:numCache>
                <c:formatCode>General</c:formatCode>
                <c:ptCount val="24"/>
                <c:pt idx="0">
                  <c:v>451.65000000000003</c:v>
                </c:pt>
                <c:pt idx="1">
                  <c:v>451.65000000000003</c:v>
                </c:pt>
                <c:pt idx="2">
                  <c:v>451.65000000000003</c:v>
                </c:pt>
                <c:pt idx="3">
                  <c:v>455.65000000000003</c:v>
                </c:pt>
                <c:pt idx="4">
                  <c:v>457.65000000000003</c:v>
                </c:pt>
                <c:pt idx="5">
                  <c:v>457.65000000000003</c:v>
                </c:pt>
                <c:pt idx="6">
                  <c:v>457.65000000000003</c:v>
                </c:pt>
                <c:pt idx="7">
                  <c:v>459.65000000000003</c:v>
                </c:pt>
                <c:pt idx="8">
                  <c:v>482.04999999999995</c:v>
                </c:pt>
                <c:pt idx="9">
                  <c:v>482.15</c:v>
                </c:pt>
                <c:pt idx="10">
                  <c:v>482.15</c:v>
                </c:pt>
                <c:pt idx="11">
                  <c:v>482.15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34-4A48-994A-452060AA3328}"/>
            </c:ext>
          </c:extLst>
        </c:ser>
        <c:ser>
          <c:idx val="2"/>
          <c:order val="1"/>
          <c:tx>
            <c:strRef>
              <c:f>'12'!$AL$17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'12'!$AM$17:$BJ$17</c:f>
              <c:numCache>
                <c:formatCode>General</c:formatCode>
                <c:ptCount val="24"/>
                <c:pt idx="0">
                  <c:v>35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90</c:v>
                </c:pt>
                <c:pt idx="7">
                  <c:v>70</c:v>
                </c:pt>
                <c:pt idx="8">
                  <c:v>100</c:v>
                </c:pt>
                <c:pt idx="9">
                  <c:v>75</c:v>
                </c:pt>
                <c:pt idx="10">
                  <c:v>70</c:v>
                </c:pt>
                <c:pt idx="11">
                  <c:v>36.4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34-4A48-994A-452060AA3328}"/>
            </c:ext>
          </c:extLst>
        </c:ser>
        <c:ser>
          <c:idx val="3"/>
          <c:order val="2"/>
          <c:tx>
            <c:strRef>
              <c:f>'12'!$AL$18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'12'!$AM$18:$BJ$18</c:f>
              <c:numCache>
                <c:formatCode>General</c:formatCode>
                <c:ptCount val="24"/>
                <c:pt idx="0">
                  <c:v>193.54</c:v>
                </c:pt>
                <c:pt idx="1">
                  <c:v>197.14</c:v>
                </c:pt>
                <c:pt idx="2">
                  <c:v>108.04</c:v>
                </c:pt>
                <c:pt idx="3">
                  <c:v>94.34</c:v>
                </c:pt>
                <c:pt idx="4">
                  <c:v>80.14</c:v>
                </c:pt>
                <c:pt idx="5">
                  <c:v>85.04</c:v>
                </c:pt>
                <c:pt idx="6">
                  <c:v>158.73999999999998</c:v>
                </c:pt>
                <c:pt idx="7">
                  <c:v>270.24000000000007</c:v>
                </c:pt>
                <c:pt idx="8">
                  <c:v>284.94</c:v>
                </c:pt>
                <c:pt idx="9">
                  <c:v>237.64000000000001</c:v>
                </c:pt>
                <c:pt idx="10">
                  <c:v>238.94</c:v>
                </c:pt>
                <c:pt idx="11">
                  <c:v>222.44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34-4A48-994A-452060AA3328}"/>
            </c:ext>
          </c:extLst>
        </c:ser>
        <c:ser>
          <c:idx val="0"/>
          <c:order val="3"/>
          <c:tx>
            <c:strRef>
              <c:f>'12'!$AL$19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'12'!$AM$19:$BJ$19</c:f>
              <c:numCache>
                <c:formatCode>General</c:formatCode>
                <c:ptCount val="24"/>
                <c:pt idx="0">
                  <c:v>253.9</c:v>
                </c:pt>
                <c:pt idx="1">
                  <c:v>247.5</c:v>
                </c:pt>
                <c:pt idx="2">
                  <c:v>307.39999999999998</c:v>
                </c:pt>
                <c:pt idx="3">
                  <c:v>297.2</c:v>
                </c:pt>
                <c:pt idx="4">
                  <c:v>262.39999999999998</c:v>
                </c:pt>
                <c:pt idx="5">
                  <c:v>284.5</c:v>
                </c:pt>
                <c:pt idx="6">
                  <c:v>225.5</c:v>
                </c:pt>
                <c:pt idx="7">
                  <c:v>228.9</c:v>
                </c:pt>
                <c:pt idx="8">
                  <c:v>238.1</c:v>
                </c:pt>
                <c:pt idx="9">
                  <c:v>211.8</c:v>
                </c:pt>
                <c:pt idx="10">
                  <c:v>167.9</c:v>
                </c:pt>
                <c:pt idx="11">
                  <c:v>165.6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34-4A48-994A-452060AA3328}"/>
            </c:ext>
          </c:extLst>
        </c:ser>
        <c:ser>
          <c:idx val="4"/>
          <c:order val="4"/>
          <c:tx>
            <c:strRef>
              <c:f>'12'!$AL$20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'12'!$AM$20:$BJ$20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34-4A48-994A-452060AA3328}"/>
            </c:ext>
          </c:extLst>
        </c:ser>
        <c:ser>
          <c:idx val="5"/>
          <c:order val="5"/>
          <c:tx>
            <c:strRef>
              <c:f>'12'!$AL$21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'12'!$AM$21:$BJ$21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34-4A48-994A-452060AA3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'12'!$AL$23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'12'!$AM$23:$BJ$23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34-4A48-994A-452060AA3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'12'!$AL$22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'12'!$AM$22:$BJ$22</c:f>
              <c:numCache>
                <c:formatCode>General</c:formatCode>
                <c:ptCount val="24"/>
                <c:pt idx="0">
                  <c:v>934.09</c:v>
                </c:pt>
                <c:pt idx="1">
                  <c:v>916.29</c:v>
                </c:pt>
                <c:pt idx="2">
                  <c:v>887.09</c:v>
                </c:pt>
                <c:pt idx="3">
                  <c:v>867.19</c:v>
                </c:pt>
                <c:pt idx="4">
                  <c:v>820.19</c:v>
                </c:pt>
                <c:pt idx="5">
                  <c:v>847.19</c:v>
                </c:pt>
                <c:pt idx="6">
                  <c:v>931.8900000000001</c:v>
                </c:pt>
                <c:pt idx="7">
                  <c:v>1028.7900000000002</c:v>
                </c:pt>
                <c:pt idx="8">
                  <c:v>1105.0899999999999</c:v>
                </c:pt>
                <c:pt idx="9">
                  <c:v>1006.5899999999999</c:v>
                </c:pt>
                <c:pt idx="10">
                  <c:v>958.9899999999999</c:v>
                </c:pt>
                <c:pt idx="11">
                  <c:v>906.59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1534-4A48-994A-452060AA3328}"/>
            </c:ext>
          </c:extLst>
        </c:ser>
        <c:ser>
          <c:idx val="8"/>
          <c:order val="8"/>
          <c:tx>
            <c:strRef>
              <c:f>'12'!$AL$24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'12'!$AM$24:$BJ$24</c:f>
              <c:numCache>
                <c:formatCode>General</c:formatCode>
                <c:ptCount val="24"/>
                <c:pt idx="0">
                  <c:v>934.09</c:v>
                </c:pt>
                <c:pt idx="1">
                  <c:v>916.29</c:v>
                </c:pt>
                <c:pt idx="2">
                  <c:v>887.09</c:v>
                </c:pt>
                <c:pt idx="3">
                  <c:v>867.19</c:v>
                </c:pt>
                <c:pt idx="4">
                  <c:v>820.19</c:v>
                </c:pt>
                <c:pt idx="5">
                  <c:v>847.19</c:v>
                </c:pt>
                <c:pt idx="6">
                  <c:v>931.8900000000001</c:v>
                </c:pt>
                <c:pt idx="7">
                  <c:v>1028.7900000000002</c:v>
                </c:pt>
                <c:pt idx="8">
                  <c:v>1105.0899999999999</c:v>
                </c:pt>
                <c:pt idx="9">
                  <c:v>1006.5899999999999</c:v>
                </c:pt>
                <c:pt idx="10">
                  <c:v>958.9899999999999</c:v>
                </c:pt>
                <c:pt idx="11">
                  <c:v>906.59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534-4A48-994A-452060AA3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1AC-44FC-8CBF-C83E2832B1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1AC-44FC-8CBF-C83E2832B1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1AC-44FC-8CBF-C83E2832B1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1AC-44FC-8CBF-C83E2832B1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1AC-44FC-8CBF-C83E2832B1B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31AC-44FC-8CBF-C83E2832B1B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'13'!$AL$16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'13'!$AM$16:$BJ$16</c:f>
              <c:numCache>
                <c:formatCode>General</c:formatCode>
                <c:ptCount val="24"/>
                <c:pt idx="0">
                  <c:v>487.45</c:v>
                </c:pt>
                <c:pt idx="1">
                  <c:v>487.45</c:v>
                </c:pt>
                <c:pt idx="2">
                  <c:v>480.85</c:v>
                </c:pt>
                <c:pt idx="3">
                  <c:v>471.15000000000003</c:v>
                </c:pt>
                <c:pt idx="4">
                  <c:v>483.95</c:v>
                </c:pt>
                <c:pt idx="5">
                  <c:v>483.95</c:v>
                </c:pt>
                <c:pt idx="6">
                  <c:v>477.05</c:v>
                </c:pt>
                <c:pt idx="7">
                  <c:v>477.25</c:v>
                </c:pt>
                <c:pt idx="8">
                  <c:v>485.65000000000003</c:v>
                </c:pt>
                <c:pt idx="9">
                  <c:v>468.25000000000006</c:v>
                </c:pt>
                <c:pt idx="10">
                  <c:v>468.25000000000006</c:v>
                </c:pt>
                <c:pt idx="11">
                  <c:v>456.25000000000006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A-44DB-B5D7-AF2D4729D3C7}"/>
            </c:ext>
          </c:extLst>
        </c:ser>
        <c:ser>
          <c:idx val="2"/>
          <c:order val="1"/>
          <c:tx>
            <c:strRef>
              <c:f>'13'!$AL$17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'13'!$AM$17:$BJ$17</c:f>
              <c:numCache>
                <c:formatCode>General</c:formatCode>
                <c:ptCount val="24"/>
                <c:pt idx="0">
                  <c:v>62.4</c:v>
                </c:pt>
                <c:pt idx="1">
                  <c:v>62.4</c:v>
                </c:pt>
                <c:pt idx="2">
                  <c:v>47.4</c:v>
                </c:pt>
                <c:pt idx="3">
                  <c:v>47.4</c:v>
                </c:pt>
                <c:pt idx="4">
                  <c:v>87.4</c:v>
                </c:pt>
                <c:pt idx="5">
                  <c:v>107.4</c:v>
                </c:pt>
                <c:pt idx="6">
                  <c:v>157.4</c:v>
                </c:pt>
                <c:pt idx="7">
                  <c:v>117.4</c:v>
                </c:pt>
                <c:pt idx="8">
                  <c:v>116.4</c:v>
                </c:pt>
                <c:pt idx="9">
                  <c:v>155.30000000000001</c:v>
                </c:pt>
                <c:pt idx="10">
                  <c:v>125.2</c:v>
                </c:pt>
                <c:pt idx="11">
                  <c:v>65.3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AA-44DB-B5D7-AF2D4729D3C7}"/>
            </c:ext>
          </c:extLst>
        </c:ser>
        <c:ser>
          <c:idx val="3"/>
          <c:order val="2"/>
          <c:tx>
            <c:strRef>
              <c:f>'13'!$AL$18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'13'!$AM$18:$BJ$18</c:f>
              <c:numCache>
                <c:formatCode>General</c:formatCode>
                <c:ptCount val="24"/>
                <c:pt idx="0">
                  <c:v>125.24000000000001</c:v>
                </c:pt>
                <c:pt idx="1">
                  <c:v>125.24000000000001</c:v>
                </c:pt>
                <c:pt idx="2">
                  <c:v>108.94</c:v>
                </c:pt>
                <c:pt idx="3">
                  <c:v>110.44</c:v>
                </c:pt>
                <c:pt idx="4">
                  <c:v>109.24000000000001</c:v>
                </c:pt>
                <c:pt idx="5">
                  <c:v>208.53999999999996</c:v>
                </c:pt>
                <c:pt idx="6">
                  <c:v>220.33999999999997</c:v>
                </c:pt>
                <c:pt idx="7">
                  <c:v>251.83999999999997</c:v>
                </c:pt>
                <c:pt idx="8">
                  <c:v>309.74000000000007</c:v>
                </c:pt>
                <c:pt idx="9">
                  <c:v>349.14000000000004</c:v>
                </c:pt>
                <c:pt idx="10">
                  <c:v>325.74000000000007</c:v>
                </c:pt>
                <c:pt idx="11">
                  <c:v>223.73999999999995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AA-44DB-B5D7-AF2D4729D3C7}"/>
            </c:ext>
          </c:extLst>
        </c:ser>
        <c:ser>
          <c:idx val="0"/>
          <c:order val="3"/>
          <c:tx>
            <c:strRef>
              <c:f>'13'!$AL$19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'13'!$AM$19:$BJ$19</c:f>
              <c:numCache>
                <c:formatCode>General</c:formatCode>
                <c:ptCount val="24"/>
                <c:pt idx="0">
                  <c:v>100.10000000000001</c:v>
                </c:pt>
                <c:pt idx="1">
                  <c:v>55.4</c:v>
                </c:pt>
                <c:pt idx="2">
                  <c:v>60.7</c:v>
                </c:pt>
                <c:pt idx="3">
                  <c:v>23.3</c:v>
                </c:pt>
                <c:pt idx="4">
                  <c:v>21</c:v>
                </c:pt>
                <c:pt idx="5">
                  <c:v>21</c:v>
                </c:pt>
                <c:pt idx="6">
                  <c:v>19.7</c:v>
                </c:pt>
                <c:pt idx="7">
                  <c:v>210.10000000000002</c:v>
                </c:pt>
                <c:pt idx="8">
                  <c:v>270.8</c:v>
                </c:pt>
                <c:pt idx="9">
                  <c:v>163.30000000000001</c:v>
                </c:pt>
                <c:pt idx="10">
                  <c:v>187.8</c:v>
                </c:pt>
                <c:pt idx="11">
                  <c:v>306.10000000000002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AA-44DB-B5D7-AF2D4729D3C7}"/>
            </c:ext>
          </c:extLst>
        </c:ser>
        <c:ser>
          <c:idx val="4"/>
          <c:order val="4"/>
          <c:tx>
            <c:strRef>
              <c:f>'13'!$AL$20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'13'!$AM$20:$BJ$20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AA-44DB-B5D7-AF2D4729D3C7}"/>
            </c:ext>
          </c:extLst>
        </c:ser>
        <c:ser>
          <c:idx val="5"/>
          <c:order val="5"/>
          <c:tx>
            <c:strRef>
              <c:f>'13'!$AL$21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'13'!$AM$21:$BJ$21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DAA-44DB-B5D7-AF2D4729D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'13'!$AL$23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'13'!$AM$23:$BJ$23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-31</c:v>
                </c:pt>
                <c:pt idx="5">
                  <c:v>-108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DAA-44DB-B5D7-AF2D4729D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'13'!$AL$22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'13'!$AM$22:$BJ$22</c:f>
              <c:numCache>
                <c:formatCode>General</c:formatCode>
                <c:ptCount val="24"/>
                <c:pt idx="0">
                  <c:v>775.19</c:v>
                </c:pt>
                <c:pt idx="1">
                  <c:v>730.49</c:v>
                </c:pt>
                <c:pt idx="2">
                  <c:v>697.8900000000001</c:v>
                </c:pt>
                <c:pt idx="3">
                  <c:v>652.29</c:v>
                </c:pt>
                <c:pt idx="4">
                  <c:v>701.59</c:v>
                </c:pt>
                <c:pt idx="5">
                  <c:v>820.89</c:v>
                </c:pt>
                <c:pt idx="6">
                  <c:v>874.49</c:v>
                </c:pt>
                <c:pt idx="7">
                  <c:v>1056.5900000000001</c:v>
                </c:pt>
                <c:pt idx="8">
                  <c:v>1182.5900000000001</c:v>
                </c:pt>
                <c:pt idx="9">
                  <c:v>1135.99</c:v>
                </c:pt>
                <c:pt idx="10">
                  <c:v>1106.99</c:v>
                </c:pt>
                <c:pt idx="11">
                  <c:v>1051.3899999999999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3DAA-44DB-B5D7-AF2D4729D3C7}"/>
            </c:ext>
          </c:extLst>
        </c:ser>
        <c:ser>
          <c:idx val="8"/>
          <c:order val="8"/>
          <c:tx>
            <c:strRef>
              <c:f>'13'!$AL$24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'13'!$AM$24:$BJ$24</c:f>
              <c:numCache>
                <c:formatCode>General</c:formatCode>
                <c:ptCount val="24"/>
                <c:pt idx="0">
                  <c:v>775.19</c:v>
                </c:pt>
                <c:pt idx="1">
                  <c:v>730.49</c:v>
                </c:pt>
                <c:pt idx="2">
                  <c:v>697.8900000000001</c:v>
                </c:pt>
                <c:pt idx="3">
                  <c:v>652.29</c:v>
                </c:pt>
                <c:pt idx="4">
                  <c:v>670.59</c:v>
                </c:pt>
                <c:pt idx="5">
                  <c:v>712.89</c:v>
                </c:pt>
                <c:pt idx="6">
                  <c:v>874.49</c:v>
                </c:pt>
                <c:pt idx="7">
                  <c:v>1056.5900000000001</c:v>
                </c:pt>
                <c:pt idx="8">
                  <c:v>1182.5900000000001</c:v>
                </c:pt>
                <c:pt idx="9">
                  <c:v>1135.99</c:v>
                </c:pt>
                <c:pt idx="10">
                  <c:v>1106.99</c:v>
                </c:pt>
                <c:pt idx="11">
                  <c:v>1051.3899999999999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DAA-44DB-B5D7-AF2D4729D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493-4E2E-BD18-2EE0CBA651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493-4E2E-BD18-2EE0CBA651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493-4E2E-BD18-2EE0CBA651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493-4E2E-BD18-2EE0CBA6512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493-4E2E-BD18-2EE0CBA6512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493-4E2E-BD18-2EE0CBA6512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'14'!$AL$16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'14'!$AM$16:$BJ$16</c:f>
              <c:numCache>
                <c:formatCode>General</c:formatCode>
                <c:ptCount val="24"/>
                <c:pt idx="0">
                  <c:v>485.25</c:v>
                </c:pt>
                <c:pt idx="1">
                  <c:v>485.25</c:v>
                </c:pt>
                <c:pt idx="2">
                  <c:v>485.25</c:v>
                </c:pt>
                <c:pt idx="3">
                  <c:v>485.25</c:v>
                </c:pt>
                <c:pt idx="4">
                  <c:v>485.25</c:v>
                </c:pt>
                <c:pt idx="5">
                  <c:v>485.25</c:v>
                </c:pt>
                <c:pt idx="6">
                  <c:v>485.25</c:v>
                </c:pt>
                <c:pt idx="7">
                  <c:v>485.25</c:v>
                </c:pt>
                <c:pt idx="8">
                  <c:v>483.35</c:v>
                </c:pt>
                <c:pt idx="9">
                  <c:v>480.05</c:v>
                </c:pt>
                <c:pt idx="10">
                  <c:v>463.05</c:v>
                </c:pt>
                <c:pt idx="11">
                  <c:v>466.35000000000008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41-44B6-B920-F369609449A0}"/>
            </c:ext>
          </c:extLst>
        </c:ser>
        <c:ser>
          <c:idx val="2"/>
          <c:order val="1"/>
          <c:tx>
            <c:strRef>
              <c:f>'14'!$AL$17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'14'!$AM$17:$BJ$17</c:f>
              <c:numCache>
                <c:formatCode>General</c:formatCode>
                <c:ptCount val="24"/>
                <c:pt idx="0">
                  <c:v>105.3</c:v>
                </c:pt>
                <c:pt idx="1">
                  <c:v>185.3</c:v>
                </c:pt>
                <c:pt idx="2">
                  <c:v>35.299999999999997</c:v>
                </c:pt>
                <c:pt idx="3">
                  <c:v>35.299999999999997</c:v>
                </c:pt>
                <c:pt idx="4">
                  <c:v>35.299999999999997</c:v>
                </c:pt>
                <c:pt idx="5">
                  <c:v>85.5</c:v>
                </c:pt>
                <c:pt idx="6">
                  <c:v>75.3</c:v>
                </c:pt>
                <c:pt idx="7">
                  <c:v>189.3</c:v>
                </c:pt>
                <c:pt idx="8">
                  <c:v>275.60000000000002</c:v>
                </c:pt>
                <c:pt idx="9">
                  <c:v>245.5</c:v>
                </c:pt>
                <c:pt idx="10">
                  <c:v>155.36000000000001</c:v>
                </c:pt>
                <c:pt idx="11">
                  <c:v>75.599999999999994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41-44B6-B920-F369609449A0}"/>
            </c:ext>
          </c:extLst>
        </c:ser>
        <c:ser>
          <c:idx val="3"/>
          <c:order val="2"/>
          <c:tx>
            <c:strRef>
              <c:f>'14'!$AL$18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'14'!$AM$18:$BJ$18</c:f>
              <c:numCache>
                <c:formatCode>General</c:formatCode>
                <c:ptCount val="24"/>
                <c:pt idx="0">
                  <c:v>109.74</c:v>
                </c:pt>
                <c:pt idx="1">
                  <c:v>122.74</c:v>
                </c:pt>
                <c:pt idx="2">
                  <c:v>77.739999999999995</c:v>
                </c:pt>
                <c:pt idx="3">
                  <c:v>88.539999999999992</c:v>
                </c:pt>
                <c:pt idx="4">
                  <c:v>92.74</c:v>
                </c:pt>
                <c:pt idx="5">
                  <c:v>138.63999999999996</c:v>
                </c:pt>
                <c:pt idx="6">
                  <c:v>225.84</c:v>
                </c:pt>
                <c:pt idx="7">
                  <c:v>295.04000000000008</c:v>
                </c:pt>
                <c:pt idx="8">
                  <c:v>289.24</c:v>
                </c:pt>
                <c:pt idx="9">
                  <c:v>291.84000000000003</c:v>
                </c:pt>
                <c:pt idx="10">
                  <c:v>321.14000000000004</c:v>
                </c:pt>
                <c:pt idx="11">
                  <c:v>256.74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41-44B6-B920-F369609449A0}"/>
            </c:ext>
          </c:extLst>
        </c:ser>
        <c:ser>
          <c:idx val="0"/>
          <c:order val="3"/>
          <c:tx>
            <c:strRef>
              <c:f>'14'!$AL$19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'14'!$AM$19:$BJ$19</c:f>
              <c:numCache>
                <c:formatCode>General</c:formatCode>
                <c:ptCount val="24"/>
                <c:pt idx="0">
                  <c:v>334</c:v>
                </c:pt>
                <c:pt idx="1">
                  <c:v>99</c:v>
                </c:pt>
                <c:pt idx="2">
                  <c:v>333</c:v>
                </c:pt>
                <c:pt idx="3">
                  <c:v>374</c:v>
                </c:pt>
                <c:pt idx="4">
                  <c:v>370.29999999999995</c:v>
                </c:pt>
                <c:pt idx="5">
                  <c:v>346.20000000000005</c:v>
                </c:pt>
                <c:pt idx="6">
                  <c:v>400.1</c:v>
                </c:pt>
                <c:pt idx="7">
                  <c:v>270.3</c:v>
                </c:pt>
                <c:pt idx="8">
                  <c:v>257.89999999999998</c:v>
                </c:pt>
                <c:pt idx="9">
                  <c:v>264</c:v>
                </c:pt>
                <c:pt idx="10">
                  <c:v>287</c:v>
                </c:pt>
                <c:pt idx="11">
                  <c:v>465.20000000000005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41-44B6-B920-F369609449A0}"/>
            </c:ext>
          </c:extLst>
        </c:ser>
        <c:ser>
          <c:idx val="4"/>
          <c:order val="4"/>
          <c:tx>
            <c:strRef>
              <c:f>'14'!$AL$20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'14'!$AM$20:$BJ$20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52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41-44B6-B920-F369609449A0}"/>
            </c:ext>
          </c:extLst>
        </c:ser>
        <c:ser>
          <c:idx val="5"/>
          <c:order val="5"/>
          <c:tx>
            <c:strRef>
              <c:f>'14'!$AL$21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'14'!$AM$21:$BJ$21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41-44B6-B920-F36960944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'14'!$AL$23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'14'!$AM$23:$BJ$23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-1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41-44B6-B920-F36960944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'14'!$AL$22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'14'!$AM$22:$BJ$22</c:f>
              <c:numCache>
                <c:formatCode>General</c:formatCode>
                <c:ptCount val="24"/>
                <c:pt idx="0">
                  <c:v>1034.29</c:v>
                </c:pt>
                <c:pt idx="1">
                  <c:v>944.29</c:v>
                </c:pt>
                <c:pt idx="2">
                  <c:v>931.29</c:v>
                </c:pt>
                <c:pt idx="3">
                  <c:v>983.08999999999992</c:v>
                </c:pt>
                <c:pt idx="4">
                  <c:v>983.58999999999992</c:v>
                </c:pt>
                <c:pt idx="5">
                  <c:v>1055.5900000000001</c:v>
                </c:pt>
                <c:pt idx="6">
                  <c:v>1186.49</c:v>
                </c:pt>
                <c:pt idx="7">
                  <c:v>1239.8900000000001</c:v>
                </c:pt>
                <c:pt idx="8">
                  <c:v>1456.0900000000001</c:v>
                </c:pt>
                <c:pt idx="9">
                  <c:v>1431.3899999999999</c:v>
                </c:pt>
                <c:pt idx="10">
                  <c:v>1376.5500000000002</c:v>
                </c:pt>
                <c:pt idx="11">
                  <c:v>1263.8900000000001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0B41-44B6-B920-F369609449A0}"/>
            </c:ext>
          </c:extLst>
        </c:ser>
        <c:ser>
          <c:idx val="8"/>
          <c:order val="8"/>
          <c:tx>
            <c:strRef>
              <c:f>'14'!$AL$24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'14'!$AM$24:$BJ$24</c:f>
              <c:numCache>
                <c:formatCode>General</c:formatCode>
                <c:ptCount val="24"/>
                <c:pt idx="0">
                  <c:v>1034.29</c:v>
                </c:pt>
                <c:pt idx="1">
                  <c:v>943.29</c:v>
                </c:pt>
                <c:pt idx="2">
                  <c:v>931.29</c:v>
                </c:pt>
                <c:pt idx="3">
                  <c:v>983.08999999999992</c:v>
                </c:pt>
                <c:pt idx="4">
                  <c:v>983.58999999999992</c:v>
                </c:pt>
                <c:pt idx="5">
                  <c:v>1055.5900000000001</c:v>
                </c:pt>
                <c:pt idx="6">
                  <c:v>1186.49</c:v>
                </c:pt>
                <c:pt idx="7">
                  <c:v>1239.8900000000001</c:v>
                </c:pt>
                <c:pt idx="8">
                  <c:v>1456.0900000000001</c:v>
                </c:pt>
                <c:pt idx="9">
                  <c:v>1431.3899999999999</c:v>
                </c:pt>
                <c:pt idx="10">
                  <c:v>1376.5500000000002</c:v>
                </c:pt>
                <c:pt idx="11">
                  <c:v>1263.8900000000001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B41-44B6-B920-F36960944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EA1-49BC-B319-269900B517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EA1-49BC-B319-269900B517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EA1-49BC-B319-269900B517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EA1-49BC-B319-269900B517A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EA1-49BC-B319-269900B517A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EA1-49BC-B319-269900B517A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'15'!$AL$16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'15'!$AM$16:$BJ$16</c:f>
              <c:numCache>
                <c:formatCode>General</c:formatCode>
                <c:ptCount val="24"/>
                <c:pt idx="0">
                  <c:v>483.55</c:v>
                </c:pt>
                <c:pt idx="1">
                  <c:v>483.55</c:v>
                </c:pt>
                <c:pt idx="2">
                  <c:v>483.55</c:v>
                </c:pt>
                <c:pt idx="3">
                  <c:v>483.55</c:v>
                </c:pt>
                <c:pt idx="4">
                  <c:v>483.55</c:v>
                </c:pt>
                <c:pt idx="5">
                  <c:v>483.55</c:v>
                </c:pt>
                <c:pt idx="6">
                  <c:v>484.95</c:v>
                </c:pt>
                <c:pt idx="7">
                  <c:v>490.35</c:v>
                </c:pt>
                <c:pt idx="8">
                  <c:v>478.55</c:v>
                </c:pt>
                <c:pt idx="9">
                  <c:v>478.65</c:v>
                </c:pt>
                <c:pt idx="10">
                  <c:v>478.65</c:v>
                </c:pt>
                <c:pt idx="11">
                  <c:v>478.65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C-4FA9-8886-B74C2DC629E2}"/>
            </c:ext>
          </c:extLst>
        </c:ser>
        <c:ser>
          <c:idx val="2"/>
          <c:order val="1"/>
          <c:tx>
            <c:strRef>
              <c:f>'15'!$AL$17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'15'!$AM$17:$BJ$17</c:f>
              <c:numCache>
                <c:formatCode>General</c:formatCode>
                <c:ptCount val="24"/>
                <c:pt idx="0">
                  <c:v>50.6</c:v>
                </c:pt>
                <c:pt idx="1">
                  <c:v>77.5</c:v>
                </c:pt>
                <c:pt idx="2">
                  <c:v>37.299999999999997</c:v>
                </c:pt>
                <c:pt idx="3">
                  <c:v>37.299999999999997</c:v>
                </c:pt>
                <c:pt idx="4">
                  <c:v>37.299999999999997</c:v>
                </c:pt>
                <c:pt idx="5">
                  <c:v>37.299999999999997</c:v>
                </c:pt>
                <c:pt idx="6">
                  <c:v>87.3</c:v>
                </c:pt>
                <c:pt idx="7">
                  <c:v>107.3</c:v>
                </c:pt>
                <c:pt idx="8">
                  <c:v>186.4</c:v>
                </c:pt>
                <c:pt idx="9">
                  <c:v>125.6</c:v>
                </c:pt>
                <c:pt idx="10">
                  <c:v>50.8</c:v>
                </c:pt>
                <c:pt idx="11">
                  <c:v>35.700000000000003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C-4FA9-8886-B74C2DC629E2}"/>
            </c:ext>
          </c:extLst>
        </c:ser>
        <c:ser>
          <c:idx val="3"/>
          <c:order val="2"/>
          <c:tx>
            <c:strRef>
              <c:f>'15'!$AL$18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'15'!$AM$18:$BJ$18</c:f>
              <c:numCache>
                <c:formatCode>General</c:formatCode>
                <c:ptCount val="24"/>
                <c:pt idx="0">
                  <c:v>165.44</c:v>
                </c:pt>
                <c:pt idx="1">
                  <c:v>142.63999999999999</c:v>
                </c:pt>
                <c:pt idx="2">
                  <c:v>79.64</c:v>
                </c:pt>
                <c:pt idx="3">
                  <c:v>79.64</c:v>
                </c:pt>
                <c:pt idx="4">
                  <c:v>79.64</c:v>
                </c:pt>
                <c:pt idx="5">
                  <c:v>89.64</c:v>
                </c:pt>
                <c:pt idx="6">
                  <c:v>157.84</c:v>
                </c:pt>
                <c:pt idx="7">
                  <c:v>238.34000000000003</c:v>
                </c:pt>
                <c:pt idx="8">
                  <c:v>252.33999999999997</c:v>
                </c:pt>
                <c:pt idx="9">
                  <c:v>254.04</c:v>
                </c:pt>
                <c:pt idx="10">
                  <c:v>219.44000000000003</c:v>
                </c:pt>
                <c:pt idx="11">
                  <c:v>235.24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8C-4FA9-8886-B74C2DC629E2}"/>
            </c:ext>
          </c:extLst>
        </c:ser>
        <c:ser>
          <c:idx val="0"/>
          <c:order val="3"/>
          <c:tx>
            <c:strRef>
              <c:f>'15'!$AL$19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'15'!$AM$19:$BJ$19</c:f>
              <c:numCache>
                <c:formatCode>General</c:formatCode>
                <c:ptCount val="24"/>
                <c:pt idx="0">
                  <c:v>433.8</c:v>
                </c:pt>
                <c:pt idx="1">
                  <c:v>475.9</c:v>
                </c:pt>
                <c:pt idx="2">
                  <c:v>524.9</c:v>
                </c:pt>
                <c:pt idx="3">
                  <c:v>553.79999999999995</c:v>
                </c:pt>
                <c:pt idx="4">
                  <c:v>544.70000000000005</c:v>
                </c:pt>
                <c:pt idx="5">
                  <c:v>564.1</c:v>
                </c:pt>
                <c:pt idx="6">
                  <c:v>531.5</c:v>
                </c:pt>
                <c:pt idx="7">
                  <c:v>416.8</c:v>
                </c:pt>
                <c:pt idx="8">
                  <c:v>378.7</c:v>
                </c:pt>
                <c:pt idx="9">
                  <c:v>422.40000000000003</c:v>
                </c:pt>
                <c:pt idx="10">
                  <c:v>569.4</c:v>
                </c:pt>
                <c:pt idx="11">
                  <c:v>616.29999999999995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8C-4FA9-8886-B74C2DC629E2}"/>
            </c:ext>
          </c:extLst>
        </c:ser>
        <c:ser>
          <c:idx val="4"/>
          <c:order val="4"/>
          <c:tx>
            <c:strRef>
              <c:f>'15'!$AL$20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'15'!$AM$20:$BJ$20</c:f>
              <c:numCache>
                <c:formatCode>General</c:formatCode>
                <c:ptCount val="24"/>
                <c:pt idx="0">
                  <c:v>78.100000000000009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8C-4FA9-8886-B74C2DC629E2}"/>
            </c:ext>
          </c:extLst>
        </c:ser>
        <c:ser>
          <c:idx val="5"/>
          <c:order val="5"/>
          <c:tx>
            <c:strRef>
              <c:f>'15'!$AL$21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'15'!$AM$21:$BJ$21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150</c:v>
                </c:pt>
                <c:pt idx="8">
                  <c:v>140</c:v>
                </c:pt>
                <c:pt idx="9">
                  <c:v>100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8C-4FA9-8886-B74C2DC62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'15'!$AL$23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'15'!$AM$23:$BJ$23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8C-4FA9-8886-B74C2DC62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'15'!$AL$22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'15'!$AM$22:$BJ$22</c:f>
              <c:numCache>
                <c:formatCode>General</c:formatCode>
                <c:ptCount val="24"/>
                <c:pt idx="0">
                  <c:v>1211.4899999999998</c:v>
                </c:pt>
                <c:pt idx="1">
                  <c:v>1179.5899999999999</c:v>
                </c:pt>
                <c:pt idx="2">
                  <c:v>1125.3899999999999</c:v>
                </c:pt>
                <c:pt idx="3">
                  <c:v>1154.29</c:v>
                </c:pt>
                <c:pt idx="4">
                  <c:v>1145.19</c:v>
                </c:pt>
                <c:pt idx="5">
                  <c:v>1174.5900000000001</c:v>
                </c:pt>
                <c:pt idx="6">
                  <c:v>1261.5900000000001</c:v>
                </c:pt>
                <c:pt idx="7">
                  <c:v>1402.79</c:v>
                </c:pt>
                <c:pt idx="8">
                  <c:v>1435.99</c:v>
                </c:pt>
                <c:pt idx="9">
                  <c:v>1380.69</c:v>
                </c:pt>
                <c:pt idx="10">
                  <c:v>1318.29</c:v>
                </c:pt>
                <c:pt idx="11">
                  <c:v>1365.8899999999999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358C-4FA9-8886-B74C2DC629E2}"/>
            </c:ext>
          </c:extLst>
        </c:ser>
        <c:ser>
          <c:idx val="8"/>
          <c:order val="8"/>
          <c:tx>
            <c:strRef>
              <c:f>'15'!$AL$24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'15'!$AM$24:$BJ$24</c:f>
              <c:numCache>
                <c:formatCode>General</c:formatCode>
                <c:ptCount val="24"/>
                <c:pt idx="0">
                  <c:v>1211.4899999999998</c:v>
                </c:pt>
                <c:pt idx="1">
                  <c:v>1179.5899999999999</c:v>
                </c:pt>
                <c:pt idx="2">
                  <c:v>1125.3899999999999</c:v>
                </c:pt>
                <c:pt idx="3">
                  <c:v>1154.29</c:v>
                </c:pt>
                <c:pt idx="4">
                  <c:v>1145.19</c:v>
                </c:pt>
                <c:pt idx="5">
                  <c:v>1174.5900000000001</c:v>
                </c:pt>
                <c:pt idx="6">
                  <c:v>1261.5900000000001</c:v>
                </c:pt>
                <c:pt idx="7">
                  <c:v>1402.79</c:v>
                </c:pt>
                <c:pt idx="8">
                  <c:v>1435.99</c:v>
                </c:pt>
                <c:pt idx="9">
                  <c:v>1380.69</c:v>
                </c:pt>
                <c:pt idx="10">
                  <c:v>1318.29</c:v>
                </c:pt>
                <c:pt idx="11">
                  <c:v>1365.8899999999999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58C-4FA9-8886-B74C2DC62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C49-4421-A498-3CB58D361F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C49-4421-A498-3CB58D361F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C49-4421-A498-3CB58D361F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C49-4421-A498-3CB58D361F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C49-4421-A498-3CB58D361F9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2C49-4421-A498-3CB58D361F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'16'!$AL$16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'16'!$AM$16:$BJ$16</c:f>
              <c:numCache>
                <c:formatCode>General</c:formatCode>
                <c:ptCount val="24"/>
                <c:pt idx="0">
                  <c:v>475.84999999999997</c:v>
                </c:pt>
                <c:pt idx="1">
                  <c:v>475.84999999999997</c:v>
                </c:pt>
                <c:pt idx="2">
                  <c:v>475.84999999999997</c:v>
                </c:pt>
                <c:pt idx="3">
                  <c:v>475.84999999999997</c:v>
                </c:pt>
                <c:pt idx="4">
                  <c:v>477.54999999999995</c:v>
                </c:pt>
                <c:pt idx="5">
                  <c:v>478.34999999999997</c:v>
                </c:pt>
                <c:pt idx="6">
                  <c:v>481.15</c:v>
                </c:pt>
                <c:pt idx="7">
                  <c:v>482.75</c:v>
                </c:pt>
                <c:pt idx="8">
                  <c:v>492.05</c:v>
                </c:pt>
                <c:pt idx="9">
                  <c:v>496.05</c:v>
                </c:pt>
                <c:pt idx="10">
                  <c:v>490.25</c:v>
                </c:pt>
                <c:pt idx="11">
                  <c:v>492.25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5F-4E29-BA01-AFE7D53B5888}"/>
            </c:ext>
          </c:extLst>
        </c:ser>
        <c:ser>
          <c:idx val="2"/>
          <c:order val="1"/>
          <c:tx>
            <c:strRef>
              <c:f>'16'!$AL$17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'16'!$AM$17:$BJ$17</c:f>
              <c:numCache>
                <c:formatCode>General</c:formatCode>
                <c:ptCount val="24"/>
                <c:pt idx="0">
                  <c:v>37.4</c:v>
                </c:pt>
                <c:pt idx="1">
                  <c:v>38.700000000000003</c:v>
                </c:pt>
                <c:pt idx="2">
                  <c:v>38.700000000000003</c:v>
                </c:pt>
                <c:pt idx="3">
                  <c:v>38.700000000000003</c:v>
                </c:pt>
                <c:pt idx="4">
                  <c:v>38.700000000000003</c:v>
                </c:pt>
                <c:pt idx="5">
                  <c:v>38.700000000000003</c:v>
                </c:pt>
                <c:pt idx="6">
                  <c:v>68.8</c:v>
                </c:pt>
                <c:pt idx="7">
                  <c:v>253.8</c:v>
                </c:pt>
                <c:pt idx="8">
                  <c:v>110.1</c:v>
                </c:pt>
                <c:pt idx="9">
                  <c:v>69.3</c:v>
                </c:pt>
                <c:pt idx="10">
                  <c:v>65.2</c:v>
                </c:pt>
                <c:pt idx="11">
                  <c:v>35.299999999999997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5F-4E29-BA01-AFE7D53B5888}"/>
            </c:ext>
          </c:extLst>
        </c:ser>
        <c:ser>
          <c:idx val="3"/>
          <c:order val="2"/>
          <c:tx>
            <c:strRef>
              <c:f>'16'!$AL$18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'16'!$AM$18:$BJ$18</c:f>
              <c:numCache>
                <c:formatCode>General</c:formatCode>
                <c:ptCount val="24"/>
                <c:pt idx="0">
                  <c:v>168.04</c:v>
                </c:pt>
                <c:pt idx="1">
                  <c:v>99.04</c:v>
                </c:pt>
                <c:pt idx="2">
                  <c:v>77.84</c:v>
                </c:pt>
                <c:pt idx="3">
                  <c:v>80.14</c:v>
                </c:pt>
                <c:pt idx="4">
                  <c:v>87.84</c:v>
                </c:pt>
                <c:pt idx="5">
                  <c:v>93.14</c:v>
                </c:pt>
                <c:pt idx="6">
                  <c:v>145.13999999999999</c:v>
                </c:pt>
                <c:pt idx="7">
                  <c:v>246.33999999999997</c:v>
                </c:pt>
                <c:pt idx="8">
                  <c:v>230.73999999999995</c:v>
                </c:pt>
                <c:pt idx="9">
                  <c:v>238.73999999999995</c:v>
                </c:pt>
                <c:pt idx="10">
                  <c:v>258.33999999999997</c:v>
                </c:pt>
                <c:pt idx="11">
                  <c:v>250.44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5F-4E29-BA01-AFE7D53B5888}"/>
            </c:ext>
          </c:extLst>
        </c:ser>
        <c:ser>
          <c:idx val="0"/>
          <c:order val="3"/>
          <c:tx>
            <c:strRef>
              <c:f>'16'!$AL$19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'16'!$AM$19:$BJ$19</c:f>
              <c:numCache>
                <c:formatCode>General</c:formatCode>
                <c:ptCount val="24"/>
                <c:pt idx="0">
                  <c:v>476.2</c:v>
                </c:pt>
                <c:pt idx="1">
                  <c:v>504.59999999999997</c:v>
                </c:pt>
                <c:pt idx="2">
                  <c:v>496.3</c:v>
                </c:pt>
                <c:pt idx="3">
                  <c:v>517</c:v>
                </c:pt>
                <c:pt idx="4">
                  <c:v>518.5</c:v>
                </c:pt>
                <c:pt idx="5">
                  <c:v>549.9</c:v>
                </c:pt>
                <c:pt idx="6">
                  <c:v>507.8</c:v>
                </c:pt>
                <c:pt idx="7">
                  <c:v>384.90000000000003</c:v>
                </c:pt>
                <c:pt idx="8">
                  <c:v>572.5</c:v>
                </c:pt>
                <c:pt idx="9">
                  <c:v>536.40000000000009</c:v>
                </c:pt>
                <c:pt idx="10">
                  <c:v>550.20000000000005</c:v>
                </c:pt>
                <c:pt idx="11">
                  <c:v>567.79999999999995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5F-4E29-BA01-AFE7D53B5888}"/>
            </c:ext>
          </c:extLst>
        </c:ser>
        <c:ser>
          <c:idx val="4"/>
          <c:order val="4"/>
          <c:tx>
            <c:strRef>
              <c:f>'16'!$AL$20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'16'!$AM$20:$BJ$20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5F-4E29-BA01-AFE7D53B5888}"/>
            </c:ext>
          </c:extLst>
        </c:ser>
        <c:ser>
          <c:idx val="5"/>
          <c:order val="5"/>
          <c:tx>
            <c:strRef>
              <c:f>'16'!$AL$21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'16'!$AM$21:$BJ$21</c:f>
              <c:numCache>
                <c:formatCode>General</c:formatCode>
                <c:ptCount val="24"/>
                <c:pt idx="0">
                  <c:v>60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5F-4E29-BA01-AFE7D53B5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'16'!$AL$23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'16'!$AM$23:$BJ$23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5F-4E29-BA01-AFE7D53B5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'16'!$AL$22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'16'!$AM$22:$BJ$22</c:f>
              <c:numCache>
                <c:formatCode>General</c:formatCode>
                <c:ptCount val="24"/>
                <c:pt idx="0">
                  <c:v>1217.49</c:v>
                </c:pt>
                <c:pt idx="1">
                  <c:v>1118.1899999999998</c:v>
                </c:pt>
                <c:pt idx="2">
                  <c:v>1088.69</c:v>
                </c:pt>
                <c:pt idx="3">
                  <c:v>1111.69</c:v>
                </c:pt>
                <c:pt idx="4">
                  <c:v>1122.5900000000001</c:v>
                </c:pt>
                <c:pt idx="5">
                  <c:v>1160.0899999999999</c:v>
                </c:pt>
                <c:pt idx="6">
                  <c:v>1202.8899999999999</c:v>
                </c:pt>
                <c:pt idx="7">
                  <c:v>1367.79</c:v>
                </c:pt>
                <c:pt idx="8">
                  <c:v>1405.3899999999999</c:v>
                </c:pt>
                <c:pt idx="9">
                  <c:v>1340.49</c:v>
                </c:pt>
                <c:pt idx="10">
                  <c:v>1363.99</c:v>
                </c:pt>
                <c:pt idx="11">
                  <c:v>1345.79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45F-4E29-BA01-AFE7D53B5888}"/>
            </c:ext>
          </c:extLst>
        </c:ser>
        <c:ser>
          <c:idx val="8"/>
          <c:order val="8"/>
          <c:tx>
            <c:strRef>
              <c:f>'16'!$AL$24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'16'!$AM$24:$BJ$24</c:f>
              <c:numCache>
                <c:formatCode>General</c:formatCode>
                <c:ptCount val="24"/>
                <c:pt idx="0">
                  <c:v>1217.49</c:v>
                </c:pt>
                <c:pt idx="1">
                  <c:v>1118.1899999999998</c:v>
                </c:pt>
                <c:pt idx="2">
                  <c:v>1088.69</c:v>
                </c:pt>
                <c:pt idx="3">
                  <c:v>1111.69</c:v>
                </c:pt>
                <c:pt idx="4">
                  <c:v>1122.5900000000001</c:v>
                </c:pt>
                <c:pt idx="5">
                  <c:v>1160.0899999999999</c:v>
                </c:pt>
                <c:pt idx="6">
                  <c:v>1202.8899999999999</c:v>
                </c:pt>
                <c:pt idx="7">
                  <c:v>1367.79</c:v>
                </c:pt>
                <c:pt idx="8">
                  <c:v>1405.3899999999999</c:v>
                </c:pt>
                <c:pt idx="9">
                  <c:v>1340.49</c:v>
                </c:pt>
                <c:pt idx="10">
                  <c:v>1363.99</c:v>
                </c:pt>
                <c:pt idx="11">
                  <c:v>1345.79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45F-4E29-BA01-AFE7D53B5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166-42FF-A363-6FE5F99802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166-42FF-A363-6FE5F99802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166-42FF-A363-6FE5F99802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166-42FF-A363-6FE5F998029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166-42FF-A363-6FE5F998029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166-42FF-A363-6FE5F998029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'17'!$AL$16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'17'!$AM$16:$BJ$16</c:f>
              <c:numCache>
                <c:formatCode>General</c:formatCode>
                <c:ptCount val="24"/>
                <c:pt idx="0">
                  <c:v>480.84999999999997</c:v>
                </c:pt>
                <c:pt idx="1">
                  <c:v>480.84999999999997</c:v>
                </c:pt>
                <c:pt idx="2">
                  <c:v>480.84999999999997</c:v>
                </c:pt>
                <c:pt idx="3">
                  <c:v>480.84999999999997</c:v>
                </c:pt>
                <c:pt idx="4">
                  <c:v>480.84999999999997</c:v>
                </c:pt>
                <c:pt idx="5">
                  <c:v>480.84999999999997</c:v>
                </c:pt>
                <c:pt idx="6">
                  <c:v>480.84999999999997</c:v>
                </c:pt>
                <c:pt idx="7">
                  <c:v>480.84999999999997</c:v>
                </c:pt>
                <c:pt idx="8">
                  <c:v>480.84999999999997</c:v>
                </c:pt>
                <c:pt idx="9">
                  <c:v>480.84999999999997</c:v>
                </c:pt>
                <c:pt idx="10">
                  <c:v>477.84999999999997</c:v>
                </c:pt>
                <c:pt idx="11">
                  <c:v>459.35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7-40A2-83EE-EE007E9B2461}"/>
            </c:ext>
          </c:extLst>
        </c:ser>
        <c:ser>
          <c:idx val="2"/>
          <c:order val="1"/>
          <c:tx>
            <c:strRef>
              <c:f>'17'!$AL$17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'17'!$AM$17:$BJ$17</c:f>
              <c:numCache>
                <c:formatCode>General</c:formatCode>
                <c:ptCount val="24"/>
                <c:pt idx="0">
                  <c:v>167.4</c:v>
                </c:pt>
                <c:pt idx="1">
                  <c:v>164</c:v>
                </c:pt>
                <c:pt idx="2">
                  <c:v>183.4</c:v>
                </c:pt>
                <c:pt idx="3">
                  <c:v>79.8</c:v>
                </c:pt>
                <c:pt idx="4">
                  <c:v>39.799999999999997</c:v>
                </c:pt>
                <c:pt idx="5">
                  <c:v>44.5</c:v>
                </c:pt>
                <c:pt idx="6">
                  <c:v>39.900000000000006</c:v>
                </c:pt>
                <c:pt idx="7">
                  <c:v>0</c:v>
                </c:pt>
                <c:pt idx="8">
                  <c:v>122</c:v>
                </c:pt>
                <c:pt idx="9">
                  <c:v>69.2</c:v>
                </c:pt>
                <c:pt idx="10">
                  <c:v>67.8</c:v>
                </c:pt>
                <c:pt idx="11">
                  <c:v>104.6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27-40A2-83EE-EE007E9B2461}"/>
            </c:ext>
          </c:extLst>
        </c:ser>
        <c:ser>
          <c:idx val="3"/>
          <c:order val="2"/>
          <c:tx>
            <c:strRef>
              <c:f>'17'!$AL$18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'17'!$AM$18:$BJ$18</c:f>
              <c:numCache>
                <c:formatCode>General</c:formatCode>
                <c:ptCount val="24"/>
                <c:pt idx="0">
                  <c:v>232.63999999999996</c:v>
                </c:pt>
                <c:pt idx="1">
                  <c:v>106.33999999999999</c:v>
                </c:pt>
                <c:pt idx="2">
                  <c:v>110.54</c:v>
                </c:pt>
                <c:pt idx="3">
                  <c:v>174.04</c:v>
                </c:pt>
                <c:pt idx="4">
                  <c:v>174.33999999999997</c:v>
                </c:pt>
                <c:pt idx="5">
                  <c:v>213.33999999999997</c:v>
                </c:pt>
                <c:pt idx="6">
                  <c:v>191.33999999999997</c:v>
                </c:pt>
                <c:pt idx="7">
                  <c:v>37.14</c:v>
                </c:pt>
                <c:pt idx="8">
                  <c:v>270.74</c:v>
                </c:pt>
                <c:pt idx="9">
                  <c:v>231.23999999999998</c:v>
                </c:pt>
                <c:pt idx="10">
                  <c:v>251.83999999999995</c:v>
                </c:pt>
                <c:pt idx="11">
                  <c:v>265.84000000000003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27-40A2-83EE-EE007E9B2461}"/>
            </c:ext>
          </c:extLst>
        </c:ser>
        <c:ser>
          <c:idx val="0"/>
          <c:order val="3"/>
          <c:tx>
            <c:strRef>
              <c:f>'17'!$AL$19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'17'!$AM$19:$BJ$19</c:f>
              <c:numCache>
                <c:formatCode>General</c:formatCode>
                <c:ptCount val="24"/>
                <c:pt idx="0">
                  <c:v>352</c:v>
                </c:pt>
                <c:pt idx="1">
                  <c:v>441.8</c:v>
                </c:pt>
                <c:pt idx="2">
                  <c:v>370.90000000000003</c:v>
                </c:pt>
                <c:pt idx="3">
                  <c:v>440</c:v>
                </c:pt>
                <c:pt idx="4">
                  <c:v>506.2</c:v>
                </c:pt>
                <c:pt idx="5">
                  <c:v>488.2</c:v>
                </c:pt>
                <c:pt idx="6">
                  <c:v>520.6</c:v>
                </c:pt>
                <c:pt idx="7">
                  <c:v>401.3</c:v>
                </c:pt>
                <c:pt idx="8">
                  <c:v>410.2</c:v>
                </c:pt>
                <c:pt idx="9">
                  <c:v>388.00000000000006</c:v>
                </c:pt>
                <c:pt idx="10">
                  <c:v>450.3</c:v>
                </c:pt>
                <c:pt idx="11">
                  <c:v>395.50000000000006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27-40A2-83EE-EE007E9B2461}"/>
            </c:ext>
          </c:extLst>
        </c:ser>
        <c:ser>
          <c:idx val="4"/>
          <c:order val="4"/>
          <c:tx>
            <c:strRef>
              <c:f>'17'!$AL$20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'17'!$AM$20:$BJ$20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27-40A2-83EE-EE007E9B2461}"/>
            </c:ext>
          </c:extLst>
        </c:ser>
        <c:ser>
          <c:idx val="5"/>
          <c:order val="5"/>
          <c:tx>
            <c:strRef>
              <c:f>'17'!$AL$21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'17'!$AM$21:$BJ$21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100</c:v>
                </c:pt>
                <c:pt idx="8">
                  <c:v>100</c:v>
                </c:pt>
                <c:pt idx="9">
                  <c:v>200</c:v>
                </c:pt>
                <c:pt idx="10">
                  <c:v>0</c:v>
                </c:pt>
                <c:pt idx="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27-40A2-83EE-EE007E9B2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'17'!$AL$23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'17'!$AM$23:$BJ$23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27-40A2-83EE-EE007E9B2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'17'!$AL$22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'17'!$AM$22:$BJ$22</c:f>
              <c:numCache>
                <c:formatCode>General</c:formatCode>
                <c:ptCount val="24"/>
                <c:pt idx="0">
                  <c:v>1232.8899999999999</c:v>
                </c:pt>
                <c:pt idx="1">
                  <c:v>1192.99</c:v>
                </c:pt>
                <c:pt idx="2">
                  <c:v>1145.69</c:v>
                </c:pt>
                <c:pt idx="3">
                  <c:v>1174.69</c:v>
                </c:pt>
                <c:pt idx="4">
                  <c:v>1201.19</c:v>
                </c:pt>
                <c:pt idx="5">
                  <c:v>1226.8899999999999</c:v>
                </c:pt>
                <c:pt idx="6">
                  <c:v>1232.69</c:v>
                </c:pt>
                <c:pt idx="7">
                  <c:v>1019.29</c:v>
                </c:pt>
                <c:pt idx="8">
                  <c:v>1383.79</c:v>
                </c:pt>
                <c:pt idx="9">
                  <c:v>1369.29</c:v>
                </c:pt>
                <c:pt idx="10">
                  <c:v>1247.79</c:v>
                </c:pt>
                <c:pt idx="11">
                  <c:v>1325.2900000000002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B927-40A2-83EE-EE007E9B2461}"/>
            </c:ext>
          </c:extLst>
        </c:ser>
        <c:ser>
          <c:idx val="8"/>
          <c:order val="8"/>
          <c:tx>
            <c:strRef>
              <c:f>'17'!$AL$24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'17'!$AM$24:$BJ$24</c:f>
              <c:numCache>
                <c:formatCode>General</c:formatCode>
                <c:ptCount val="24"/>
                <c:pt idx="0">
                  <c:v>1232.8899999999999</c:v>
                </c:pt>
                <c:pt idx="1">
                  <c:v>1192.99</c:v>
                </c:pt>
                <c:pt idx="2">
                  <c:v>1145.69</c:v>
                </c:pt>
                <c:pt idx="3">
                  <c:v>1174.69</c:v>
                </c:pt>
                <c:pt idx="4">
                  <c:v>1201.19</c:v>
                </c:pt>
                <c:pt idx="5">
                  <c:v>1226.8899999999999</c:v>
                </c:pt>
                <c:pt idx="6">
                  <c:v>1232.69</c:v>
                </c:pt>
                <c:pt idx="7">
                  <c:v>1019.29</c:v>
                </c:pt>
                <c:pt idx="8">
                  <c:v>1383.79</c:v>
                </c:pt>
                <c:pt idx="9">
                  <c:v>1369.29</c:v>
                </c:pt>
                <c:pt idx="10">
                  <c:v>1247.79</c:v>
                </c:pt>
                <c:pt idx="11">
                  <c:v>1325.2900000000002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927-40A2-83EE-EE007E9B2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1D4-494B-BF63-F9761B6424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1D4-494B-BF63-F9761B6424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1D4-494B-BF63-F9761B6424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1D4-494B-BF63-F9761B6424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1D4-494B-BF63-F9761B64242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71D4-494B-BF63-F9761B64242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'18'!$AL$16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'18'!$AM$16:$BJ$16</c:f>
              <c:numCache>
                <c:formatCode>General</c:formatCode>
                <c:ptCount val="24"/>
                <c:pt idx="0">
                  <c:v>580.15</c:v>
                </c:pt>
                <c:pt idx="1">
                  <c:v>566.64999999999986</c:v>
                </c:pt>
                <c:pt idx="2">
                  <c:v>565.84999999999991</c:v>
                </c:pt>
                <c:pt idx="3">
                  <c:v>552.54999999999995</c:v>
                </c:pt>
                <c:pt idx="4">
                  <c:v>565.34999999999991</c:v>
                </c:pt>
                <c:pt idx="5">
                  <c:v>566.54999999999995</c:v>
                </c:pt>
                <c:pt idx="6">
                  <c:v>566.54999999999995</c:v>
                </c:pt>
                <c:pt idx="7">
                  <c:v>576.04999999999995</c:v>
                </c:pt>
                <c:pt idx="8">
                  <c:v>528.84999999999991</c:v>
                </c:pt>
                <c:pt idx="9">
                  <c:v>537.84999999999991</c:v>
                </c:pt>
                <c:pt idx="10">
                  <c:v>531.75</c:v>
                </c:pt>
                <c:pt idx="11">
                  <c:v>527.65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77-45D1-B53A-EE28075EA7DE}"/>
            </c:ext>
          </c:extLst>
        </c:ser>
        <c:ser>
          <c:idx val="2"/>
          <c:order val="1"/>
          <c:tx>
            <c:strRef>
              <c:f>'18'!$AL$17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'18'!$AM$17:$BJ$17</c:f>
              <c:numCache>
                <c:formatCode>General</c:formatCode>
                <c:ptCount val="24"/>
                <c:pt idx="0">
                  <c:v>97.2</c:v>
                </c:pt>
                <c:pt idx="1">
                  <c:v>96.199999999999989</c:v>
                </c:pt>
                <c:pt idx="2">
                  <c:v>63.5</c:v>
                </c:pt>
                <c:pt idx="3">
                  <c:v>74.400000000000006</c:v>
                </c:pt>
                <c:pt idx="4">
                  <c:v>74.5</c:v>
                </c:pt>
                <c:pt idx="5">
                  <c:v>74.5</c:v>
                </c:pt>
                <c:pt idx="6">
                  <c:v>124.5</c:v>
                </c:pt>
                <c:pt idx="7">
                  <c:v>55.1</c:v>
                </c:pt>
                <c:pt idx="8">
                  <c:v>85.4</c:v>
                </c:pt>
                <c:pt idx="9">
                  <c:v>162.19999999999999</c:v>
                </c:pt>
                <c:pt idx="10">
                  <c:v>250.2</c:v>
                </c:pt>
                <c:pt idx="11">
                  <c:v>82.2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77-45D1-B53A-EE28075EA7DE}"/>
            </c:ext>
          </c:extLst>
        </c:ser>
        <c:ser>
          <c:idx val="3"/>
          <c:order val="2"/>
          <c:tx>
            <c:strRef>
              <c:f>'18'!$AL$18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'18'!$AM$18:$BJ$18</c:f>
              <c:numCache>
                <c:formatCode>General</c:formatCode>
                <c:ptCount val="24"/>
                <c:pt idx="0">
                  <c:v>298.83999999999997</c:v>
                </c:pt>
                <c:pt idx="1">
                  <c:v>243.14000000000001</c:v>
                </c:pt>
                <c:pt idx="2">
                  <c:v>286.23999999999995</c:v>
                </c:pt>
                <c:pt idx="3">
                  <c:v>286.83999999999997</c:v>
                </c:pt>
                <c:pt idx="4">
                  <c:v>285.33999999999997</c:v>
                </c:pt>
                <c:pt idx="5">
                  <c:v>284.83999999999997</c:v>
                </c:pt>
                <c:pt idx="6">
                  <c:v>308.53999999999996</c:v>
                </c:pt>
                <c:pt idx="7">
                  <c:v>317.64</c:v>
                </c:pt>
                <c:pt idx="8">
                  <c:v>315.83999999999997</c:v>
                </c:pt>
                <c:pt idx="9">
                  <c:v>329.84</c:v>
                </c:pt>
                <c:pt idx="10">
                  <c:v>316.83999999999997</c:v>
                </c:pt>
                <c:pt idx="11">
                  <c:v>285.94000000000005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77-45D1-B53A-EE28075EA7DE}"/>
            </c:ext>
          </c:extLst>
        </c:ser>
        <c:ser>
          <c:idx val="0"/>
          <c:order val="3"/>
          <c:tx>
            <c:strRef>
              <c:f>'18'!$AL$19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'18'!$AM$19:$BJ$19</c:f>
              <c:numCache>
                <c:formatCode>General</c:formatCode>
                <c:ptCount val="24"/>
                <c:pt idx="0">
                  <c:v>277.89999999999998</c:v>
                </c:pt>
                <c:pt idx="1">
                  <c:v>264.7</c:v>
                </c:pt>
                <c:pt idx="2">
                  <c:v>276.10000000000002</c:v>
                </c:pt>
                <c:pt idx="3">
                  <c:v>274.8</c:v>
                </c:pt>
                <c:pt idx="4">
                  <c:v>259.2</c:v>
                </c:pt>
                <c:pt idx="5">
                  <c:v>249.7</c:v>
                </c:pt>
                <c:pt idx="6">
                  <c:v>289.8</c:v>
                </c:pt>
                <c:pt idx="7">
                  <c:v>559.5</c:v>
                </c:pt>
                <c:pt idx="8">
                  <c:v>528.29999999999995</c:v>
                </c:pt>
                <c:pt idx="9">
                  <c:v>394</c:v>
                </c:pt>
                <c:pt idx="10">
                  <c:v>411</c:v>
                </c:pt>
                <c:pt idx="11">
                  <c:v>594.80000000000007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77-45D1-B53A-EE28075EA7DE}"/>
            </c:ext>
          </c:extLst>
        </c:ser>
        <c:ser>
          <c:idx val="4"/>
          <c:order val="4"/>
          <c:tx>
            <c:strRef>
              <c:f>'18'!$AL$20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'18'!$AM$20:$BJ$20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77-45D1-B53A-EE28075EA7DE}"/>
            </c:ext>
          </c:extLst>
        </c:ser>
        <c:ser>
          <c:idx val="5"/>
          <c:order val="5"/>
          <c:tx>
            <c:strRef>
              <c:f>'18'!$AL$21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'18'!$AM$21:$BJ$21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777-45D1-B53A-EE28075EA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'18'!$AL$23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'18'!$AM$23:$BJ$23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-1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77-45D1-B53A-EE28075EA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'18'!$AL$22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'18'!$AM$22:$BJ$22</c:f>
              <c:numCache>
                <c:formatCode>General</c:formatCode>
                <c:ptCount val="24"/>
                <c:pt idx="0">
                  <c:v>1254.0900000000001</c:v>
                </c:pt>
                <c:pt idx="1">
                  <c:v>1170.6899999999998</c:v>
                </c:pt>
                <c:pt idx="2">
                  <c:v>1191.69</c:v>
                </c:pt>
                <c:pt idx="3">
                  <c:v>1188.5899999999999</c:v>
                </c:pt>
                <c:pt idx="4">
                  <c:v>1184.3899999999999</c:v>
                </c:pt>
                <c:pt idx="5">
                  <c:v>1175.5899999999999</c:v>
                </c:pt>
                <c:pt idx="6">
                  <c:v>1289.3899999999999</c:v>
                </c:pt>
                <c:pt idx="7">
                  <c:v>1508.29</c:v>
                </c:pt>
                <c:pt idx="8">
                  <c:v>1458.3899999999999</c:v>
                </c:pt>
                <c:pt idx="9">
                  <c:v>1423.8899999999999</c:v>
                </c:pt>
                <c:pt idx="10">
                  <c:v>1509.79</c:v>
                </c:pt>
                <c:pt idx="11">
                  <c:v>1490.5900000000001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8777-45D1-B53A-EE28075EA7DE}"/>
            </c:ext>
          </c:extLst>
        </c:ser>
        <c:ser>
          <c:idx val="8"/>
          <c:order val="8"/>
          <c:tx>
            <c:strRef>
              <c:f>'18'!$AL$24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'18'!$AM$24:$BJ$24</c:f>
              <c:numCache>
                <c:formatCode>General</c:formatCode>
                <c:ptCount val="24"/>
                <c:pt idx="0">
                  <c:v>1254.0900000000001</c:v>
                </c:pt>
                <c:pt idx="1">
                  <c:v>1169.6899999999998</c:v>
                </c:pt>
                <c:pt idx="2">
                  <c:v>1191.69</c:v>
                </c:pt>
                <c:pt idx="3">
                  <c:v>1188.5899999999999</c:v>
                </c:pt>
                <c:pt idx="4">
                  <c:v>1184.3899999999999</c:v>
                </c:pt>
                <c:pt idx="5">
                  <c:v>1175.5899999999999</c:v>
                </c:pt>
                <c:pt idx="6">
                  <c:v>1289.3899999999999</c:v>
                </c:pt>
                <c:pt idx="7">
                  <c:v>1508.29</c:v>
                </c:pt>
                <c:pt idx="8">
                  <c:v>1458.3899999999999</c:v>
                </c:pt>
                <c:pt idx="9">
                  <c:v>1423.8899999999999</c:v>
                </c:pt>
                <c:pt idx="10">
                  <c:v>1509.79</c:v>
                </c:pt>
                <c:pt idx="11">
                  <c:v>1490.5900000000001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777-45D1-B53A-EE28075EA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70F-437B-B02C-6F49CC4C04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70F-437B-B02C-6F49CC4C04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70F-437B-B02C-6F49CC4C04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70F-437B-B02C-6F49CC4C042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70F-437B-B02C-6F49CC4C042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570F-437B-B02C-6F49CC4C042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'19'!$AL$16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'19'!$AM$16:$BJ$16</c:f>
              <c:numCache>
                <c:formatCode>General</c:formatCode>
                <c:ptCount val="24"/>
                <c:pt idx="0">
                  <c:v>556.95000000000005</c:v>
                </c:pt>
                <c:pt idx="1">
                  <c:v>556.95000000000005</c:v>
                </c:pt>
                <c:pt idx="2">
                  <c:v>556.95000000000005</c:v>
                </c:pt>
                <c:pt idx="3">
                  <c:v>556.95000000000005</c:v>
                </c:pt>
                <c:pt idx="4">
                  <c:v>556.95000000000005</c:v>
                </c:pt>
                <c:pt idx="5">
                  <c:v>556.95000000000005</c:v>
                </c:pt>
                <c:pt idx="6">
                  <c:v>556.95000000000005</c:v>
                </c:pt>
                <c:pt idx="7">
                  <c:v>556.95000000000005</c:v>
                </c:pt>
                <c:pt idx="8">
                  <c:v>503.65</c:v>
                </c:pt>
                <c:pt idx="9">
                  <c:v>503.65</c:v>
                </c:pt>
                <c:pt idx="10">
                  <c:v>503.65</c:v>
                </c:pt>
                <c:pt idx="11">
                  <c:v>503.65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A-483A-923B-8C56488CFA28}"/>
            </c:ext>
          </c:extLst>
        </c:ser>
        <c:ser>
          <c:idx val="2"/>
          <c:order val="1"/>
          <c:tx>
            <c:strRef>
              <c:f>'19'!$AL$17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'19'!$AM$17:$BJ$17</c:f>
              <c:numCache>
                <c:formatCode>General</c:formatCode>
                <c:ptCount val="24"/>
                <c:pt idx="0">
                  <c:v>144.80000000000001</c:v>
                </c:pt>
                <c:pt idx="1">
                  <c:v>84.8</c:v>
                </c:pt>
                <c:pt idx="2">
                  <c:v>120.8</c:v>
                </c:pt>
                <c:pt idx="3">
                  <c:v>59.7</c:v>
                </c:pt>
                <c:pt idx="4">
                  <c:v>59.7</c:v>
                </c:pt>
                <c:pt idx="5">
                  <c:v>59.7</c:v>
                </c:pt>
                <c:pt idx="6">
                  <c:v>109.6</c:v>
                </c:pt>
                <c:pt idx="7">
                  <c:v>39.6</c:v>
                </c:pt>
                <c:pt idx="8">
                  <c:v>37.5</c:v>
                </c:pt>
                <c:pt idx="9">
                  <c:v>52.5</c:v>
                </c:pt>
                <c:pt idx="10">
                  <c:v>52.5</c:v>
                </c:pt>
                <c:pt idx="11">
                  <c:v>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0A-483A-923B-8C56488CFA28}"/>
            </c:ext>
          </c:extLst>
        </c:ser>
        <c:ser>
          <c:idx val="3"/>
          <c:order val="2"/>
          <c:tx>
            <c:strRef>
              <c:f>'19'!$AL$18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'19'!$AM$18:$BJ$18</c:f>
              <c:numCache>
                <c:formatCode>General</c:formatCode>
                <c:ptCount val="24"/>
                <c:pt idx="0">
                  <c:v>317.94000000000005</c:v>
                </c:pt>
                <c:pt idx="1">
                  <c:v>332.24</c:v>
                </c:pt>
                <c:pt idx="2">
                  <c:v>329.84000000000003</c:v>
                </c:pt>
                <c:pt idx="3">
                  <c:v>280.04000000000002</c:v>
                </c:pt>
                <c:pt idx="4">
                  <c:v>268.64000000000004</c:v>
                </c:pt>
                <c:pt idx="5">
                  <c:v>268.64000000000004</c:v>
                </c:pt>
                <c:pt idx="6">
                  <c:v>244.73999999999998</c:v>
                </c:pt>
                <c:pt idx="7">
                  <c:v>195.83999999999997</c:v>
                </c:pt>
                <c:pt idx="8">
                  <c:v>228.13999999999996</c:v>
                </c:pt>
                <c:pt idx="9">
                  <c:v>246.84</c:v>
                </c:pt>
                <c:pt idx="10">
                  <c:v>243.73999999999998</c:v>
                </c:pt>
                <c:pt idx="11">
                  <c:v>215.54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0A-483A-923B-8C56488CFA28}"/>
            </c:ext>
          </c:extLst>
        </c:ser>
        <c:ser>
          <c:idx val="0"/>
          <c:order val="3"/>
          <c:tx>
            <c:strRef>
              <c:f>'19'!$AL$19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'19'!$AM$19:$BJ$19</c:f>
              <c:numCache>
                <c:formatCode>General</c:formatCode>
                <c:ptCount val="24"/>
                <c:pt idx="0">
                  <c:v>108</c:v>
                </c:pt>
                <c:pt idx="1">
                  <c:v>167</c:v>
                </c:pt>
                <c:pt idx="2">
                  <c:v>88</c:v>
                </c:pt>
                <c:pt idx="3">
                  <c:v>259.60000000000002</c:v>
                </c:pt>
                <c:pt idx="4">
                  <c:v>232.2</c:v>
                </c:pt>
                <c:pt idx="5">
                  <c:v>286.3</c:v>
                </c:pt>
                <c:pt idx="6">
                  <c:v>287.3</c:v>
                </c:pt>
                <c:pt idx="7">
                  <c:v>583.6</c:v>
                </c:pt>
                <c:pt idx="8">
                  <c:v>634.1</c:v>
                </c:pt>
                <c:pt idx="9">
                  <c:v>622.90000000000009</c:v>
                </c:pt>
                <c:pt idx="10">
                  <c:v>699.1</c:v>
                </c:pt>
                <c:pt idx="11">
                  <c:v>670.9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0A-483A-923B-8C56488CFA28}"/>
            </c:ext>
          </c:extLst>
        </c:ser>
        <c:ser>
          <c:idx val="4"/>
          <c:order val="4"/>
          <c:tx>
            <c:strRef>
              <c:f>'19'!$AL$20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'19'!$AM$20:$BJ$20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57.8</c:v>
                </c:pt>
                <c:pt idx="2">
                  <c:v>87.7</c:v>
                </c:pt>
                <c:pt idx="3">
                  <c:v>48.8</c:v>
                </c:pt>
                <c:pt idx="4">
                  <c:v>48</c:v>
                </c:pt>
                <c:pt idx="5">
                  <c:v>48</c:v>
                </c:pt>
                <c:pt idx="6">
                  <c:v>59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0A-483A-923B-8C56488CFA28}"/>
            </c:ext>
          </c:extLst>
        </c:ser>
        <c:ser>
          <c:idx val="5"/>
          <c:order val="5"/>
          <c:tx>
            <c:strRef>
              <c:f>'19'!$AL$21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'19'!$AM$21:$BJ$21</c:f>
              <c:numCache>
                <c:formatCode>General</c:formatCode>
                <c:ptCount val="24"/>
                <c:pt idx="0">
                  <c:v>150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150</c:v>
                </c:pt>
                <c:pt idx="9">
                  <c:v>50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F0A-483A-923B-8C56488CF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'19'!$AL$23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'19'!$AM$23:$BJ$23</c:f>
              <c:numCache>
                <c:formatCode>General</c:formatCode>
                <c:ptCount val="24"/>
                <c:pt idx="0">
                  <c:v>-1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0A-483A-923B-8C56488CF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'19'!$AL$22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'19'!$AM$22:$BJ$22</c:f>
              <c:numCache>
                <c:formatCode>General</c:formatCode>
                <c:ptCount val="24"/>
                <c:pt idx="0">
                  <c:v>1277.69</c:v>
                </c:pt>
                <c:pt idx="1">
                  <c:v>1398.79</c:v>
                </c:pt>
                <c:pt idx="2">
                  <c:v>1383.2900000000002</c:v>
                </c:pt>
                <c:pt idx="3">
                  <c:v>1405.09</c:v>
                </c:pt>
                <c:pt idx="4">
                  <c:v>1365.4900000000002</c:v>
                </c:pt>
                <c:pt idx="5">
                  <c:v>1419.5900000000001</c:v>
                </c:pt>
                <c:pt idx="6">
                  <c:v>1457.5900000000001</c:v>
                </c:pt>
                <c:pt idx="7">
                  <c:v>1575.9900000000002</c:v>
                </c:pt>
                <c:pt idx="8">
                  <c:v>1553.3899999999999</c:v>
                </c:pt>
                <c:pt idx="9">
                  <c:v>1475.89</c:v>
                </c:pt>
                <c:pt idx="10">
                  <c:v>1498.99</c:v>
                </c:pt>
                <c:pt idx="11">
                  <c:v>1427.59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0F0A-483A-923B-8C56488CFA28}"/>
            </c:ext>
          </c:extLst>
        </c:ser>
        <c:ser>
          <c:idx val="8"/>
          <c:order val="8"/>
          <c:tx>
            <c:strRef>
              <c:f>'19'!$AL$24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'19'!$AM$24:$BJ$24</c:f>
              <c:numCache>
                <c:formatCode>General</c:formatCode>
                <c:ptCount val="24"/>
                <c:pt idx="0">
                  <c:v>1276.69</c:v>
                </c:pt>
                <c:pt idx="1">
                  <c:v>1398.79</c:v>
                </c:pt>
                <c:pt idx="2">
                  <c:v>1383.2900000000002</c:v>
                </c:pt>
                <c:pt idx="3">
                  <c:v>1405.09</c:v>
                </c:pt>
                <c:pt idx="4">
                  <c:v>1365.4900000000002</c:v>
                </c:pt>
                <c:pt idx="5">
                  <c:v>1419.5900000000001</c:v>
                </c:pt>
                <c:pt idx="6">
                  <c:v>1457.5900000000001</c:v>
                </c:pt>
                <c:pt idx="7">
                  <c:v>1575.9900000000002</c:v>
                </c:pt>
                <c:pt idx="8">
                  <c:v>1553.3899999999999</c:v>
                </c:pt>
                <c:pt idx="9">
                  <c:v>1475.89</c:v>
                </c:pt>
                <c:pt idx="10">
                  <c:v>1498.99</c:v>
                </c:pt>
                <c:pt idx="11">
                  <c:v>1427.59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F0A-483A-923B-8C56488CF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BEC-44B6-8BDF-DDE35B7651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BEC-44B6-8BDF-DDE35B7651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BEC-44B6-8BDF-DDE35B7651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BEC-44B6-8BDF-DDE35B7651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BEC-44B6-8BDF-DDE35B7651F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7BEC-44B6-8BDF-DDE35B7651F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'20'!$AL$16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'20'!$AM$16:$BJ$16</c:f>
              <c:numCache>
                <c:formatCode>General</c:formatCode>
                <c:ptCount val="24"/>
                <c:pt idx="0">
                  <c:v>519.25</c:v>
                </c:pt>
                <c:pt idx="1">
                  <c:v>519.25</c:v>
                </c:pt>
                <c:pt idx="2">
                  <c:v>521.65000000000009</c:v>
                </c:pt>
                <c:pt idx="3">
                  <c:v>521.65000000000009</c:v>
                </c:pt>
                <c:pt idx="4">
                  <c:v>521.65000000000009</c:v>
                </c:pt>
                <c:pt idx="5">
                  <c:v>521.65000000000009</c:v>
                </c:pt>
                <c:pt idx="6">
                  <c:v>524.04999999999995</c:v>
                </c:pt>
                <c:pt idx="7">
                  <c:v>524.04999999999995</c:v>
                </c:pt>
                <c:pt idx="8">
                  <c:v>510.54999999999995</c:v>
                </c:pt>
                <c:pt idx="9">
                  <c:v>502.95</c:v>
                </c:pt>
                <c:pt idx="10">
                  <c:v>504.65</c:v>
                </c:pt>
                <c:pt idx="11">
                  <c:v>514.85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5-43F6-89CF-658F033CEAA3}"/>
            </c:ext>
          </c:extLst>
        </c:ser>
        <c:ser>
          <c:idx val="2"/>
          <c:order val="1"/>
          <c:tx>
            <c:strRef>
              <c:f>'20'!$AL$17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'20'!$AM$17:$BJ$17</c:f>
              <c:numCache>
                <c:formatCode>General</c:formatCode>
                <c:ptCount val="24"/>
                <c:pt idx="0">
                  <c:v>78.900000000000006</c:v>
                </c:pt>
                <c:pt idx="1">
                  <c:v>38.700000000000003</c:v>
                </c:pt>
                <c:pt idx="2">
                  <c:v>38.700000000000003</c:v>
                </c:pt>
                <c:pt idx="3">
                  <c:v>38.700000000000003</c:v>
                </c:pt>
                <c:pt idx="4">
                  <c:v>38.700000000000003</c:v>
                </c:pt>
                <c:pt idx="5">
                  <c:v>38.700000000000003</c:v>
                </c:pt>
                <c:pt idx="6">
                  <c:v>93.9</c:v>
                </c:pt>
                <c:pt idx="7">
                  <c:v>52.7</c:v>
                </c:pt>
                <c:pt idx="8">
                  <c:v>52.900000000000006</c:v>
                </c:pt>
                <c:pt idx="9">
                  <c:v>52.7</c:v>
                </c:pt>
                <c:pt idx="10">
                  <c:v>82.899999999999991</c:v>
                </c:pt>
                <c:pt idx="11">
                  <c:v>52.900000000000006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C5-43F6-89CF-658F033CEAA3}"/>
            </c:ext>
          </c:extLst>
        </c:ser>
        <c:ser>
          <c:idx val="3"/>
          <c:order val="2"/>
          <c:tx>
            <c:strRef>
              <c:f>'20'!$AL$18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'20'!$AM$18:$BJ$18</c:f>
              <c:numCache>
                <c:formatCode>General</c:formatCode>
                <c:ptCount val="24"/>
                <c:pt idx="0">
                  <c:v>211.43999999999997</c:v>
                </c:pt>
                <c:pt idx="1">
                  <c:v>172.43999999999997</c:v>
                </c:pt>
                <c:pt idx="2">
                  <c:v>158.23999999999998</c:v>
                </c:pt>
                <c:pt idx="3">
                  <c:v>158.23999999999998</c:v>
                </c:pt>
                <c:pt idx="4">
                  <c:v>158.23999999999998</c:v>
                </c:pt>
                <c:pt idx="5">
                  <c:v>158.23999999999998</c:v>
                </c:pt>
                <c:pt idx="6">
                  <c:v>211.73999999999998</c:v>
                </c:pt>
                <c:pt idx="7">
                  <c:v>232.94</c:v>
                </c:pt>
                <c:pt idx="8">
                  <c:v>282.94</c:v>
                </c:pt>
                <c:pt idx="9">
                  <c:v>269.94</c:v>
                </c:pt>
                <c:pt idx="10">
                  <c:v>280.34000000000003</c:v>
                </c:pt>
                <c:pt idx="11">
                  <c:v>296.44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C5-43F6-89CF-658F033CEAA3}"/>
            </c:ext>
          </c:extLst>
        </c:ser>
        <c:ser>
          <c:idx val="0"/>
          <c:order val="3"/>
          <c:tx>
            <c:strRef>
              <c:f>'20'!$AL$19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'20'!$AM$19:$BJ$19</c:f>
              <c:numCache>
                <c:formatCode>General</c:formatCode>
                <c:ptCount val="24"/>
                <c:pt idx="0">
                  <c:v>208</c:v>
                </c:pt>
                <c:pt idx="1">
                  <c:v>334.2</c:v>
                </c:pt>
                <c:pt idx="2">
                  <c:v>307.29999999999995</c:v>
                </c:pt>
                <c:pt idx="3">
                  <c:v>318.99999999999994</c:v>
                </c:pt>
                <c:pt idx="4">
                  <c:v>312.40000000000003</c:v>
                </c:pt>
                <c:pt idx="5">
                  <c:v>345.6</c:v>
                </c:pt>
                <c:pt idx="6">
                  <c:v>357.3</c:v>
                </c:pt>
                <c:pt idx="7">
                  <c:v>535.26</c:v>
                </c:pt>
                <c:pt idx="8">
                  <c:v>537.79999999999995</c:v>
                </c:pt>
                <c:pt idx="9">
                  <c:v>589</c:v>
                </c:pt>
                <c:pt idx="10">
                  <c:v>670.9</c:v>
                </c:pt>
                <c:pt idx="11">
                  <c:v>660.7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C5-43F6-89CF-658F033CEAA3}"/>
            </c:ext>
          </c:extLst>
        </c:ser>
        <c:ser>
          <c:idx val="4"/>
          <c:order val="4"/>
          <c:tx>
            <c:strRef>
              <c:f>'20'!$AL$20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'20'!$AM$20:$BJ$20</c:f>
              <c:numCache>
                <c:formatCode>General</c:formatCode>
                <c:ptCount val="24"/>
                <c:pt idx="0">
                  <c:v>53.599999999999994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C5-43F6-89CF-658F033CEAA3}"/>
            </c:ext>
          </c:extLst>
        </c:ser>
        <c:ser>
          <c:idx val="5"/>
          <c:order val="5"/>
          <c:tx>
            <c:strRef>
              <c:f>'20'!$AL$21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'20'!$AM$21:$BJ$21</c:f>
              <c:numCache>
                <c:formatCode>General</c:formatCode>
                <c:ptCount val="24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C5-43F6-89CF-658F033C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'20'!$AL$23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'20'!$AM$23:$BJ$23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C5-43F6-89CF-658F033C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'20'!$AL$22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'20'!$AM$22:$BJ$22</c:f>
              <c:numCache>
                <c:formatCode>General</c:formatCode>
                <c:ptCount val="24"/>
                <c:pt idx="0">
                  <c:v>1271.1899999999998</c:v>
                </c:pt>
                <c:pt idx="1">
                  <c:v>1264.5899999999999</c:v>
                </c:pt>
                <c:pt idx="2">
                  <c:v>1225.8900000000001</c:v>
                </c:pt>
                <c:pt idx="3">
                  <c:v>1237.5900000000001</c:v>
                </c:pt>
                <c:pt idx="4">
                  <c:v>1230.9900000000002</c:v>
                </c:pt>
                <c:pt idx="5">
                  <c:v>1264.19</c:v>
                </c:pt>
                <c:pt idx="6">
                  <c:v>1386.99</c:v>
                </c:pt>
                <c:pt idx="7">
                  <c:v>1544.95</c:v>
                </c:pt>
                <c:pt idx="8">
                  <c:v>1584.1899999999998</c:v>
                </c:pt>
                <c:pt idx="9">
                  <c:v>1414.59</c:v>
                </c:pt>
                <c:pt idx="10">
                  <c:v>1538.79</c:v>
                </c:pt>
                <c:pt idx="11">
                  <c:v>1524.89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5FC5-43F6-89CF-658F033CEAA3}"/>
            </c:ext>
          </c:extLst>
        </c:ser>
        <c:ser>
          <c:idx val="8"/>
          <c:order val="8"/>
          <c:tx>
            <c:strRef>
              <c:f>'20'!$AL$24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'20'!$AM$24:$BJ$24</c:f>
              <c:numCache>
                <c:formatCode>General</c:formatCode>
                <c:ptCount val="24"/>
                <c:pt idx="0">
                  <c:v>1271.1899999999998</c:v>
                </c:pt>
                <c:pt idx="1">
                  <c:v>1264.5899999999999</c:v>
                </c:pt>
                <c:pt idx="2">
                  <c:v>1225.8900000000001</c:v>
                </c:pt>
                <c:pt idx="3">
                  <c:v>1237.5900000000001</c:v>
                </c:pt>
                <c:pt idx="4">
                  <c:v>1230.9900000000002</c:v>
                </c:pt>
                <c:pt idx="5">
                  <c:v>1264.19</c:v>
                </c:pt>
                <c:pt idx="6">
                  <c:v>1386.99</c:v>
                </c:pt>
                <c:pt idx="7">
                  <c:v>1544.95</c:v>
                </c:pt>
                <c:pt idx="8">
                  <c:v>1584.1899999999998</c:v>
                </c:pt>
                <c:pt idx="9">
                  <c:v>1414.59</c:v>
                </c:pt>
                <c:pt idx="10">
                  <c:v>1538.79</c:v>
                </c:pt>
                <c:pt idx="11">
                  <c:v>1524.89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FC5-43F6-89CF-658F033C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F5B-4B27-AB07-9A4E1D8C7A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F5B-4B27-AB07-9A4E1D8C7A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F5B-4B27-AB07-9A4E1D8C7A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F5B-4B27-AB07-9A4E1D8C7AF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F5B-4B27-AB07-9A4E1D8C7AF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3F5B-4B27-AB07-9A4E1D8C7AF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'21'!$AL$16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'21'!$AM$16:$BJ$16</c:f>
              <c:numCache>
                <c:formatCode>General</c:formatCode>
                <c:ptCount val="24"/>
                <c:pt idx="0">
                  <c:v>525.75</c:v>
                </c:pt>
                <c:pt idx="1">
                  <c:v>525.75</c:v>
                </c:pt>
                <c:pt idx="2">
                  <c:v>525.75</c:v>
                </c:pt>
                <c:pt idx="3">
                  <c:v>532.25</c:v>
                </c:pt>
                <c:pt idx="4">
                  <c:v>532.25</c:v>
                </c:pt>
                <c:pt idx="5">
                  <c:v>532.25</c:v>
                </c:pt>
                <c:pt idx="6">
                  <c:v>528.25</c:v>
                </c:pt>
                <c:pt idx="7">
                  <c:v>526.15</c:v>
                </c:pt>
                <c:pt idx="8">
                  <c:v>522.15</c:v>
                </c:pt>
                <c:pt idx="9">
                  <c:v>527.45000000000005</c:v>
                </c:pt>
                <c:pt idx="10">
                  <c:v>527.45000000000005</c:v>
                </c:pt>
                <c:pt idx="11">
                  <c:v>526.54999999999995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EE-47AC-8BFD-2477CC237B96}"/>
            </c:ext>
          </c:extLst>
        </c:ser>
        <c:ser>
          <c:idx val="2"/>
          <c:order val="1"/>
          <c:tx>
            <c:strRef>
              <c:f>'21'!$AL$17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'21'!$AM$17:$BJ$17</c:f>
              <c:numCache>
                <c:formatCode>General</c:formatCode>
                <c:ptCount val="24"/>
                <c:pt idx="0">
                  <c:v>107.2</c:v>
                </c:pt>
                <c:pt idx="1">
                  <c:v>87.2</c:v>
                </c:pt>
                <c:pt idx="2">
                  <c:v>87.2</c:v>
                </c:pt>
                <c:pt idx="3">
                  <c:v>87.2</c:v>
                </c:pt>
                <c:pt idx="4">
                  <c:v>87.4</c:v>
                </c:pt>
                <c:pt idx="5">
                  <c:v>87.4</c:v>
                </c:pt>
                <c:pt idx="6">
                  <c:v>157.19999999999999</c:v>
                </c:pt>
                <c:pt idx="7">
                  <c:v>52.1</c:v>
                </c:pt>
                <c:pt idx="8">
                  <c:v>52.2</c:v>
                </c:pt>
                <c:pt idx="9">
                  <c:v>58.5</c:v>
                </c:pt>
                <c:pt idx="10">
                  <c:v>38.5</c:v>
                </c:pt>
                <c:pt idx="11">
                  <c:v>38.5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EE-47AC-8BFD-2477CC237B96}"/>
            </c:ext>
          </c:extLst>
        </c:ser>
        <c:ser>
          <c:idx val="3"/>
          <c:order val="2"/>
          <c:tx>
            <c:strRef>
              <c:f>'21'!$AL$18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'21'!$AM$18:$BJ$18</c:f>
              <c:numCache>
                <c:formatCode>General</c:formatCode>
                <c:ptCount val="24"/>
                <c:pt idx="0">
                  <c:v>231.23999999999998</c:v>
                </c:pt>
                <c:pt idx="1">
                  <c:v>202.23999999999998</c:v>
                </c:pt>
                <c:pt idx="2">
                  <c:v>171.23999999999998</c:v>
                </c:pt>
                <c:pt idx="3">
                  <c:v>160.74</c:v>
                </c:pt>
                <c:pt idx="4">
                  <c:v>160.74</c:v>
                </c:pt>
                <c:pt idx="5">
                  <c:v>160.74</c:v>
                </c:pt>
                <c:pt idx="6">
                  <c:v>319.44000000000005</c:v>
                </c:pt>
                <c:pt idx="7">
                  <c:v>285.14</c:v>
                </c:pt>
                <c:pt idx="8">
                  <c:v>336.14000000000004</c:v>
                </c:pt>
                <c:pt idx="9">
                  <c:v>295.94</c:v>
                </c:pt>
                <c:pt idx="10">
                  <c:v>273.04000000000002</c:v>
                </c:pt>
                <c:pt idx="11">
                  <c:v>264.44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EE-47AC-8BFD-2477CC237B96}"/>
            </c:ext>
          </c:extLst>
        </c:ser>
        <c:ser>
          <c:idx val="0"/>
          <c:order val="3"/>
          <c:tx>
            <c:strRef>
              <c:f>'21'!$AL$19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'21'!$AM$19:$BJ$19</c:f>
              <c:numCache>
                <c:formatCode>General</c:formatCode>
                <c:ptCount val="24"/>
                <c:pt idx="0">
                  <c:v>141</c:v>
                </c:pt>
                <c:pt idx="1">
                  <c:v>146.4</c:v>
                </c:pt>
                <c:pt idx="2">
                  <c:v>124</c:v>
                </c:pt>
                <c:pt idx="3">
                  <c:v>143.9</c:v>
                </c:pt>
                <c:pt idx="4">
                  <c:v>139.69999999999999</c:v>
                </c:pt>
                <c:pt idx="5">
                  <c:v>167.7</c:v>
                </c:pt>
                <c:pt idx="6">
                  <c:v>81.800000000000011</c:v>
                </c:pt>
                <c:pt idx="7">
                  <c:v>549</c:v>
                </c:pt>
                <c:pt idx="8">
                  <c:v>602.29999999999995</c:v>
                </c:pt>
                <c:pt idx="9">
                  <c:v>586.50000000000011</c:v>
                </c:pt>
                <c:pt idx="10">
                  <c:v>724.5</c:v>
                </c:pt>
                <c:pt idx="11">
                  <c:v>749.69999999999993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EE-47AC-8BFD-2477CC237B96}"/>
            </c:ext>
          </c:extLst>
        </c:ser>
        <c:ser>
          <c:idx val="4"/>
          <c:order val="4"/>
          <c:tx>
            <c:strRef>
              <c:f>'21'!$AL$20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'21'!$AM$20:$BJ$20</c:f>
              <c:numCache>
                <c:formatCode>General</c:formatCode>
                <c:ptCount val="24"/>
                <c:pt idx="0">
                  <c:v>71</c:v>
                </c:pt>
                <c:pt idx="1">
                  <c:v>71</c:v>
                </c:pt>
                <c:pt idx="2">
                  <c:v>93</c:v>
                </c:pt>
                <c:pt idx="3">
                  <c:v>97.800000000000011</c:v>
                </c:pt>
                <c:pt idx="4">
                  <c:v>97.800000000000011</c:v>
                </c:pt>
                <c:pt idx="5">
                  <c:v>97.800000000000011</c:v>
                </c:pt>
                <c:pt idx="6">
                  <c:v>97.2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EE-47AC-8BFD-2477CC237B96}"/>
            </c:ext>
          </c:extLst>
        </c:ser>
        <c:ser>
          <c:idx val="5"/>
          <c:order val="5"/>
          <c:tx>
            <c:strRef>
              <c:f>'21'!$AL$21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'21'!$AM$21:$BJ$21</c:f>
              <c:numCache>
                <c:formatCode>General</c:formatCode>
                <c:ptCount val="24"/>
                <c:pt idx="0">
                  <c:v>250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100</c:v>
                </c:pt>
                <c:pt idx="8">
                  <c:v>50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EE-47AC-8BFD-2477CC237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'21'!$AL$23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'21'!$AM$23:$BJ$23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EE-47AC-8BFD-2477CC237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'21'!$AL$22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'21'!$AM$22:$BJ$22</c:f>
              <c:numCache>
                <c:formatCode>General</c:formatCode>
                <c:ptCount val="24"/>
                <c:pt idx="0">
                  <c:v>1326.19</c:v>
                </c:pt>
                <c:pt idx="1">
                  <c:v>1232.5900000000001</c:v>
                </c:pt>
                <c:pt idx="2">
                  <c:v>1201.19</c:v>
                </c:pt>
                <c:pt idx="3">
                  <c:v>1221.8900000000001</c:v>
                </c:pt>
                <c:pt idx="4">
                  <c:v>1217.8899999999999</c:v>
                </c:pt>
                <c:pt idx="5">
                  <c:v>1245.8899999999999</c:v>
                </c:pt>
                <c:pt idx="6">
                  <c:v>1383.89</c:v>
                </c:pt>
                <c:pt idx="7">
                  <c:v>1512.3899999999999</c:v>
                </c:pt>
                <c:pt idx="8">
                  <c:v>1562.79</c:v>
                </c:pt>
                <c:pt idx="9">
                  <c:v>1468.3900000000003</c:v>
                </c:pt>
                <c:pt idx="10">
                  <c:v>1563.49</c:v>
                </c:pt>
                <c:pt idx="11">
                  <c:v>1579.19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4EE-47AC-8BFD-2477CC237B96}"/>
            </c:ext>
          </c:extLst>
        </c:ser>
        <c:ser>
          <c:idx val="8"/>
          <c:order val="8"/>
          <c:tx>
            <c:strRef>
              <c:f>'21'!$AL$24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'21'!$AM$24:$BJ$24</c:f>
              <c:numCache>
                <c:formatCode>General</c:formatCode>
                <c:ptCount val="24"/>
                <c:pt idx="0">
                  <c:v>1326.19</c:v>
                </c:pt>
                <c:pt idx="1">
                  <c:v>1232.5900000000001</c:v>
                </c:pt>
                <c:pt idx="2">
                  <c:v>1201.19</c:v>
                </c:pt>
                <c:pt idx="3">
                  <c:v>1221.8900000000001</c:v>
                </c:pt>
                <c:pt idx="4">
                  <c:v>1217.8899999999999</c:v>
                </c:pt>
                <c:pt idx="5">
                  <c:v>1245.8899999999999</c:v>
                </c:pt>
                <c:pt idx="6">
                  <c:v>1383.89</c:v>
                </c:pt>
                <c:pt idx="7">
                  <c:v>1512.3899999999999</c:v>
                </c:pt>
                <c:pt idx="8">
                  <c:v>1562.79</c:v>
                </c:pt>
                <c:pt idx="9">
                  <c:v>1468.3900000000003</c:v>
                </c:pt>
                <c:pt idx="10">
                  <c:v>1563.49</c:v>
                </c:pt>
                <c:pt idx="11">
                  <c:v>1579.19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4EE-47AC-8BFD-2477CC237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28-46D3-A398-5BF07CDCCB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228-46D3-A398-5BF07CDCCB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228-46D3-A398-5BF07CDCCB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228-46D3-A398-5BF07CDCCB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228-46D3-A398-5BF07CDCCBB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4228-46D3-A398-5BF07CDCCBB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'22'!$AL$16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'22'!$AM$16:$BJ$16</c:f>
              <c:numCache>
                <c:formatCode>General</c:formatCode>
                <c:ptCount val="24"/>
                <c:pt idx="0">
                  <c:v>526.04999999999995</c:v>
                </c:pt>
                <c:pt idx="1">
                  <c:v>526.04999999999995</c:v>
                </c:pt>
                <c:pt idx="2">
                  <c:v>526.04999999999995</c:v>
                </c:pt>
                <c:pt idx="3">
                  <c:v>526.04999999999995</c:v>
                </c:pt>
                <c:pt idx="4">
                  <c:v>526.04999999999995</c:v>
                </c:pt>
                <c:pt idx="5">
                  <c:v>526.04999999999995</c:v>
                </c:pt>
                <c:pt idx="6">
                  <c:v>526.04999999999995</c:v>
                </c:pt>
                <c:pt idx="7">
                  <c:v>526.04999999999995</c:v>
                </c:pt>
                <c:pt idx="8">
                  <c:v>526.04999999999995</c:v>
                </c:pt>
                <c:pt idx="9">
                  <c:v>526.04999999999995</c:v>
                </c:pt>
                <c:pt idx="10">
                  <c:v>526.04999999999995</c:v>
                </c:pt>
                <c:pt idx="11">
                  <c:v>526.04999999999995</c:v>
                </c:pt>
                <c:pt idx="12">
                  <c:v>526.04999999999995</c:v>
                </c:pt>
                <c:pt idx="13">
                  <c:v>526.04999999999995</c:v>
                </c:pt>
                <c:pt idx="14">
                  <c:v>526.04999999999995</c:v>
                </c:pt>
                <c:pt idx="15">
                  <c:v>526.04999999999995</c:v>
                </c:pt>
                <c:pt idx="16">
                  <c:v>526.04999999999995</c:v>
                </c:pt>
                <c:pt idx="17">
                  <c:v>526.04999999999995</c:v>
                </c:pt>
                <c:pt idx="18" formatCode="0.0">
                  <c:v>526.04999999999995</c:v>
                </c:pt>
                <c:pt idx="19" formatCode="0.0">
                  <c:v>530.15</c:v>
                </c:pt>
                <c:pt idx="20" formatCode="0.0">
                  <c:v>519.54999999999995</c:v>
                </c:pt>
                <c:pt idx="21" formatCode="0.0">
                  <c:v>519.54999999999995</c:v>
                </c:pt>
                <c:pt idx="22" formatCode="0.0">
                  <c:v>523.45000000000005</c:v>
                </c:pt>
                <c:pt idx="23" formatCode="0.0">
                  <c:v>524.45000000000005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D-405E-B36F-006B1ADC18E8}"/>
            </c:ext>
          </c:extLst>
        </c:ser>
        <c:ser>
          <c:idx val="2"/>
          <c:order val="1"/>
          <c:tx>
            <c:strRef>
              <c:f>'22'!$AL$17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'22'!$AM$17:$BJ$17</c:f>
              <c:numCache>
                <c:formatCode>General</c:formatCode>
                <c:ptCount val="24"/>
                <c:pt idx="0">
                  <c:v>106.5</c:v>
                </c:pt>
                <c:pt idx="1">
                  <c:v>86.5</c:v>
                </c:pt>
                <c:pt idx="2">
                  <c:v>66.5</c:v>
                </c:pt>
                <c:pt idx="3">
                  <c:v>67</c:v>
                </c:pt>
                <c:pt idx="4">
                  <c:v>61.800000000000004</c:v>
                </c:pt>
                <c:pt idx="5">
                  <c:v>112.9</c:v>
                </c:pt>
                <c:pt idx="6">
                  <c:v>96.3</c:v>
                </c:pt>
                <c:pt idx="7">
                  <c:v>66.599999999999994</c:v>
                </c:pt>
                <c:pt idx="8">
                  <c:v>77.8</c:v>
                </c:pt>
                <c:pt idx="9">
                  <c:v>52.7</c:v>
                </c:pt>
                <c:pt idx="10">
                  <c:v>37.6</c:v>
                </c:pt>
                <c:pt idx="11">
                  <c:v>37.6</c:v>
                </c:pt>
                <c:pt idx="12">
                  <c:v>36.5</c:v>
                </c:pt>
                <c:pt idx="13">
                  <c:v>36.5</c:v>
                </c:pt>
                <c:pt idx="14">
                  <c:v>34.200000000000003</c:v>
                </c:pt>
                <c:pt idx="15">
                  <c:v>33.700000000000003</c:v>
                </c:pt>
                <c:pt idx="16">
                  <c:v>36</c:v>
                </c:pt>
                <c:pt idx="17">
                  <c:v>35.099999999999994</c:v>
                </c:pt>
                <c:pt idx="18" formatCode="0.0">
                  <c:v>147.4</c:v>
                </c:pt>
                <c:pt idx="19" formatCode="0.0">
                  <c:v>494.79999999999995</c:v>
                </c:pt>
                <c:pt idx="20" formatCode="0.0">
                  <c:v>412</c:v>
                </c:pt>
                <c:pt idx="21" formatCode="0.0">
                  <c:v>116.9</c:v>
                </c:pt>
                <c:pt idx="22" formatCode="0.0">
                  <c:v>104.5</c:v>
                </c:pt>
                <c:pt idx="23" formatCode="0.0">
                  <c:v>101.69999999999999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FD-405E-B36F-006B1ADC18E8}"/>
            </c:ext>
          </c:extLst>
        </c:ser>
        <c:ser>
          <c:idx val="3"/>
          <c:order val="2"/>
          <c:tx>
            <c:strRef>
              <c:f>'22'!$AL$18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'22'!$AM$18:$BJ$18</c:f>
              <c:numCache>
                <c:formatCode>General</c:formatCode>
                <c:ptCount val="24"/>
                <c:pt idx="0">
                  <c:v>194.23999999999995</c:v>
                </c:pt>
                <c:pt idx="1">
                  <c:v>184.73999999999998</c:v>
                </c:pt>
                <c:pt idx="2">
                  <c:v>178.53999999999996</c:v>
                </c:pt>
                <c:pt idx="3">
                  <c:v>182.64</c:v>
                </c:pt>
                <c:pt idx="4">
                  <c:v>159.13999999999996</c:v>
                </c:pt>
                <c:pt idx="5">
                  <c:v>163.63999999999996</c:v>
                </c:pt>
                <c:pt idx="6">
                  <c:v>184.53999999999996</c:v>
                </c:pt>
                <c:pt idx="7">
                  <c:v>241.53999999999994</c:v>
                </c:pt>
                <c:pt idx="8">
                  <c:v>320.44000000000005</c:v>
                </c:pt>
                <c:pt idx="9">
                  <c:v>299.34000000000003</c:v>
                </c:pt>
                <c:pt idx="10">
                  <c:v>271.34000000000003</c:v>
                </c:pt>
                <c:pt idx="11">
                  <c:v>273.34000000000003</c:v>
                </c:pt>
                <c:pt idx="12">
                  <c:v>248.14</c:v>
                </c:pt>
                <c:pt idx="13">
                  <c:v>198.83999999999997</c:v>
                </c:pt>
                <c:pt idx="14">
                  <c:v>160.03999999999996</c:v>
                </c:pt>
                <c:pt idx="15">
                  <c:v>170.73999999999998</c:v>
                </c:pt>
                <c:pt idx="16">
                  <c:v>174.14</c:v>
                </c:pt>
                <c:pt idx="17">
                  <c:v>199.63999999999996</c:v>
                </c:pt>
                <c:pt idx="18" formatCode="0.0">
                  <c:v>283.44</c:v>
                </c:pt>
                <c:pt idx="19" formatCode="0.0">
                  <c:v>373.30000000000007</c:v>
                </c:pt>
                <c:pt idx="20" formatCode="0.0">
                  <c:v>321.74</c:v>
                </c:pt>
                <c:pt idx="21" formatCode="0.0">
                  <c:v>330.64</c:v>
                </c:pt>
                <c:pt idx="22" formatCode="0.0">
                  <c:v>329.14000000000004</c:v>
                </c:pt>
                <c:pt idx="23" formatCode="0.0">
                  <c:v>226.34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FD-405E-B36F-006B1ADC18E8}"/>
            </c:ext>
          </c:extLst>
        </c:ser>
        <c:ser>
          <c:idx val="0"/>
          <c:order val="3"/>
          <c:tx>
            <c:strRef>
              <c:f>'22'!$AL$19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'22'!$AM$19:$BJ$19</c:f>
              <c:numCache>
                <c:formatCode>General</c:formatCode>
                <c:ptCount val="24"/>
                <c:pt idx="0">
                  <c:v>124.6</c:v>
                </c:pt>
                <c:pt idx="1">
                  <c:v>102.6</c:v>
                </c:pt>
                <c:pt idx="2">
                  <c:v>91.1</c:v>
                </c:pt>
                <c:pt idx="3">
                  <c:v>100.2</c:v>
                </c:pt>
                <c:pt idx="4">
                  <c:v>108.10000000000001</c:v>
                </c:pt>
                <c:pt idx="5">
                  <c:v>127.4</c:v>
                </c:pt>
                <c:pt idx="6">
                  <c:v>277.8</c:v>
                </c:pt>
                <c:pt idx="7">
                  <c:v>730.3</c:v>
                </c:pt>
                <c:pt idx="8">
                  <c:v>755.2</c:v>
                </c:pt>
                <c:pt idx="9">
                  <c:v>692.1</c:v>
                </c:pt>
                <c:pt idx="10">
                  <c:v>783.8</c:v>
                </c:pt>
                <c:pt idx="11">
                  <c:v>779.8</c:v>
                </c:pt>
                <c:pt idx="12">
                  <c:v>696.99999999999989</c:v>
                </c:pt>
                <c:pt idx="13">
                  <c:v>545.1</c:v>
                </c:pt>
                <c:pt idx="14">
                  <c:v>782.19999999999993</c:v>
                </c:pt>
                <c:pt idx="15">
                  <c:v>758.9</c:v>
                </c:pt>
                <c:pt idx="16">
                  <c:v>763.1</c:v>
                </c:pt>
                <c:pt idx="17">
                  <c:v>694.09999999999991</c:v>
                </c:pt>
                <c:pt idx="18" formatCode="0.0">
                  <c:v>414.09999999999997</c:v>
                </c:pt>
                <c:pt idx="19" formatCode="0.0">
                  <c:v>120.4</c:v>
                </c:pt>
                <c:pt idx="20" formatCode="0.0">
                  <c:v>145.4</c:v>
                </c:pt>
                <c:pt idx="21" formatCode="0.0">
                  <c:v>288.5</c:v>
                </c:pt>
                <c:pt idx="22" formatCode="0.0">
                  <c:v>172.9</c:v>
                </c:pt>
                <c:pt idx="23" formatCode="0.0">
                  <c:v>175.1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FD-405E-B36F-006B1ADC18E8}"/>
            </c:ext>
          </c:extLst>
        </c:ser>
        <c:ser>
          <c:idx val="4"/>
          <c:order val="4"/>
          <c:tx>
            <c:strRef>
              <c:f>'22'!$AL$20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'22'!$AM$20:$BJ$20</c:f>
              <c:numCache>
                <c:formatCode>General</c:formatCode>
                <c:ptCount val="24"/>
                <c:pt idx="0">
                  <c:v>95.5</c:v>
                </c:pt>
                <c:pt idx="1">
                  <c:v>95.5</c:v>
                </c:pt>
                <c:pt idx="2">
                  <c:v>95.5</c:v>
                </c:pt>
                <c:pt idx="3">
                  <c:v>95.5</c:v>
                </c:pt>
                <c:pt idx="4">
                  <c:v>97.8</c:v>
                </c:pt>
                <c:pt idx="5">
                  <c:v>97.8</c:v>
                </c:pt>
                <c:pt idx="6">
                  <c:v>62</c:v>
                </c:pt>
                <c:pt idx="7">
                  <c:v>0</c:v>
                </c:pt>
                <c:pt idx="8">
                  <c:v>0</c:v>
                </c:pt>
                <c:pt idx="9">
                  <c:v>38.599999999999994</c:v>
                </c:pt>
                <c:pt idx="10">
                  <c:v>49.2</c:v>
                </c:pt>
                <c:pt idx="11">
                  <c:v>49.2</c:v>
                </c:pt>
                <c:pt idx="12">
                  <c:v>49.2</c:v>
                </c:pt>
                <c:pt idx="13">
                  <c:v>97.4</c:v>
                </c:pt>
                <c:pt idx="14">
                  <c:v>97.3</c:v>
                </c:pt>
                <c:pt idx="15">
                  <c:v>97.5</c:v>
                </c:pt>
                <c:pt idx="16">
                  <c:v>97.3</c:v>
                </c:pt>
                <c:pt idx="17">
                  <c:v>96.9</c:v>
                </c:pt>
                <c:pt idx="18" formatCode="0.0">
                  <c:v>86.9</c:v>
                </c:pt>
                <c:pt idx="19" formatCode="0.0">
                  <c:v>97.4</c:v>
                </c:pt>
                <c:pt idx="20" formatCode="0.0">
                  <c:v>97.4</c:v>
                </c:pt>
                <c:pt idx="21" formatCode="0.0">
                  <c:v>98.2</c:v>
                </c:pt>
                <c:pt idx="22" formatCode="0.0">
                  <c:v>97.5</c:v>
                </c:pt>
                <c:pt idx="23" formatCode="0.0">
                  <c:v>97.4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FD-405E-B36F-006B1ADC18E8}"/>
            </c:ext>
          </c:extLst>
        </c:ser>
        <c:ser>
          <c:idx val="5"/>
          <c:order val="5"/>
          <c:tx>
            <c:strRef>
              <c:f>'22'!$AL$21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'22'!$AM$21:$BJ$21</c:f>
              <c:numCache>
                <c:formatCode>General</c:formatCode>
                <c:ptCount val="24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340</c:v>
                </c:pt>
                <c:pt idx="4">
                  <c:v>320</c:v>
                </c:pt>
                <c:pt idx="5">
                  <c:v>300</c:v>
                </c:pt>
                <c:pt idx="6">
                  <c:v>290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 formatCode="0.0">
                  <c:v>150</c:v>
                </c:pt>
                <c:pt idx="19" formatCode="0.0">
                  <c:v>300</c:v>
                </c:pt>
                <c:pt idx="20" formatCode="0.0">
                  <c:v>300</c:v>
                </c:pt>
                <c:pt idx="21" formatCode="0.0">
                  <c:v>350</c:v>
                </c:pt>
                <c:pt idx="22" formatCode="0.0">
                  <c:v>350</c:v>
                </c:pt>
                <c:pt idx="23" formatCode="0.0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DFD-405E-B36F-006B1ADC1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'22'!$AL$23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FD-405E-B36F-006B1ADC1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'22'!$AL$22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'22'!$AM$22:$BJ$22</c:f>
              <c:numCache>
                <c:formatCode>General</c:formatCode>
                <c:ptCount val="24"/>
                <c:pt idx="0">
                  <c:v>1396.8899999999999</c:v>
                </c:pt>
                <c:pt idx="1">
                  <c:v>1345.3899999999999</c:v>
                </c:pt>
                <c:pt idx="2">
                  <c:v>1307.69</c:v>
                </c:pt>
                <c:pt idx="3">
                  <c:v>1311.3899999999999</c:v>
                </c:pt>
                <c:pt idx="4">
                  <c:v>1272.8899999999999</c:v>
                </c:pt>
                <c:pt idx="5">
                  <c:v>1327.79</c:v>
                </c:pt>
                <c:pt idx="6">
                  <c:v>1436.6899999999998</c:v>
                </c:pt>
                <c:pt idx="7">
                  <c:v>1594.4899999999998</c:v>
                </c:pt>
                <c:pt idx="8">
                  <c:v>1709.49</c:v>
                </c:pt>
                <c:pt idx="9">
                  <c:v>1638.79</c:v>
                </c:pt>
                <c:pt idx="10">
                  <c:v>1697.99</c:v>
                </c:pt>
                <c:pt idx="11">
                  <c:v>1695.99</c:v>
                </c:pt>
                <c:pt idx="12">
                  <c:v>1586.8899999999999</c:v>
                </c:pt>
                <c:pt idx="13">
                  <c:v>1403.8899999999999</c:v>
                </c:pt>
                <c:pt idx="14">
                  <c:v>1669.7899999999997</c:v>
                </c:pt>
                <c:pt idx="15">
                  <c:v>1656.8899999999999</c:v>
                </c:pt>
                <c:pt idx="16">
                  <c:v>1666.59</c:v>
                </c:pt>
                <c:pt idx="17">
                  <c:v>1621.79</c:v>
                </c:pt>
                <c:pt idx="18">
                  <c:v>1607.8899999999999</c:v>
                </c:pt>
                <c:pt idx="19">
                  <c:v>1916.0500000000002</c:v>
                </c:pt>
                <c:pt idx="20">
                  <c:v>1796.0900000000001</c:v>
                </c:pt>
                <c:pt idx="21">
                  <c:v>1703.79</c:v>
                </c:pt>
                <c:pt idx="22">
                  <c:v>1577.4900000000002</c:v>
                </c:pt>
                <c:pt idx="23">
                  <c:v>1474.9900000000002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DFD-405E-B36F-006B1ADC18E8}"/>
            </c:ext>
          </c:extLst>
        </c:ser>
        <c:ser>
          <c:idx val="8"/>
          <c:order val="8"/>
          <c:tx>
            <c:strRef>
              <c:f>'22'!$AL$24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'22'!$AM$24:$BJ$24</c:f>
              <c:numCache>
                <c:formatCode>General</c:formatCode>
                <c:ptCount val="24"/>
                <c:pt idx="0">
                  <c:v>1396.8899999999999</c:v>
                </c:pt>
                <c:pt idx="1">
                  <c:v>1345.3899999999999</c:v>
                </c:pt>
                <c:pt idx="2">
                  <c:v>1307.69</c:v>
                </c:pt>
                <c:pt idx="3">
                  <c:v>1311.3899999999999</c:v>
                </c:pt>
                <c:pt idx="4">
                  <c:v>1272.8899999999999</c:v>
                </c:pt>
                <c:pt idx="5">
                  <c:v>1327.79</c:v>
                </c:pt>
                <c:pt idx="6">
                  <c:v>1436.6899999999998</c:v>
                </c:pt>
                <c:pt idx="7">
                  <c:v>1594.4899999999998</c:v>
                </c:pt>
                <c:pt idx="8">
                  <c:v>1709.49</c:v>
                </c:pt>
                <c:pt idx="9">
                  <c:v>1638.79</c:v>
                </c:pt>
                <c:pt idx="10">
                  <c:v>1697.99</c:v>
                </c:pt>
                <c:pt idx="11">
                  <c:v>1695.99</c:v>
                </c:pt>
                <c:pt idx="12">
                  <c:v>1586.8899999999999</c:v>
                </c:pt>
                <c:pt idx="13">
                  <c:v>1403.8899999999999</c:v>
                </c:pt>
                <c:pt idx="14">
                  <c:v>1669.7899999999997</c:v>
                </c:pt>
                <c:pt idx="15">
                  <c:v>1656.8899999999999</c:v>
                </c:pt>
                <c:pt idx="16">
                  <c:v>1666.59</c:v>
                </c:pt>
                <c:pt idx="17">
                  <c:v>1621.79</c:v>
                </c:pt>
                <c:pt idx="18">
                  <c:v>1607.8899999999999</c:v>
                </c:pt>
                <c:pt idx="19">
                  <c:v>1916.0500000000002</c:v>
                </c:pt>
                <c:pt idx="20">
                  <c:v>1796.0900000000001</c:v>
                </c:pt>
                <c:pt idx="21">
                  <c:v>1703.79</c:v>
                </c:pt>
                <c:pt idx="22">
                  <c:v>1577.4900000000002</c:v>
                </c:pt>
                <c:pt idx="23">
                  <c:v>1474.9900000000002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DFD-405E-B36F-006B1ADC1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62A-40C1-92CD-8732C0C8BB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62A-40C1-92CD-8732C0C8BB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62A-40C1-92CD-8732C0C8BB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62A-40C1-92CD-8732C0C8BB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62A-40C1-92CD-8732C0C8BB0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462A-40C1-92CD-8732C0C8BB0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'23'!$AL$16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'23'!$AM$16:$BJ$16</c:f>
              <c:numCache>
                <c:formatCode>General</c:formatCode>
                <c:ptCount val="24"/>
                <c:pt idx="0">
                  <c:v>516.15000000000009</c:v>
                </c:pt>
                <c:pt idx="1">
                  <c:v>516.15000000000009</c:v>
                </c:pt>
                <c:pt idx="2">
                  <c:v>516.15000000000009</c:v>
                </c:pt>
                <c:pt idx="3">
                  <c:v>516.15000000000009</c:v>
                </c:pt>
                <c:pt idx="4">
                  <c:v>516.15000000000009</c:v>
                </c:pt>
                <c:pt idx="5">
                  <c:v>516.15000000000009</c:v>
                </c:pt>
                <c:pt idx="6">
                  <c:v>516.15000000000009</c:v>
                </c:pt>
                <c:pt idx="7">
                  <c:v>516.15000000000009</c:v>
                </c:pt>
                <c:pt idx="8">
                  <c:v>519.15000000000009</c:v>
                </c:pt>
                <c:pt idx="9">
                  <c:v>519.15000000000009</c:v>
                </c:pt>
                <c:pt idx="10">
                  <c:v>519.15000000000009</c:v>
                </c:pt>
                <c:pt idx="11">
                  <c:v>519.15000000000009</c:v>
                </c:pt>
                <c:pt idx="12">
                  <c:v>519.15000000000009</c:v>
                </c:pt>
                <c:pt idx="13">
                  <c:v>519.15000000000009</c:v>
                </c:pt>
                <c:pt idx="14">
                  <c:v>486.34999999999997</c:v>
                </c:pt>
                <c:pt idx="15">
                  <c:v>486.34999999999997</c:v>
                </c:pt>
                <c:pt idx="16">
                  <c:v>486.34999999999997</c:v>
                </c:pt>
                <c:pt idx="17">
                  <c:v>486.34999999999997</c:v>
                </c:pt>
                <c:pt idx="18" formatCode="0.0">
                  <c:v>485.45</c:v>
                </c:pt>
                <c:pt idx="19" formatCode="0.0">
                  <c:v>483.45</c:v>
                </c:pt>
                <c:pt idx="20" formatCode="0.0">
                  <c:v>486.34999999999997</c:v>
                </c:pt>
                <c:pt idx="21" formatCode="0.0">
                  <c:v>486.34999999999997</c:v>
                </c:pt>
                <c:pt idx="22" formatCode="0.0">
                  <c:v>486.34999999999997</c:v>
                </c:pt>
                <c:pt idx="23" formatCode="0.0">
                  <c:v>486.34999999999997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4-40FC-B238-505436BF38D3}"/>
            </c:ext>
          </c:extLst>
        </c:ser>
        <c:ser>
          <c:idx val="2"/>
          <c:order val="1"/>
          <c:tx>
            <c:strRef>
              <c:f>'23'!$AL$17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'23'!$AM$17:$BJ$17</c:f>
              <c:numCache>
                <c:formatCode>General</c:formatCode>
                <c:ptCount val="24"/>
                <c:pt idx="0">
                  <c:v>102.2</c:v>
                </c:pt>
                <c:pt idx="1">
                  <c:v>64</c:v>
                </c:pt>
                <c:pt idx="2">
                  <c:v>104.4</c:v>
                </c:pt>
                <c:pt idx="3">
                  <c:v>104.4</c:v>
                </c:pt>
                <c:pt idx="4">
                  <c:v>104.4</c:v>
                </c:pt>
                <c:pt idx="5">
                  <c:v>104.4</c:v>
                </c:pt>
                <c:pt idx="6">
                  <c:v>49</c:v>
                </c:pt>
                <c:pt idx="7">
                  <c:v>34</c:v>
                </c:pt>
                <c:pt idx="8">
                  <c:v>35.5</c:v>
                </c:pt>
                <c:pt idx="9">
                  <c:v>35.5</c:v>
                </c:pt>
                <c:pt idx="10">
                  <c:v>35.200000000000003</c:v>
                </c:pt>
                <c:pt idx="11">
                  <c:v>35.400000000000006</c:v>
                </c:pt>
                <c:pt idx="12">
                  <c:v>35.400000000000006</c:v>
                </c:pt>
                <c:pt idx="13">
                  <c:v>35.400000000000006</c:v>
                </c:pt>
                <c:pt idx="14">
                  <c:v>32.299999999999997</c:v>
                </c:pt>
                <c:pt idx="15">
                  <c:v>32.299999999999997</c:v>
                </c:pt>
                <c:pt idx="16">
                  <c:v>32.299999999999997</c:v>
                </c:pt>
                <c:pt idx="17">
                  <c:v>32.299999999999997</c:v>
                </c:pt>
                <c:pt idx="18" formatCode="0.0">
                  <c:v>67.900000000000006</c:v>
                </c:pt>
                <c:pt idx="19" formatCode="0.0">
                  <c:v>417.8</c:v>
                </c:pt>
                <c:pt idx="20" formatCode="0.0">
                  <c:v>418.3</c:v>
                </c:pt>
                <c:pt idx="21" formatCode="0.0">
                  <c:v>418.3</c:v>
                </c:pt>
                <c:pt idx="22" formatCode="0.0">
                  <c:v>106.8</c:v>
                </c:pt>
                <c:pt idx="23" formatCode="0.0">
                  <c:v>106.8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84-40FC-B238-505436BF38D3}"/>
            </c:ext>
          </c:extLst>
        </c:ser>
        <c:ser>
          <c:idx val="3"/>
          <c:order val="2"/>
          <c:tx>
            <c:strRef>
              <c:f>'23'!$AL$18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'23'!$AM$18:$BJ$18</c:f>
              <c:numCache>
                <c:formatCode>General</c:formatCode>
                <c:ptCount val="24"/>
                <c:pt idx="0">
                  <c:v>184.34</c:v>
                </c:pt>
                <c:pt idx="1">
                  <c:v>149.54</c:v>
                </c:pt>
                <c:pt idx="2">
                  <c:v>162.94</c:v>
                </c:pt>
                <c:pt idx="3">
                  <c:v>162.94</c:v>
                </c:pt>
                <c:pt idx="4">
                  <c:v>145.24</c:v>
                </c:pt>
                <c:pt idx="5">
                  <c:v>173.44</c:v>
                </c:pt>
                <c:pt idx="6">
                  <c:v>144.94</c:v>
                </c:pt>
                <c:pt idx="7">
                  <c:v>161.94</c:v>
                </c:pt>
                <c:pt idx="8">
                  <c:v>233.34</c:v>
                </c:pt>
                <c:pt idx="9">
                  <c:v>236.34</c:v>
                </c:pt>
                <c:pt idx="10">
                  <c:v>230.54000000000002</c:v>
                </c:pt>
                <c:pt idx="11">
                  <c:v>226.64</c:v>
                </c:pt>
                <c:pt idx="12">
                  <c:v>226.64</c:v>
                </c:pt>
                <c:pt idx="13">
                  <c:v>191.33999999999997</c:v>
                </c:pt>
                <c:pt idx="14">
                  <c:v>206.24000000000004</c:v>
                </c:pt>
                <c:pt idx="15">
                  <c:v>175.6</c:v>
                </c:pt>
                <c:pt idx="16">
                  <c:v>175.6</c:v>
                </c:pt>
                <c:pt idx="17">
                  <c:v>175.6</c:v>
                </c:pt>
                <c:pt idx="18" formatCode="0.0">
                  <c:v>152.13999999999996</c:v>
                </c:pt>
                <c:pt idx="19" formatCode="0.0">
                  <c:v>382.2</c:v>
                </c:pt>
                <c:pt idx="20" formatCode="0.0">
                  <c:v>315.33999999999997</c:v>
                </c:pt>
                <c:pt idx="21" formatCode="0.0">
                  <c:v>284.74</c:v>
                </c:pt>
                <c:pt idx="22" formatCode="0.0">
                  <c:v>321.74</c:v>
                </c:pt>
                <c:pt idx="23" formatCode="0.0">
                  <c:v>251.73999999999998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84-40FC-B238-505436BF38D3}"/>
            </c:ext>
          </c:extLst>
        </c:ser>
        <c:ser>
          <c:idx val="0"/>
          <c:order val="3"/>
          <c:tx>
            <c:strRef>
              <c:f>'23'!$AL$19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'23'!$AM$19:$BJ$19</c:f>
              <c:numCache>
                <c:formatCode>General</c:formatCode>
                <c:ptCount val="24"/>
                <c:pt idx="0">
                  <c:v>184.10000000000002</c:v>
                </c:pt>
                <c:pt idx="1">
                  <c:v>240.9</c:v>
                </c:pt>
                <c:pt idx="2">
                  <c:v>163.60000000000002</c:v>
                </c:pt>
                <c:pt idx="3">
                  <c:v>142.69999999999999</c:v>
                </c:pt>
                <c:pt idx="4">
                  <c:v>159.30000000000001</c:v>
                </c:pt>
                <c:pt idx="5">
                  <c:v>162.60000000000002</c:v>
                </c:pt>
                <c:pt idx="6">
                  <c:v>416</c:v>
                </c:pt>
                <c:pt idx="7">
                  <c:v>787.1</c:v>
                </c:pt>
                <c:pt idx="8">
                  <c:v>807.4</c:v>
                </c:pt>
                <c:pt idx="9">
                  <c:v>809.6</c:v>
                </c:pt>
                <c:pt idx="10">
                  <c:v>842.7</c:v>
                </c:pt>
                <c:pt idx="11">
                  <c:v>810</c:v>
                </c:pt>
                <c:pt idx="12">
                  <c:v>774.5</c:v>
                </c:pt>
                <c:pt idx="13">
                  <c:v>816.7</c:v>
                </c:pt>
                <c:pt idx="14">
                  <c:v>826.69999999999993</c:v>
                </c:pt>
                <c:pt idx="15">
                  <c:v>874.3</c:v>
                </c:pt>
                <c:pt idx="16">
                  <c:v>854.8</c:v>
                </c:pt>
                <c:pt idx="17">
                  <c:v>789.3</c:v>
                </c:pt>
                <c:pt idx="18" formatCode="0.0">
                  <c:v>693.2</c:v>
                </c:pt>
                <c:pt idx="19" formatCode="0.0">
                  <c:v>178.29999999999998</c:v>
                </c:pt>
                <c:pt idx="20" formatCode="0.0">
                  <c:v>154</c:v>
                </c:pt>
                <c:pt idx="21" formatCode="0.0">
                  <c:v>152</c:v>
                </c:pt>
                <c:pt idx="22" formatCode="0.0">
                  <c:v>267</c:v>
                </c:pt>
                <c:pt idx="23" formatCode="0.0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84-40FC-B238-505436BF38D3}"/>
            </c:ext>
          </c:extLst>
        </c:ser>
        <c:ser>
          <c:idx val="4"/>
          <c:order val="4"/>
          <c:tx>
            <c:strRef>
              <c:f>'23'!$AL$20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'23'!$AM$20:$BJ$20</c:f>
              <c:numCache>
                <c:formatCode>General</c:formatCode>
                <c:ptCount val="24"/>
                <c:pt idx="0">
                  <c:v>98.3</c:v>
                </c:pt>
                <c:pt idx="1">
                  <c:v>49.5</c:v>
                </c:pt>
                <c:pt idx="2">
                  <c:v>98.3</c:v>
                </c:pt>
                <c:pt idx="3">
                  <c:v>98.3</c:v>
                </c:pt>
                <c:pt idx="4">
                  <c:v>98.3</c:v>
                </c:pt>
                <c:pt idx="5">
                  <c:v>98.3</c:v>
                </c:pt>
                <c:pt idx="6">
                  <c:v>98.3</c:v>
                </c:pt>
                <c:pt idx="7">
                  <c:v>60.6</c:v>
                </c:pt>
                <c:pt idx="8">
                  <c:v>78.7</c:v>
                </c:pt>
                <c:pt idx="9">
                  <c:v>78.7</c:v>
                </c:pt>
                <c:pt idx="10">
                  <c:v>79.099999999999994</c:v>
                </c:pt>
                <c:pt idx="11">
                  <c:v>79.099999999999994</c:v>
                </c:pt>
                <c:pt idx="12">
                  <c:v>79.099999999999994</c:v>
                </c:pt>
                <c:pt idx="13">
                  <c:v>89.1</c:v>
                </c:pt>
                <c:pt idx="14">
                  <c:v>98.8</c:v>
                </c:pt>
                <c:pt idx="15">
                  <c:v>96.509999999999991</c:v>
                </c:pt>
                <c:pt idx="16">
                  <c:v>96.509999999999991</c:v>
                </c:pt>
                <c:pt idx="17">
                  <c:v>96.509999999999991</c:v>
                </c:pt>
                <c:pt idx="18" formatCode="0.0">
                  <c:v>75.8</c:v>
                </c:pt>
                <c:pt idx="19" formatCode="0.0">
                  <c:v>94.7</c:v>
                </c:pt>
                <c:pt idx="20" formatCode="0.0">
                  <c:v>94</c:v>
                </c:pt>
                <c:pt idx="21" formatCode="0.0">
                  <c:v>94</c:v>
                </c:pt>
                <c:pt idx="22" formatCode="0.0">
                  <c:v>95</c:v>
                </c:pt>
                <c:pt idx="23" formatCode="0.0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84-40FC-B238-505436BF38D3}"/>
            </c:ext>
          </c:extLst>
        </c:ser>
        <c:ser>
          <c:idx val="5"/>
          <c:order val="5"/>
          <c:tx>
            <c:strRef>
              <c:f>'23'!$AL$21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'23'!$AM$21:$BJ$21</c:f>
              <c:numCache>
                <c:formatCode>General</c:formatCode>
                <c:ptCount val="24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  <c:pt idx="6">
                  <c:v>200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30</c:v>
                </c:pt>
                <c:pt idx="12">
                  <c:v>30</c:v>
                </c:pt>
                <c:pt idx="13">
                  <c:v>35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 formatCode="0.0">
                  <c:v>0</c:v>
                </c:pt>
                <c:pt idx="19" formatCode="0.0">
                  <c:v>300</c:v>
                </c:pt>
                <c:pt idx="20" formatCode="0.0">
                  <c:v>300</c:v>
                </c:pt>
                <c:pt idx="21" formatCode="0.0">
                  <c:v>300</c:v>
                </c:pt>
                <c:pt idx="22" formatCode="0.0">
                  <c:v>300</c:v>
                </c:pt>
                <c:pt idx="23" formatCode="0.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B84-40FC-B238-505436BF3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'23'!$AL$23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84-40FC-B238-505436BF3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'23'!$AL$22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'23'!$AM$22:$BJ$22</c:f>
              <c:numCache>
                <c:formatCode>General</c:formatCode>
                <c:ptCount val="24"/>
                <c:pt idx="0">
                  <c:v>1435.0900000000001</c:v>
                </c:pt>
                <c:pt idx="1">
                  <c:v>1370.0900000000001</c:v>
                </c:pt>
                <c:pt idx="2">
                  <c:v>1395.39</c:v>
                </c:pt>
                <c:pt idx="3">
                  <c:v>1374.49</c:v>
                </c:pt>
                <c:pt idx="4">
                  <c:v>1373.39</c:v>
                </c:pt>
                <c:pt idx="5">
                  <c:v>1404.89</c:v>
                </c:pt>
                <c:pt idx="6">
                  <c:v>1424.39</c:v>
                </c:pt>
                <c:pt idx="7">
                  <c:v>1609.79</c:v>
                </c:pt>
                <c:pt idx="8">
                  <c:v>1724.0900000000001</c:v>
                </c:pt>
                <c:pt idx="9">
                  <c:v>1729.2900000000002</c:v>
                </c:pt>
                <c:pt idx="10">
                  <c:v>1756.69</c:v>
                </c:pt>
                <c:pt idx="11">
                  <c:v>1700.29</c:v>
                </c:pt>
                <c:pt idx="12">
                  <c:v>1664.79</c:v>
                </c:pt>
                <c:pt idx="13">
                  <c:v>1686.69</c:v>
                </c:pt>
                <c:pt idx="14">
                  <c:v>1680.3899999999999</c:v>
                </c:pt>
                <c:pt idx="15">
                  <c:v>1695.06</c:v>
                </c:pt>
                <c:pt idx="16">
                  <c:v>1675.56</c:v>
                </c:pt>
                <c:pt idx="17">
                  <c:v>1610.06</c:v>
                </c:pt>
                <c:pt idx="18">
                  <c:v>1474.49</c:v>
                </c:pt>
                <c:pt idx="19">
                  <c:v>1856.45</c:v>
                </c:pt>
                <c:pt idx="20">
                  <c:v>1767.99</c:v>
                </c:pt>
                <c:pt idx="21">
                  <c:v>1735.3899999999999</c:v>
                </c:pt>
                <c:pt idx="22">
                  <c:v>1576.8899999999999</c:v>
                </c:pt>
                <c:pt idx="23">
                  <c:v>1463.8899999999999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6B84-40FC-B238-505436BF38D3}"/>
            </c:ext>
          </c:extLst>
        </c:ser>
        <c:ser>
          <c:idx val="8"/>
          <c:order val="8"/>
          <c:tx>
            <c:strRef>
              <c:f>'23'!$AL$24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'23'!$AM$24:$BJ$24</c:f>
              <c:numCache>
                <c:formatCode>General</c:formatCode>
                <c:ptCount val="24"/>
                <c:pt idx="0">
                  <c:v>1435.0900000000001</c:v>
                </c:pt>
                <c:pt idx="1">
                  <c:v>1369.0900000000001</c:v>
                </c:pt>
                <c:pt idx="2">
                  <c:v>1393.39</c:v>
                </c:pt>
                <c:pt idx="3">
                  <c:v>1374.49</c:v>
                </c:pt>
                <c:pt idx="4">
                  <c:v>1373.39</c:v>
                </c:pt>
                <c:pt idx="5">
                  <c:v>1404.89</c:v>
                </c:pt>
                <c:pt idx="6">
                  <c:v>1424.39</c:v>
                </c:pt>
                <c:pt idx="7">
                  <c:v>1609.79</c:v>
                </c:pt>
                <c:pt idx="8">
                  <c:v>1724.0900000000001</c:v>
                </c:pt>
                <c:pt idx="9">
                  <c:v>1729.2900000000002</c:v>
                </c:pt>
                <c:pt idx="10">
                  <c:v>1756.69</c:v>
                </c:pt>
                <c:pt idx="11">
                  <c:v>1700.29</c:v>
                </c:pt>
                <c:pt idx="12">
                  <c:v>1664.79</c:v>
                </c:pt>
                <c:pt idx="13">
                  <c:v>1686.69</c:v>
                </c:pt>
                <c:pt idx="14">
                  <c:v>1680.3899999999999</c:v>
                </c:pt>
                <c:pt idx="15">
                  <c:v>1695.06</c:v>
                </c:pt>
                <c:pt idx="16">
                  <c:v>1675.56</c:v>
                </c:pt>
                <c:pt idx="17">
                  <c:v>1610.06</c:v>
                </c:pt>
                <c:pt idx="18">
                  <c:v>1474.49</c:v>
                </c:pt>
                <c:pt idx="19">
                  <c:v>1856.45</c:v>
                </c:pt>
                <c:pt idx="20">
                  <c:v>1767.99</c:v>
                </c:pt>
                <c:pt idx="21">
                  <c:v>1735.3899999999999</c:v>
                </c:pt>
                <c:pt idx="22">
                  <c:v>1576.8899999999999</c:v>
                </c:pt>
                <c:pt idx="23">
                  <c:v>1463.8899999999999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B84-40FC-B238-505436BF3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A85-4D85-9FDF-E1DA81F0DF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A85-4D85-9FDF-E1DA81F0DF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A85-4D85-9FDF-E1DA81F0DF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A85-4D85-9FDF-E1DA81F0DF2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A85-4D85-9FDF-E1DA81F0DF2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7A85-4D85-9FDF-E1DA81F0DF2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'24'!$AL$16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'24'!$AM$16:$BJ$16</c:f>
              <c:numCache>
                <c:formatCode>General</c:formatCode>
                <c:ptCount val="24"/>
                <c:pt idx="0">
                  <c:v>486.34999999999997</c:v>
                </c:pt>
                <c:pt idx="1">
                  <c:v>486.34999999999997</c:v>
                </c:pt>
                <c:pt idx="2">
                  <c:v>486.34999999999997</c:v>
                </c:pt>
                <c:pt idx="3">
                  <c:v>486.34999999999997</c:v>
                </c:pt>
                <c:pt idx="4">
                  <c:v>486.34999999999997</c:v>
                </c:pt>
                <c:pt idx="5">
                  <c:v>486.34999999999997</c:v>
                </c:pt>
                <c:pt idx="6">
                  <c:v>486.34999999999997</c:v>
                </c:pt>
                <c:pt idx="7">
                  <c:v>486.34999999999997</c:v>
                </c:pt>
                <c:pt idx="8">
                  <c:v>486.34999999999997</c:v>
                </c:pt>
                <c:pt idx="9">
                  <c:v>486.34999999999997</c:v>
                </c:pt>
                <c:pt idx="10">
                  <c:v>486.34999999999997</c:v>
                </c:pt>
                <c:pt idx="11">
                  <c:v>486.34999999999997</c:v>
                </c:pt>
                <c:pt idx="12">
                  <c:v>486.34999999999997</c:v>
                </c:pt>
                <c:pt idx="13">
                  <c:v>486.34999999999997</c:v>
                </c:pt>
                <c:pt idx="14">
                  <c:v>486.34999999999997</c:v>
                </c:pt>
                <c:pt idx="15">
                  <c:v>486.34999999999997</c:v>
                </c:pt>
                <c:pt idx="16">
                  <c:v>486.34999999999997</c:v>
                </c:pt>
                <c:pt idx="17">
                  <c:v>486.34999999999997</c:v>
                </c:pt>
                <c:pt idx="18" formatCode="0.0">
                  <c:v>486.34999999999997</c:v>
                </c:pt>
                <c:pt idx="19" formatCode="0.0">
                  <c:v>486.34999999999997</c:v>
                </c:pt>
                <c:pt idx="20" formatCode="0.0">
                  <c:v>477.95</c:v>
                </c:pt>
                <c:pt idx="21" formatCode="0.0">
                  <c:v>479.04999999999995</c:v>
                </c:pt>
                <c:pt idx="22" formatCode="0.0">
                  <c:v>479.04999999999995</c:v>
                </c:pt>
                <c:pt idx="23" formatCode="0.0">
                  <c:v>479.04999999999995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B6-47D8-84C8-3F3A13399444}"/>
            </c:ext>
          </c:extLst>
        </c:ser>
        <c:ser>
          <c:idx val="2"/>
          <c:order val="1"/>
          <c:tx>
            <c:strRef>
              <c:f>'24'!$AL$17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'24'!$AM$17:$BJ$17</c:f>
              <c:numCache>
                <c:formatCode>General</c:formatCode>
                <c:ptCount val="24"/>
                <c:pt idx="0">
                  <c:v>106.8</c:v>
                </c:pt>
                <c:pt idx="1">
                  <c:v>106.8</c:v>
                </c:pt>
                <c:pt idx="2">
                  <c:v>106.8</c:v>
                </c:pt>
                <c:pt idx="3">
                  <c:v>106.8</c:v>
                </c:pt>
                <c:pt idx="4">
                  <c:v>106.8</c:v>
                </c:pt>
                <c:pt idx="5">
                  <c:v>112.8</c:v>
                </c:pt>
                <c:pt idx="6">
                  <c:v>93.3</c:v>
                </c:pt>
                <c:pt idx="7">
                  <c:v>33.299999999999997</c:v>
                </c:pt>
                <c:pt idx="8">
                  <c:v>33.299999999999997</c:v>
                </c:pt>
                <c:pt idx="9">
                  <c:v>33.299999999999997</c:v>
                </c:pt>
                <c:pt idx="10">
                  <c:v>33.299999999999997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 formatCode="0.0">
                  <c:v>32</c:v>
                </c:pt>
                <c:pt idx="19" formatCode="0.0">
                  <c:v>416.8</c:v>
                </c:pt>
                <c:pt idx="20" formatCode="0.0">
                  <c:v>356</c:v>
                </c:pt>
                <c:pt idx="21" formatCode="0.0">
                  <c:v>334.2</c:v>
                </c:pt>
                <c:pt idx="22" formatCode="0.0">
                  <c:v>103.5</c:v>
                </c:pt>
                <c:pt idx="23" formatCode="0.0">
                  <c:v>103.9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B6-47D8-84C8-3F3A13399444}"/>
            </c:ext>
          </c:extLst>
        </c:ser>
        <c:ser>
          <c:idx val="3"/>
          <c:order val="2"/>
          <c:tx>
            <c:strRef>
              <c:f>'24'!$AL$18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'24'!$AM$18:$BJ$18</c:f>
              <c:numCache>
                <c:formatCode>General</c:formatCode>
                <c:ptCount val="24"/>
                <c:pt idx="0">
                  <c:v>211.73999999999998</c:v>
                </c:pt>
                <c:pt idx="1">
                  <c:v>205.73999999999998</c:v>
                </c:pt>
                <c:pt idx="2">
                  <c:v>205.73999999999998</c:v>
                </c:pt>
                <c:pt idx="3">
                  <c:v>197.94</c:v>
                </c:pt>
                <c:pt idx="4">
                  <c:v>193.33999999999997</c:v>
                </c:pt>
                <c:pt idx="5">
                  <c:v>193.43999999999997</c:v>
                </c:pt>
                <c:pt idx="6">
                  <c:v>154.73999999999998</c:v>
                </c:pt>
                <c:pt idx="7">
                  <c:v>159.04</c:v>
                </c:pt>
                <c:pt idx="8">
                  <c:v>161.83999999999997</c:v>
                </c:pt>
                <c:pt idx="9">
                  <c:v>177.84</c:v>
                </c:pt>
                <c:pt idx="10">
                  <c:v>186.34</c:v>
                </c:pt>
                <c:pt idx="11">
                  <c:v>194.04</c:v>
                </c:pt>
                <c:pt idx="12">
                  <c:v>194.04</c:v>
                </c:pt>
                <c:pt idx="13">
                  <c:v>151.63999999999999</c:v>
                </c:pt>
                <c:pt idx="14">
                  <c:v>98.34</c:v>
                </c:pt>
                <c:pt idx="15">
                  <c:v>91.940000000000012</c:v>
                </c:pt>
                <c:pt idx="16">
                  <c:v>86.140000000000015</c:v>
                </c:pt>
                <c:pt idx="17">
                  <c:v>71.440000000000012</c:v>
                </c:pt>
                <c:pt idx="18" formatCode="0.0">
                  <c:v>156.74</c:v>
                </c:pt>
                <c:pt idx="19" formatCode="0.0">
                  <c:v>373.44000000000005</c:v>
                </c:pt>
                <c:pt idx="20" formatCode="0.0">
                  <c:v>369.44</c:v>
                </c:pt>
                <c:pt idx="21" formatCode="0.0">
                  <c:v>328.23999999999995</c:v>
                </c:pt>
                <c:pt idx="22" formatCode="0.0">
                  <c:v>341.04</c:v>
                </c:pt>
                <c:pt idx="23" formatCode="0.0">
                  <c:v>277.44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B6-47D8-84C8-3F3A13399444}"/>
            </c:ext>
          </c:extLst>
        </c:ser>
        <c:ser>
          <c:idx val="0"/>
          <c:order val="3"/>
          <c:tx>
            <c:strRef>
              <c:f>'24'!$AL$19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'24'!$AM$19:$BJ$19</c:f>
              <c:numCache>
                <c:formatCode>General</c:formatCode>
                <c:ptCount val="24"/>
                <c:pt idx="0">
                  <c:v>210</c:v>
                </c:pt>
                <c:pt idx="1">
                  <c:v>180</c:v>
                </c:pt>
                <c:pt idx="2">
                  <c:v>155</c:v>
                </c:pt>
                <c:pt idx="3">
                  <c:v>137.4</c:v>
                </c:pt>
                <c:pt idx="4">
                  <c:v>129.1</c:v>
                </c:pt>
                <c:pt idx="5">
                  <c:v>141</c:v>
                </c:pt>
                <c:pt idx="6">
                  <c:v>429.2</c:v>
                </c:pt>
                <c:pt idx="7">
                  <c:v>823.8</c:v>
                </c:pt>
                <c:pt idx="8">
                  <c:v>823.7</c:v>
                </c:pt>
                <c:pt idx="9">
                  <c:v>828.1</c:v>
                </c:pt>
                <c:pt idx="10">
                  <c:v>827</c:v>
                </c:pt>
                <c:pt idx="11">
                  <c:v>846.9</c:v>
                </c:pt>
                <c:pt idx="12">
                  <c:v>639.70000000000005</c:v>
                </c:pt>
                <c:pt idx="13">
                  <c:v>765.7</c:v>
                </c:pt>
                <c:pt idx="14">
                  <c:v>871.39999999999986</c:v>
                </c:pt>
                <c:pt idx="15">
                  <c:v>877.8</c:v>
                </c:pt>
                <c:pt idx="16">
                  <c:v>848.40000000000009</c:v>
                </c:pt>
                <c:pt idx="17">
                  <c:v>826.8</c:v>
                </c:pt>
                <c:pt idx="18" formatCode="0.0">
                  <c:v>615.5</c:v>
                </c:pt>
                <c:pt idx="19" formatCode="0.0">
                  <c:v>121.3</c:v>
                </c:pt>
                <c:pt idx="20" formatCode="0.0">
                  <c:v>123.9</c:v>
                </c:pt>
                <c:pt idx="21" formatCode="0.0">
                  <c:v>104</c:v>
                </c:pt>
                <c:pt idx="22" formatCode="0.0">
                  <c:v>206.40000000000003</c:v>
                </c:pt>
                <c:pt idx="23" formatCode="0.0">
                  <c:v>187.3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B6-47D8-84C8-3F3A13399444}"/>
            </c:ext>
          </c:extLst>
        </c:ser>
        <c:ser>
          <c:idx val="4"/>
          <c:order val="4"/>
          <c:tx>
            <c:strRef>
              <c:f>'24'!$AL$20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'24'!$AM$20:$BJ$20</c:f>
              <c:numCache>
                <c:formatCode>General</c:formatCode>
                <c:ptCount val="24"/>
                <c:pt idx="0">
                  <c:v>96</c:v>
                </c:pt>
                <c:pt idx="1">
                  <c:v>96</c:v>
                </c:pt>
                <c:pt idx="2">
                  <c:v>96</c:v>
                </c:pt>
                <c:pt idx="3">
                  <c:v>96</c:v>
                </c:pt>
                <c:pt idx="4">
                  <c:v>96</c:v>
                </c:pt>
                <c:pt idx="5">
                  <c:v>96</c:v>
                </c:pt>
                <c:pt idx="6">
                  <c:v>45</c:v>
                </c:pt>
                <c:pt idx="7">
                  <c:v>15.4</c:v>
                </c:pt>
                <c:pt idx="8">
                  <c:v>46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100</c:v>
                </c:pt>
                <c:pt idx="13">
                  <c:v>0</c:v>
                </c:pt>
                <c:pt idx="14">
                  <c:v>0</c:v>
                </c:pt>
                <c:pt idx="15">
                  <c:v>19.2</c:v>
                </c:pt>
                <c:pt idx="16">
                  <c:v>27.9</c:v>
                </c:pt>
                <c:pt idx="17">
                  <c:v>43.76</c:v>
                </c:pt>
                <c:pt idx="18" formatCode="0.0">
                  <c:v>44.300000000000004</c:v>
                </c:pt>
                <c:pt idx="19" formatCode="0.0">
                  <c:v>93.100000000000009</c:v>
                </c:pt>
                <c:pt idx="20" formatCode="0.0">
                  <c:v>94.6</c:v>
                </c:pt>
                <c:pt idx="21" formatCode="0.0">
                  <c:v>93.399999999999991</c:v>
                </c:pt>
                <c:pt idx="22" formatCode="0.0">
                  <c:v>92.5</c:v>
                </c:pt>
                <c:pt idx="23" formatCode="0.0">
                  <c:v>92.7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B6-47D8-84C8-3F3A13399444}"/>
            </c:ext>
          </c:extLst>
        </c:ser>
        <c:ser>
          <c:idx val="5"/>
          <c:order val="5"/>
          <c:tx>
            <c:strRef>
              <c:f>'24'!$AL$21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'24'!$AM$21:$BJ$21</c:f>
              <c:numCache>
                <c:formatCode>General</c:formatCode>
                <c:ptCount val="24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200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300</c:v>
                </c:pt>
                <c:pt idx="20" formatCode="0.0">
                  <c:v>290</c:v>
                </c:pt>
                <c:pt idx="21" formatCode="0.0">
                  <c:v>280</c:v>
                </c:pt>
                <c:pt idx="22" formatCode="0.0">
                  <c:v>280</c:v>
                </c:pt>
                <c:pt idx="23" formatCode="0.0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B6-47D8-84C8-3F3A13399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'24'!$AL$23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B6-47D8-84C8-3F3A13399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'24'!$AL$22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'24'!$AM$22:$BJ$22</c:f>
              <c:numCache>
                <c:formatCode>General</c:formatCode>
                <c:ptCount val="24"/>
                <c:pt idx="0">
                  <c:v>1410.8899999999999</c:v>
                </c:pt>
                <c:pt idx="1">
                  <c:v>1374.8899999999999</c:v>
                </c:pt>
                <c:pt idx="2">
                  <c:v>1349.8899999999999</c:v>
                </c:pt>
                <c:pt idx="3">
                  <c:v>1324.4899999999998</c:v>
                </c:pt>
                <c:pt idx="4">
                  <c:v>1311.5900000000001</c:v>
                </c:pt>
                <c:pt idx="5">
                  <c:v>1329.59</c:v>
                </c:pt>
                <c:pt idx="6">
                  <c:v>1408.59</c:v>
                </c:pt>
                <c:pt idx="7">
                  <c:v>1517.8899999999999</c:v>
                </c:pt>
                <c:pt idx="8">
                  <c:v>1551.19</c:v>
                </c:pt>
                <c:pt idx="9">
                  <c:v>1525.5900000000001</c:v>
                </c:pt>
                <c:pt idx="10">
                  <c:v>1532.99</c:v>
                </c:pt>
                <c:pt idx="11">
                  <c:v>1559.29</c:v>
                </c:pt>
                <c:pt idx="12">
                  <c:v>1452.09</c:v>
                </c:pt>
                <c:pt idx="13">
                  <c:v>1435.69</c:v>
                </c:pt>
                <c:pt idx="14">
                  <c:v>1488.0899999999997</c:v>
                </c:pt>
                <c:pt idx="15">
                  <c:v>1507.29</c:v>
                </c:pt>
                <c:pt idx="16">
                  <c:v>1480.79</c:v>
                </c:pt>
                <c:pt idx="17">
                  <c:v>1460.35</c:v>
                </c:pt>
                <c:pt idx="18">
                  <c:v>1334.8899999999999</c:v>
                </c:pt>
                <c:pt idx="19">
                  <c:v>1790.99</c:v>
                </c:pt>
                <c:pt idx="20">
                  <c:v>1711.89</c:v>
                </c:pt>
                <c:pt idx="21">
                  <c:v>1618.89</c:v>
                </c:pt>
                <c:pt idx="22">
                  <c:v>1502.49</c:v>
                </c:pt>
                <c:pt idx="23">
                  <c:v>1420.3899999999999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36B6-47D8-84C8-3F3A13399444}"/>
            </c:ext>
          </c:extLst>
        </c:ser>
        <c:ser>
          <c:idx val="8"/>
          <c:order val="8"/>
          <c:tx>
            <c:strRef>
              <c:f>'24'!$AL$24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'24'!$AM$24:$BJ$24</c:f>
              <c:numCache>
                <c:formatCode>General</c:formatCode>
                <c:ptCount val="24"/>
                <c:pt idx="0">
                  <c:v>1410.8899999999999</c:v>
                </c:pt>
                <c:pt idx="1">
                  <c:v>1374.8899999999999</c:v>
                </c:pt>
                <c:pt idx="2">
                  <c:v>1349.8899999999999</c:v>
                </c:pt>
                <c:pt idx="3">
                  <c:v>1324.4899999999998</c:v>
                </c:pt>
                <c:pt idx="4">
                  <c:v>1311.5900000000001</c:v>
                </c:pt>
                <c:pt idx="5">
                  <c:v>1329.59</c:v>
                </c:pt>
                <c:pt idx="6">
                  <c:v>1408.59</c:v>
                </c:pt>
                <c:pt idx="7">
                  <c:v>1517.8899999999999</c:v>
                </c:pt>
                <c:pt idx="8">
                  <c:v>1551.19</c:v>
                </c:pt>
                <c:pt idx="9">
                  <c:v>1525.5900000000001</c:v>
                </c:pt>
                <c:pt idx="10">
                  <c:v>1532.99</c:v>
                </c:pt>
                <c:pt idx="11">
                  <c:v>1559.29</c:v>
                </c:pt>
                <c:pt idx="12">
                  <c:v>1452.09</c:v>
                </c:pt>
                <c:pt idx="13">
                  <c:v>1435.69</c:v>
                </c:pt>
                <c:pt idx="14">
                  <c:v>1488.0899999999997</c:v>
                </c:pt>
                <c:pt idx="15">
                  <c:v>1507.29</c:v>
                </c:pt>
                <c:pt idx="16">
                  <c:v>1480.79</c:v>
                </c:pt>
                <c:pt idx="17">
                  <c:v>1460.35</c:v>
                </c:pt>
                <c:pt idx="18">
                  <c:v>1334.8899999999999</c:v>
                </c:pt>
                <c:pt idx="19">
                  <c:v>1790.99</c:v>
                </c:pt>
                <c:pt idx="20">
                  <c:v>1711.89</c:v>
                </c:pt>
                <c:pt idx="21">
                  <c:v>1618.89</c:v>
                </c:pt>
                <c:pt idx="22">
                  <c:v>1502.49</c:v>
                </c:pt>
                <c:pt idx="23">
                  <c:v>1420.3899999999999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6B6-47D8-84C8-3F3A13399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6EB-4405-AA67-C67FC8BD37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6EB-4405-AA67-C67FC8BD37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6EB-4405-AA67-C67FC8BD379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6EB-4405-AA67-C67FC8BD379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6EB-4405-AA67-C67FC8BD379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6EB-4405-AA67-C67FC8BD379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'25'!$AL$16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'25'!$AM$16:$BJ$16</c:f>
              <c:numCache>
                <c:formatCode>General</c:formatCode>
                <c:ptCount val="24"/>
                <c:pt idx="0">
                  <c:v>479.04999999999995</c:v>
                </c:pt>
                <c:pt idx="1">
                  <c:v>477.65</c:v>
                </c:pt>
                <c:pt idx="2">
                  <c:v>477.15</c:v>
                </c:pt>
                <c:pt idx="3">
                  <c:v>477.15</c:v>
                </c:pt>
                <c:pt idx="4">
                  <c:v>477.15</c:v>
                </c:pt>
                <c:pt idx="5">
                  <c:v>477.15</c:v>
                </c:pt>
                <c:pt idx="6">
                  <c:v>477.15</c:v>
                </c:pt>
                <c:pt idx="7">
                  <c:v>477.15</c:v>
                </c:pt>
                <c:pt idx="8">
                  <c:v>476.54999999999995</c:v>
                </c:pt>
                <c:pt idx="9">
                  <c:v>478.04999999999995</c:v>
                </c:pt>
                <c:pt idx="10">
                  <c:v>477.15</c:v>
                </c:pt>
                <c:pt idx="11">
                  <c:v>477.65</c:v>
                </c:pt>
                <c:pt idx="12">
                  <c:v>477.54999999999995</c:v>
                </c:pt>
                <c:pt idx="13">
                  <c:v>476.95</c:v>
                </c:pt>
                <c:pt idx="14">
                  <c:v>476.95</c:v>
                </c:pt>
                <c:pt idx="15">
                  <c:v>476.95</c:v>
                </c:pt>
                <c:pt idx="16">
                  <c:v>150</c:v>
                </c:pt>
                <c:pt idx="17">
                  <c:v>476.95</c:v>
                </c:pt>
                <c:pt idx="18" formatCode="0.0">
                  <c:v>476.95</c:v>
                </c:pt>
                <c:pt idx="19" formatCode="0.0">
                  <c:v>476.95</c:v>
                </c:pt>
                <c:pt idx="20" formatCode="0.0">
                  <c:v>476.95</c:v>
                </c:pt>
                <c:pt idx="21" formatCode="0.0">
                  <c:v>476.95</c:v>
                </c:pt>
                <c:pt idx="22" formatCode="0.0">
                  <c:v>476.95</c:v>
                </c:pt>
                <c:pt idx="23" formatCode="0.0">
                  <c:v>476.95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4-4F0B-B9B6-972077009167}"/>
            </c:ext>
          </c:extLst>
        </c:ser>
        <c:ser>
          <c:idx val="2"/>
          <c:order val="1"/>
          <c:tx>
            <c:strRef>
              <c:f>'25'!$AL$17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'25'!$AM$17:$BJ$17</c:f>
              <c:numCache>
                <c:formatCode>General</c:formatCode>
                <c:ptCount val="24"/>
                <c:pt idx="0">
                  <c:v>102.7</c:v>
                </c:pt>
                <c:pt idx="1">
                  <c:v>102.7</c:v>
                </c:pt>
                <c:pt idx="2">
                  <c:v>103</c:v>
                </c:pt>
                <c:pt idx="3">
                  <c:v>108.4</c:v>
                </c:pt>
                <c:pt idx="4">
                  <c:v>108.4</c:v>
                </c:pt>
                <c:pt idx="5">
                  <c:v>108.4</c:v>
                </c:pt>
                <c:pt idx="6">
                  <c:v>108.4</c:v>
                </c:pt>
                <c:pt idx="7">
                  <c:v>32.4</c:v>
                </c:pt>
                <c:pt idx="8">
                  <c:v>32.299999999999997</c:v>
                </c:pt>
                <c:pt idx="9">
                  <c:v>32.299999999999997</c:v>
                </c:pt>
                <c:pt idx="10">
                  <c:v>32.4</c:v>
                </c:pt>
                <c:pt idx="11">
                  <c:v>32.4</c:v>
                </c:pt>
                <c:pt idx="12">
                  <c:v>32.299999999999997</c:v>
                </c:pt>
                <c:pt idx="13">
                  <c:v>31.4</c:v>
                </c:pt>
                <c:pt idx="14">
                  <c:v>31.4</c:v>
                </c:pt>
                <c:pt idx="15">
                  <c:v>31.4</c:v>
                </c:pt>
                <c:pt idx="16">
                  <c:v>0</c:v>
                </c:pt>
                <c:pt idx="17">
                  <c:v>31.4</c:v>
                </c:pt>
                <c:pt idx="18" formatCode="0.0">
                  <c:v>76.7</c:v>
                </c:pt>
                <c:pt idx="19" formatCode="0.0">
                  <c:v>418</c:v>
                </c:pt>
                <c:pt idx="20" formatCode="0.0">
                  <c:v>329</c:v>
                </c:pt>
                <c:pt idx="21" formatCode="0.0">
                  <c:v>105.9</c:v>
                </c:pt>
                <c:pt idx="22" formatCode="0.0">
                  <c:v>105.9</c:v>
                </c:pt>
                <c:pt idx="23" formatCode="0.0">
                  <c:v>105.9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24-4F0B-B9B6-972077009167}"/>
            </c:ext>
          </c:extLst>
        </c:ser>
        <c:ser>
          <c:idx val="3"/>
          <c:order val="2"/>
          <c:tx>
            <c:strRef>
              <c:f>'25'!$AL$18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'25'!$AM$18:$BJ$18</c:f>
              <c:numCache>
                <c:formatCode>General</c:formatCode>
                <c:ptCount val="24"/>
                <c:pt idx="0">
                  <c:v>246.84</c:v>
                </c:pt>
                <c:pt idx="1">
                  <c:v>180.94</c:v>
                </c:pt>
                <c:pt idx="2">
                  <c:v>171.33999999999997</c:v>
                </c:pt>
                <c:pt idx="3">
                  <c:v>116.94000000000001</c:v>
                </c:pt>
                <c:pt idx="4">
                  <c:v>116.94000000000001</c:v>
                </c:pt>
                <c:pt idx="5">
                  <c:v>115.24000000000001</c:v>
                </c:pt>
                <c:pt idx="6">
                  <c:v>216.73999999999998</c:v>
                </c:pt>
                <c:pt idx="7">
                  <c:v>212.73999999999995</c:v>
                </c:pt>
                <c:pt idx="8">
                  <c:v>265.94</c:v>
                </c:pt>
                <c:pt idx="9">
                  <c:v>264.84000000000003</c:v>
                </c:pt>
                <c:pt idx="10">
                  <c:v>253.34</c:v>
                </c:pt>
                <c:pt idx="11">
                  <c:v>236.93999999999997</c:v>
                </c:pt>
                <c:pt idx="12">
                  <c:v>243.84</c:v>
                </c:pt>
                <c:pt idx="13">
                  <c:v>233.93999999999997</c:v>
                </c:pt>
                <c:pt idx="14">
                  <c:v>228.43999999999997</c:v>
                </c:pt>
                <c:pt idx="15">
                  <c:v>209.94</c:v>
                </c:pt>
                <c:pt idx="16">
                  <c:v>3.54</c:v>
                </c:pt>
                <c:pt idx="17">
                  <c:v>153.83999999999997</c:v>
                </c:pt>
                <c:pt idx="18" formatCode="0.0">
                  <c:v>214.94</c:v>
                </c:pt>
                <c:pt idx="19" formatCode="0.0">
                  <c:v>316.33999999999997</c:v>
                </c:pt>
                <c:pt idx="20" formatCode="0.0">
                  <c:v>353.54</c:v>
                </c:pt>
                <c:pt idx="21" formatCode="0.0">
                  <c:v>236.03999999999996</c:v>
                </c:pt>
                <c:pt idx="22" formatCode="0.0">
                  <c:v>231.83999999999997</c:v>
                </c:pt>
                <c:pt idx="23" formatCode="0.0">
                  <c:v>182.83999999999997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24-4F0B-B9B6-972077009167}"/>
            </c:ext>
          </c:extLst>
        </c:ser>
        <c:ser>
          <c:idx val="0"/>
          <c:order val="3"/>
          <c:tx>
            <c:strRef>
              <c:f>'25'!$AL$19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'25'!$AM$19:$BJ$19</c:f>
              <c:numCache>
                <c:formatCode>General</c:formatCode>
                <c:ptCount val="24"/>
                <c:pt idx="0">
                  <c:v>153</c:v>
                </c:pt>
                <c:pt idx="1">
                  <c:v>195.4</c:v>
                </c:pt>
                <c:pt idx="2">
                  <c:v>171.70000000000002</c:v>
                </c:pt>
                <c:pt idx="3">
                  <c:v>201.2</c:v>
                </c:pt>
                <c:pt idx="4">
                  <c:v>191.10000000000002</c:v>
                </c:pt>
                <c:pt idx="5">
                  <c:v>225.7</c:v>
                </c:pt>
                <c:pt idx="6">
                  <c:v>267</c:v>
                </c:pt>
                <c:pt idx="7">
                  <c:v>803.5</c:v>
                </c:pt>
                <c:pt idx="8">
                  <c:v>898.5</c:v>
                </c:pt>
                <c:pt idx="9">
                  <c:v>875.6</c:v>
                </c:pt>
                <c:pt idx="10">
                  <c:v>864.2</c:v>
                </c:pt>
                <c:pt idx="11">
                  <c:v>826</c:v>
                </c:pt>
                <c:pt idx="12">
                  <c:v>892.6</c:v>
                </c:pt>
                <c:pt idx="13">
                  <c:v>898.19999999999982</c:v>
                </c:pt>
                <c:pt idx="14">
                  <c:v>895.5</c:v>
                </c:pt>
                <c:pt idx="15">
                  <c:v>873.5</c:v>
                </c:pt>
                <c:pt idx="16">
                  <c:v>0</c:v>
                </c:pt>
                <c:pt idx="17">
                  <c:v>852.5</c:v>
                </c:pt>
                <c:pt idx="18" formatCode="0.0">
                  <c:v>585.6</c:v>
                </c:pt>
                <c:pt idx="19" formatCode="0.0">
                  <c:v>158.80000000000001</c:v>
                </c:pt>
                <c:pt idx="20" formatCode="0.0">
                  <c:v>247.70000000000002</c:v>
                </c:pt>
                <c:pt idx="21" formatCode="0.0">
                  <c:v>353.3</c:v>
                </c:pt>
                <c:pt idx="22" formatCode="0.0">
                  <c:v>320</c:v>
                </c:pt>
                <c:pt idx="23" formatCode="0.0">
                  <c:v>326.7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24-4F0B-B9B6-972077009167}"/>
            </c:ext>
          </c:extLst>
        </c:ser>
        <c:ser>
          <c:idx val="4"/>
          <c:order val="4"/>
          <c:tx>
            <c:strRef>
              <c:f>'25'!$AL$20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'25'!$AM$20:$BJ$20</c:f>
              <c:numCache>
                <c:formatCode>General</c:formatCode>
                <c:ptCount val="24"/>
                <c:pt idx="0">
                  <c:v>92.899999999999991</c:v>
                </c:pt>
                <c:pt idx="1">
                  <c:v>94</c:v>
                </c:pt>
                <c:pt idx="2">
                  <c:v>93.9</c:v>
                </c:pt>
                <c:pt idx="3">
                  <c:v>93.9</c:v>
                </c:pt>
                <c:pt idx="4">
                  <c:v>93.9</c:v>
                </c:pt>
                <c:pt idx="5">
                  <c:v>93.9</c:v>
                </c:pt>
                <c:pt idx="6">
                  <c:v>93.9</c:v>
                </c:pt>
                <c:pt idx="7">
                  <c:v>35</c:v>
                </c:pt>
                <c:pt idx="8">
                  <c:v>30.500000000000004</c:v>
                </c:pt>
                <c:pt idx="9">
                  <c:v>48</c:v>
                </c:pt>
                <c:pt idx="10">
                  <c:v>86.5</c:v>
                </c:pt>
                <c:pt idx="11">
                  <c:v>77.2</c:v>
                </c:pt>
                <c:pt idx="12">
                  <c:v>77.600000000000009</c:v>
                </c:pt>
                <c:pt idx="13">
                  <c:v>59.3</c:v>
                </c:pt>
                <c:pt idx="14">
                  <c:v>88</c:v>
                </c:pt>
                <c:pt idx="15">
                  <c:v>90.1</c:v>
                </c:pt>
                <c:pt idx="16">
                  <c:v>0</c:v>
                </c:pt>
                <c:pt idx="17">
                  <c:v>50.099999999999994</c:v>
                </c:pt>
                <c:pt idx="18" formatCode="0.0">
                  <c:v>59.9</c:v>
                </c:pt>
                <c:pt idx="19" formatCode="0.0">
                  <c:v>95.399999999999991</c:v>
                </c:pt>
                <c:pt idx="20" formatCode="0.0">
                  <c:v>94.4</c:v>
                </c:pt>
                <c:pt idx="21" formatCode="0.0">
                  <c:v>94.4</c:v>
                </c:pt>
                <c:pt idx="22" formatCode="0.0">
                  <c:v>94.4</c:v>
                </c:pt>
                <c:pt idx="23" formatCode="0.0">
                  <c:v>94.4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24-4F0B-B9B6-972077009167}"/>
            </c:ext>
          </c:extLst>
        </c:ser>
        <c:ser>
          <c:idx val="5"/>
          <c:order val="5"/>
          <c:tx>
            <c:strRef>
              <c:f>'25'!$AL$21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'25'!$AM$21:$BJ$21</c:f>
              <c:numCache>
                <c:formatCode>General</c:formatCode>
                <c:ptCount val="24"/>
                <c:pt idx="0">
                  <c:v>280</c:v>
                </c:pt>
                <c:pt idx="1">
                  <c:v>280</c:v>
                </c:pt>
                <c:pt idx="2">
                  <c:v>280</c:v>
                </c:pt>
                <c:pt idx="3">
                  <c:v>280</c:v>
                </c:pt>
                <c:pt idx="4">
                  <c:v>280</c:v>
                </c:pt>
                <c:pt idx="5">
                  <c:v>280</c:v>
                </c:pt>
                <c:pt idx="6">
                  <c:v>260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370</c:v>
                </c:pt>
                <c:pt idx="20" formatCode="0.0">
                  <c:v>370</c:v>
                </c:pt>
                <c:pt idx="21" formatCode="0.0">
                  <c:v>370</c:v>
                </c:pt>
                <c:pt idx="22" formatCode="0.0">
                  <c:v>370</c:v>
                </c:pt>
                <c:pt idx="23" formatCode="0.0">
                  <c:v>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24-4F0B-B9B6-972077009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'25'!$AL$23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24-4F0B-B9B6-972077009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'25'!$AL$22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'25'!$AM$22:$BJ$22</c:f>
              <c:numCache>
                <c:formatCode>General</c:formatCode>
                <c:ptCount val="24"/>
                <c:pt idx="0">
                  <c:v>1354.49</c:v>
                </c:pt>
                <c:pt idx="1">
                  <c:v>1330.69</c:v>
                </c:pt>
                <c:pt idx="2">
                  <c:v>1297.0900000000001</c:v>
                </c:pt>
                <c:pt idx="3">
                  <c:v>1277.5900000000001</c:v>
                </c:pt>
                <c:pt idx="4">
                  <c:v>1267.49</c:v>
                </c:pt>
                <c:pt idx="5">
                  <c:v>1300.3899999999999</c:v>
                </c:pt>
                <c:pt idx="6">
                  <c:v>1423.19</c:v>
                </c:pt>
                <c:pt idx="7">
                  <c:v>1560.79</c:v>
                </c:pt>
                <c:pt idx="8">
                  <c:v>1703.79</c:v>
                </c:pt>
                <c:pt idx="9">
                  <c:v>1698.79</c:v>
                </c:pt>
                <c:pt idx="10">
                  <c:v>1713.5900000000001</c:v>
                </c:pt>
                <c:pt idx="11">
                  <c:v>1650.1899999999998</c:v>
                </c:pt>
                <c:pt idx="12">
                  <c:v>1723.8899999999999</c:v>
                </c:pt>
                <c:pt idx="13">
                  <c:v>1699.7899999999997</c:v>
                </c:pt>
                <c:pt idx="14">
                  <c:v>1720.29</c:v>
                </c:pt>
                <c:pt idx="15">
                  <c:v>1681.8899999999999</c:v>
                </c:pt>
                <c:pt idx="16">
                  <c:v>153.54</c:v>
                </c:pt>
                <c:pt idx="17">
                  <c:v>1564.79</c:v>
                </c:pt>
                <c:pt idx="18">
                  <c:v>1414.0900000000001</c:v>
                </c:pt>
                <c:pt idx="19">
                  <c:v>1835.49</c:v>
                </c:pt>
                <c:pt idx="20">
                  <c:v>1871.5900000000001</c:v>
                </c:pt>
                <c:pt idx="21">
                  <c:v>1636.5900000000001</c:v>
                </c:pt>
                <c:pt idx="22">
                  <c:v>1599.0900000000001</c:v>
                </c:pt>
                <c:pt idx="23">
                  <c:v>1556.7900000000002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A24-4F0B-B9B6-972077009167}"/>
            </c:ext>
          </c:extLst>
        </c:ser>
        <c:ser>
          <c:idx val="8"/>
          <c:order val="8"/>
          <c:tx>
            <c:strRef>
              <c:f>'25'!$AL$24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'25'!$AM$24:$BJ$24</c:f>
              <c:numCache>
                <c:formatCode>General</c:formatCode>
                <c:ptCount val="24"/>
                <c:pt idx="0">
                  <c:v>1354.49</c:v>
                </c:pt>
                <c:pt idx="1">
                  <c:v>1330.69</c:v>
                </c:pt>
                <c:pt idx="2">
                  <c:v>1297.0900000000001</c:v>
                </c:pt>
                <c:pt idx="3">
                  <c:v>1277.5900000000001</c:v>
                </c:pt>
                <c:pt idx="4">
                  <c:v>1267.49</c:v>
                </c:pt>
                <c:pt idx="5">
                  <c:v>1300.3899999999999</c:v>
                </c:pt>
                <c:pt idx="6">
                  <c:v>1423.19</c:v>
                </c:pt>
                <c:pt idx="7">
                  <c:v>1560.79</c:v>
                </c:pt>
                <c:pt idx="8">
                  <c:v>1703.79</c:v>
                </c:pt>
                <c:pt idx="9">
                  <c:v>1698.79</c:v>
                </c:pt>
                <c:pt idx="10">
                  <c:v>1713.5900000000001</c:v>
                </c:pt>
                <c:pt idx="11">
                  <c:v>1650.1899999999998</c:v>
                </c:pt>
                <c:pt idx="12">
                  <c:v>1723.8899999999999</c:v>
                </c:pt>
                <c:pt idx="13">
                  <c:v>1699.7899999999997</c:v>
                </c:pt>
                <c:pt idx="14">
                  <c:v>1720.29</c:v>
                </c:pt>
                <c:pt idx="15">
                  <c:v>1681.8899999999999</c:v>
                </c:pt>
                <c:pt idx="16">
                  <c:v>153.54</c:v>
                </c:pt>
                <c:pt idx="17">
                  <c:v>1564.79</c:v>
                </c:pt>
                <c:pt idx="18">
                  <c:v>1414.0900000000001</c:v>
                </c:pt>
                <c:pt idx="19">
                  <c:v>1835.49</c:v>
                </c:pt>
                <c:pt idx="20">
                  <c:v>1871.5900000000001</c:v>
                </c:pt>
                <c:pt idx="21">
                  <c:v>1636.5900000000001</c:v>
                </c:pt>
                <c:pt idx="22">
                  <c:v>1599.0900000000001</c:v>
                </c:pt>
                <c:pt idx="23">
                  <c:v>1556.7900000000002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A24-4F0B-B9B6-972077009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58A-46D9-92EA-87476485CB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58A-46D9-92EA-87476485CB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58A-46D9-92EA-87476485CBF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58A-46D9-92EA-87476485CBF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58A-46D9-92EA-87476485CBF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C58A-46D9-92EA-87476485CBF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'26'!$AL$16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'26'!$AM$16:$BJ$16</c:f>
              <c:numCache>
                <c:formatCode>General</c:formatCode>
                <c:ptCount val="24"/>
                <c:pt idx="0">
                  <c:v>480.95</c:v>
                </c:pt>
                <c:pt idx="1">
                  <c:v>480.95</c:v>
                </c:pt>
                <c:pt idx="2">
                  <c:v>480.95</c:v>
                </c:pt>
                <c:pt idx="3">
                  <c:v>480.84999999999997</c:v>
                </c:pt>
                <c:pt idx="4">
                  <c:v>480.84999999999997</c:v>
                </c:pt>
                <c:pt idx="5">
                  <c:v>480.84999999999997</c:v>
                </c:pt>
                <c:pt idx="6">
                  <c:v>483.95</c:v>
                </c:pt>
                <c:pt idx="7">
                  <c:v>483.95</c:v>
                </c:pt>
                <c:pt idx="8">
                  <c:v>482.95</c:v>
                </c:pt>
                <c:pt idx="9">
                  <c:v>481.54999999999995</c:v>
                </c:pt>
                <c:pt idx="10">
                  <c:v>481.54999999999995</c:v>
                </c:pt>
                <c:pt idx="11">
                  <c:v>480.95</c:v>
                </c:pt>
                <c:pt idx="12">
                  <c:v>480.74999999999994</c:v>
                </c:pt>
                <c:pt idx="13">
                  <c:v>477.15</c:v>
                </c:pt>
                <c:pt idx="14">
                  <c:v>477.15</c:v>
                </c:pt>
                <c:pt idx="15">
                  <c:v>477.15</c:v>
                </c:pt>
                <c:pt idx="16">
                  <c:v>477.15</c:v>
                </c:pt>
                <c:pt idx="17">
                  <c:v>477.15</c:v>
                </c:pt>
                <c:pt idx="18" formatCode="0.0">
                  <c:v>477.15</c:v>
                </c:pt>
                <c:pt idx="19" formatCode="0.0">
                  <c:v>477.15</c:v>
                </c:pt>
                <c:pt idx="20" formatCode="0.0">
                  <c:v>477.15</c:v>
                </c:pt>
                <c:pt idx="21" formatCode="0.0">
                  <c:v>477.15</c:v>
                </c:pt>
                <c:pt idx="22" formatCode="0.0">
                  <c:v>477.15</c:v>
                </c:pt>
                <c:pt idx="23" formatCode="0.0">
                  <c:v>477.15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B-4DA1-B4C4-06F4C6D00052}"/>
            </c:ext>
          </c:extLst>
        </c:ser>
        <c:ser>
          <c:idx val="2"/>
          <c:order val="1"/>
          <c:tx>
            <c:strRef>
              <c:f>'26'!$AL$17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'26'!$AM$17:$BJ$17</c:f>
              <c:numCache>
                <c:formatCode>General</c:formatCode>
                <c:ptCount val="24"/>
                <c:pt idx="0">
                  <c:v>105.9</c:v>
                </c:pt>
                <c:pt idx="1">
                  <c:v>105.9</c:v>
                </c:pt>
                <c:pt idx="2">
                  <c:v>105.9</c:v>
                </c:pt>
                <c:pt idx="3">
                  <c:v>102.3</c:v>
                </c:pt>
                <c:pt idx="4">
                  <c:v>102.3</c:v>
                </c:pt>
                <c:pt idx="5">
                  <c:v>102.3</c:v>
                </c:pt>
                <c:pt idx="6">
                  <c:v>102.19999999999999</c:v>
                </c:pt>
                <c:pt idx="7">
                  <c:v>32.200000000000003</c:v>
                </c:pt>
                <c:pt idx="8">
                  <c:v>32.200000000000003</c:v>
                </c:pt>
                <c:pt idx="9">
                  <c:v>32.200000000000003</c:v>
                </c:pt>
                <c:pt idx="10">
                  <c:v>32.200000000000003</c:v>
                </c:pt>
                <c:pt idx="11">
                  <c:v>32.200000000000003</c:v>
                </c:pt>
                <c:pt idx="12">
                  <c:v>29.700000000000003</c:v>
                </c:pt>
                <c:pt idx="13">
                  <c:v>29.700000000000003</c:v>
                </c:pt>
                <c:pt idx="14">
                  <c:v>29.700000000000003</c:v>
                </c:pt>
                <c:pt idx="15">
                  <c:v>29.700000000000003</c:v>
                </c:pt>
                <c:pt idx="16">
                  <c:v>29.700000000000003</c:v>
                </c:pt>
                <c:pt idx="17">
                  <c:v>29.700000000000003</c:v>
                </c:pt>
                <c:pt idx="18" formatCode="0.0">
                  <c:v>29.700000000000003</c:v>
                </c:pt>
                <c:pt idx="19" formatCode="0.0">
                  <c:v>454.90000000000003</c:v>
                </c:pt>
                <c:pt idx="20" formatCode="0.0">
                  <c:v>376.90000000000003</c:v>
                </c:pt>
                <c:pt idx="21" formatCode="0.0">
                  <c:v>234.9</c:v>
                </c:pt>
                <c:pt idx="22" formatCode="0.0">
                  <c:v>134.5</c:v>
                </c:pt>
                <c:pt idx="23" formatCode="0.0">
                  <c:v>104.39999999999999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2B-4DA1-B4C4-06F4C6D00052}"/>
            </c:ext>
          </c:extLst>
        </c:ser>
        <c:ser>
          <c:idx val="3"/>
          <c:order val="2"/>
          <c:tx>
            <c:strRef>
              <c:f>'26'!$AL$18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'26'!$AM$18:$BJ$18</c:f>
              <c:numCache>
                <c:formatCode>General</c:formatCode>
                <c:ptCount val="24"/>
                <c:pt idx="0">
                  <c:v>182.83999999999997</c:v>
                </c:pt>
                <c:pt idx="1">
                  <c:v>124.44000000000001</c:v>
                </c:pt>
                <c:pt idx="2">
                  <c:v>121.44000000000001</c:v>
                </c:pt>
                <c:pt idx="3">
                  <c:v>121.14000000000001</c:v>
                </c:pt>
                <c:pt idx="4">
                  <c:v>121.14000000000001</c:v>
                </c:pt>
                <c:pt idx="5">
                  <c:v>121.14000000000001</c:v>
                </c:pt>
                <c:pt idx="6">
                  <c:v>155.73999999999998</c:v>
                </c:pt>
                <c:pt idx="7">
                  <c:v>165.94</c:v>
                </c:pt>
                <c:pt idx="8">
                  <c:v>235.34</c:v>
                </c:pt>
                <c:pt idx="9">
                  <c:v>238.33999999999997</c:v>
                </c:pt>
                <c:pt idx="10">
                  <c:v>258.04000000000002</c:v>
                </c:pt>
                <c:pt idx="11">
                  <c:v>252.44000000000003</c:v>
                </c:pt>
                <c:pt idx="12">
                  <c:v>230.73999999999998</c:v>
                </c:pt>
                <c:pt idx="13">
                  <c:v>230.73999999999998</c:v>
                </c:pt>
                <c:pt idx="14">
                  <c:v>211.74</c:v>
                </c:pt>
                <c:pt idx="15">
                  <c:v>201.43999999999997</c:v>
                </c:pt>
                <c:pt idx="16">
                  <c:v>177.24</c:v>
                </c:pt>
                <c:pt idx="17">
                  <c:v>164.93999999999997</c:v>
                </c:pt>
                <c:pt idx="18" formatCode="0.0">
                  <c:v>160.33999999999997</c:v>
                </c:pt>
                <c:pt idx="19" formatCode="0.0">
                  <c:v>356.29999999999995</c:v>
                </c:pt>
                <c:pt idx="20" formatCode="0.0">
                  <c:v>362.24</c:v>
                </c:pt>
                <c:pt idx="21" formatCode="0.0">
                  <c:v>355.54</c:v>
                </c:pt>
                <c:pt idx="22" formatCode="0.0">
                  <c:v>296.74</c:v>
                </c:pt>
                <c:pt idx="23" formatCode="0.0">
                  <c:v>250.54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2B-4DA1-B4C4-06F4C6D00052}"/>
            </c:ext>
          </c:extLst>
        </c:ser>
        <c:ser>
          <c:idx val="0"/>
          <c:order val="3"/>
          <c:tx>
            <c:strRef>
              <c:f>'26'!$AL$19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'26'!$AM$19:$BJ$19</c:f>
              <c:numCache>
                <c:formatCode>General</c:formatCode>
                <c:ptCount val="24"/>
                <c:pt idx="0">
                  <c:v>305</c:v>
                </c:pt>
                <c:pt idx="1">
                  <c:v>278.8</c:v>
                </c:pt>
                <c:pt idx="2">
                  <c:v>297</c:v>
                </c:pt>
                <c:pt idx="3">
                  <c:v>247.89999999999998</c:v>
                </c:pt>
                <c:pt idx="4">
                  <c:v>261.10000000000002</c:v>
                </c:pt>
                <c:pt idx="5">
                  <c:v>282.2</c:v>
                </c:pt>
                <c:pt idx="6">
                  <c:v>362.5</c:v>
                </c:pt>
                <c:pt idx="7">
                  <c:v>883.69999999999993</c:v>
                </c:pt>
                <c:pt idx="8">
                  <c:v>874.4</c:v>
                </c:pt>
                <c:pt idx="9">
                  <c:v>839.80000000000007</c:v>
                </c:pt>
                <c:pt idx="10">
                  <c:v>718.10000000000014</c:v>
                </c:pt>
                <c:pt idx="11">
                  <c:v>879.5</c:v>
                </c:pt>
                <c:pt idx="12">
                  <c:v>888.9</c:v>
                </c:pt>
                <c:pt idx="13">
                  <c:v>888.9</c:v>
                </c:pt>
                <c:pt idx="14">
                  <c:v>887.60000000000014</c:v>
                </c:pt>
                <c:pt idx="15">
                  <c:v>864.1</c:v>
                </c:pt>
                <c:pt idx="16">
                  <c:v>885</c:v>
                </c:pt>
                <c:pt idx="17">
                  <c:v>844</c:v>
                </c:pt>
                <c:pt idx="18" formatCode="0.0">
                  <c:v>757.6</c:v>
                </c:pt>
                <c:pt idx="19" formatCode="0.0">
                  <c:v>170.3</c:v>
                </c:pt>
                <c:pt idx="20" formatCode="0.0">
                  <c:v>100.9</c:v>
                </c:pt>
                <c:pt idx="21" formatCode="0.0">
                  <c:v>161.39999999999998</c:v>
                </c:pt>
                <c:pt idx="22" formatCode="0.0">
                  <c:v>188.7</c:v>
                </c:pt>
                <c:pt idx="23" formatCode="0.0">
                  <c:v>173.5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2B-4DA1-B4C4-06F4C6D00052}"/>
            </c:ext>
          </c:extLst>
        </c:ser>
        <c:ser>
          <c:idx val="4"/>
          <c:order val="4"/>
          <c:tx>
            <c:strRef>
              <c:f>'26'!$AL$20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'26'!$AM$20:$BJ$20</c:f>
              <c:numCache>
                <c:formatCode>General</c:formatCode>
                <c:ptCount val="24"/>
                <c:pt idx="0">
                  <c:v>95.7</c:v>
                </c:pt>
                <c:pt idx="1">
                  <c:v>95.7</c:v>
                </c:pt>
                <c:pt idx="2">
                  <c:v>95.7</c:v>
                </c:pt>
                <c:pt idx="3">
                  <c:v>96.5</c:v>
                </c:pt>
                <c:pt idx="4">
                  <c:v>96.5</c:v>
                </c:pt>
                <c:pt idx="5">
                  <c:v>96.5</c:v>
                </c:pt>
                <c:pt idx="6">
                  <c:v>96.5</c:v>
                </c:pt>
                <c:pt idx="7">
                  <c:v>55.9</c:v>
                </c:pt>
                <c:pt idx="8">
                  <c:v>60.599999999999994</c:v>
                </c:pt>
                <c:pt idx="9">
                  <c:v>67.2</c:v>
                </c:pt>
                <c:pt idx="10">
                  <c:v>68.599999999999994</c:v>
                </c:pt>
                <c:pt idx="11">
                  <c:v>59.8</c:v>
                </c:pt>
                <c:pt idx="12">
                  <c:v>69.7</c:v>
                </c:pt>
                <c:pt idx="13">
                  <c:v>69.7</c:v>
                </c:pt>
                <c:pt idx="14">
                  <c:v>48.2</c:v>
                </c:pt>
                <c:pt idx="15">
                  <c:v>95.899999999999991</c:v>
                </c:pt>
                <c:pt idx="16">
                  <c:v>95.899999999999991</c:v>
                </c:pt>
                <c:pt idx="17">
                  <c:v>95.899999999999991</c:v>
                </c:pt>
                <c:pt idx="18" formatCode="0.0">
                  <c:v>25.1</c:v>
                </c:pt>
                <c:pt idx="19" formatCode="0.0">
                  <c:v>95</c:v>
                </c:pt>
                <c:pt idx="20" formatCode="0.0">
                  <c:v>94.9</c:v>
                </c:pt>
                <c:pt idx="21" formatCode="0.0">
                  <c:v>94.9</c:v>
                </c:pt>
                <c:pt idx="22" formatCode="0.0">
                  <c:v>94.9</c:v>
                </c:pt>
                <c:pt idx="23" formatCode="0.0">
                  <c:v>94.9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2B-4DA1-B4C4-06F4C6D00052}"/>
            </c:ext>
          </c:extLst>
        </c:ser>
        <c:ser>
          <c:idx val="5"/>
          <c:order val="5"/>
          <c:tx>
            <c:strRef>
              <c:f>'26'!$AL$21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'26'!$AM$21:$BJ$21</c:f>
              <c:numCache>
                <c:formatCode>General</c:formatCode>
                <c:ptCount val="24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280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300</c:v>
                </c:pt>
                <c:pt idx="20" formatCode="0.0">
                  <c:v>300</c:v>
                </c:pt>
                <c:pt idx="21" formatCode="0.0">
                  <c:v>320</c:v>
                </c:pt>
                <c:pt idx="22" formatCode="0.0">
                  <c:v>340</c:v>
                </c:pt>
                <c:pt idx="23" formatCode="0.0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2B-4DA1-B4C4-06F4C6D00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'26'!$AL$23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2B-4DA1-B4C4-06F4C6D00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'26'!$AL$22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'26'!$AM$22:$BJ$22</c:f>
              <c:numCache>
                <c:formatCode>General</c:formatCode>
                <c:ptCount val="24"/>
                <c:pt idx="0">
                  <c:v>1470.39</c:v>
                </c:pt>
                <c:pt idx="1">
                  <c:v>1385.7900000000002</c:v>
                </c:pt>
                <c:pt idx="2">
                  <c:v>1400.99</c:v>
                </c:pt>
                <c:pt idx="3">
                  <c:v>1348.69</c:v>
                </c:pt>
                <c:pt idx="4">
                  <c:v>1361.8899999999999</c:v>
                </c:pt>
                <c:pt idx="5">
                  <c:v>1382.99</c:v>
                </c:pt>
                <c:pt idx="6">
                  <c:v>1480.8899999999999</c:v>
                </c:pt>
                <c:pt idx="7">
                  <c:v>1621.69</c:v>
                </c:pt>
                <c:pt idx="8">
                  <c:v>1685.4899999999998</c:v>
                </c:pt>
                <c:pt idx="9">
                  <c:v>1659.09</c:v>
                </c:pt>
                <c:pt idx="10">
                  <c:v>1558.49</c:v>
                </c:pt>
                <c:pt idx="11">
                  <c:v>1704.89</c:v>
                </c:pt>
                <c:pt idx="12">
                  <c:v>1699.79</c:v>
                </c:pt>
                <c:pt idx="13">
                  <c:v>1696.1899999999998</c:v>
                </c:pt>
                <c:pt idx="14">
                  <c:v>1654.39</c:v>
                </c:pt>
                <c:pt idx="15">
                  <c:v>1668.29</c:v>
                </c:pt>
                <c:pt idx="16">
                  <c:v>1664.99</c:v>
                </c:pt>
                <c:pt idx="17">
                  <c:v>1611.69</c:v>
                </c:pt>
                <c:pt idx="18">
                  <c:v>1449.8899999999999</c:v>
                </c:pt>
                <c:pt idx="19">
                  <c:v>1853.6499999999999</c:v>
                </c:pt>
                <c:pt idx="20">
                  <c:v>1712.0900000000001</c:v>
                </c:pt>
                <c:pt idx="21">
                  <c:v>1643.8899999999999</c:v>
                </c:pt>
                <c:pt idx="22">
                  <c:v>1531.99</c:v>
                </c:pt>
                <c:pt idx="23">
                  <c:v>1440.49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802B-4DA1-B4C4-06F4C6D00052}"/>
            </c:ext>
          </c:extLst>
        </c:ser>
        <c:ser>
          <c:idx val="8"/>
          <c:order val="8"/>
          <c:tx>
            <c:strRef>
              <c:f>'26'!$AL$24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'26'!$AM$24:$BJ$24</c:f>
              <c:numCache>
                <c:formatCode>General</c:formatCode>
                <c:ptCount val="24"/>
                <c:pt idx="0">
                  <c:v>1470.39</c:v>
                </c:pt>
                <c:pt idx="1">
                  <c:v>1385.7900000000002</c:v>
                </c:pt>
                <c:pt idx="2">
                  <c:v>1400.99</c:v>
                </c:pt>
                <c:pt idx="3">
                  <c:v>1348.69</c:v>
                </c:pt>
                <c:pt idx="4">
                  <c:v>1361.8899999999999</c:v>
                </c:pt>
                <c:pt idx="5">
                  <c:v>1382.99</c:v>
                </c:pt>
                <c:pt idx="6">
                  <c:v>1480.8899999999999</c:v>
                </c:pt>
                <c:pt idx="7">
                  <c:v>1621.69</c:v>
                </c:pt>
                <c:pt idx="8">
                  <c:v>1685.4899999999998</c:v>
                </c:pt>
                <c:pt idx="9">
                  <c:v>1659.09</c:v>
                </c:pt>
                <c:pt idx="10">
                  <c:v>1558.49</c:v>
                </c:pt>
                <c:pt idx="11">
                  <c:v>1704.89</c:v>
                </c:pt>
                <c:pt idx="12">
                  <c:v>1699.79</c:v>
                </c:pt>
                <c:pt idx="13">
                  <c:v>1695.1899999999998</c:v>
                </c:pt>
                <c:pt idx="14">
                  <c:v>1654.39</c:v>
                </c:pt>
                <c:pt idx="15">
                  <c:v>1668.29</c:v>
                </c:pt>
                <c:pt idx="16">
                  <c:v>1664.99</c:v>
                </c:pt>
                <c:pt idx="17">
                  <c:v>1611.69</c:v>
                </c:pt>
                <c:pt idx="18">
                  <c:v>1449.8899999999999</c:v>
                </c:pt>
                <c:pt idx="19">
                  <c:v>1853.6499999999999</c:v>
                </c:pt>
                <c:pt idx="20">
                  <c:v>1712.0900000000001</c:v>
                </c:pt>
                <c:pt idx="21">
                  <c:v>1643.8899999999999</c:v>
                </c:pt>
                <c:pt idx="22">
                  <c:v>1531.99</c:v>
                </c:pt>
                <c:pt idx="23">
                  <c:v>1440.49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02B-4DA1-B4C4-06F4C6D00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B80-4EDC-94AB-B4C68CE15C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B80-4EDC-94AB-B4C68CE15C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B80-4EDC-94AB-B4C68CE15C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B80-4EDC-94AB-B4C68CE15C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B80-4EDC-94AB-B4C68CE15C7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B80-4EDC-94AB-B4C68CE15C7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'27'!$AL$16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'27'!$AM$16:$BJ$16</c:f>
              <c:numCache>
                <c:formatCode>General</c:formatCode>
                <c:ptCount val="24"/>
                <c:pt idx="0">
                  <c:v>477.15</c:v>
                </c:pt>
                <c:pt idx="1">
                  <c:v>477.15</c:v>
                </c:pt>
                <c:pt idx="2">
                  <c:v>477.15</c:v>
                </c:pt>
                <c:pt idx="3">
                  <c:v>477.15</c:v>
                </c:pt>
                <c:pt idx="4">
                  <c:v>477.15</c:v>
                </c:pt>
                <c:pt idx="5">
                  <c:v>477.15</c:v>
                </c:pt>
                <c:pt idx="6">
                  <c:v>477.15</c:v>
                </c:pt>
                <c:pt idx="7">
                  <c:v>477.15</c:v>
                </c:pt>
                <c:pt idx="8">
                  <c:v>477.15</c:v>
                </c:pt>
                <c:pt idx="9">
                  <c:v>477.15</c:v>
                </c:pt>
                <c:pt idx="10">
                  <c:v>477.15</c:v>
                </c:pt>
                <c:pt idx="11">
                  <c:v>477.15</c:v>
                </c:pt>
                <c:pt idx="12">
                  <c:v>477.15</c:v>
                </c:pt>
                <c:pt idx="13">
                  <c:v>477.15</c:v>
                </c:pt>
                <c:pt idx="14">
                  <c:v>477.15</c:v>
                </c:pt>
                <c:pt idx="15">
                  <c:v>477.15</c:v>
                </c:pt>
                <c:pt idx="16">
                  <c:v>477.15</c:v>
                </c:pt>
                <c:pt idx="17">
                  <c:v>477.15</c:v>
                </c:pt>
                <c:pt idx="18" formatCode="0.0">
                  <c:v>476.95</c:v>
                </c:pt>
                <c:pt idx="19" formatCode="0.0">
                  <c:v>476.95</c:v>
                </c:pt>
                <c:pt idx="20" formatCode="0.0">
                  <c:v>476.05</c:v>
                </c:pt>
                <c:pt idx="21" formatCode="0.0">
                  <c:v>475.75</c:v>
                </c:pt>
                <c:pt idx="22" formatCode="0.0">
                  <c:v>475.75</c:v>
                </c:pt>
                <c:pt idx="23" formatCode="0.0">
                  <c:v>474.95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C-4F32-A05E-F4038CB6D3E9}"/>
            </c:ext>
          </c:extLst>
        </c:ser>
        <c:ser>
          <c:idx val="2"/>
          <c:order val="1"/>
          <c:tx>
            <c:strRef>
              <c:f>'27'!$AL$17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'27'!$AM$17:$BJ$17</c:f>
              <c:numCache>
                <c:formatCode>General</c:formatCode>
                <c:ptCount val="24"/>
                <c:pt idx="0">
                  <c:v>102</c:v>
                </c:pt>
                <c:pt idx="1">
                  <c:v>102</c:v>
                </c:pt>
                <c:pt idx="2">
                  <c:v>102</c:v>
                </c:pt>
                <c:pt idx="3">
                  <c:v>107.10000000000001</c:v>
                </c:pt>
                <c:pt idx="4">
                  <c:v>101.00000000000001</c:v>
                </c:pt>
                <c:pt idx="5">
                  <c:v>101.10000000000001</c:v>
                </c:pt>
                <c:pt idx="6">
                  <c:v>101.4</c:v>
                </c:pt>
                <c:pt idx="7">
                  <c:v>31</c:v>
                </c:pt>
                <c:pt idx="8">
                  <c:v>31.2</c:v>
                </c:pt>
                <c:pt idx="9">
                  <c:v>31.2</c:v>
                </c:pt>
                <c:pt idx="10">
                  <c:v>31.2</c:v>
                </c:pt>
                <c:pt idx="11">
                  <c:v>31.2</c:v>
                </c:pt>
                <c:pt idx="12">
                  <c:v>31.2</c:v>
                </c:pt>
                <c:pt idx="13">
                  <c:v>31.2</c:v>
                </c:pt>
                <c:pt idx="14">
                  <c:v>29.900000000000002</c:v>
                </c:pt>
                <c:pt idx="15">
                  <c:v>29.4</c:v>
                </c:pt>
                <c:pt idx="16">
                  <c:v>30.1</c:v>
                </c:pt>
                <c:pt idx="17">
                  <c:v>30.1</c:v>
                </c:pt>
                <c:pt idx="18" formatCode="0.0">
                  <c:v>29.6</c:v>
                </c:pt>
                <c:pt idx="19" formatCode="0.0">
                  <c:v>417.5</c:v>
                </c:pt>
                <c:pt idx="20" formatCode="0.0">
                  <c:v>366.7</c:v>
                </c:pt>
                <c:pt idx="21" formatCode="0.0">
                  <c:v>195.20000000000002</c:v>
                </c:pt>
                <c:pt idx="22" formatCode="0.0">
                  <c:v>105.49999999999999</c:v>
                </c:pt>
                <c:pt idx="23" formatCode="0.0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AC-4F32-A05E-F4038CB6D3E9}"/>
            </c:ext>
          </c:extLst>
        </c:ser>
        <c:ser>
          <c:idx val="3"/>
          <c:order val="2"/>
          <c:tx>
            <c:strRef>
              <c:f>'27'!$AL$18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'27'!$AM$18:$BJ$18</c:f>
              <c:numCache>
                <c:formatCode>General</c:formatCode>
                <c:ptCount val="24"/>
                <c:pt idx="0">
                  <c:v>214.14</c:v>
                </c:pt>
                <c:pt idx="1">
                  <c:v>184.53999999999996</c:v>
                </c:pt>
                <c:pt idx="2">
                  <c:v>181.94</c:v>
                </c:pt>
                <c:pt idx="3">
                  <c:v>120.94000000000001</c:v>
                </c:pt>
                <c:pt idx="4">
                  <c:v>120.84000000000002</c:v>
                </c:pt>
                <c:pt idx="5">
                  <c:v>153.44</c:v>
                </c:pt>
                <c:pt idx="6">
                  <c:v>214.53999999999996</c:v>
                </c:pt>
                <c:pt idx="7">
                  <c:v>143.83999999999997</c:v>
                </c:pt>
                <c:pt idx="8">
                  <c:v>223.33999999999997</c:v>
                </c:pt>
                <c:pt idx="9">
                  <c:v>213.44</c:v>
                </c:pt>
                <c:pt idx="10">
                  <c:v>199.43999999999997</c:v>
                </c:pt>
                <c:pt idx="11">
                  <c:v>203.64</c:v>
                </c:pt>
                <c:pt idx="12">
                  <c:v>194.03999999999996</c:v>
                </c:pt>
                <c:pt idx="13">
                  <c:v>191.03999999999996</c:v>
                </c:pt>
                <c:pt idx="14">
                  <c:v>190.63999999999996</c:v>
                </c:pt>
                <c:pt idx="15">
                  <c:v>207.53999999999996</c:v>
                </c:pt>
                <c:pt idx="16">
                  <c:v>175.73999999999995</c:v>
                </c:pt>
                <c:pt idx="17">
                  <c:v>160.53999999999996</c:v>
                </c:pt>
                <c:pt idx="18" formatCode="0.0">
                  <c:v>140.83999999999997</c:v>
                </c:pt>
                <c:pt idx="19" formatCode="0.0">
                  <c:v>341</c:v>
                </c:pt>
                <c:pt idx="20" formatCode="0.0">
                  <c:v>342.84000000000009</c:v>
                </c:pt>
                <c:pt idx="21" formatCode="0.0">
                  <c:v>289.44000000000005</c:v>
                </c:pt>
                <c:pt idx="22" formatCode="0.0">
                  <c:v>233.84</c:v>
                </c:pt>
                <c:pt idx="23" formatCode="0.0">
                  <c:v>188.94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AC-4F32-A05E-F4038CB6D3E9}"/>
            </c:ext>
          </c:extLst>
        </c:ser>
        <c:ser>
          <c:idx val="0"/>
          <c:order val="3"/>
          <c:tx>
            <c:strRef>
              <c:f>'27'!$AL$19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'27'!$AM$19:$BJ$19</c:f>
              <c:numCache>
                <c:formatCode>General</c:formatCode>
                <c:ptCount val="24"/>
                <c:pt idx="0">
                  <c:v>165.5</c:v>
                </c:pt>
                <c:pt idx="1">
                  <c:v>167.4</c:v>
                </c:pt>
                <c:pt idx="2">
                  <c:v>149</c:v>
                </c:pt>
                <c:pt idx="3">
                  <c:v>177.3</c:v>
                </c:pt>
                <c:pt idx="4">
                  <c:v>181.89999999999998</c:v>
                </c:pt>
                <c:pt idx="5">
                  <c:v>196.8</c:v>
                </c:pt>
                <c:pt idx="6">
                  <c:v>236.2</c:v>
                </c:pt>
                <c:pt idx="7">
                  <c:v>766</c:v>
                </c:pt>
                <c:pt idx="8">
                  <c:v>880.7</c:v>
                </c:pt>
                <c:pt idx="9">
                  <c:v>880.59999999999991</c:v>
                </c:pt>
                <c:pt idx="10">
                  <c:v>893.99999999999989</c:v>
                </c:pt>
                <c:pt idx="11">
                  <c:v>898.99999999999989</c:v>
                </c:pt>
                <c:pt idx="12">
                  <c:v>847.5</c:v>
                </c:pt>
                <c:pt idx="13">
                  <c:v>934.3</c:v>
                </c:pt>
                <c:pt idx="14">
                  <c:v>928.8</c:v>
                </c:pt>
                <c:pt idx="15">
                  <c:v>954.5</c:v>
                </c:pt>
                <c:pt idx="16">
                  <c:v>931.1</c:v>
                </c:pt>
                <c:pt idx="17">
                  <c:v>870.69999999999993</c:v>
                </c:pt>
                <c:pt idx="18" formatCode="0.0">
                  <c:v>746.5</c:v>
                </c:pt>
                <c:pt idx="19" formatCode="0.0">
                  <c:v>196.1</c:v>
                </c:pt>
                <c:pt idx="20" formatCode="0.0">
                  <c:v>149.80000000000001</c:v>
                </c:pt>
                <c:pt idx="21" formatCode="0.0">
                  <c:v>256.3</c:v>
                </c:pt>
                <c:pt idx="22" formatCode="0.0">
                  <c:v>235.5</c:v>
                </c:pt>
                <c:pt idx="23" formatCode="0.0">
                  <c:v>197.89999999999998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AC-4F32-A05E-F4038CB6D3E9}"/>
            </c:ext>
          </c:extLst>
        </c:ser>
        <c:ser>
          <c:idx val="4"/>
          <c:order val="4"/>
          <c:tx>
            <c:strRef>
              <c:f>'27'!$AL$20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'27'!$AM$20:$BJ$20</c:f>
              <c:numCache>
                <c:formatCode>General</c:formatCode>
                <c:ptCount val="24"/>
                <c:pt idx="0">
                  <c:v>94.9</c:v>
                </c:pt>
                <c:pt idx="1">
                  <c:v>94.9</c:v>
                </c:pt>
                <c:pt idx="2">
                  <c:v>94.9</c:v>
                </c:pt>
                <c:pt idx="3">
                  <c:v>95.2</c:v>
                </c:pt>
                <c:pt idx="4">
                  <c:v>95.2</c:v>
                </c:pt>
                <c:pt idx="5">
                  <c:v>94.5</c:v>
                </c:pt>
                <c:pt idx="6">
                  <c:v>94</c:v>
                </c:pt>
                <c:pt idx="7">
                  <c:v>89.7</c:v>
                </c:pt>
                <c:pt idx="8">
                  <c:v>96.4</c:v>
                </c:pt>
                <c:pt idx="9">
                  <c:v>96.4</c:v>
                </c:pt>
                <c:pt idx="10">
                  <c:v>96.4</c:v>
                </c:pt>
                <c:pt idx="11">
                  <c:v>96.4</c:v>
                </c:pt>
                <c:pt idx="12">
                  <c:v>96.4</c:v>
                </c:pt>
                <c:pt idx="13">
                  <c:v>96.4</c:v>
                </c:pt>
                <c:pt idx="14">
                  <c:v>96.3</c:v>
                </c:pt>
                <c:pt idx="15">
                  <c:v>93.5</c:v>
                </c:pt>
                <c:pt idx="16">
                  <c:v>96.199999999999989</c:v>
                </c:pt>
                <c:pt idx="17">
                  <c:v>66.7</c:v>
                </c:pt>
                <c:pt idx="18" formatCode="0.0">
                  <c:v>62.1</c:v>
                </c:pt>
                <c:pt idx="19" formatCode="0.0">
                  <c:v>95</c:v>
                </c:pt>
                <c:pt idx="20" formatCode="0.0">
                  <c:v>94.300000000000011</c:v>
                </c:pt>
                <c:pt idx="21" formatCode="0.0">
                  <c:v>97.100000000000009</c:v>
                </c:pt>
                <c:pt idx="22" formatCode="0.0">
                  <c:v>95.100000000000009</c:v>
                </c:pt>
                <c:pt idx="23" formatCode="0.0">
                  <c:v>96.4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AC-4F32-A05E-F4038CB6D3E9}"/>
            </c:ext>
          </c:extLst>
        </c:ser>
        <c:ser>
          <c:idx val="5"/>
          <c:order val="5"/>
          <c:tx>
            <c:strRef>
              <c:f>'27'!$AL$21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'27'!$AM$21:$BJ$21</c:f>
              <c:numCache>
                <c:formatCode>General</c:formatCode>
                <c:ptCount val="24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100</c:v>
                </c:pt>
                <c:pt idx="18" formatCode="0.0">
                  <c:v>250</c:v>
                </c:pt>
                <c:pt idx="19" formatCode="0.0">
                  <c:v>300</c:v>
                </c:pt>
                <c:pt idx="20" formatCode="0.0">
                  <c:v>300</c:v>
                </c:pt>
                <c:pt idx="21" formatCode="0.0">
                  <c:v>300</c:v>
                </c:pt>
                <c:pt idx="22" formatCode="0.0">
                  <c:v>350</c:v>
                </c:pt>
                <c:pt idx="23" formatCode="0.0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AC-4F32-A05E-F4038CB6D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'27'!$AL$23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AC-4F32-A05E-F4038CB6D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'27'!$AL$22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'27'!$AM$22:$BJ$22</c:f>
              <c:numCache>
                <c:formatCode>General</c:formatCode>
                <c:ptCount val="24"/>
                <c:pt idx="0">
                  <c:v>1353.69</c:v>
                </c:pt>
                <c:pt idx="1">
                  <c:v>1325.99</c:v>
                </c:pt>
                <c:pt idx="2">
                  <c:v>1304.9899999999998</c:v>
                </c:pt>
                <c:pt idx="3">
                  <c:v>1277.69</c:v>
                </c:pt>
                <c:pt idx="4">
                  <c:v>1276.0900000000001</c:v>
                </c:pt>
                <c:pt idx="5">
                  <c:v>1322.99</c:v>
                </c:pt>
                <c:pt idx="6">
                  <c:v>1423.29</c:v>
                </c:pt>
                <c:pt idx="7">
                  <c:v>1607.69</c:v>
                </c:pt>
                <c:pt idx="8">
                  <c:v>1708.79</c:v>
                </c:pt>
                <c:pt idx="9">
                  <c:v>1698.79</c:v>
                </c:pt>
                <c:pt idx="10">
                  <c:v>1698.19</c:v>
                </c:pt>
                <c:pt idx="11">
                  <c:v>1707.3899999999999</c:v>
                </c:pt>
                <c:pt idx="12">
                  <c:v>1646.29</c:v>
                </c:pt>
                <c:pt idx="13">
                  <c:v>1730.09</c:v>
                </c:pt>
                <c:pt idx="14">
                  <c:v>1722.7899999999997</c:v>
                </c:pt>
                <c:pt idx="15">
                  <c:v>1762.09</c:v>
                </c:pt>
                <c:pt idx="16">
                  <c:v>1710.2900000000002</c:v>
                </c:pt>
                <c:pt idx="17">
                  <c:v>1705.1899999999998</c:v>
                </c:pt>
                <c:pt idx="18">
                  <c:v>1705.9899999999998</c:v>
                </c:pt>
                <c:pt idx="19">
                  <c:v>1826.55</c:v>
                </c:pt>
                <c:pt idx="20">
                  <c:v>1729.69</c:v>
                </c:pt>
                <c:pt idx="21">
                  <c:v>1613.79</c:v>
                </c:pt>
                <c:pt idx="22">
                  <c:v>1495.69</c:v>
                </c:pt>
                <c:pt idx="23">
                  <c:v>1416.19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7AC-4F32-A05E-F4038CB6D3E9}"/>
            </c:ext>
          </c:extLst>
        </c:ser>
        <c:ser>
          <c:idx val="8"/>
          <c:order val="8"/>
          <c:tx>
            <c:strRef>
              <c:f>'27'!$AL$24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'27'!$AM$24:$BJ$24</c:f>
              <c:numCache>
                <c:formatCode>General</c:formatCode>
                <c:ptCount val="24"/>
                <c:pt idx="0">
                  <c:v>1353.69</c:v>
                </c:pt>
                <c:pt idx="1">
                  <c:v>1325.99</c:v>
                </c:pt>
                <c:pt idx="2">
                  <c:v>1304.9899999999998</c:v>
                </c:pt>
                <c:pt idx="3">
                  <c:v>1277.69</c:v>
                </c:pt>
                <c:pt idx="4">
                  <c:v>1276.0900000000001</c:v>
                </c:pt>
                <c:pt idx="5">
                  <c:v>1322.99</c:v>
                </c:pt>
                <c:pt idx="6">
                  <c:v>1423.29</c:v>
                </c:pt>
                <c:pt idx="7">
                  <c:v>1607.69</c:v>
                </c:pt>
                <c:pt idx="8">
                  <c:v>1708.79</c:v>
                </c:pt>
                <c:pt idx="9">
                  <c:v>1698.79</c:v>
                </c:pt>
                <c:pt idx="10">
                  <c:v>1698.19</c:v>
                </c:pt>
                <c:pt idx="11">
                  <c:v>1707.3899999999999</c:v>
                </c:pt>
                <c:pt idx="12">
                  <c:v>1646.29</c:v>
                </c:pt>
                <c:pt idx="13">
                  <c:v>1730.09</c:v>
                </c:pt>
                <c:pt idx="14">
                  <c:v>1722.7899999999997</c:v>
                </c:pt>
                <c:pt idx="15">
                  <c:v>1762.09</c:v>
                </c:pt>
                <c:pt idx="16">
                  <c:v>1710.2900000000002</c:v>
                </c:pt>
                <c:pt idx="17">
                  <c:v>1705.1899999999998</c:v>
                </c:pt>
                <c:pt idx="18">
                  <c:v>1705.9899999999998</c:v>
                </c:pt>
                <c:pt idx="19">
                  <c:v>1826.55</c:v>
                </c:pt>
                <c:pt idx="20">
                  <c:v>1729.69</c:v>
                </c:pt>
                <c:pt idx="21">
                  <c:v>1613.79</c:v>
                </c:pt>
                <c:pt idx="22">
                  <c:v>1495.69</c:v>
                </c:pt>
                <c:pt idx="23">
                  <c:v>1416.19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7AC-4F32-A05E-F4038CB6D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C8D-48E7-ACBC-6504FB2CC2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C8D-48E7-ACBC-6504FB2CC2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C8D-48E7-ACBC-6504FB2CC2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C8D-48E7-ACBC-6504FB2CC2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C8D-48E7-ACBC-6504FB2CC2C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5C8D-48E7-ACBC-6504FB2CC2C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'28'!$AL$16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'28'!$AM$16:$BJ$16</c:f>
              <c:numCache>
                <c:formatCode>General</c:formatCode>
                <c:ptCount val="24"/>
                <c:pt idx="0">
                  <c:v>475.85</c:v>
                </c:pt>
                <c:pt idx="1">
                  <c:v>475.75</c:v>
                </c:pt>
                <c:pt idx="2">
                  <c:v>475.75</c:v>
                </c:pt>
                <c:pt idx="3">
                  <c:v>476.15</c:v>
                </c:pt>
                <c:pt idx="4">
                  <c:v>469.55</c:v>
                </c:pt>
                <c:pt idx="5">
                  <c:v>474.65</c:v>
                </c:pt>
                <c:pt idx="6">
                  <c:v>466.84999999999997</c:v>
                </c:pt>
                <c:pt idx="7">
                  <c:v>440.74999999999994</c:v>
                </c:pt>
                <c:pt idx="8">
                  <c:v>452.94999999999993</c:v>
                </c:pt>
                <c:pt idx="9">
                  <c:v>452.94999999999993</c:v>
                </c:pt>
                <c:pt idx="10">
                  <c:v>441.15</c:v>
                </c:pt>
                <c:pt idx="11">
                  <c:v>431.5</c:v>
                </c:pt>
                <c:pt idx="12">
                  <c:v>431.5</c:v>
                </c:pt>
                <c:pt idx="13">
                  <c:v>452.99999999999994</c:v>
                </c:pt>
                <c:pt idx="14">
                  <c:v>449</c:v>
                </c:pt>
                <c:pt idx="15">
                  <c:v>443</c:v>
                </c:pt>
                <c:pt idx="16">
                  <c:v>449</c:v>
                </c:pt>
                <c:pt idx="17">
                  <c:v>449</c:v>
                </c:pt>
                <c:pt idx="18" formatCode="0.0">
                  <c:v>449</c:v>
                </c:pt>
                <c:pt idx="19" formatCode="0.0">
                  <c:v>449</c:v>
                </c:pt>
                <c:pt idx="20" formatCode="0.0">
                  <c:v>449</c:v>
                </c:pt>
                <c:pt idx="21" formatCode="0.0">
                  <c:v>449</c:v>
                </c:pt>
                <c:pt idx="22" formatCode="0.0">
                  <c:v>449</c:v>
                </c:pt>
                <c:pt idx="23" formatCode="0.0">
                  <c:v>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80-479E-986D-EB76E0D28CAF}"/>
            </c:ext>
          </c:extLst>
        </c:ser>
        <c:ser>
          <c:idx val="2"/>
          <c:order val="1"/>
          <c:tx>
            <c:strRef>
              <c:f>'28'!$AL$17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'28'!$AM$17:$BJ$17</c:f>
              <c:numCache>
                <c:formatCode>General</c:formatCode>
                <c:ptCount val="24"/>
                <c:pt idx="0">
                  <c:v>107.1</c:v>
                </c:pt>
                <c:pt idx="1">
                  <c:v>106.3</c:v>
                </c:pt>
                <c:pt idx="2">
                  <c:v>90.6</c:v>
                </c:pt>
                <c:pt idx="3">
                  <c:v>90.5</c:v>
                </c:pt>
                <c:pt idx="4">
                  <c:v>90.5</c:v>
                </c:pt>
                <c:pt idx="5">
                  <c:v>90.5</c:v>
                </c:pt>
                <c:pt idx="6">
                  <c:v>90.5</c:v>
                </c:pt>
                <c:pt idx="7">
                  <c:v>30.5</c:v>
                </c:pt>
                <c:pt idx="8">
                  <c:v>30.6</c:v>
                </c:pt>
                <c:pt idx="9">
                  <c:v>30.6</c:v>
                </c:pt>
                <c:pt idx="10">
                  <c:v>30.6</c:v>
                </c:pt>
                <c:pt idx="11">
                  <c:v>30.6</c:v>
                </c:pt>
                <c:pt idx="12">
                  <c:v>30.4</c:v>
                </c:pt>
                <c:pt idx="13">
                  <c:v>30.4</c:v>
                </c:pt>
                <c:pt idx="14">
                  <c:v>30.4</c:v>
                </c:pt>
                <c:pt idx="15">
                  <c:v>30.9</c:v>
                </c:pt>
                <c:pt idx="16">
                  <c:v>30.4</c:v>
                </c:pt>
                <c:pt idx="17">
                  <c:v>29.1</c:v>
                </c:pt>
                <c:pt idx="18" formatCode="0.0">
                  <c:v>26.6</c:v>
                </c:pt>
                <c:pt idx="19" formatCode="0.0">
                  <c:v>414.3</c:v>
                </c:pt>
                <c:pt idx="20" formatCode="0.0">
                  <c:v>424.90000000000003</c:v>
                </c:pt>
                <c:pt idx="21" formatCode="0.0">
                  <c:v>186.29999999999998</c:v>
                </c:pt>
                <c:pt idx="22" formatCode="0.0">
                  <c:v>103</c:v>
                </c:pt>
                <c:pt idx="23" formatCode="0.0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80-479E-986D-EB76E0D28CAF}"/>
            </c:ext>
          </c:extLst>
        </c:ser>
        <c:ser>
          <c:idx val="3"/>
          <c:order val="2"/>
          <c:tx>
            <c:strRef>
              <c:f>'28'!$AL$18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'28'!$AM$18:$BJ$18</c:f>
              <c:numCache>
                <c:formatCode>General</c:formatCode>
                <c:ptCount val="24"/>
                <c:pt idx="0">
                  <c:v>189.33999999999997</c:v>
                </c:pt>
                <c:pt idx="1">
                  <c:v>159.13999999999999</c:v>
                </c:pt>
                <c:pt idx="2">
                  <c:v>148.13999999999999</c:v>
                </c:pt>
                <c:pt idx="3">
                  <c:v>147.54</c:v>
                </c:pt>
                <c:pt idx="4">
                  <c:v>147.54</c:v>
                </c:pt>
                <c:pt idx="5">
                  <c:v>147.54</c:v>
                </c:pt>
                <c:pt idx="6">
                  <c:v>182.04</c:v>
                </c:pt>
                <c:pt idx="7">
                  <c:v>163.83999999999997</c:v>
                </c:pt>
                <c:pt idx="8">
                  <c:v>200.13999999999996</c:v>
                </c:pt>
                <c:pt idx="9">
                  <c:v>200.13999999999996</c:v>
                </c:pt>
                <c:pt idx="10">
                  <c:v>200.13999999999996</c:v>
                </c:pt>
                <c:pt idx="11">
                  <c:v>200.34</c:v>
                </c:pt>
                <c:pt idx="12">
                  <c:v>214.53999999999996</c:v>
                </c:pt>
                <c:pt idx="13">
                  <c:v>214.53999999999996</c:v>
                </c:pt>
                <c:pt idx="14">
                  <c:v>211.53999999999996</c:v>
                </c:pt>
                <c:pt idx="15">
                  <c:v>194.23999999999998</c:v>
                </c:pt>
                <c:pt idx="16">
                  <c:v>195.54</c:v>
                </c:pt>
                <c:pt idx="17">
                  <c:v>195.54</c:v>
                </c:pt>
                <c:pt idx="18" formatCode="0.0">
                  <c:v>151.84</c:v>
                </c:pt>
                <c:pt idx="19" formatCode="0.0">
                  <c:v>334.24</c:v>
                </c:pt>
                <c:pt idx="20" formatCode="0.0">
                  <c:v>292.04000000000002</c:v>
                </c:pt>
                <c:pt idx="21" formatCode="0.0">
                  <c:v>272.04000000000002</c:v>
                </c:pt>
                <c:pt idx="22" formatCode="0.0">
                  <c:v>226.04000000000002</c:v>
                </c:pt>
                <c:pt idx="23" formatCode="0.0">
                  <c:v>206.24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80-479E-986D-EB76E0D28CAF}"/>
            </c:ext>
          </c:extLst>
        </c:ser>
        <c:ser>
          <c:idx val="0"/>
          <c:order val="3"/>
          <c:tx>
            <c:strRef>
              <c:f>'28'!$AL$19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'28'!$AM$19:$BJ$19</c:f>
              <c:numCache>
                <c:formatCode>General</c:formatCode>
                <c:ptCount val="24"/>
                <c:pt idx="0">
                  <c:v>172.8</c:v>
                </c:pt>
                <c:pt idx="1">
                  <c:v>176.5</c:v>
                </c:pt>
                <c:pt idx="2">
                  <c:v>176.3</c:v>
                </c:pt>
                <c:pt idx="3">
                  <c:v>149.30000000000001</c:v>
                </c:pt>
                <c:pt idx="4">
                  <c:v>147.19999999999999</c:v>
                </c:pt>
                <c:pt idx="5">
                  <c:v>179.5</c:v>
                </c:pt>
                <c:pt idx="6">
                  <c:v>223.3</c:v>
                </c:pt>
                <c:pt idx="7">
                  <c:v>826.9</c:v>
                </c:pt>
                <c:pt idx="8">
                  <c:v>886.5</c:v>
                </c:pt>
                <c:pt idx="9">
                  <c:v>857</c:v>
                </c:pt>
                <c:pt idx="10">
                  <c:v>916</c:v>
                </c:pt>
                <c:pt idx="11">
                  <c:v>924</c:v>
                </c:pt>
                <c:pt idx="12">
                  <c:v>922.5</c:v>
                </c:pt>
                <c:pt idx="13">
                  <c:v>951.9</c:v>
                </c:pt>
                <c:pt idx="14">
                  <c:v>922.8</c:v>
                </c:pt>
                <c:pt idx="15">
                  <c:v>960.40000000000009</c:v>
                </c:pt>
                <c:pt idx="16">
                  <c:v>919.7</c:v>
                </c:pt>
                <c:pt idx="17">
                  <c:v>867.80000000000007</c:v>
                </c:pt>
                <c:pt idx="18" formatCode="0.0">
                  <c:v>710.90000000000009</c:v>
                </c:pt>
                <c:pt idx="19" formatCode="0.0">
                  <c:v>279.89999999999998</c:v>
                </c:pt>
                <c:pt idx="20" formatCode="0.0">
                  <c:v>239.8</c:v>
                </c:pt>
                <c:pt idx="21" formatCode="0.0">
                  <c:v>370.8</c:v>
                </c:pt>
                <c:pt idx="22" formatCode="0.0">
                  <c:v>120</c:v>
                </c:pt>
                <c:pt idx="23" formatCode="0.0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80-479E-986D-EB76E0D28CAF}"/>
            </c:ext>
          </c:extLst>
        </c:ser>
        <c:ser>
          <c:idx val="4"/>
          <c:order val="4"/>
          <c:tx>
            <c:strRef>
              <c:f>'28'!$AL$20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'28'!$AM$20:$BJ$20</c:f>
              <c:numCache>
                <c:formatCode>General</c:formatCode>
                <c:ptCount val="24"/>
                <c:pt idx="0">
                  <c:v>96.4</c:v>
                </c:pt>
                <c:pt idx="1">
                  <c:v>96.4</c:v>
                </c:pt>
                <c:pt idx="2">
                  <c:v>96.4</c:v>
                </c:pt>
                <c:pt idx="3">
                  <c:v>96.4</c:v>
                </c:pt>
                <c:pt idx="4">
                  <c:v>96.4</c:v>
                </c:pt>
                <c:pt idx="5">
                  <c:v>96.4</c:v>
                </c:pt>
                <c:pt idx="6">
                  <c:v>96.4</c:v>
                </c:pt>
                <c:pt idx="7">
                  <c:v>91.4</c:v>
                </c:pt>
                <c:pt idx="8">
                  <c:v>95.899999999999991</c:v>
                </c:pt>
                <c:pt idx="9">
                  <c:v>95.899999999999991</c:v>
                </c:pt>
                <c:pt idx="10">
                  <c:v>95.899999999999991</c:v>
                </c:pt>
                <c:pt idx="11">
                  <c:v>95.899999999999991</c:v>
                </c:pt>
                <c:pt idx="12">
                  <c:v>95.899999999999991</c:v>
                </c:pt>
                <c:pt idx="13">
                  <c:v>95.899999999999991</c:v>
                </c:pt>
                <c:pt idx="14">
                  <c:v>95.899999999999991</c:v>
                </c:pt>
                <c:pt idx="15">
                  <c:v>98.300000000000011</c:v>
                </c:pt>
                <c:pt idx="16">
                  <c:v>97.7</c:v>
                </c:pt>
                <c:pt idx="17">
                  <c:v>96.1</c:v>
                </c:pt>
                <c:pt idx="18" formatCode="0.0">
                  <c:v>97.3</c:v>
                </c:pt>
                <c:pt idx="19" formatCode="0.0">
                  <c:v>97</c:v>
                </c:pt>
                <c:pt idx="20" formatCode="0.0">
                  <c:v>97.1</c:v>
                </c:pt>
                <c:pt idx="21" formatCode="0.0">
                  <c:v>97.1</c:v>
                </c:pt>
                <c:pt idx="22" formatCode="0.0">
                  <c:v>97.1</c:v>
                </c:pt>
                <c:pt idx="23" formatCode="0.0">
                  <c:v>97.1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80-479E-986D-EB76E0D28CAF}"/>
            </c:ext>
          </c:extLst>
        </c:ser>
        <c:ser>
          <c:idx val="5"/>
          <c:order val="5"/>
          <c:tx>
            <c:strRef>
              <c:f>'28'!$AL$21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'28'!$AM$21:$BJ$21</c:f>
              <c:numCache>
                <c:formatCode>General</c:formatCode>
                <c:ptCount val="24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  <c:pt idx="6">
                  <c:v>300</c:v>
                </c:pt>
                <c:pt idx="7">
                  <c:v>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200</c:v>
                </c:pt>
                <c:pt idx="19" formatCode="0.0">
                  <c:v>270</c:v>
                </c:pt>
                <c:pt idx="20" formatCode="0.0">
                  <c:v>270</c:v>
                </c:pt>
                <c:pt idx="21" formatCode="0.0">
                  <c:v>270</c:v>
                </c:pt>
                <c:pt idx="22" formatCode="0.0">
                  <c:v>500</c:v>
                </c:pt>
                <c:pt idx="23" formatCode="0.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80-479E-986D-EB76E0D28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'28'!$AL$23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80-479E-986D-EB76E0D28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'28'!$AL$22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'28'!$AM$22:$BJ$22</c:f>
              <c:numCache>
                <c:formatCode>General</c:formatCode>
                <c:ptCount val="24"/>
                <c:pt idx="0">
                  <c:v>1391.49</c:v>
                </c:pt>
                <c:pt idx="1">
                  <c:v>1364.09</c:v>
                </c:pt>
                <c:pt idx="2">
                  <c:v>1337.19</c:v>
                </c:pt>
                <c:pt idx="3">
                  <c:v>1309.8899999999999</c:v>
                </c:pt>
                <c:pt idx="4">
                  <c:v>1301.19</c:v>
                </c:pt>
                <c:pt idx="5">
                  <c:v>1338.59</c:v>
                </c:pt>
                <c:pt idx="6">
                  <c:v>1359.09</c:v>
                </c:pt>
                <c:pt idx="7">
                  <c:v>1583.3899999999999</c:v>
                </c:pt>
                <c:pt idx="8">
                  <c:v>1666.0900000000001</c:v>
                </c:pt>
                <c:pt idx="9">
                  <c:v>1636.5900000000001</c:v>
                </c:pt>
                <c:pt idx="10">
                  <c:v>1683.79</c:v>
                </c:pt>
                <c:pt idx="11">
                  <c:v>1682.3400000000001</c:v>
                </c:pt>
                <c:pt idx="12">
                  <c:v>1694.8400000000001</c:v>
                </c:pt>
                <c:pt idx="13">
                  <c:v>1745.7399999999998</c:v>
                </c:pt>
                <c:pt idx="14">
                  <c:v>1709.6399999999999</c:v>
                </c:pt>
                <c:pt idx="15">
                  <c:v>1726.84</c:v>
                </c:pt>
                <c:pt idx="16">
                  <c:v>1692.34</c:v>
                </c:pt>
                <c:pt idx="17">
                  <c:v>1637.54</c:v>
                </c:pt>
                <c:pt idx="18">
                  <c:v>1635.64</c:v>
                </c:pt>
                <c:pt idx="19">
                  <c:v>1844.44</c:v>
                </c:pt>
                <c:pt idx="20">
                  <c:v>1772.84</c:v>
                </c:pt>
                <c:pt idx="21">
                  <c:v>1645.2399999999998</c:v>
                </c:pt>
                <c:pt idx="22">
                  <c:v>1495.1399999999999</c:v>
                </c:pt>
                <c:pt idx="23">
                  <c:v>1465.34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4380-479E-986D-EB76E0D28CAF}"/>
            </c:ext>
          </c:extLst>
        </c:ser>
        <c:ser>
          <c:idx val="8"/>
          <c:order val="8"/>
          <c:tx>
            <c:strRef>
              <c:f>'28'!$AL$24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'28'!$AM$24:$BJ$24</c:f>
              <c:numCache>
                <c:formatCode>General</c:formatCode>
                <c:ptCount val="24"/>
                <c:pt idx="0">
                  <c:v>1391.49</c:v>
                </c:pt>
                <c:pt idx="1">
                  <c:v>1364.09</c:v>
                </c:pt>
                <c:pt idx="2">
                  <c:v>1337.19</c:v>
                </c:pt>
                <c:pt idx="3">
                  <c:v>1309.8899999999999</c:v>
                </c:pt>
                <c:pt idx="4">
                  <c:v>1301.19</c:v>
                </c:pt>
                <c:pt idx="5">
                  <c:v>1338.59</c:v>
                </c:pt>
                <c:pt idx="6">
                  <c:v>1359.09</c:v>
                </c:pt>
                <c:pt idx="7">
                  <c:v>1583.3899999999999</c:v>
                </c:pt>
                <c:pt idx="8">
                  <c:v>1666.0900000000001</c:v>
                </c:pt>
                <c:pt idx="9">
                  <c:v>1636.5900000000001</c:v>
                </c:pt>
                <c:pt idx="10">
                  <c:v>1683.79</c:v>
                </c:pt>
                <c:pt idx="11">
                  <c:v>1682.3400000000001</c:v>
                </c:pt>
                <c:pt idx="12">
                  <c:v>1694.8400000000001</c:v>
                </c:pt>
                <c:pt idx="13">
                  <c:v>1745.7399999999998</c:v>
                </c:pt>
                <c:pt idx="14">
                  <c:v>1709.6399999999999</c:v>
                </c:pt>
                <c:pt idx="15">
                  <c:v>1726.84</c:v>
                </c:pt>
                <c:pt idx="16">
                  <c:v>1692.34</c:v>
                </c:pt>
                <c:pt idx="17">
                  <c:v>1637.54</c:v>
                </c:pt>
                <c:pt idx="18">
                  <c:v>1635.64</c:v>
                </c:pt>
                <c:pt idx="19">
                  <c:v>1844.44</c:v>
                </c:pt>
                <c:pt idx="20">
                  <c:v>1772.84</c:v>
                </c:pt>
                <c:pt idx="21">
                  <c:v>1645.2399999999998</c:v>
                </c:pt>
                <c:pt idx="22">
                  <c:v>1495.1399999999999</c:v>
                </c:pt>
                <c:pt idx="23">
                  <c:v>1464.34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380-479E-986D-EB76E0D28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314-4D50-B3B9-6E1627EA13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314-4D50-B3B9-6E1627EA13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314-4D50-B3B9-6E1627EA13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314-4D50-B3B9-6E1627EA13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314-4D50-B3B9-6E1627EA13D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C314-4D50-B3B9-6E1627EA13D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'29'!$AL$16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'29'!$AM$16:$BJ$16</c:f>
              <c:numCache>
                <c:formatCode>General</c:formatCode>
                <c:ptCount val="24"/>
                <c:pt idx="0">
                  <c:v>449</c:v>
                </c:pt>
                <c:pt idx="1">
                  <c:v>449</c:v>
                </c:pt>
                <c:pt idx="2">
                  <c:v>449</c:v>
                </c:pt>
                <c:pt idx="3">
                  <c:v>449</c:v>
                </c:pt>
                <c:pt idx="4">
                  <c:v>449</c:v>
                </c:pt>
                <c:pt idx="5">
                  <c:v>449</c:v>
                </c:pt>
                <c:pt idx="6">
                  <c:v>449</c:v>
                </c:pt>
                <c:pt idx="7">
                  <c:v>449</c:v>
                </c:pt>
                <c:pt idx="8">
                  <c:v>467.9</c:v>
                </c:pt>
                <c:pt idx="9">
                  <c:v>467.9</c:v>
                </c:pt>
                <c:pt idx="10">
                  <c:v>467.9</c:v>
                </c:pt>
                <c:pt idx="11">
                  <c:v>458.2</c:v>
                </c:pt>
                <c:pt idx="12">
                  <c:v>458.2</c:v>
                </c:pt>
                <c:pt idx="13">
                  <c:v>458.2</c:v>
                </c:pt>
                <c:pt idx="14">
                  <c:v>458.2</c:v>
                </c:pt>
                <c:pt idx="15">
                  <c:v>458.2</c:v>
                </c:pt>
                <c:pt idx="16">
                  <c:v>150</c:v>
                </c:pt>
                <c:pt idx="17">
                  <c:v>0</c:v>
                </c:pt>
                <c:pt idx="18" formatCode="0.0">
                  <c:v>458.2</c:v>
                </c:pt>
                <c:pt idx="19" formatCode="0.0">
                  <c:v>458.2</c:v>
                </c:pt>
                <c:pt idx="20" formatCode="0.0">
                  <c:v>472.09999999999997</c:v>
                </c:pt>
                <c:pt idx="21" formatCode="0.0">
                  <c:v>472.09999999999997</c:v>
                </c:pt>
                <c:pt idx="22" formatCode="0.0">
                  <c:v>472.09999999999997</c:v>
                </c:pt>
                <c:pt idx="23" formatCode="0.0">
                  <c:v>472.09999999999997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D-443B-9415-2BE329019446}"/>
            </c:ext>
          </c:extLst>
        </c:ser>
        <c:ser>
          <c:idx val="2"/>
          <c:order val="1"/>
          <c:tx>
            <c:strRef>
              <c:f>'29'!$AL$17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'29'!$AM$17:$BJ$17</c:f>
              <c:numCache>
                <c:formatCode>General</c:formatCode>
                <c:ptCount val="24"/>
                <c:pt idx="0">
                  <c:v>98.3</c:v>
                </c:pt>
                <c:pt idx="1">
                  <c:v>28.3</c:v>
                </c:pt>
                <c:pt idx="2">
                  <c:v>104.3</c:v>
                </c:pt>
                <c:pt idx="3">
                  <c:v>78.5</c:v>
                </c:pt>
                <c:pt idx="4">
                  <c:v>78.5</c:v>
                </c:pt>
                <c:pt idx="5">
                  <c:v>78.5</c:v>
                </c:pt>
                <c:pt idx="6">
                  <c:v>179.3</c:v>
                </c:pt>
                <c:pt idx="7">
                  <c:v>28.3</c:v>
                </c:pt>
                <c:pt idx="8">
                  <c:v>28.3</c:v>
                </c:pt>
                <c:pt idx="9">
                  <c:v>28.3</c:v>
                </c:pt>
                <c:pt idx="10">
                  <c:v>28.3</c:v>
                </c:pt>
                <c:pt idx="11">
                  <c:v>30.8</c:v>
                </c:pt>
                <c:pt idx="12">
                  <c:v>30.8</c:v>
                </c:pt>
                <c:pt idx="13">
                  <c:v>30.8</c:v>
                </c:pt>
                <c:pt idx="14">
                  <c:v>30.8</c:v>
                </c:pt>
                <c:pt idx="15">
                  <c:v>30.8</c:v>
                </c:pt>
                <c:pt idx="16">
                  <c:v>0</c:v>
                </c:pt>
                <c:pt idx="17">
                  <c:v>0</c:v>
                </c:pt>
                <c:pt idx="18" formatCode="0.0">
                  <c:v>30.8</c:v>
                </c:pt>
                <c:pt idx="19" formatCode="0.0">
                  <c:v>341.8</c:v>
                </c:pt>
                <c:pt idx="20" formatCode="0.0">
                  <c:v>214.6</c:v>
                </c:pt>
                <c:pt idx="21" formatCode="0.0">
                  <c:v>142.9</c:v>
                </c:pt>
                <c:pt idx="22" formatCode="0.0">
                  <c:v>33.799999999999997</c:v>
                </c:pt>
                <c:pt idx="23" formatCode="0.0">
                  <c:v>33.6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DD-443B-9415-2BE329019446}"/>
            </c:ext>
          </c:extLst>
        </c:ser>
        <c:ser>
          <c:idx val="3"/>
          <c:order val="2"/>
          <c:tx>
            <c:strRef>
              <c:f>'29'!$AL$18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'29'!$AM$18:$BJ$18</c:f>
              <c:numCache>
                <c:formatCode>General</c:formatCode>
                <c:ptCount val="24"/>
                <c:pt idx="0">
                  <c:v>197.94</c:v>
                </c:pt>
                <c:pt idx="1">
                  <c:v>124.94000000000001</c:v>
                </c:pt>
                <c:pt idx="2">
                  <c:v>115.94000000000001</c:v>
                </c:pt>
                <c:pt idx="3">
                  <c:v>116.74000000000001</c:v>
                </c:pt>
                <c:pt idx="4">
                  <c:v>116.74000000000001</c:v>
                </c:pt>
                <c:pt idx="5">
                  <c:v>142.73999999999998</c:v>
                </c:pt>
                <c:pt idx="6">
                  <c:v>161.93999999999997</c:v>
                </c:pt>
                <c:pt idx="7">
                  <c:v>179.73999999999998</c:v>
                </c:pt>
                <c:pt idx="8">
                  <c:v>193.54</c:v>
                </c:pt>
                <c:pt idx="9">
                  <c:v>203.43999999999997</c:v>
                </c:pt>
                <c:pt idx="10">
                  <c:v>212.64</c:v>
                </c:pt>
                <c:pt idx="11">
                  <c:v>227.33999999999997</c:v>
                </c:pt>
                <c:pt idx="12">
                  <c:v>227.33999999999997</c:v>
                </c:pt>
                <c:pt idx="13">
                  <c:v>215.94</c:v>
                </c:pt>
                <c:pt idx="14">
                  <c:v>214.34</c:v>
                </c:pt>
                <c:pt idx="15">
                  <c:v>193.34</c:v>
                </c:pt>
                <c:pt idx="16">
                  <c:v>3.54</c:v>
                </c:pt>
                <c:pt idx="17">
                  <c:v>0</c:v>
                </c:pt>
                <c:pt idx="18" formatCode="0.0">
                  <c:v>129.13999999999999</c:v>
                </c:pt>
                <c:pt idx="19" formatCode="0.0">
                  <c:v>363.24000000000007</c:v>
                </c:pt>
                <c:pt idx="20" formatCode="0.0">
                  <c:v>281.34000000000003</c:v>
                </c:pt>
                <c:pt idx="21" formatCode="0.0">
                  <c:v>246.74</c:v>
                </c:pt>
                <c:pt idx="22" formatCode="0.0">
                  <c:v>146.44</c:v>
                </c:pt>
                <c:pt idx="23" formatCode="0.0">
                  <c:v>149.33999999999997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DD-443B-9415-2BE329019446}"/>
            </c:ext>
          </c:extLst>
        </c:ser>
        <c:ser>
          <c:idx val="0"/>
          <c:order val="3"/>
          <c:tx>
            <c:strRef>
              <c:f>'29'!$AL$19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'29'!$AM$19:$BJ$19</c:f>
              <c:numCache>
                <c:formatCode>General</c:formatCode>
                <c:ptCount val="24"/>
                <c:pt idx="0">
                  <c:v>209</c:v>
                </c:pt>
                <c:pt idx="1">
                  <c:v>369</c:v>
                </c:pt>
                <c:pt idx="2">
                  <c:v>296</c:v>
                </c:pt>
                <c:pt idx="3">
                  <c:v>314.10000000000002</c:v>
                </c:pt>
                <c:pt idx="4">
                  <c:v>319.70000000000005</c:v>
                </c:pt>
                <c:pt idx="5">
                  <c:v>344.5</c:v>
                </c:pt>
                <c:pt idx="6">
                  <c:v>301.3</c:v>
                </c:pt>
                <c:pt idx="7">
                  <c:v>795.69999999999993</c:v>
                </c:pt>
                <c:pt idx="8">
                  <c:v>937.9</c:v>
                </c:pt>
                <c:pt idx="9">
                  <c:v>895.69999999999993</c:v>
                </c:pt>
                <c:pt idx="10">
                  <c:v>912.7</c:v>
                </c:pt>
                <c:pt idx="11">
                  <c:v>927.69999999999993</c:v>
                </c:pt>
                <c:pt idx="12">
                  <c:v>927.69999999999993</c:v>
                </c:pt>
                <c:pt idx="13">
                  <c:v>912</c:v>
                </c:pt>
                <c:pt idx="14">
                  <c:v>919.80000000000007</c:v>
                </c:pt>
                <c:pt idx="15">
                  <c:v>919.90000000000009</c:v>
                </c:pt>
                <c:pt idx="16">
                  <c:v>0</c:v>
                </c:pt>
                <c:pt idx="17">
                  <c:v>0</c:v>
                </c:pt>
                <c:pt idx="18" formatCode="0.0">
                  <c:v>641.9</c:v>
                </c:pt>
                <c:pt idx="19" formatCode="0.0">
                  <c:v>129</c:v>
                </c:pt>
                <c:pt idx="20" formatCode="0.0">
                  <c:v>151.1</c:v>
                </c:pt>
                <c:pt idx="21" formatCode="0.0">
                  <c:v>182.3</c:v>
                </c:pt>
                <c:pt idx="22" formatCode="0.0">
                  <c:v>270.70000000000005</c:v>
                </c:pt>
                <c:pt idx="23" formatCode="0.0">
                  <c:v>318.09999999999997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DD-443B-9415-2BE329019446}"/>
            </c:ext>
          </c:extLst>
        </c:ser>
        <c:ser>
          <c:idx val="4"/>
          <c:order val="4"/>
          <c:tx>
            <c:strRef>
              <c:f>'29'!$AL$20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'29'!$AM$20:$BJ$20</c:f>
              <c:numCache>
                <c:formatCode>General</c:formatCode>
                <c:ptCount val="24"/>
                <c:pt idx="0">
                  <c:v>97.1</c:v>
                </c:pt>
                <c:pt idx="1">
                  <c:v>97.1</c:v>
                </c:pt>
                <c:pt idx="2">
                  <c:v>97.1</c:v>
                </c:pt>
                <c:pt idx="3">
                  <c:v>96.399999999999991</c:v>
                </c:pt>
                <c:pt idx="4">
                  <c:v>96.399999999999991</c:v>
                </c:pt>
                <c:pt idx="5">
                  <c:v>96.399999999999991</c:v>
                </c:pt>
                <c:pt idx="6">
                  <c:v>96.399999999999991</c:v>
                </c:pt>
                <c:pt idx="7">
                  <c:v>62.629999999999995</c:v>
                </c:pt>
                <c:pt idx="8">
                  <c:v>75.7</c:v>
                </c:pt>
                <c:pt idx="9">
                  <c:v>95.199999999999989</c:v>
                </c:pt>
                <c:pt idx="10">
                  <c:v>95.199999999999989</c:v>
                </c:pt>
                <c:pt idx="11">
                  <c:v>98.600000000000009</c:v>
                </c:pt>
                <c:pt idx="12">
                  <c:v>98.600000000000009</c:v>
                </c:pt>
                <c:pt idx="13">
                  <c:v>98.600000000000009</c:v>
                </c:pt>
                <c:pt idx="14">
                  <c:v>97.4</c:v>
                </c:pt>
                <c:pt idx="15">
                  <c:v>97.6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99.7</c:v>
                </c:pt>
                <c:pt idx="21" formatCode="0.0">
                  <c:v>98</c:v>
                </c:pt>
                <c:pt idx="22" formatCode="0.0">
                  <c:v>98.100000000000009</c:v>
                </c:pt>
                <c:pt idx="23" formatCode="0.0">
                  <c:v>97.8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DD-443B-9415-2BE329019446}"/>
            </c:ext>
          </c:extLst>
        </c:ser>
        <c:ser>
          <c:idx val="5"/>
          <c:order val="5"/>
          <c:tx>
            <c:strRef>
              <c:f>'29'!$AL$21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'29'!$AM$21:$BJ$21</c:f>
              <c:numCache>
                <c:formatCode>General</c:formatCode>
                <c:ptCount val="24"/>
                <c:pt idx="0">
                  <c:v>400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100</c:v>
                </c:pt>
                <c:pt idx="8">
                  <c:v>100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320</c:v>
                </c:pt>
                <c:pt idx="20" formatCode="0.0">
                  <c:v>180</c:v>
                </c:pt>
                <c:pt idx="21" formatCode="0.0">
                  <c:v>180</c:v>
                </c:pt>
                <c:pt idx="22" formatCode="0.0">
                  <c:v>200</c:v>
                </c:pt>
                <c:pt idx="23" formatCode="0.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DD-443B-9415-2BE329019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'29'!$AL$23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DD-443B-9415-2BE329019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'29'!$AL$22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'29'!$AM$22:$BJ$22</c:f>
              <c:numCache>
                <c:formatCode>General</c:formatCode>
                <c:ptCount val="24"/>
                <c:pt idx="0">
                  <c:v>1451.34</c:v>
                </c:pt>
                <c:pt idx="1">
                  <c:v>1368.34</c:v>
                </c:pt>
                <c:pt idx="2">
                  <c:v>1362.34</c:v>
                </c:pt>
                <c:pt idx="3">
                  <c:v>1354.74</c:v>
                </c:pt>
                <c:pt idx="4">
                  <c:v>1360.3400000000001</c:v>
                </c:pt>
                <c:pt idx="5">
                  <c:v>1411.14</c:v>
                </c:pt>
                <c:pt idx="6">
                  <c:v>1487.94</c:v>
                </c:pt>
                <c:pt idx="7">
                  <c:v>1615.37</c:v>
                </c:pt>
                <c:pt idx="8">
                  <c:v>1803.34</c:v>
                </c:pt>
                <c:pt idx="9">
                  <c:v>1690.54</c:v>
                </c:pt>
                <c:pt idx="10">
                  <c:v>1716.74</c:v>
                </c:pt>
                <c:pt idx="11">
                  <c:v>1742.6399999999999</c:v>
                </c:pt>
                <c:pt idx="12">
                  <c:v>1742.6399999999999</c:v>
                </c:pt>
                <c:pt idx="13">
                  <c:v>1715.54</c:v>
                </c:pt>
                <c:pt idx="14">
                  <c:v>1720.5400000000002</c:v>
                </c:pt>
                <c:pt idx="15">
                  <c:v>1699.8400000000001</c:v>
                </c:pt>
                <c:pt idx="16">
                  <c:v>153.54</c:v>
                </c:pt>
                <c:pt idx="17">
                  <c:v>0</c:v>
                </c:pt>
                <c:pt idx="18">
                  <c:v>1260.04</c:v>
                </c:pt>
                <c:pt idx="19">
                  <c:v>1612.24</c:v>
                </c:pt>
                <c:pt idx="20">
                  <c:v>1398.84</c:v>
                </c:pt>
                <c:pt idx="21">
                  <c:v>1322.04</c:v>
                </c:pt>
                <c:pt idx="22">
                  <c:v>1221.1399999999999</c:v>
                </c:pt>
                <c:pt idx="23">
                  <c:v>1270.9399999999998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7DDD-443B-9415-2BE329019446}"/>
            </c:ext>
          </c:extLst>
        </c:ser>
        <c:ser>
          <c:idx val="8"/>
          <c:order val="8"/>
          <c:tx>
            <c:strRef>
              <c:f>'29'!$AL$24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'29'!$AM$24:$BJ$24</c:f>
              <c:numCache>
                <c:formatCode>General</c:formatCode>
                <c:ptCount val="24"/>
                <c:pt idx="0">
                  <c:v>1451.34</c:v>
                </c:pt>
                <c:pt idx="1">
                  <c:v>1368.34</c:v>
                </c:pt>
                <c:pt idx="2">
                  <c:v>1362.34</c:v>
                </c:pt>
                <c:pt idx="3">
                  <c:v>1354.74</c:v>
                </c:pt>
                <c:pt idx="4">
                  <c:v>1360.3400000000001</c:v>
                </c:pt>
                <c:pt idx="5">
                  <c:v>1411.14</c:v>
                </c:pt>
                <c:pt idx="6">
                  <c:v>1487.94</c:v>
                </c:pt>
                <c:pt idx="7">
                  <c:v>1615.37</c:v>
                </c:pt>
                <c:pt idx="8">
                  <c:v>1803.34</c:v>
                </c:pt>
                <c:pt idx="9">
                  <c:v>1690.54</c:v>
                </c:pt>
                <c:pt idx="10">
                  <c:v>1716.74</c:v>
                </c:pt>
                <c:pt idx="11">
                  <c:v>1742.6399999999999</c:v>
                </c:pt>
                <c:pt idx="12">
                  <c:v>1742.6399999999999</c:v>
                </c:pt>
                <c:pt idx="13">
                  <c:v>1715.54</c:v>
                </c:pt>
                <c:pt idx="14">
                  <c:v>1720.5400000000002</c:v>
                </c:pt>
                <c:pt idx="15">
                  <c:v>1699.8400000000001</c:v>
                </c:pt>
                <c:pt idx="16">
                  <c:v>153.54</c:v>
                </c:pt>
                <c:pt idx="17">
                  <c:v>0</c:v>
                </c:pt>
                <c:pt idx="18">
                  <c:v>1260.04</c:v>
                </c:pt>
                <c:pt idx="19">
                  <c:v>1612.24</c:v>
                </c:pt>
                <c:pt idx="20">
                  <c:v>1398.84</c:v>
                </c:pt>
                <c:pt idx="21">
                  <c:v>1322.04</c:v>
                </c:pt>
                <c:pt idx="22">
                  <c:v>1221.1399999999999</c:v>
                </c:pt>
                <c:pt idx="23">
                  <c:v>1270.9399999999998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DDD-443B-9415-2BE329019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E47-403F-B3AB-DD53A51A12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E47-403F-B3AB-DD53A51A12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E47-403F-B3AB-DD53A51A12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E47-403F-B3AB-DD53A51A12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E47-403F-B3AB-DD53A51A12C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1E47-403F-B3AB-DD53A51A12C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'30'!$AL$16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'30'!$AM$16:$BJ$16</c:f>
              <c:numCache>
                <c:formatCode>General</c:formatCode>
                <c:ptCount val="24"/>
                <c:pt idx="0">
                  <c:v>472.09999999999997</c:v>
                </c:pt>
                <c:pt idx="1">
                  <c:v>472.09999999999997</c:v>
                </c:pt>
                <c:pt idx="2">
                  <c:v>472.09999999999997</c:v>
                </c:pt>
                <c:pt idx="3">
                  <c:v>470.2</c:v>
                </c:pt>
                <c:pt idx="4">
                  <c:v>470.2</c:v>
                </c:pt>
                <c:pt idx="5">
                  <c:v>470.2</c:v>
                </c:pt>
                <c:pt idx="6">
                  <c:v>470.2</c:v>
                </c:pt>
                <c:pt idx="7">
                  <c:v>470.2</c:v>
                </c:pt>
                <c:pt idx="8">
                  <c:v>468.5</c:v>
                </c:pt>
                <c:pt idx="9">
                  <c:v>465.4</c:v>
                </c:pt>
                <c:pt idx="10">
                  <c:v>466.9</c:v>
                </c:pt>
                <c:pt idx="11">
                  <c:v>463.29999999999995</c:v>
                </c:pt>
                <c:pt idx="12">
                  <c:v>469</c:v>
                </c:pt>
                <c:pt idx="13">
                  <c:v>466.9</c:v>
                </c:pt>
                <c:pt idx="14">
                  <c:v>466.9</c:v>
                </c:pt>
                <c:pt idx="15">
                  <c:v>466.9</c:v>
                </c:pt>
                <c:pt idx="16">
                  <c:v>466.9</c:v>
                </c:pt>
                <c:pt idx="17">
                  <c:v>466.9</c:v>
                </c:pt>
                <c:pt idx="18" formatCode="0.0">
                  <c:v>466.9</c:v>
                </c:pt>
                <c:pt idx="19" formatCode="0.0">
                  <c:v>486.5</c:v>
                </c:pt>
                <c:pt idx="20" formatCode="0.0">
                  <c:v>466.9</c:v>
                </c:pt>
                <c:pt idx="21" formatCode="0.0">
                  <c:v>466.9</c:v>
                </c:pt>
                <c:pt idx="22" formatCode="0.0">
                  <c:v>466.9</c:v>
                </c:pt>
                <c:pt idx="23" formatCode="0.0">
                  <c:v>466.9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D-49AE-8DDC-978CF8E586FF}"/>
            </c:ext>
          </c:extLst>
        </c:ser>
        <c:ser>
          <c:idx val="2"/>
          <c:order val="1"/>
          <c:tx>
            <c:strRef>
              <c:f>'30'!$AL$17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'30'!$AM$17:$BJ$17</c:f>
              <c:numCache>
                <c:formatCode>General</c:formatCode>
                <c:ptCount val="24"/>
                <c:pt idx="0">
                  <c:v>32.099999999999994</c:v>
                </c:pt>
                <c:pt idx="1">
                  <c:v>33.599999999999994</c:v>
                </c:pt>
                <c:pt idx="2">
                  <c:v>38.6</c:v>
                </c:pt>
                <c:pt idx="3">
                  <c:v>38.6</c:v>
                </c:pt>
                <c:pt idx="4">
                  <c:v>38.6</c:v>
                </c:pt>
                <c:pt idx="5">
                  <c:v>88.6</c:v>
                </c:pt>
                <c:pt idx="6">
                  <c:v>191.39999999999998</c:v>
                </c:pt>
                <c:pt idx="7">
                  <c:v>38.200000000000003</c:v>
                </c:pt>
                <c:pt idx="8">
                  <c:v>38.1</c:v>
                </c:pt>
                <c:pt idx="9">
                  <c:v>38.1</c:v>
                </c:pt>
                <c:pt idx="10">
                  <c:v>38.1</c:v>
                </c:pt>
                <c:pt idx="11">
                  <c:v>38.1</c:v>
                </c:pt>
                <c:pt idx="12">
                  <c:v>38.1</c:v>
                </c:pt>
                <c:pt idx="13">
                  <c:v>38.1</c:v>
                </c:pt>
                <c:pt idx="14">
                  <c:v>107.7</c:v>
                </c:pt>
                <c:pt idx="15">
                  <c:v>107.8</c:v>
                </c:pt>
                <c:pt idx="16">
                  <c:v>106.39999999999999</c:v>
                </c:pt>
                <c:pt idx="17">
                  <c:v>95.399999999999991</c:v>
                </c:pt>
                <c:pt idx="18" formatCode="0.0">
                  <c:v>85.399999999999991</c:v>
                </c:pt>
                <c:pt idx="19" formatCode="0.0">
                  <c:v>450.40000000000003</c:v>
                </c:pt>
                <c:pt idx="20" formatCode="0.0">
                  <c:v>390.40000000000003</c:v>
                </c:pt>
                <c:pt idx="21" formatCode="0.0">
                  <c:v>360.40000000000003</c:v>
                </c:pt>
                <c:pt idx="22" formatCode="0.0">
                  <c:v>360.40000000000003</c:v>
                </c:pt>
                <c:pt idx="23" formatCode="0.0">
                  <c:v>130.4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3D-49AE-8DDC-978CF8E586FF}"/>
            </c:ext>
          </c:extLst>
        </c:ser>
        <c:ser>
          <c:idx val="3"/>
          <c:order val="2"/>
          <c:tx>
            <c:strRef>
              <c:f>'30'!$AL$18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'30'!$AM$18:$BJ$18</c:f>
              <c:numCache>
                <c:formatCode>General</c:formatCode>
                <c:ptCount val="24"/>
                <c:pt idx="0">
                  <c:v>148.84</c:v>
                </c:pt>
                <c:pt idx="1">
                  <c:v>148.94</c:v>
                </c:pt>
                <c:pt idx="2">
                  <c:v>73.84</c:v>
                </c:pt>
                <c:pt idx="3">
                  <c:v>73.84</c:v>
                </c:pt>
                <c:pt idx="4">
                  <c:v>73.84</c:v>
                </c:pt>
                <c:pt idx="5">
                  <c:v>76.64</c:v>
                </c:pt>
                <c:pt idx="6">
                  <c:v>159.54</c:v>
                </c:pt>
                <c:pt idx="7">
                  <c:v>233.04</c:v>
                </c:pt>
                <c:pt idx="8">
                  <c:v>283.74</c:v>
                </c:pt>
                <c:pt idx="9">
                  <c:v>264.94000000000011</c:v>
                </c:pt>
                <c:pt idx="10">
                  <c:v>248.74000000000004</c:v>
                </c:pt>
                <c:pt idx="11">
                  <c:v>249.84000000000003</c:v>
                </c:pt>
                <c:pt idx="12">
                  <c:v>248.14000000000004</c:v>
                </c:pt>
                <c:pt idx="13">
                  <c:v>188.94000000000003</c:v>
                </c:pt>
                <c:pt idx="14">
                  <c:v>192.54000000000002</c:v>
                </c:pt>
                <c:pt idx="15">
                  <c:v>214.94</c:v>
                </c:pt>
                <c:pt idx="16">
                  <c:v>203.84</c:v>
                </c:pt>
                <c:pt idx="17">
                  <c:v>201.64000000000001</c:v>
                </c:pt>
                <c:pt idx="18" formatCode="0.0">
                  <c:v>224.24000000000004</c:v>
                </c:pt>
                <c:pt idx="19" formatCode="0.0">
                  <c:v>365.94000000000005</c:v>
                </c:pt>
                <c:pt idx="20" formatCode="0.0">
                  <c:v>322.44000000000005</c:v>
                </c:pt>
                <c:pt idx="21" formatCode="0.0">
                  <c:v>263.94000000000005</c:v>
                </c:pt>
                <c:pt idx="22" formatCode="0.0">
                  <c:v>189.84</c:v>
                </c:pt>
                <c:pt idx="23" formatCode="0.0">
                  <c:v>189.84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3D-49AE-8DDC-978CF8E586FF}"/>
            </c:ext>
          </c:extLst>
        </c:ser>
        <c:ser>
          <c:idx val="0"/>
          <c:order val="3"/>
          <c:tx>
            <c:strRef>
              <c:f>'30'!$AL$19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'30'!$AM$19:$BJ$19</c:f>
              <c:numCache>
                <c:formatCode>General</c:formatCode>
                <c:ptCount val="24"/>
                <c:pt idx="0">
                  <c:v>288.39999999999998</c:v>
                </c:pt>
                <c:pt idx="1">
                  <c:v>274.89999999999998</c:v>
                </c:pt>
                <c:pt idx="2">
                  <c:v>342.90000000000003</c:v>
                </c:pt>
                <c:pt idx="3">
                  <c:v>401.8</c:v>
                </c:pt>
                <c:pt idx="4">
                  <c:v>375.6</c:v>
                </c:pt>
                <c:pt idx="5">
                  <c:v>397.8</c:v>
                </c:pt>
                <c:pt idx="6">
                  <c:v>434</c:v>
                </c:pt>
                <c:pt idx="7">
                  <c:v>785.1</c:v>
                </c:pt>
                <c:pt idx="8">
                  <c:v>819.59999999999991</c:v>
                </c:pt>
                <c:pt idx="9">
                  <c:v>813.4</c:v>
                </c:pt>
                <c:pt idx="10">
                  <c:v>814.5</c:v>
                </c:pt>
                <c:pt idx="11">
                  <c:v>801.9</c:v>
                </c:pt>
                <c:pt idx="12">
                  <c:v>820.59999999999991</c:v>
                </c:pt>
                <c:pt idx="13">
                  <c:v>837.19999999999993</c:v>
                </c:pt>
                <c:pt idx="14">
                  <c:v>837.3</c:v>
                </c:pt>
                <c:pt idx="15">
                  <c:v>809.8</c:v>
                </c:pt>
                <c:pt idx="16">
                  <c:v>789.09999999999991</c:v>
                </c:pt>
                <c:pt idx="17">
                  <c:v>752.16000000000008</c:v>
                </c:pt>
                <c:pt idx="18" formatCode="0.0">
                  <c:v>578.69999999999993</c:v>
                </c:pt>
                <c:pt idx="19" formatCode="0.0">
                  <c:v>123.3</c:v>
                </c:pt>
                <c:pt idx="20" formatCode="0.0">
                  <c:v>132</c:v>
                </c:pt>
                <c:pt idx="21" formatCode="0.0">
                  <c:v>173.39999999999998</c:v>
                </c:pt>
                <c:pt idx="22" formatCode="0.0">
                  <c:v>148.5</c:v>
                </c:pt>
                <c:pt idx="23" formatCode="0.0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3D-49AE-8DDC-978CF8E586FF}"/>
            </c:ext>
          </c:extLst>
        </c:ser>
        <c:ser>
          <c:idx val="4"/>
          <c:order val="4"/>
          <c:tx>
            <c:strRef>
              <c:f>'30'!$AL$20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'30'!$AM$20:$BJ$20</c:f>
              <c:numCache>
                <c:formatCode>General</c:formatCode>
                <c:ptCount val="24"/>
                <c:pt idx="0">
                  <c:v>96.100000000000009</c:v>
                </c:pt>
                <c:pt idx="1">
                  <c:v>97.3</c:v>
                </c:pt>
                <c:pt idx="2">
                  <c:v>97.5</c:v>
                </c:pt>
                <c:pt idx="3">
                  <c:v>71.8</c:v>
                </c:pt>
                <c:pt idx="4">
                  <c:v>98.8</c:v>
                </c:pt>
                <c:pt idx="5">
                  <c:v>98.8</c:v>
                </c:pt>
                <c:pt idx="6">
                  <c:v>70.3</c:v>
                </c:pt>
                <c:pt idx="7">
                  <c:v>20.099999999999998</c:v>
                </c:pt>
                <c:pt idx="8">
                  <c:v>49.5</c:v>
                </c:pt>
                <c:pt idx="9">
                  <c:v>38.799999999999997</c:v>
                </c:pt>
                <c:pt idx="10">
                  <c:v>70.900000000000006</c:v>
                </c:pt>
                <c:pt idx="11">
                  <c:v>79.2</c:v>
                </c:pt>
                <c:pt idx="12">
                  <c:v>97</c:v>
                </c:pt>
                <c:pt idx="13">
                  <c:v>69.899999999999991</c:v>
                </c:pt>
                <c:pt idx="14">
                  <c:v>60.2</c:v>
                </c:pt>
                <c:pt idx="15">
                  <c:v>69.3</c:v>
                </c:pt>
                <c:pt idx="16">
                  <c:v>95</c:v>
                </c:pt>
                <c:pt idx="17">
                  <c:v>79.199999999999989</c:v>
                </c:pt>
                <c:pt idx="18" formatCode="0.0">
                  <c:v>32.700000000000003</c:v>
                </c:pt>
                <c:pt idx="19" formatCode="0.0">
                  <c:v>95.5</c:v>
                </c:pt>
                <c:pt idx="20" formatCode="0.0">
                  <c:v>95.5</c:v>
                </c:pt>
                <c:pt idx="21" formatCode="0.0">
                  <c:v>95.5</c:v>
                </c:pt>
                <c:pt idx="22" formatCode="0.0">
                  <c:v>95.5</c:v>
                </c:pt>
                <c:pt idx="23" formatCode="0.0">
                  <c:v>95.5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3D-49AE-8DDC-978CF8E586FF}"/>
            </c:ext>
          </c:extLst>
        </c:ser>
        <c:ser>
          <c:idx val="5"/>
          <c:order val="5"/>
          <c:tx>
            <c:strRef>
              <c:f>'30'!$AL$21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'30'!$AM$21:$BJ$21</c:f>
              <c:numCache>
                <c:formatCode>General</c:formatCode>
                <c:ptCount val="24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150</c:v>
                </c:pt>
                <c:pt idx="7">
                  <c:v>30</c:v>
                </c:pt>
                <c:pt idx="8">
                  <c:v>10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10</c:v>
                </c:pt>
                <c:pt idx="13">
                  <c:v>20</c:v>
                </c:pt>
                <c:pt idx="14">
                  <c:v>20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 formatCode="0.0">
                  <c:v>50</c:v>
                </c:pt>
                <c:pt idx="19" formatCode="0.0">
                  <c:v>380</c:v>
                </c:pt>
                <c:pt idx="20" formatCode="0.0">
                  <c:v>300</c:v>
                </c:pt>
                <c:pt idx="21" formatCode="0.0">
                  <c:v>250</c:v>
                </c:pt>
                <c:pt idx="22" formatCode="0.0">
                  <c:v>200</c:v>
                </c:pt>
                <c:pt idx="23" formatCode="0.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3D-49AE-8DDC-978CF8E58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'30'!$AL$23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3D-49AE-8DDC-978CF8E58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'30'!$AL$22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'30'!$AM$22:$BJ$22</c:f>
              <c:numCache>
                <c:formatCode>General</c:formatCode>
                <c:ptCount val="24"/>
                <c:pt idx="0">
                  <c:v>1237.54</c:v>
                </c:pt>
                <c:pt idx="1">
                  <c:v>1226.8399999999999</c:v>
                </c:pt>
                <c:pt idx="2">
                  <c:v>1224.94</c:v>
                </c:pt>
                <c:pt idx="3">
                  <c:v>1256.24</c:v>
                </c:pt>
                <c:pt idx="4">
                  <c:v>1257.04</c:v>
                </c:pt>
                <c:pt idx="5">
                  <c:v>1332.04</c:v>
                </c:pt>
                <c:pt idx="6">
                  <c:v>1475.4399999999998</c:v>
                </c:pt>
                <c:pt idx="7">
                  <c:v>1576.6399999999999</c:v>
                </c:pt>
                <c:pt idx="8">
                  <c:v>1669.44</c:v>
                </c:pt>
                <c:pt idx="9">
                  <c:v>1640.64</c:v>
                </c:pt>
                <c:pt idx="10">
                  <c:v>1659.14</c:v>
                </c:pt>
                <c:pt idx="11">
                  <c:v>1652.34</c:v>
                </c:pt>
                <c:pt idx="12">
                  <c:v>1682.84</c:v>
                </c:pt>
                <c:pt idx="13">
                  <c:v>1621.04</c:v>
                </c:pt>
                <c:pt idx="14">
                  <c:v>1684.64</c:v>
                </c:pt>
                <c:pt idx="15">
                  <c:v>1718.7399999999998</c:v>
                </c:pt>
                <c:pt idx="16">
                  <c:v>1711.2399999999998</c:v>
                </c:pt>
                <c:pt idx="17">
                  <c:v>1645.3</c:v>
                </c:pt>
                <c:pt idx="18">
                  <c:v>1437.9399999999998</c:v>
                </c:pt>
                <c:pt idx="19">
                  <c:v>1901.64</c:v>
                </c:pt>
                <c:pt idx="20">
                  <c:v>1707.24</c:v>
                </c:pt>
                <c:pt idx="21">
                  <c:v>1610.1399999999999</c:v>
                </c:pt>
                <c:pt idx="22">
                  <c:v>1461.1399999999999</c:v>
                </c:pt>
                <c:pt idx="23">
                  <c:v>1335.6399999999999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393D-49AE-8DDC-978CF8E586FF}"/>
            </c:ext>
          </c:extLst>
        </c:ser>
        <c:ser>
          <c:idx val="8"/>
          <c:order val="8"/>
          <c:tx>
            <c:strRef>
              <c:f>'30'!$AL$24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'30'!$AM$24:$BJ$24</c:f>
              <c:numCache>
                <c:formatCode>General</c:formatCode>
                <c:ptCount val="24"/>
                <c:pt idx="0">
                  <c:v>1237.54</c:v>
                </c:pt>
                <c:pt idx="1">
                  <c:v>1226.8399999999999</c:v>
                </c:pt>
                <c:pt idx="2">
                  <c:v>1224.94</c:v>
                </c:pt>
                <c:pt idx="3">
                  <c:v>1256.24</c:v>
                </c:pt>
                <c:pt idx="4">
                  <c:v>1257.04</c:v>
                </c:pt>
                <c:pt idx="5">
                  <c:v>1332.04</c:v>
                </c:pt>
                <c:pt idx="6">
                  <c:v>1475.4399999999998</c:v>
                </c:pt>
                <c:pt idx="7">
                  <c:v>1576.6399999999999</c:v>
                </c:pt>
                <c:pt idx="8">
                  <c:v>1669.44</c:v>
                </c:pt>
                <c:pt idx="9">
                  <c:v>1640.64</c:v>
                </c:pt>
                <c:pt idx="10">
                  <c:v>1659.14</c:v>
                </c:pt>
                <c:pt idx="11">
                  <c:v>1652.34</c:v>
                </c:pt>
                <c:pt idx="12">
                  <c:v>1682.84</c:v>
                </c:pt>
                <c:pt idx="13">
                  <c:v>1621.04</c:v>
                </c:pt>
                <c:pt idx="14">
                  <c:v>1684.64</c:v>
                </c:pt>
                <c:pt idx="15">
                  <c:v>1718.7399999999998</c:v>
                </c:pt>
                <c:pt idx="16">
                  <c:v>1711.2399999999998</c:v>
                </c:pt>
                <c:pt idx="17">
                  <c:v>1645.3</c:v>
                </c:pt>
                <c:pt idx="18">
                  <c:v>1437.9399999999998</c:v>
                </c:pt>
                <c:pt idx="19">
                  <c:v>1901.64</c:v>
                </c:pt>
                <c:pt idx="20">
                  <c:v>1707.24</c:v>
                </c:pt>
                <c:pt idx="21">
                  <c:v>1610.1399999999999</c:v>
                </c:pt>
                <c:pt idx="22">
                  <c:v>1461.1399999999999</c:v>
                </c:pt>
                <c:pt idx="23">
                  <c:v>1335.6399999999999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93D-49AE-8DDC-978CF8E58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4B8443-E10C-47B6-8BDD-D2B4B24C8A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43554</xdr:colOff>
      <xdr:row>10</xdr:row>
      <xdr:rowOff>2325</xdr:rowOff>
    </xdr:from>
    <xdr:to>
      <xdr:col>64</xdr:col>
      <xdr:colOff>151067</xdr:colOff>
      <xdr:row>31</xdr:row>
      <xdr:rowOff>154663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414FB6-CDF5-48E8-9B6D-5D73764CA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1596.68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1596.68 MW</a:t>
          </a:fld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E01C4B-F593-4AF2-9BEF-BEEF9DF097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480583</xdr:colOff>
      <xdr:row>28</xdr:row>
      <xdr:rowOff>181619</xdr:rowOff>
    </xdr:from>
    <xdr:to>
      <xdr:col>61</xdr:col>
      <xdr:colOff>414618</xdr:colOff>
      <xdr:row>62</xdr:row>
      <xdr:rowOff>145677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60EEBD-3D18-43AD-B024-58218F9F0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1738.59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1738.59 MW</a:t>
          </a:fld>
          <a:endParaRPr lang="en-US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487204-9AB5-4397-B854-F3C1EA703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152759</xdr:colOff>
      <xdr:row>27</xdr:row>
      <xdr:rowOff>152759</xdr:rowOff>
    </xdr:from>
    <xdr:to>
      <xdr:col>71</xdr:col>
      <xdr:colOff>449292</xdr:colOff>
      <xdr:row>49</xdr:row>
      <xdr:rowOff>170731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C99D36-D09F-4A7C-B659-221B863343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1663.69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1663.69 MW</a:t>
          </a:fld>
          <a:endParaRPr lang="en-US" sz="11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F3C68F-7DA1-4037-AF39-4AFD93B135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A1EA55-09E5-4610-B3AC-96DE7C0A3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3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1606.39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3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1606.39 MW</a:t>
          </a:fld>
          <a:endParaRPr lang="en-US" sz="1100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7A1628-8D26-42E7-AEC1-5499027BB6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070B5F-1E4C-4B15-A53C-CDD40D283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4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1675.089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4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1675.089 MW</a:t>
          </a:fld>
          <a:endParaRPr lang="en-US" sz="1100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3F2849-5A9C-486F-ACDD-50E0C4AB28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BF8DF3-8679-4C8E-97AC-C0C13FCE58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5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1706.289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5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1706.289 MW</a:t>
          </a:fld>
          <a:endParaRPr lang="en-US" sz="1100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2311C0-5FE6-4C09-B1A2-240C7636C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457676-A9E2-4168-B937-5CA1F99B3F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6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1822.29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6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1822.29 MW</a:t>
          </a:fld>
          <a:endParaRPr lang="en-US" sz="1100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6F5815-E73B-4EBC-9BF0-836FDE1CD6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FE17BC-85FA-4B08-AEC4-2B64E7F6F6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7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1618.39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7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1618.39 MW</a:t>
          </a:fld>
          <a:endParaRPr lang="en-US" sz="1100"/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6CE3EE-F9A6-4F08-94C8-D01D8F6551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66D211-9EFE-4F2F-ACFA-06ABFE66C4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8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1482.79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8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1482.79 MW</a:t>
          </a:fld>
          <a:endParaRPr lang="en-US" sz="1100"/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2AA4C3-82B4-42FC-9C9D-AD96E45189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3683D2-479B-43EB-ACDA-101F0B15F1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9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1592.99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9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1592.99 MW</a:t>
          </a:fld>
          <a:endParaRPr lang="en-US" sz="1100"/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5F8F15-13FA-4ED4-B280-98F6635093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04A2E0-ECC7-4FD7-AF4F-75FDDE7CBF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0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1486.29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0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1486.29 MW</a:t>
          </a:fld>
          <a:endParaRPr lang="en-US" sz="1100"/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07319B-EDBA-41F5-8410-02A6B7A91D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D1442D-2E9A-42F4-A368-1AEA991B6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1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1361.89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1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1361.89 MW</a:t>
          </a:fld>
          <a:endParaRPr lang="en-US" sz="1100"/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F16148-6B6B-44AA-AD55-44810CBC0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D7E931-3550-4759-9110-65DD110647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2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1105.09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2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1105.09 MW</a:t>
          </a:fld>
          <a:endParaRPr lang="en-US" sz="1100"/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34986A-D87A-40AE-ACB9-61BA760B5A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7B307E-05DD-46E8-85BB-F23838F6B1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3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1182.59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3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1182.59 MW</a:t>
          </a:fld>
          <a:endParaRPr lang="en-US" sz="1100"/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7DE08B-13AA-4511-98FD-0FC041453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7509E6-0D3A-4796-9A6C-85C60B8B9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4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1456.09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4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1456.09 MW</a:t>
          </a:fld>
          <a:endParaRPr lang="en-US" sz="1100"/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FBD637-C4FA-478C-A2A9-629E3D964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AB2014-D4FB-4D40-9183-E772314D49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5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1435.99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5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1435.99 MW</a:t>
          </a:fld>
          <a:endParaRPr lang="en-US" sz="1100"/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586224-FCB6-42FA-8125-DBE51A0918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D543F9-7EEC-4A36-A0E4-C5BF7D11B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6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1405.39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6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1405.39 MW</a:t>
          </a:fld>
          <a:endParaRPr lang="en-US" sz="1100"/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1012CF-1727-4071-AFBA-A6FF9A606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CD68B6-B784-4280-8AB8-7B6B5D3F35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7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1383.79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7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1383.79 MW</a:t>
          </a:fld>
          <a:endParaRPr lang="en-US" sz="1100"/>
        </a:p>
      </cdr:txBody>
    </cdr: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BE24CA-90D1-4CBD-BFF4-55AD94D738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15E773-3213-4EB2-B5CE-1A90444B03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8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1509.79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8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1509.79 MW</a:t>
          </a:fld>
          <a:endParaRPr lang="en-US" sz="1100"/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A0C935-2284-4F69-A3C6-3439CC147D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1F891D-C5E5-4002-82F4-229B60F7E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9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1575.99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9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1575.99 MW</a:t>
          </a:fld>
          <a:endParaRPr lang="en-US" sz="1100"/>
        </a:p>
      </cdr:txBody>
    </cdr:sp>
  </cdr:relSizeAnchor>
</c:userShapes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22CD5F-8C91-4F06-8CCF-0A0AB8250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A88270-F0C2-4F89-BDF9-CAA8B4385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0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1584.19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0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1584.19 MW</a:t>
          </a:fld>
          <a:endParaRPr lang="en-US" sz="1100"/>
        </a:p>
      </cdr:txBody>
    </cdr:sp>
  </cdr:relSizeAnchor>
</c:userShapes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83E7E6-71F9-4AB4-A593-508ECA48A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F6D3CB-7AB1-4B54-9DA0-898B42E03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1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1579.19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1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1579.19 MW</a:t>
          </a:fld>
          <a:endParaRPr lang="en-US" sz="1100"/>
        </a:p>
      </cdr:txBody>
    </cdr: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4888BB-E175-42D4-AA35-61A7399DDC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386390</xdr:colOff>
      <xdr:row>27</xdr:row>
      <xdr:rowOff>143772</xdr:rowOff>
    </xdr:from>
    <xdr:to>
      <xdr:col>61</xdr:col>
      <xdr:colOff>431320</xdr:colOff>
      <xdr:row>52</xdr:row>
      <xdr:rowOff>17972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A3BCF3-2EA8-4887-A879-046345064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2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1916.05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2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1916.05 MW</a:t>
          </a:fld>
          <a:endParaRPr lang="en-US" sz="1100"/>
        </a:p>
      </cdr:txBody>
    </cdr:sp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F5A794-0C7F-4B2D-9BEC-5017340112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395377</xdr:colOff>
      <xdr:row>30</xdr:row>
      <xdr:rowOff>8985</xdr:rowOff>
    </xdr:from>
    <xdr:to>
      <xdr:col>63</xdr:col>
      <xdr:colOff>368420</xdr:colOff>
      <xdr:row>52</xdr:row>
      <xdr:rowOff>53915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852A7B-9636-407C-BBC5-E1E3293A99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3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1856.45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3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1856.45 MW</a:t>
          </a:fld>
          <a:endParaRPr lang="en-US" sz="1100"/>
        </a:p>
      </cdr:txBody>
    </cdr:sp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50D5A9-3EE9-404E-8725-8456F9BE66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213324</xdr:colOff>
      <xdr:row>26</xdr:row>
      <xdr:rowOff>74042</xdr:rowOff>
    </xdr:from>
    <xdr:to>
      <xdr:col>61</xdr:col>
      <xdr:colOff>476250</xdr:colOff>
      <xdr:row>53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A32EE1-84EB-436B-B20B-3BEAC4E399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4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1790.99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4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1790.99 MW</a:t>
          </a:fld>
          <a:endParaRPr lang="en-US" sz="1100"/>
        </a:p>
      </cdr:txBody>
    </cdr:sp>
  </cdr:relSizeAnchor>
</c:userShapes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9267D8-8E51-4551-849C-4A866B1D65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31</xdr:row>
      <xdr:rowOff>17970</xdr:rowOff>
    </xdr:from>
    <xdr:to>
      <xdr:col>63</xdr:col>
      <xdr:colOff>386391</xdr:colOff>
      <xdr:row>53</xdr:row>
      <xdr:rowOff>62900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9381E2-427B-403B-BD96-CF0176276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5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1871.59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5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1871.59 MW</a:t>
          </a:fld>
          <a:endParaRPr lang="en-US" sz="1100"/>
        </a:p>
      </cdr:txBody>
    </cdr:sp>
  </cdr:relSizeAnchor>
</c:userShapes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B5607-2DD8-491F-8063-877CCACD5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403411</xdr:colOff>
      <xdr:row>24</xdr:row>
      <xdr:rowOff>11206</xdr:rowOff>
    </xdr:from>
    <xdr:to>
      <xdr:col>64</xdr:col>
      <xdr:colOff>190499</xdr:colOff>
      <xdr:row>54</xdr:row>
      <xdr:rowOff>56029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675404-5122-437F-8496-0AF082DDB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6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1853.65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6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1853.65 MW</a:t>
          </a:fld>
          <a:endParaRPr lang="en-US" sz="1100"/>
        </a:p>
      </cdr:txBody>
    </cdr:sp>
  </cdr:relSizeAnchor>
</c:userShapes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6866ED-75C7-4A97-A76C-F6B35B908C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B54CF7-B66C-4CC2-8AD0-EF16B9F6B4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7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1826.55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7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1826.55 MW</a:t>
          </a:fld>
          <a:endParaRPr lang="en-US" sz="1100"/>
        </a:p>
      </cdr:txBody>
    </cdr:sp>
  </cdr:relSizeAnchor>
</c:userShapes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C5DE17-0FA1-4F2F-856E-87EDF514E7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08C2D2-8BAD-4B5A-A33C-0FB7BBACD2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8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1844.44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8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1844.44 MW</a:t>
          </a:fld>
          <a:endParaRPr lang="en-US" sz="1100"/>
        </a:p>
      </cdr:txBody>
    </cdr:sp>
  </cdr:relSizeAnchor>
</c:userShapes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3016B1-61F5-4C56-9A34-3CC726B4B4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D3DB0C-5E62-475B-AC7C-04BDB104D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9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1803.34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9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1803.34 MW</a:t>
          </a:fld>
          <a:endParaRPr lang="en-US" sz="1100"/>
        </a:p>
      </cdr:txBody>
    </cdr:sp>
  </cdr:relSizeAnchor>
</c:userShapes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02C83A-C357-4EFD-9D77-CA37555232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DB6132-F610-498F-89B4-64F661F186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30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1901.64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30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1901.64 MW</a:t>
          </a:fld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\0%20Data_Collection%2075\Daily_Log_Sheets\Log%20Sheet%202079\Daily-Logsheet-2079-09-Poush.xlsx" TargetMode="External"/><Relationship Id="rId1" Type="http://schemas.openxmlformats.org/officeDocument/2006/relationships/externalLinkPath" Target="/DATA/0%20Data_Collection%2075/Daily_Log_Sheets/Log%20Sheet%202079/Daily-Logsheet-2079-09-Pou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magh1"/>
      <sheetName val="sample"/>
      <sheetName val="Feedback"/>
    </sheetNames>
    <sheetDataSet>
      <sheetData sheetId="0"/>
      <sheetData sheetId="1"/>
      <sheetData sheetId="2"/>
      <sheetData sheetId="3">
        <row r="240">
          <cell r="A240" t="str">
            <v>IPP</v>
          </cell>
          <cell r="B240"/>
        </row>
        <row r="241">
          <cell r="A241" t="str">
            <v>NEA(RoR+PRoR)</v>
          </cell>
          <cell r="B241"/>
        </row>
        <row r="242">
          <cell r="A242" t="str">
            <v>KL1+KL2+KL3</v>
          </cell>
          <cell r="B242"/>
        </row>
        <row r="243">
          <cell r="A243" t="str">
            <v>Import</v>
          </cell>
          <cell r="B243"/>
        </row>
        <row r="244">
          <cell r="A244" t="str">
            <v>Export</v>
          </cell>
          <cell r="B244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1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2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2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2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27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2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3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3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3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3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3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4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4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45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47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49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51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55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57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5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6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752D2-883C-4461-A92B-5801355C619D}">
  <sheetPr codeName="Sheet1"/>
  <dimension ref="A1:CJ294"/>
  <sheetViews>
    <sheetView zoomScaleNormal="100" workbookViewId="0">
      <pane xSplit="1" ySplit="10" topLeftCell="B56" activePane="bottomRight" state="frozen"/>
      <selection activeCell="Z63" sqref="Z63"/>
      <selection pane="topRight" activeCell="Z63" sqref="Z63"/>
      <selection pane="bottomLeft" activeCell="Z63" sqref="Z63"/>
      <selection pane="bottomRight" activeCell="AE64" sqref="AE64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.285156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75" width="9.140625" style="1"/>
    <col min="76" max="76" width="5.140625" style="1" customWidth="1"/>
    <col min="77" max="77" width="5.7109375" style="1" customWidth="1"/>
    <col min="78" max="78" width="7.28515625" style="44" customWidth="1"/>
    <col min="79" max="79" width="7.5703125" style="1" customWidth="1"/>
    <col min="80" max="80" width="12.42578125" style="1" customWidth="1"/>
    <col min="81" max="82" width="9.140625" style="1"/>
    <col min="83" max="83" width="9.85546875" style="1" customWidth="1"/>
    <col min="84" max="84" width="9.140625" style="1"/>
    <col min="85" max="85" width="8" style="1" bestFit="1" customWidth="1"/>
    <col min="86" max="86" width="10.42578125" style="1" bestFit="1" customWidth="1"/>
    <col min="87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188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2080/10/0</v>
      </c>
      <c r="C4" s="214"/>
      <c r="D4" s="214"/>
      <c r="E4" s="215" t="str">
        <f ca="1">"2080/"&amp;"10/"&amp;INT(MID(CELL("filename",G6),FIND("]",CELL("filename",G6))+1,200))</f>
        <v>2080/10/0</v>
      </c>
      <c r="F4" s="215"/>
      <c r="G4" s="215"/>
      <c r="H4" s="215" t="str">
        <f ca="1">TEXT(E4,"dddd")</f>
        <v>2080/10/0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188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684</v>
      </c>
      <c r="C5" s="30">
        <f t="shared" ref="C5:AE5" si="0">D92</f>
        <v>640</v>
      </c>
      <c r="D5" s="30">
        <f t="shared" si="0"/>
        <v>631.4</v>
      </c>
      <c r="E5" s="30">
        <f t="shared" si="0"/>
        <v>650.69999999999993</v>
      </c>
      <c r="F5" s="30">
        <f t="shared" si="0"/>
        <v>668.4</v>
      </c>
      <c r="G5" s="30">
        <f t="shared" si="0"/>
        <v>668.30000000000007</v>
      </c>
      <c r="H5" s="30">
        <f t="shared" si="0"/>
        <v>672.80000000000007</v>
      </c>
      <c r="I5" s="30">
        <f t="shared" si="0"/>
        <v>641.36500000000001</v>
      </c>
      <c r="J5" s="30">
        <f t="shared" si="0"/>
        <v>633.79999999999995</v>
      </c>
      <c r="K5" s="30">
        <f t="shared" si="0"/>
        <v>607.9</v>
      </c>
      <c r="L5" s="30">
        <f t="shared" si="0"/>
        <v>261.5</v>
      </c>
      <c r="M5" s="30">
        <f t="shared" si="0"/>
        <v>541.5</v>
      </c>
      <c r="N5" s="30">
        <f t="shared" si="0"/>
        <v>539.20000000000005</v>
      </c>
      <c r="O5" s="30">
        <f t="shared" si="0"/>
        <v>565.70000000000005</v>
      </c>
      <c r="P5" s="30">
        <f t="shared" si="0"/>
        <v>681.8</v>
      </c>
      <c r="Q5" s="30">
        <f t="shared" si="0"/>
        <v>736.8</v>
      </c>
      <c r="R5" s="30">
        <f t="shared" si="0"/>
        <v>751.5</v>
      </c>
      <c r="S5" s="30">
        <f t="shared" si="0"/>
        <v>780.49999999999989</v>
      </c>
      <c r="T5" s="30">
        <f t="shared" si="0"/>
        <v>763.4</v>
      </c>
      <c r="U5" s="30">
        <f t="shared" si="0"/>
        <v>732</v>
      </c>
      <c r="V5" s="30">
        <f t="shared" si="0"/>
        <v>594.6</v>
      </c>
      <c r="W5" s="30">
        <f t="shared" si="0"/>
        <v>582.70000000000005</v>
      </c>
      <c r="X5" s="30">
        <f t="shared" si="0"/>
        <v>437.20000000000005</v>
      </c>
      <c r="Y5" s="30">
        <f t="shared" si="0"/>
        <v>349.4</v>
      </c>
      <c r="Z5" s="30">
        <f t="shared" si="0"/>
        <v>466.1</v>
      </c>
      <c r="AA5" s="30">
        <f t="shared" si="0"/>
        <v>379.3</v>
      </c>
      <c r="AB5" s="30">
        <f t="shared" si="0"/>
        <v>519.9</v>
      </c>
      <c r="AC5" s="30">
        <f t="shared" si="0"/>
        <v>529</v>
      </c>
      <c r="AD5" s="30">
        <f t="shared" si="0"/>
        <v>663</v>
      </c>
      <c r="AE5" s="30">
        <f t="shared" si="0"/>
        <v>598.29999999999995</v>
      </c>
      <c r="AF5" s="30">
        <f>B92</f>
        <v>671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188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1680MW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188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Load=1212</v>
      </c>
      <c r="B7" s="35">
        <f>B100</f>
        <v>1239.49</v>
      </c>
      <c r="C7" s="35">
        <f t="shared" ref="C7:AF7" si="1">C100</f>
        <v>1252.49</v>
      </c>
      <c r="D7" s="35">
        <f t="shared" si="1"/>
        <v>1220.19</v>
      </c>
      <c r="E7" s="35">
        <f t="shared" si="1"/>
        <v>1211.5899999999999</v>
      </c>
      <c r="F7" s="35">
        <f t="shared" si="1"/>
        <v>1230.8899999999999</v>
      </c>
      <c r="G7" s="35">
        <f t="shared" si="1"/>
        <v>1248.5899999999999</v>
      </c>
      <c r="H7" s="35">
        <f t="shared" si="1"/>
        <v>1326.69</v>
      </c>
      <c r="I7" s="35">
        <f t="shared" si="1"/>
        <v>1405.19</v>
      </c>
      <c r="J7" s="35">
        <f t="shared" si="1"/>
        <v>1491.9549999999999</v>
      </c>
      <c r="K7" s="35">
        <f t="shared" si="1"/>
        <v>1487.69</v>
      </c>
      <c r="L7" s="35">
        <f t="shared" si="1"/>
        <v>1679.6799999999998</v>
      </c>
      <c r="M7" s="35">
        <f t="shared" si="1"/>
        <v>1596.68</v>
      </c>
      <c r="N7" s="35">
        <f t="shared" si="1"/>
        <v>1539.88</v>
      </c>
      <c r="O7" s="35">
        <f t="shared" si="1"/>
        <v>1517.88</v>
      </c>
      <c r="P7" s="35">
        <f t="shared" si="1"/>
        <v>1384.38</v>
      </c>
      <c r="Q7" s="35">
        <f t="shared" si="1"/>
        <v>1475.28</v>
      </c>
      <c r="R7" s="35">
        <f t="shared" si="1"/>
        <v>1503.09</v>
      </c>
      <c r="S7" s="35">
        <f t="shared" si="1"/>
        <v>1505.19</v>
      </c>
      <c r="T7" s="35">
        <f t="shared" si="1"/>
        <v>1543.79</v>
      </c>
      <c r="U7" s="35">
        <f t="shared" si="1"/>
        <v>1533.69</v>
      </c>
      <c r="V7" s="35">
        <f t="shared" si="1"/>
        <v>1548.49</v>
      </c>
      <c r="W7" s="35">
        <f t="shared" si="1"/>
        <v>1583.29</v>
      </c>
      <c r="X7" s="35">
        <f t="shared" si="1"/>
        <v>1619.5900000000001</v>
      </c>
      <c r="Y7" s="35">
        <f t="shared" si="1"/>
        <v>1753.2900000000002</v>
      </c>
      <c r="Z7" s="35">
        <f t="shared" si="1"/>
        <v>1794.3900000000003</v>
      </c>
      <c r="AA7" s="35">
        <f t="shared" si="1"/>
        <v>1733.69</v>
      </c>
      <c r="AB7" s="35">
        <f t="shared" si="1"/>
        <v>1623.79</v>
      </c>
      <c r="AC7" s="35">
        <f t="shared" si="1"/>
        <v>1631.8899999999999</v>
      </c>
      <c r="AD7" s="35">
        <f t="shared" si="1"/>
        <v>1522.09</v>
      </c>
      <c r="AE7" s="35">
        <f t="shared" si="1"/>
        <v>1336.09</v>
      </c>
      <c r="AF7" s="35">
        <f t="shared" si="1"/>
        <v>1271.69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188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1596.68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10" t="s">
        <v>284</v>
      </c>
      <c r="CA8" s="210"/>
      <c r="CB8" s="210"/>
      <c r="CC8" s="210"/>
      <c r="CD8" s="210"/>
      <c r="CE8" s="210"/>
      <c r="CF8" s="210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1596.68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177" t="s">
        <v>285</v>
      </c>
      <c r="CA9" s="178" t="s">
        <v>282</v>
      </c>
      <c r="CB9" s="178" t="s">
        <v>286</v>
      </c>
      <c r="CC9" s="178" t="s">
        <v>287</v>
      </c>
      <c r="CD9" s="178" t="s">
        <v>288</v>
      </c>
      <c r="CE9" s="178" t="s">
        <v>289</v>
      </c>
      <c r="CF9" s="178" t="s">
        <v>86</v>
      </c>
      <c r="CG9" s="179" t="s">
        <v>290</v>
      </c>
      <c r="CH9" s="179" t="s">
        <v>291</v>
      </c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177"/>
      <c r="CA10" s="178"/>
      <c r="CB10" s="178"/>
      <c r="CC10" s="178"/>
      <c r="CD10" s="178"/>
      <c r="CE10" s="178"/>
      <c r="CF10" s="178"/>
      <c r="CG10" s="180"/>
      <c r="CH10" s="180"/>
      <c r="CI10" s="24"/>
      <c r="CJ10" s="24"/>
    </row>
    <row r="11" spans="1:88" ht="15.75" customHeight="1" thickTop="1" x14ac:dyDescent="0.25">
      <c r="A11" s="45" t="s">
        <v>19</v>
      </c>
      <c r="B11" s="46">
        <v>24.4</v>
      </c>
      <c r="C11" s="46">
        <v>24.4</v>
      </c>
      <c r="D11" s="46">
        <v>25.4</v>
      </c>
      <c r="E11" s="46">
        <v>25.4</v>
      </c>
      <c r="F11" s="46">
        <v>25.4</v>
      </c>
      <c r="G11" s="46">
        <v>25.4</v>
      </c>
      <c r="H11" s="46">
        <v>25.1</v>
      </c>
      <c r="I11" s="46">
        <v>25.1</v>
      </c>
      <c r="J11" s="46">
        <v>22.6</v>
      </c>
      <c r="K11" s="46">
        <v>21.9</v>
      </c>
      <c r="L11" s="46">
        <v>21.9</v>
      </c>
      <c r="M11" s="46">
        <v>22.4</v>
      </c>
      <c r="N11" s="46">
        <v>22.4</v>
      </c>
      <c r="O11" s="46">
        <v>21.8</v>
      </c>
      <c r="P11" s="46">
        <v>21.9</v>
      </c>
      <c r="Q11" s="46">
        <v>21.9</v>
      </c>
      <c r="R11" s="46">
        <v>21.9</v>
      </c>
      <c r="S11" s="46">
        <v>21.9</v>
      </c>
      <c r="T11" s="46">
        <v>21.9</v>
      </c>
      <c r="U11" s="46">
        <v>21.9</v>
      </c>
      <c r="V11" s="46">
        <v>21.9</v>
      </c>
      <c r="W11" s="46">
        <v>21.9</v>
      </c>
      <c r="X11" s="46">
        <v>21.9</v>
      </c>
      <c r="Y11" s="46">
        <v>21.9</v>
      </c>
      <c r="Z11" s="46">
        <v>21.9</v>
      </c>
      <c r="AA11" s="46">
        <v>21.9</v>
      </c>
      <c r="AB11" s="46">
        <v>24.4</v>
      </c>
      <c r="AC11" s="46">
        <v>24.4</v>
      </c>
      <c r="AD11" s="46">
        <v>24.4</v>
      </c>
      <c r="AE11" s="46">
        <v>24.4</v>
      </c>
      <c r="AF11" s="46">
        <v>24.4</v>
      </c>
      <c r="AG11" s="47">
        <v>86</v>
      </c>
      <c r="AH11" s="48">
        <f t="shared" ref="AH11:AH16" si="2">MAX(B11:AF11)</f>
        <v>25.4</v>
      </c>
      <c r="AI11" s="49">
        <f t="shared" ref="AI11:AI16" si="3">MIN(B11:AF11)</f>
        <v>21.8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181">
        <v>1</v>
      </c>
      <c r="CA11" s="177">
        <v>0</v>
      </c>
      <c r="CB11" s="178"/>
      <c r="CC11" s="178"/>
      <c r="CD11" s="178"/>
      <c r="CE11" s="178"/>
      <c r="CF11" s="178"/>
      <c r="CG11" s="180"/>
      <c r="CH11" s="180"/>
      <c r="CI11" s="24"/>
      <c r="CJ11" s="24"/>
    </row>
    <row r="12" spans="1:88" x14ac:dyDescent="0.25">
      <c r="A12" s="45" t="s">
        <v>20</v>
      </c>
      <c r="B12" s="46">
        <v>8</v>
      </c>
      <c r="C12" s="46">
        <v>8</v>
      </c>
      <c r="D12" s="46">
        <v>8</v>
      </c>
      <c r="E12" s="46">
        <v>8</v>
      </c>
      <c r="F12" s="46">
        <v>8</v>
      </c>
      <c r="G12" s="46">
        <v>8</v>
      </c>
      <c r="H12" s="46">
        <v>8</v>
      </c>
      <c r="I12" s="46">
        <v>8</v>
      </c>
      <c r="J12" s="46">
        <v>8</v>
      </c>
      <c r="K12" s="46">
        <v>8</v>
      </c>
      <c r="L12" s="46">
        <v>8</v>
      </c>
      <c r="M12" s="46">
        <v>8</v>
      </c>
      <c r="N12" s="46">
        <v>8</v>
      </c>
      <c r="O12" s="46">
        <v>8</v>
      </c>
      <c r="P12" s="46">
        <v>8</v>
      </c>
      <c r="Q12" s="46">
        <v>8</v>
      </c>
      <c r="R12" s="46">
        <v>8</v>
      </c>
      <c r="S12" s="46">
        <v>8</v>
      </c>
      <c r="T12" s="46">
        <v>8</v>
      </c>
      <c r="U12" s="46">
        <v>8</v>
      </c>
      <c r="V12" s="46">
        <v>8</v>
      </c>
      <c r="W12" s="46">
        <v>8</v>
      </c>
      <c r="X12" s="46">
        <v>8</v>
      </c>
      <c r="Y12" s="46">
        <v>8</v>
      </c>
      <c r="Z12" s="46">
        <v>8</v>
      </c>
      <c r="AA12" s="46">
        <v>8</v>
      </c>
      <c r="AB12" s="46">
        <v>8</v>
      </c>
      <c r="AC12" s="46">
        <v>8</v>
      </c>
      <c r="AD12" s="46">
        <v>8</v>
      </c>
      <c r="AE12" s="46">
        <v>8</v>
      </c>
      <c r="AF12" s="46">
        <v>8</v>
      </c>
      <c r="AG12" s="50">
        <v>54</v>
      </c>
      <c r="AH12" s="48">
        <f t="shared" si="2"/>
        <v>8</v>
      </c>
      <c r="AI12" s="49">
        <f t="shared" si="3"/>
        <v>8</v>
      </c>
      <c r="AK12" s="51"/>
      <c r="AL12" s="52" t="str">
        <f ca="1">MID(CELL("filename",C7),FIND("]",CELL("filename",C7))+1,600)</f>
        <v>0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181">
        <v>2</v>
      </c>
      <c r="CA12" s="177">
        <v>1.0416666666666666E-2</v>
      </c>
      <c r="CB12" s="178"/>
      <c r="CC12" s="178"/>
      <c r="CD12" s="178"/>
      <c r="CE12" s="178"/>
      <c r="CF12" s="178"/>
      <c r="CG12" s="180"/>
      <c r="CH12" s="180"/>
      <c r="CI12" s="24"/>
      <c r="CJ12" s="24"/>
    </row>
    <row r="13" spans="1:88" x14ac:dyDescent="0.25">
      <c r="A13" s="45" t="s">
        <v>21</v>
      </c>
      <c r="B13" s="46">
        <v>10.1</v>
      </c>
      <c r="C13" s="46">
        <v>10.1</v>
      </c>
      <c r="D13" s="46">
        <v>10</v>
      </c>
      <c r="E13" s="46">
        <v>10</v>
      </c>
      <c r="F13" s="46">
        <v>10</v>
      </c>
      <c r="G13" s="46">
        <v>10</v>
      </c>
      <c r="H13" s="46">
        <v>10</v>
      </c>
      <c r="I13" s="46">
        <v>10</v>
      </c>
      <c r="J13" s="46">
        <v>10</v>
      </c>
      <c r="K13" s="46">
        <v>10.1</v>
      </c>
      <c r="L13" s="46">
        <v>10.1</v>
      </c>
      <c r="M13" s="46">
        <v>10.1</v>
      </c>
      <c r="N13" s="46">
        <v>10.1</v>
      </c>
      <c r="O13" s="46">
        <v>10.1</v>
      </c>
      <c r="P13" s="46">
        <v>10.1</v>
      </c>
      <c r="Q13" s="46">
        <v>10.1</v>
      </c>
      <c r="R13" s="46">
        <v>10.1</v>
      </c>
      <c r="S13" s="46">
        <v>10.1</v>
      </c>
      <c r="T13" s="46">
        <v>10.1</v>
      </c>
      <c r="U13" s="46">
        <v>10.1</v>
      </c>
      <c r="V13" s="46">
        <v>10.1</v>
      </c>
      <c r="W13" s="46">
        <v>10.1</v>
      </c>
      <c r="X13" s="46">
        <v>10.1</v>
      </c>
      <c r="Y13" s="46">
        <v>10.1</v>
      </c>
      <c r="Z13" s="46">
        <v>10.1</v>
      </c>
      <c r="AA13" s="46">
        <v>10.1</v>
      </c>
      <c r="AB13" s="46">
        <v>10</v>
      </c>
      <c r="AC13" s="46">
        <v>10</v>
      </c>
      <c r="AD13" s="46">
        <v>10</v>
      </c>
      <c r="AE13" s="46">
        <v>10</v>
      </c>
      <c r="AF13" s="46">
        <v>10</v>
      </c>
      <c r="AG13" s="50">
        <v>54</v>
      </c>
      <c r="AH13" s="48">
        <f t="shared" si="2"/>
        <v>10.1</v>
      </c>
      <c r="AI13" s="49">
        <f t="shared" si="3"/>
        <v>10</v>
      </c>
      <c r="AK13" s="51"/>
      <c r="AL13" s="52" t="str">
        <f ca="1">"Daily Load Curve(Excluding of Export) of Nepal ("&amp;A4&amp;" "&amp;B4&amp;")"</f>
        <v>Daily Load Curve(Excluding of Export) of Nepal (Nepali Date: 2080/10/0)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181">
        <v>3</v>
      </c>
      <c r="CA13" s="177">
        <v>2.0833333333333301E-2</v>
      </c>
      <c r="CB13" s="178"/>
      <c r="CC13" s="178"/>
      <c r="CD13" s="178"/>
      <c r="CE13" s="178"/>
      <c r="CF13" s="178"/>
      <c r="CG13" s="180"/>
      <c r="CH13" s="180"/>
      <c r="CI13" s="24"/>
      <c r="CJ13" s="24"/>
    </row>
    <row r="14" spans="1:88" ht="15.75" thickBot="1" x14ac:dyDescent="0.3">
      <c r="A14" s="45" t="s">
        <v>22</v>
      </c>
      <c r="B14" s="46">
        <v>11.2</v>
      </c>
      <c r="C14" s="46">
        <v>11.2</v>
      </c>
      <c r="D14" s="46">
        <v>13.2</v>
      </c>
      <c r="E14" s="46">
        <v>13.2</v>
      </c>
      <c r="F14" s="46">
        <v>13.2</v>
      </c>
      <c r="G14" s="46">
        <v>13.2</v>
      </c>
      <c r="H14" s="46">
        <v>13.2</v>
      </c>
      <c r="I14" s="46">
        <v>13.2</v>
      </c>
      <c r="J14" s="46">
        <v>13.2</v>
      </c>
      <c r="K14" s="46">
        <v>14.2</v>
      </c>
      <c r="L14" s="46">
        <v>14.2</v>
      </c>
      <c r="M14" s="46">
        <v>14.2</v>
      </c>
      <c r="N14" s="46">
        <v>14.2</v>
      </c>
      <c r="O14" s="46">
        <v>14.2</v>
      </c>
      <c r="P14" s="46">
        <v>14.2</v>
      </c>
      <c r="Q14" s="46">
        <v>14.2</v>
      </c>
      <c r="R14" s="46">
        <v>14.2</v>
      </c>
      <c r="S14" s="46">
        <v>14.2</v>
      </c>
      <c r="T14" s="46">
        <v>14.2</v>
      </c>
      <c r="U14" s="46">
        <v>14.2</v>
      </c>
      <c r="V14" s="46">
        <v>14.2</v>
      </c>
      <c r="W14" s="46">
        <v>14.2</v>
      </c>
      <c r="X14" s="46">
        <v>14.2</v>
      </c>
      <c r="Y14" s="46">
        <v>14.2</v>
      </c>
      <c r="Z14" s="46">
        <v>14.2</v>
      </c>
      <c r="AA14" s="46">
        <v>14.2</v>
      </c>
      <c r="AB14" s="46">
        <v>14.2</v>
      </c>
      <c r="AC14" s="46">
        <v>14.2</v>
      </c>
      <c r="AD14" s="46">
        <v>14.2</v>
      </c>
      <c r="AE14" s="46">
        <v>14.2</v>
      </c>
      <c r="AF14" s="46">
        <v>14.2</v>
      </c>
      <c r="AG14" s="47">
        <v>52.4</v>
      </c>
      <c r="AH14" s="48">
        <f t="shared" si="2"/>
        <v>14.2</v>
      </c>
      <c r="AI14" s="49">
        <f t="shared" si="3"/>
        <v>11.2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181">
        <v>4</v>
      </c>
      <c r="CA14" s="177">
        <v>3.125E-2</v>
      </c>
      <c r="CB14" s="178"/>
      <c r="CC14" s="178"/>
      <c r="CD14" s="178"/>
      <c r="CE14" s="178"/>
      <c r="CF14" s="178"/>
      <c r="CG14" s="180"/>
      <c r="CH14" s="180"/>
      <c r="CI14" s="24"/>
      <c r="CJ14" s="24"/>
    </row>
    <row r="15" spans="1:88" ht="15.75" thickTop="1" x14ac:dyDescent="0.25">
      <c r="A15" s="45" t="s">
        <v>23</v>
      </c>
      <c r="B15" s="46">
        <v>25.2</v>
      </c>
      <c r="C15" s="46">
        <v>25.2</v>
      </c>
      <c r="D15" s="46">
        <v>25.3</v>
      </c>
      <c r="E15" s="46">
        <v>25.3</v>
      </c>
      <c r="F15" s="46">
        <v>25.3</v>
      </c>
      <c r="G15" s="46">
        <v>25.3</v>
      </c>
      <c r="H15" s="46">
        <v>25.4</v>
      </c>
      <c r="I15" s="46">
        <v>25.4</v>
      </c>
      <c r="J15" s="46">
        <v>25.4</v>
      </c>
      <c r="K15" s="46">
        <v>25.2</v>
      </c>
      <c r="L15" s="46">
        <v>25.2</v>
      </c>
      <c r="M15" s="46">
        <v>25.2</v>
      </c>
      <c r="N15" s="46">
        <v>25.2</v>
      </c>
      <c r="O15" s="46">
        <v>25.2</v>
      </c>
      <c r="P15" s="46">
        <v>25.2</v>
      </c>
      <c r="Q15" s="46">
        <v>25.2</v>
      </c>
      <c r="R15" s="46">
        <v>25.2</v>
      </c>
      <c r="S15" s="46">
        <v>25.2</v>
      </c>
      <c r="T15" s="46">
        <v>25.2</v>
      </c>
      <c r="U15" s="46">
        <v>25.2</v>
      </c>
      <c r="V15" s="46">
        <v>25.2</v>
      </c>
      <c r="W15" s="46">
        <v>25.2</v>
      </c>
      <c r="X15" s="46">
        <v>25.2</v>
      </c>
      <c r="Y15" s="46">
        <v>25.2</v>
      </c>
      <c r="Z15" s="53">
        <v>25.2</v>
      </c>
      <c r="AA15" s="53">
        <v>25.2</v>
      </c>
      <c r="AB15" s="53">
        <v>25.2</v>
      </c>
      <c r="AC15" s="53">
        <v>25.2</v>
      </c>
      <c r="AD15" s="53">
        <v>25.2</v>
      </c>
      <c r="AE15" s="53">
        <v>25.2</v>
      </c>
      <c r="AF15" s="53">
        <v>25.2</v>
      </c>
      <c r="AG15" s="50">
        <v>50</v>
      </c>
      <c r="AH15" s="48">
        <f t="shared" si="2"/>
        <v>25.4</v>
      </c>
      <c r="AI15" s="49">
        <f t="shared" si="3"/>
        <v>25.2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181">
        <v>5</v>
      </c>
      <c r="CA15" s="177">
        <v>4.1666666666666699E-2</v>
      </c>
      <c r="CB15" s="178"/>
      <c r="CC15" s="178"/>
      <c r="CD15" s="178"/>
      <c r="CE15" s="178"/>
      <c r="CF15" s="178"/>
      <c r="CG15" s="180"/>
      <c r="CH15" s="180"/>
      <c r="CI15" s="24"/>
      <c r="CJ15" s="24"/>
    </row>
    <row r="16" spans="1:88" x14ac:dyDescent="0.25">
      <c r="A16" s="45" t="s">
        <v>25</v>
      </c>
      <c r="B16" s="46">
        <v>15</v>
      </c>
      <c r="C16" s="46">
        <v>15</v>
      </c>
      <c r="D16" s="46">
        <v>17.3</v>
      </c>
      <c r="E16" s="46">
        <v>17.3</v>
      </c>
      <c r="F16" s="46">
        <v>17.3</v>
      </c>
      <c r="G16" s="46">
        <v>17.3</v>
      </c>
      <c r="H16" s="46">
        <v>16.600000000000001</v>
      </c>
      <c r="I16" s="46">
        <v>16.600000000000001</v>
      </c>
      <c r="J16" s="46">
        <v>16.600000000000001</v>
      </c>
      <c r="K16" s="46">
        <v>14.9</v>
      </c>
      <c r="L16" s="46">
        <v>14.9</v>
      </c>
      <c r="M16" s="46">
        <v>14.9</v>
      </c>
      <c r="N16" s="46">
        <v>14.9</v>
      </c>
      <c r="O16" s="46">
        <v>14.9</v>
      </c>
      <c r="P16" s="46">
        <v>14.9</v>
      </c>
      <c r="Q16" s="46">
        <v>14.9</v>
      </c>
      <c r="R16" s="46">
        <v>14.9</v>
      </c>
      <c r="S16" s="46">
        <v>14.9</v>
      </c>
      <c r="T16" s="46">
        <v>14.9</v>
      </c>
      <c r="U16" s="46">
        <v>14.9</v>
      </c>
      <c r="V16" s="46">
        <v>14.9</v>
      </c>
      <c r="W16" s="46">
        <v>14.9</v>
      </c>
      <c r="X16" s="46">
        <v>14.9</v>
      </c>
      <c r="Y16" s="46">
        <v>14.9</v>
      </c>
      <c r="Z16" s="46">
        <v>14.9</v>
      </c>
      <c r="AA16" s="46">
        <v>14.9</v>
      </c>
      <c r="AB16" s="46">
        <v>14.9</v>
      </c>
      <c r="AC16" s="46">
        <v>14.9</v>
      </c>
      <c r="AD16" s="46">
        <v>14.9</v>
      </c>
      <c r="AE16" s="46">
        <v>14.9</v>
      </c>
      <c r="AF16" s="46">
        <v>14.9</v>
      </c>
      <c r="AG16" s="50">
        <v>45</v>
      </c>
      <c r="AH16" s="48">
        <f t="shared" si="2"/>
        <v>17.3</v>
      </c>
      <c r="AI16" s="49">
        <f t="shared" si="3"/>
        <v>14.9</v>
      </c>
      <c r="AK16" s="51"/>
      <c r="AL16" s="54" t="s">
        <v>7</v>
      </c>
      <c r="AM16" s="59">
        <f>B58</f>
        <v>459.45</v>
      </c>
      <c r="AN16" s="59">
        <f t="shared" ref="AN16:AR16" si="4">C58</f>
        <v>459.45</v>
      </c>
      <c r="AO16" s="59">
        <f t="shared" si="4"/>
        <v>464.74999999999994</v>
      </c>
      <c r="AP16" s="59">
        <f t="shared" si="4"/>
        <v>464.74999999999994</v>
      </c>
      <c r="AQ16" s="59">
        <f t="shared" si="4"/>
        <v>464.74999999999994</v>
      </c>
      <c r="AR16" s="59">
        <f t="shared" si="4"/>
        <v>464.74999999999994</v>
      </c>
      <c r="AS16" s="59">
        <f>I58</f>
        <v>462.95</v>
      </c>
      <c r="AT16" s="59">
        <f>K58</f>
        <v>458.95</v>
      </c>
      <c r="AU16" s="59">
        <f t="shared" ref="AU16:AX16" si="5">M58</f>
        <v>459.45</v>
      </c>
      <c r="AV16" s="59">
        <f t="shared" si="5"/>
        <v>459.45</v>
      </c>
      <c r="AW16" s="59">
        <f t="shared" si="5"/>
        <v>458.84999999999997</v>
      </c>
      <c r="AX16" s="59">
        <f t="shared" si="5"/>
        <v>458.95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181">
        <v>6</v>
      </c>
      <c r="CA16" s="177">
        <v>5.2083333333333301E-2</v>
      </c>
      <c r="CB16" s="178"/>
      <c r="CC16" s="178"/>
      <c r="CD16" s="178"/>
      <c r="CE16" s="178"/>
      <c r="CF16" s="178"/>
      <c r="CG16" s="180"/>
      <c r="CH16" s="180"/>
      <c r="CI16" s="24"/>
      <c r="CJ16" s="24"/>
    </row>
    <row r="17" spans="1:88" x14ac:dyDescent="0.25">
      <c r="A17" s="45" t="s">
        <v>26</v>
      </c>
      <c r="B17" s="46">
        <v>14.2</v>
      </c>
      <c r="C17" s="46">
        <v>14.2</v>
      </c>
      <c r="D17" s="46">
        <v>14.2</v>
      </c>
      <c r="E17" s="46">
        <v>14.2</v>
      </c>
      <c r="F17" s="46">
        <v>14.2</v>
      </c>
      <c r="G17" s="46">
        <v>14.2</v>
      </c>
      <c r="H17" s="46">
        <v>14</v>
      </c>
      <c r="I17" s="46">
        <v>14</v>
      </c>
      <c r="J17" s="46">
        <v>14</v>
      </c>
      <c r="K17" s="46">
        <v>14</v>
      </c>
      <c r="L17" s="46">
        <v>14</v>
      </c>
      <c r="M17" s="46">
        <v>14</v>
      </c>
      <c r="N17" s="46">
        <v>14</v>
      </c>
      <c r="O17" s="46">
        <v>14</v>
      </c>
      <c r="P17" s="46">
        <v>14</v>
      </c>
      <c r="Q17" s="46">
        <v>14</v>
      </c>
      <c r="R17" s="46">
        <v>14</v>
      </c>
      <c r="S17" s="46">
        <v>14</v>
      </c>
      <c r="T17" s="46">
        <v>14</v>
      </c>
      <c r="U17" s="46">
        <v>14</v>
      </c>
      <c r="V17" s="46">
        <v>14</v>
      </c>
      <c r="W17" s="46">
        <v>14</v>
      </c>
      <c r="X17" s="46">
        <v>14</v>
      </c>
      <c r="Y17" s="46">
        <v>14</v>
      </c>
      <c r="Z17" s="46">
        <v>14</v>
      </c>
      <c r="AA17" s="46">
        <v>14</v>
      </c>
      <c r="AB17" s="46">
        <v>14</v>
      </c>
      <c r="AC17" s="46">
        <v>14</v>
      </c>
      <c r="AD17" s="46">
        <v>14</v>
      </c>
      <c r="AE17" s="46">
        <v>14</v>
      </c>
      <c r="AF17" s="46">
        <v>14</v>
      </c>
      <c r="AG17" s="50">
        <v>44</v>
      </c>
      <c r="AH17" s="48">
        <f>MAX(B17:AG17)</f>
        <v>44</v>
      </c>
      <c r="AI17" s="49">
        <f>MIN(B17:AG17)</f>
        <v>14</v>
      </c>
      <c r="AK17" s="51"/>
      <c r="AL17" s="54" t="s">
        <v>27</v>
      </c>
      <c r="AM17" s="59">
        <f>B62</f>
        <v>36.200000000000003</v>
      </c>
      <c r="AN17" s="59">
        <f t="shared" ref="AN17:AR17" si="6">C62</f>
        <v>36.200000000000003</v>
      </c>
      <c r="AO17" s="59">
        <f t="shared" si="6"/>
        <v>36.200000000000003</v>
      </c>
      <c r="AP17" s="59">
        <f t="shared" si="6"/>
        <v>36.200000000000003</v>
      </c>
      <c r="AQ17" s="59">
        <f t="shared" si="6"/>
        <v>36.200000000000003</v>
      </c>
      <c r="AR17" s="59">
        <f t="shared" si="6"/>
        <v>36.200000000000003</v>
      </c>
      <c r="AS17" s="59">
        <f>I62</f>
        <v>36.200000000000003</v>
      </c>
      <c r="AT17" s="59">
        <f>K62</f>
        <v>96.2</v>
      </c>
      <c r="AU17" s="59">
        <f t="shared" ref="AU17:AX17" si="7">M62</f>
        <v>341.2</v>
      </c>
      <c r="AV17" s="59">
        <f t="shared" si="7"/>
        <v>66.2</v>
      </c>
      <c r="AW17" s="59">
        <f t="shared" si="7"/>
        <v>73.099999999999994</v>
      </c>
      <c r="AX17" s="59">
        <f t="shared" si="7"/>
        <v>91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181">
        <v>7</v>
      </c>
      <c r="CA17" s="177">
        <v>6.25E-2</v>
      </c>
      <c r="CB17" s="178"/>
      <c r="CC17" s="178"/>
      <c r="CD17" s="178"/>
      <c r="CE17" s="178"/>
      <c r="CF17" s="178"/>
      <c r="CG17" s="180"/>
      <c r="CH17" s="180"/>
      <c r="CI17" s="24"/>
      <c r="CJ17" s="24"/>
    </row>
    <row r="18" spans="1:88" x14ac:dyDescent="0.25">
      <c r="A18" s="45" t="s">
        <v>28</v>
      </c>
      <c r="B18" s="46">
        <v>7</v>
      </c>
      <c r="C18" s="46">
        <v>7</v>
      </c>
      <c r="D18" s="46">
        <v>7</v>
      </c>
      <c r="E18" s="46">
        <v>7</v>
      </c>
      <c r="F18" s="46">
        <v>7</v>
      </c>
      <c r="G18" s="46">
        <v>7</v>
      </c>
      <c r="H18" s="46">
        <v>7</v>
      </c>
      <c r="I18" s="46">
        <v>7</v>
      </c>
      <c r="J18" s="46">
        <v>7</v>
      </c>
      <c r="K18" s="46">
        <v>7</v>
      </c>
      <c r="L18" s="46">
        <v>7</v>
      </c>
      <c r="M18" s="46">
        <v>7</v>
      </c>
      <c r="N18" s="46">
        <v>7</v>
      </c>
      <c r="O18" s="46">
        <v>7</v>
      </c>
      <c r="P18" s="46">
        <v>7</v>
      </c>
      <c r="Q18" s="46">
        <v>7</v>
      </c>
      <c r="R18" s="46">
        <v>7</v>
      </c>
      <c r="S18" s="46">
        <v>7</v>
      </c>
      <c r="T18" s="46">
        <v>7</v>
      </c>
      <c r="U18" s="46">
        <v>7</v>
      </c>
      <c r="V18" s="46">
        <v>7</v>
      </c>
      <c r="W18" s="46">
        <v>7</v>
      </c>
      <c r="X18" s="46">
        <v>7</v>
      </c>
      <c r="Y18" s="46">
        <v>7</v>
      </c>
      <c r="Z18" s="46">
        <v>7</v>
      </c>
      <c r="AA18" s="46">
        <v>7</v>
      </c>
      <c r="AB18" s="46">
        <v>7</v>
      </c>
      <c r="AC18" s="46">
        <v>7</v>
      </c>
      <c r="AD18" s="46">
        <v>7</v>
      </c>
      <c r="AE18" s="46">
        <v>7</v>
      </c>
      <c r="AF18" s="46">
        <v>7</v>
      </c>
      <c r="AG18" s="50">
        <v>42</v>
      </c>
      <c r="AH18" s="48">
        <f t="shared" ref="AH18:AH81" si="8">MAX(B18:AF18)</f>
        <v>7</v>
      </c>
      <c r="AI18" s="49">
        <f t="shared" ref="AI18:AI81" si="9">MIN(B18:AF18)</f>
        <v>7</v>
      </c>
      <c r="AK18" s="51"/>
      <c r="AL18" s="54" t="s">
        <v>29</v>
      </c>
      <c r="AM18" s="59">
        <f>B76</f>
        <v>72.84</v>
      </c>
      <c r="AN18" s="59">
        <f t="shared" ref="AN18:AR18" si="10">C76</f>
        <v>72.84</v>
      </c>
      <c r="AO18" s="59">
        <f t="shared" si="10"/>
        <v>79.239999999999995</v>
      </c>
      <c r="AP18" s="59">
        <f t="shared" si="10"/>
        <v>79.239999999999995</v>
      </c>
      <c r="AQ18" s="59">
        <f t="shared" si="10"/>
        <v>79.239999999999995</v>
      </c>
      <c r="AR18" s="59">
        <f t="shared" si="10"/>
        <v>79.239999999999995</v>
      </c>
      <c r="AS18" s="59">
        <f>I76</f>
        <v>233.23999999999998</v>
      </c>
      <c r="AT18" s="59">
        <f>K76</f>
        <v>248.73999999999998</v>
      </c>
      <c r="AU18" s="59">
        <f t="shared" ref="AU18:AX18" si="11">M76</f>
        <v>284.53000000000009</v>
      </c>
      <c r="AV18" s="59">
        <f t="shared" si="11"/>
        <v>272.73000000000008</v>
      </c>
      <c r="AW18" s="59">
        <f t="shared" si="11"/>
        <v>266.73</v>
      </c>
      <c r="AX18" s="59">
        <f t="shared" si="11"/>
        <v>268.73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181">
        <v>8</v>
      </c>
      <c r="CA18" s="177">
        <v>7.2916666666666699E-2</v>
      </c>
      <c r="CB18" s="178"/>
      <c r="CC18" s="178"/>
      <c r="CD18" s="178"/>
      <c r="CE18" s="178"/>
      <c r="CF18" s="178"/>
      <c r="CG18" s="180"/>
      <c r="CH18" s="180"/>
      <c r="CI18" s="24"/>
      <c r="CJ18" s="24"/>
    </row>
    <row r="19" spans="1:88" x14ac:dyDescent="0.25">
      <c r="A19" s="45" t="s">
        <v>30</v>
      </c>
      <c r="B19" s="46">
        <v>11</v>
      </c>
      <c r="C19" s="46">
        <v>11</v>
      </c>
      <c r="D19" s="46">
        <v>11</v>
      </c>
      <c r="E19" s="46">
        <v>11</v>
      </c>
      <c r="F19" s="46">
        <v>11</v>
      </c>
      <c r="G19" s="46">
        <v>11</v>
      </c>
      <c r="H19" s="46">
        <v>11</v>
      </c>
      <c r="I19" s="46">
        <v>11</v>
      </c>
      <c r="J19" s="46">
        <v>11</v>
      </c>
      <c r="K19" s="46">
        <v>11</v>
      </c>
      <c r="L19" s="46">
        <v>11</v>
      </c>
      <c r="M19" s="46">
        <v>11</v>
      </c>
      <c r="N19" s="46">
        <v>11</v>
      </c>
      <c r="O19" s="46">
        <v>11</v>
      </c>
      <c r="P19" s="46">
        <v>11</v>
      </c>
      <c r="Q19" s="46">
        <v>11</v>
      </c>
      <c r="R19" s="46">
        <v>11</v>
      </c>
      <c r="S19" s="46">
        <v>11</v>
      </c>
      <c r="T19" s="46">
        <v>11</v>
      </c>
      <c r="U19" s="46">
        <v>11</v>
      </c>
      <c r="V19" s="46">
        <v>11</v>
      </c>
      <c r="W19" s="46">
        <v>11</v>
      </c>
      <c r="X19" s="46">
        <v>11</v>
      </c>
      <c r="Y19" s="46">
        <v>11</v>
      </c>
      <c r="Z19" s="46">
        <v>11</v>
      </c>
      <c r="AA19" s="46">
        <v>11</v>
      </c>
      <c r="AB19" s="46">
        <v>11</v>
      </c>
      <c r="AC19" s="46">
        <v>11</v>
      </c>
      <c r="AD19" s="46">
        <v>11</v>
      </c>
      <c r="AE19" s="46">
        <v>11</v>
      </c>
      <c r="AF19" s="46">
        <v>11</v>
      </c>
      <c r="AG19" s="50">
        <v>38.46</v>
      </c>
      <c r="AH19" s="48">
        <f t="shared" si="8"/>
        <v>11</v>
      </c>
      <c r="AI19" s="49">
        <f t="shared" si="9"/>
        <v>11</v>
      </c>
      <c r="AK19" s="51"/>
      <c r="AL19" s="54" t="s">
        <v>31</v>
      </c>
      <c r="AM19" s="59">
        <f>B92</f>
        <v>671</v>
      </c>
      <c r="AN19" s="59">
        <f t="shared" ref="AN19:AR19" si="12">C92</f>
        <v>684</v>
      </c>
      <c r="AO19" s="59">
        <f t="shared" si="12"/>
        <v>640</v>
      </c>
      <c r="AP19" s="59">
        <f t="shared" si="12"/>
        <v>631.4</v>
      </c>
      <c r="AQ19" s="59">
        <f t="shared" si="12"/>
        <v>650.69999999999993</v>
      </c>
      <c r="AR19" s="59">
        <f t="shared" si="12"/>
        <v>668.4</v>
      </c>
      <c r="AS19" s="59">
        <f>I92</f>
        <v>672.80000000000007</v>
      </c>
      <c r="AT19" s="59">
        <f>K92</f>
        <v>633.79999999999995</v>
      </c>
      <c r="AU19" s="59">
        <f t="shared" ref="AU19:AX19" si="13">M92</f>
        <v>261.5</v>
      </c>
      <c r="AV19" s="59">
        <f t="shared" si="13"/>
        <v>541.5</v>
      </c>
      <c r="AW19" s="59">
        <f t="shared" si="13"/>
        <v>539.20000000000005</v>
      </c>
      <c r="AX19" s="59">
        <f t="shared" si="13"/>
        <v>565.70000000000005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181">
        <v>9</v>
      </c>
      <c r="CA19" s="177">
        <v>8.3333333333333301E-2</v>
      </c>
      <c r="CB19" s="178"/>
      <c r="CC19" s="178"/>
      <c r="CD19" s="178"/>
      <c r="CE19" s="178"/>
      <c r="CF19" s="178"/>
      <c r="CG19" s="180"/>
      <c r="CH19" s="180"/>
      <c r="CI19" s="24"/>
      <c r="CJ19" s="24"/>
    </row>
    <row r="20" spans="1:88" x14ac:dyDescent="0.25">
      <c r="A20" s="45" t="s">
        <v>32</v>
      </c>
      <c r="B20" s="46">
        <v>7.8</v>
      </c>
      <c r="C20" s="46">
        <v>7.8</v>
      </c>
      <c r="D20" s="46">
        <v>7.8</v>
      </c>
      <c r="E20" s="46">
        <v>7.8</v>
      </c>
      <c r="F20" s="46">
        <v>7.8</v>
      </c>
      <c r="G20" s="46">
        <v>7.8</v>
      </c>
      <c r="H20" s="46">
        <v>7.8</v>
      </c>
      <c r="I20" s="46">
        <v>7.8</v>
      </c>
      <c r="J20" s="46">
        <v>7.8</v>
      </c>
      <c r="K20" s="46">
        <v>7.8</v>
      </c>
      <c r="L20" s="46">
        <v>7.8</v>
      </c>
      <c r="M20" s="46">
        <v>7.8</v>
      </c>
      <c r="N20" s="46">
        <v>7.8</v>
      </c>
      <c r="O20" s="46">
        <v>7.8</v>
      </c>
      <c r="P20" s="46">
        <v>7.8</v>
      </c>
      <c r="Q20" s="46">
        <v>7.8</v>
      </c>
      <c r="R20" s="46">
        <v>7.8</v>
      </c>
      <c r="S20" s="46">
        <v>7.8</v>
      </c>
      <c r="T20" s="46">
        <v>7.8</v>
      </c>
      <c r="U20" s="46">
        <v>7.8</v>
      </c>
      <c r="V20" s="46">
        <v>7.8</v>
      </c>
      <c r="W20" s="46">
        <v>7.8</v>
      </c>
      <c r="X20" s="46">
        <v>7.8</v>
      </c>
      <c r="Y20" s="46">
        <v>7.8</v>
      </c>
      <c r="Z20" s="46">
        <v>7.8</v>
      </c>
      <c r="AA20" s="46">
        <v>7.8</v>
      </c>
      <c r="AB20" s="46">
        <v>7.8</v>
      </c>
      <c r="AC20" s="46">
        <v>7.8</v>
      </c>
      <c r="AD20" s="46">
        <v>7.8</v>
      </c>
      <c r="AE20" s="46">
        <v>7.8</v>
      </c>
      <c r="AF20" s="46">
        <v>7.8</v>
      </c>
      <c r="AG20" s="50">
        <v>38.46</v>
      </c>
      <c r="AH20" s="48">
        <f t="shared" si="8"/>
        <v>7.8</v>
      </c>
      <c r="AI20" s="49">
        <f t="shared" si="9"/>
        <v>7.8</v>
      </c>
      <c r="AK20" s="51"/>
      <c r="AL20" s="54" t="s">
        <v>33</v>
      </c>
      <c r="AM20" s="59">
        <f>B80</f>
        <v>0</v>
      </c>
      <c r="AN20" s="59">
        <f t="shared" ref="AN20:AR20" si="14">C80</f>
        <v>0</v>
      </c>
      <c r="AO20" s="59">
        <f t="shared" si="14"/>
        <v>0</v>
      </c>
      <c r="AP20" s="59">
        <f t="shared" si="14"/>
        <v>0</v>
      </c>
      <c r="AQ20" s="59">
        <f t="shared" si="14"/>
        <v>0</v>
      </c>
      <c r="AR20" s="59">
        <f t="shared" si="14"/>
        <v>0</v>
      </c>
      <c r="AS20" s="59">
        <f>I80</f>
        <v>0</v>
      </c>
      <c r="AT20" s="59">
        <f>K80</f>
        <v>0</v>
      </c>
      <c r="AU20" s="59">
        <f t="shared" ref="AU20:AX20" si="15">M80</f>
        <v>0</v>
      </c>
      <c r="AV20" s="59">
        <f t="shared" si="15"/>
        <v>0</v>
      </c>
      <c r="AW20" s="59">
        <f t="shared" si="15"/>
        <v>0</v>
      </c>
      <c r="AX20" s="59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181">
        <v>10</v>
      </c>
      <c r="CA20" s="177">
        <v>9.375E-2</v>
      </c>
      <c r="CB20" s="178"/>
      <c r="CC20" s="178"/>
      <c r="CD20" s="178"/>
      <c r="CE20" s="178"/>
      <c r="CF20" s="178"/>
      <c r="CG20" s="180"/>
      <c r="CH20" s="180"/>
      <c r="CI20" s="24"/>
      <c r="CJ20" s="24"/>
    </row>
    <row r="21" spans="1:88" x14ac:dyDescent="0.25">
      <c r="A21" s="45" t="s">
        <v>34</v>
      </c>
      <c r="B21" s="46">
        <v>13</v>
      </c>
      <c r="C21" s="46">
        <v>13</v>
      </c>
      <c r="D21" s="46">
        <v>13</v>
      </c>
      <c r="E21" s="46">
        <v>13</v>
      </c>
      <c r="F21" s="46">
        <v>13</v>
      </c>
      <c r="G21" s="46">
        <v>13</v>
      </c>
      <c r="H21" s="46">
        <v>13</v>
      </c>
      <c r="I21" s="46">
        <v>13</v>
      </c>
      <c r="J21" s="46">
        <v>13</v>
      </c>
      <c r="K21" s="46">
        <v>13</v>
      </c>
      <c r="L21" s="46">
        <v>13</v>
      </c>
      <c r="M21" s="46">
        <v>13</v>
      </c>
      <c r="N21" s="46">
        <v>13</v>
      </c>
      <c r="O21" s="46">
        <v>13</v>
      </c>
      <c r="P21" s="46">
        <v>13</v>
      </c>
      <c r="Q21" s="46">
        <v>13</v>
      </c>
      <c r="R21" s="46">
        <v>13</v>
      </c>
      <c r="S21" s="46">
        <v>13</v>
      </c>
      <c r="T21" s="46">
        <v>13</v>
      </c>
      <c r="U21" s="46">
        <v>13</v>
      </c>
      <c r="V21" s="46">
        <v>13</v>
      </c>
      <c r="W21" s="46">
        <v>13</v>
      </c>
      <c r="X21" s="46">
        <v>13</v>
      </c>
      <c r="Y21" s="46">
        <v>13</v>
      </c>
      <c r="Z21" s="46">
        <v>13</v>
      </c>
      <c r="AA21" s="46">
        <v>13</v>
      </c>
      <c r="AB21" s="46">
        <v>13</v>
      </c>
      <c r="AC21" s="46">
        <v>13</v>
      </c>
      <c r="AD21" s="46">
        <v>13</v>
      </c>
      <c r="AE21" s="46">
        <v>13</v>
      </c>
      <c r="AF21" s="46">
        <v>13</v>
      </c>
      <c r="AG21" s="50">
        <v>36</v>
      </c>
      <c r="AH21" s="48">
        <f t="shared" si="8"/>
        <v>13</v>
      </c>
      <c r="AI21" s="49">
        <f t="shared" si="9"/>
        <v>13</v>
      </c>
      <c r="AK21" s="51"/>
      <c r="AL21" s="54" t="s">
        <v>35</v>
      </c>
      <c r="AM21" s="59">
        <f>B98</f>
        <v>0</v>
      </c>
      <c r="AN21" s="59">
        <f t="shared" ref="AN21:AR21" si="16">C98</f>
        <v>0</v>
      </c>
      <c r="AO21" s="59">
        <f t="shared" si="16"/>
        <v>0</v>
      </c>
      <c r="AP21" s="59">
        <f t="shared" si="16"/>
        <v>0</v>
      </c>
      <c r="AQ21" s="59">
        <f t="shared" si="16"/>
        <v>0</v>
      </c>
      <c r="AR21" s="59">
        <f t="shared" si="16"/>
        <v>0</v>
      </c>
      <c r="AS21" s="59">
        <f>I98</f>
        <v>0</v>
      </c>
      <c r="AT21" s="59">
        <f>K98</f>
        <v>50</v>
      </c>
      <c r="AU21" s="59">
        <f t="shared" ref="AU21:AX21" si="17">M98</f>
        <v>250</v>
      </c>
      <c r="AV21" s="59">
        <f t="shared" si="17"/>
        <v>200</v>
      </c>
      <c r="AW21" s="59">
        <f t="shared" si="17"/>
        <v>180</v>
      </c>
      <c r="AX21" s="59">
        <f t="shared" si="17"/>
        <v>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181">
        <v>11</v>
      </c>
      <c r="CA21" s="177">
        <v>0.104166666666667</v>
      </c>
      <c r="CB21" s="178"/>
      <c r="CC21" s="178"/>
      <c r="CD21" s="178"/>
      <c r="CE21" s="178"/>
      <c r="CF21" s="178"/>
      <c r="CG21" s="180"/>
      <c r="CH21" s="180"/>
      <c r="CI21" s="24"/>
      <c r="CJ21" s="24"/>
    </row>
    <row r="22" spans="1:88" x14ac:dyDescent="0.25">
      <c r="A22" s="45" t="s">
        <v>36</v>
      </c>
      <c r="B22" s="46">
        <v>7.6</v>
      </c>
      <c r="C22" s="46">
        <v>7.6</v>
      </c>
      <c r="D22" s="46">
        <v>7.6</v>
      </c>
      <c r="E22" s="46">
        <v>7.6</v>
      </c>
      <c r="F22" s="46">
        <v>7.6</v>
      </c>
      <c r="G22" s="46">
        <v>7.6</v>
      </c>
      <c r="H22" s="46">
        <v>6.9</v>
      </c>
      <c r="I22" s="46">
        <v>6.9</v>
      </c>
      <c r="J22" s="46">
        <v>6.9</v>
      </c>
      <c r="K22" s="46">
        <v>6.9</v>
      </c>
      <c r="L22" s="46">
        <v>6.9</v>
      </c>
      <c r="M22" s="46">
        <v>6.9</v>
      </c>
      <c r="N22" s="46">
        <v>6.9</v>
      </c>
      <c r="O22" s="46">
        <v>6.9</v>
      </c>
      <c r="P22" s="46">
        <v>6.9</v>
      </c>
      <c r="Q22" s="46">
        <v>6.9</v>
      </c>
      <c r="R22" s="46">
        <v>6.9</v>
      </c>
      <c r="S22" s="46">
        <v>6.9</v>
      </c>
      <c r="T22" s="46">
        <v>6.9</v>
      </c>
      <c r="U22" s="46">
        <v>6.9</v>
      </c>
      <c r="V22" s="46">
        <v>6.9</v>
      </c>
      <c r="W22" s="46">
        <v>6.9</v>
      </c>
      <c r="X22" s="46">
        <v>6.9</v>
      </c>
      <c r="Y22" s="46">
        <v>6.9</v>
      </c>
      <c r="Z22" s="46">
        <v>6.9</v>
      </c>
      <c r="AA22" s="46">
        <v>6.9</v>
      </c>
      <c r="AB22" s="46">
        <v>6.9</v>
      </c>
      <c r="AC22" s="46">
        <v>6.9</v>
      </c>
      <c r="AD22" s="46">
        <v>6.9</v>
      </c>
      <c r="AE22" s="46">
        <v>6.9</v>
      </c>
      <c r="AF22" s="46">
        <v>6.9</v>
      </c>
      <c r="AG22" s="60">
        <v>30</v>
      </c>
      <c r="AH22" s="48">
        <f t="shared" si="8"/>
        <v>7.6</v>
      </c>
      <c r="AI22" s="49">
        <f t="shared" si="9"/>
        <v>6.9</v>
      </c>
      <c r="AK22" s="51"/>
      <c r="AL22" s="61" t="s">
        <v>37</v>
      </c>
      <c r="AM22" s="62">
        <f>SUM(AM16:AM21)</f>
        <v>1239.49</v>
      </c>
      <c r="AN22" s="62">
        <f t="shared" ref="AN22:AX22" si="18">SUM(AN16:AN21)</f>
        <v>1252.49</v>
      </c>
      <c r="AO22" s="62">
        <f t="shared" si="18"/>
        <v>1220.19</v>
      </c>
      <c r="AP22" s="62">
        <f t="shared" si="18"/>
        <v>1211.5899999999999</v>
      </c>
      <c r="AQ22" s="62">
        <f t="shared" si="18"/>
        <v>1230.8899999999999</v>
      </c>
      <c r="AR22" s="62">
        <f t="shared" si="18"/>
        <v>1248.5899999999999</v>
      </c>
      <c r="AS22" s="62">
        <f t="shared" si="18"/>
        <v>1405.19</v>
      </c>
      <c r="AT22" s="62">
        <f t="shared" si="18"/>
        <v>1487.69</v>
      </c>
      <c r="AU22" s="62">
        <f t="shared" si="18"/>
        <v>1596.68</v>
      </c>
      <c r="AV22" s="62">
        <f t="shared" si="18"/>
        <v>1539.88</v>
      </c>
      <c r="AW22" s="62">
        <f t="shared" si="18"/>
        <v>1517.88</v>
      </c>
      <c r="AX22" s="62">
        <f t="shared" si="18"/>
        <v>1384.38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181">
        <v>12</v>
      </c>
      <c r="CA22" s="177">
        <v>0.114583333333333</v>
      </c>
      <c r="CB22" s="178"/>
      <c r="CC22" s="178"/>
      <c r="CD22" s="178"/>
      <c r="CE22" s="178"/>
      <c r="CF22" s="178"/>
      <c r="CG22" s="180"/>
      <c r="CH22" s="180"/>
      <c r="CI22" s="24"/>
      <c r="CJ22" s="24"/>
    </row>
    <row r="23" spans="1:88" x14ac:dyDescent="0.25">
      <c r="A23" s="45" t="s">
        <v>38</v>
      </c>
      <c r="B23" s="46">
        <v>5.5</v>
      </c>
      <c r="C23" s="46">
        <v>5.5</v>
      </c>
      <c r="D23" s="46">
        <v>5.5</v>
      </c>
      <c r="E23" s="46">
        <v>5.5</v>
      </c>
      <c r="F23" s="46">
        <v>5.5</v>
      </c>
      <c r="G23" s="46">
        <v>5.5</v>
      </c>
      <c r="H23" s="46">
        <v>5.5</v>
      </c>
      <c r="I23" s="46">
        <v>5.5</v>
      </c>
      <c r="J23" s="46">
        <v>5.5</v>
      </c>
      <c r="K23" s="46">
        <v>5.5</v>
      </c>
      <c r="L23" s="46">
        <v>5.5</v>
      </c>
      <c r="M23" s="46">
        <v>5.5</v>
      </c>
      <c r="N23" s="46">
        <v>5.5</v>
      </c>
      <c r="O23" s="46">
        <v>5.5</v>
      </c>
      <c r="P23" s="46">
        <v>5.5</v>
      </c>
      <c r="Q23" s="46">
        <v>5.5</v>
      </c>
      <c r="R23" s="46">
        <v>5.5</v>
      </c>
      <c r="S23" s="46">
        <v>5.5</v>
      </c>
      <c r="T23" s="46">
        <v>5.5</v>
      </c>
      <c r="U23" s="46">
        <v>5.5</v>
      </c>
      <c r="V23" s="46">
        <v>5.5</v>
      </c>
      <c r="W23" s="46">
        <v>5.5</v>
      </c>
      <c r="X23" s="46">
        <v>5.5</v>
      </c>
      <c r="Y23" s="46">
        <v>5.5</v>
      </c>
      <c r="Z23" s="46">
        <v>5.5</v>
      </c>
      <c r="AA23" s="46">
        <v>5.5</v>
      </c>
      <c r="AB23" s="46">
        <v>5.5</v>
      </c>
      <c r="AC23" s="46">
        <v>5.5</v>
      </c>
      <c r="AD23" s="46">
        <v>5.5</v>
      </c>
      <c r="AE23" s="46">
        <v>5.5</v>
      </c>
      <c r="AF23" s="46">
        <v>5.5</v>
      </c>
      <c r="AG23" s="50">
        <v>24.2</v>
      </c>
      <c r="AH23" s="48">
        <f t="shared" si="8"/>
        <v>5.5</v>
      </c>
      <c r="AI23" s="49">
        <f t="shared" si="9"/>
        <v>5.5</v>
      </c>
      <c r="AK23" s="51"/>
      <c r="AL23" s="61" t="s">
        <v>39</v>
      </c>
      <c r="AM23" s="62">
        <f>B107*-1</f>
        <v>0</v>
      </c>
      <c r="AN23" s="62">
        <f t="shared" ref="AN23:AR23" si="19">C107*-1</f>
        <v>0</v>
      </c>
      <c r="AO23" s="62">
        <f t="shared" si="19"/>
        <v>0</v>
      </c>
      <c r="AP23" s="62">
        <f t="shared" si="19"/>
        <v>0</v>
      </c>
      <c r="AQ23" s="62">
        <f t="shared" si="19"/>
        <v>0</v>
      </c>
      <c r="AR23" s="62">
        <f t="shared" si="19"/>
        <v>0</v>
      </c>
      <c r="AS23" s="62">
        <f>I107*-1</f>
        <v>0</v>
      </c>
      <c r="AT23" s="62">
        <f>K107*-1</f>
        <v>0</v>
      </c>
      <c r="AU23" s="62">
        <f t="shared" ref="AU23:AX23" si="20">M107*-1</f>
        <v>0</v>
      </c>
      <c r="AV23" s="62">
        <f t="shared" si="20"/>
        <v>0</v>
      </c>
      <c r="AW23" s="62">
        <f t="shared" si="20"/>
        <v>0</v>
      </c>
      <c r="AX23" s="62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181">
        <v>13</v>
      </c>
      <c r="CA23" s="177">
        <v>0.125</v>
      </c>
      <c r="CB23" s="178"/>
      <c r="CC23" s="178"/>
      <c r="CD23" s="178"/>
      <c r="CE23" s="178"/>
      <c r="CF23" s="178"/>
      <c r="CG23" s="180"/>
      <c r="CH23" s="180"/>
      <c r="CI23" s="24"/>
      <c r="CJ23" s="24"/>
    </row>
    <row r="24" spans="1:88" x14ac:dyDescent="0.25">
      <c r="A24" s="45" t="s">
        <v>40</v>
      </c>
      <c r="B24" s="46">
        <v>6.3</v>
      </c>
      <c r="C24" s="46">
        <v>6.3</v>
      </c>
      <c r="D24" s="46">
        <v>6.3</v>
      </c>
      <c r="E24" s="46">
        <v>6.3</v>
      </c>
      <c r="F24" s="46">
        <v>6.3</v>
      </c>
      <c r="G24" s="46">
        <v>6.3</v>
      </c>
      <c r="H24" s="46">
        <v>6.3</v>
      </c>
      <c r="I24" s="46">
        <v>6.3</v>
      </c>
      <c r="J24" s="46">
        <v>6.3</v>
      </c>
      <c r="K24" s="46">
        <v>6.3</v>
      </c>
      <c r="L24" s="46">
        <v>6.3</v>
      </c>
      <c r="M24" s="46">
        <v>6.3</v>
      </c>
      <c r="N24" s="46">
        <v>6.3</v>
      </c>
      <c r="O24" s="46">
        <v>6.3</v>
      </c>
      <c r="P24" s="46">
        <v>6.3</v>
      </c>
      <c r="Q24" s="46">
        <v>6.3</v>
      </c>
      <c r="R24" s="46">
        <v>6.3</v>
      </c>
      <c r="S24" s="46">
        <v>6.3</v>
      </c>
      <c r="T24" s="46">
        <v>6.3</v>
      </c>
      <c r="U24" s="46">
        <v>6.3</v>
      </c>
      <c r="V24" s="46">
        <v>6.3</v>
      </c>
      <c r="W24" s="46">
        <v>6.3</v>
      </c>
      <c r="X24" s="46">
        <v>6.3</v>
      </c>
      <c r="Y24" s="46">
        <v>6.3</v>
      </c>
      <c r="Z24" s="46">
        <v>6.3</v>
      </c>
      <c r="AA24" s="46">
        <v>6.3</v>
      </c>
      <c r="AB24" s="46">
        <v>6.3</v>
      </c>
      <c r="AC24" s="46">
        <v>6.3</v>
      </c>
      <c r="AD24" s="46">
        <v>6.3</v>
      </c>
      <c r="AE24" s="46">
        <v>6.3</v>
      </c>
      <c r="AF24" s="46">
        <v>6.3</v>
      </c>
      <c r="AG24" s="50">
        <v>28</v>
      </c>
      <c r="AH24" s="48">
        <f t="shared" si="8"/>
        <v>6.3</v>
      </c>
      <c r="AI24" s="49">
        <f t="shared" si="9"/>
        <v>6.3</v>
      </c>
      <c r="AK24" s="51"/>
      <c r="AL24" s="61" t="s">
        <v>41</v>
      </c>
      <c r="AM24" s="62">
        <f>AM22+AM23</f>
        <v>1239.49</v>
      </c>
      <c r="AN24" s="62">
        <f t="shared" ref="AN24:AX24" si="21">AN22+AN23</f>
        <v>1252.49</v>
      </c>
      <c r="AO24" s="62">
        <f t="shared" si="21"/>
        <v>1220.19</v>
      </c>
      <c r="AP24" s="62">
        <f t="shared" si="21"/>
        <v>1211.5899999999999</v>
      </c>
      <c r="AQ24" s="62">
        <f t="shared" si="21"/>
        <v>1230.8899999999999</v>
      </c>
      <c r="AR24" s="62">
        <f t="shared" si="21"/>
        <v>1248.5899999999999</v>
      </c>
      <c r="AS24" s="62">
        <f t="shared" si="21"/>
        <v>1405.19</v>
      </c>
      <c r="AT24" s="62">
        <f t="shared" si="21"/>
        <v>1487.69</v>
      </c>
      <c r="AU24" s="62">
        <f t="shared" si="21"/>
        <v>1596.68</v>
      </c>
      <c r="AV24" s="62">
        <f t="shared" si="21"/>
        <v>1539.88</v>
      </c>
      <c r="AW24" s="62">
        <f t="shared" si="21"/>
        <v>1517.88</v>
      </c>
      <c r="AX24" s="62">
        <f t="shared" si="21"/>
        <v>1384.38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181">
        <v>14</v>
      </c>
      <c r="CA24" s="177">
        <v>0.13541666666666699</v>
      </c>
      <c r="CB24" s="178"/>
      <c r="CC24" s="178"/>
      <c r="CD24" s="178"/>
      <c r="CE24" s="178"/>
      <c r="CF24" s="178"/>
      <c r="CG24" s="180"/>
      <c r="CH24" s="180"/>
      <c r="CI24" s="24"/>
      <c r="CJ24" s="24"/>
    </row>
    <row r="25" spans="1:88" x14ac:dyDescent="0.25">
      <c r="A25" s="45" t="s">
        <v>42</v>
      </c>
      <c r="B25" s="46">
        <v>9.3000000000000007</v>
      </c>
      <c r="C25" s="46">
        <v>9.3000000000000007</v>
      </c>
      <c r="D25" s="46">
        <v>9.3000000000000007</v>
      </c>
      <c r="E25" s="46">
        <v>9.3000000000000007</v>
      </c>
      <c r="F25" s="46">
        <v>9.3000000000000007</v>
      </c>
      <c r="G25" s="46">
        <v>9.3000000000000007</v>
      </c>
      <c r="H25" s="46">
        <v>9.3000000000000007</v>
      </c>
      <c r="I25" s="46">
        <v>9.3000000000000007</v>
      </c>
      <c r="J25" s="46">
        <v>9.3000000000000007</v>
      </c>
      <c r="K25" s="46">
        <v>9.3000000000000007</v>
      </c>
      <c r="L25" s="46">
        <v>9.3000000000000007</v>
      </c>
      <c r="M25" s="46">
        <v>9.3000000000000007</v>
      </c>
      <c r="N25" s="46">
        <v>9.3000000000000007</v>
      </c>
      <c r="O25" s="46">
        <v>9.3000000000000007</v>
      </c>
      <c r="P25" s="46">
        <v>9.3000000000000007</v>
      </c>
      <c r="Q25" s="46">
        <v>9.3000000000000007</v>
      </c>
      <c r="R25" s="46">
        <v>9.3000000000000007</v>
      </c>
      <c r="S25" s="46">
        <v>9.3000000000000007</v>
      </c>
      <c r="T25" s="46">
        <v>9.3000000000000007</v>
      </c>
      <c r="U25" s="46">
        <v>9.3000000000000007</v>
      </c>
      <c r="V25" s="46">
        <v>9.3000000000000007</v>
      </c>
      <c r="W25" s="46">
        <v>9.3000000000000007</v>
      </c>
      <c r="X25" s="46">
        <v>9.3000000000000007</v>
      </c>
      <c r="Y25" s="46">
        <v>9.3000000000000007</v>
      </c>
      <c r="Z25" s="46">
        <v>9.3000000000000007</v>
      </c>
      <c r="AA25" s="46">
        <v>9.3000000000000007</v>
      </c>
      <c r="AB25" s="46">
        <v>9.3000000000000007</v>
      </c>
      <c r="AC25" s="46">
        <v>9.3000000000000007</v>
      </c>
      <c r="AD25" s="46">
        <v>9.3000000000000007</v>
      </c>
      <c r="AE25" s="46">
        <v>9.3000000000000007</v>
      </c>
      <c r="AF25" s="46">
        <v>9.3000000000000007</v>
      </c>
      <c r="AG25" s="60">
        <v>30</v>
      </c>
      <c r="AH25" s="48">
        <f t="shared" si="8"/>
        <v>9.3000000000000007</v>
      </c>
      <c r="AI25" s="49">
        <f t="shared" si="9"/>
        <v>9.3000000000000007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181">
        <v>15</v>
      </c>
      <c r="CA25" s="177">
        <v>0.14583333333333301</v>
      </c>
      <c r="CB25" s="178"/>
      <c r="CC25" s="178"/>
      <c r="CD25" s="178"/>
      <c r="CE25" s="178"/>
      <c r="CF25" s="178"/>
      <c r="CG25" s="180"/>
      <c r="CH25" s="180"/>
      <c r="CI25" s="24"/>
      <c r="CJ25" s="24"/>
    </row>
    <row r="26" spans="1:88" x14ac:dyDescent="0.25">
      <c r="A26" s="45" t="s">
        <v>43</v>
      </c>
      <c r="B26" s="46">
        <v>8.6999999999999993</v>
      </c>
      <c r="C26" s="46">
        <v>8.6999999999999993</v>
      </c>
      <c r="D26" s="46">
        <v>8.6999999999999993</v>
      </c>
      <c r="E26" s="46">
        <v>8.6999999999999993</v>
      </c>
      <c r="F26" s="46">
        <v>8.6999999999999993</v>
      </c>
      <c r="G26" s="46">
        <v>8.6999999999999993</v>
      </c>
      <c r="H26" s="46">
        <v>8.6999999999999993</v>
      </c>
      <c r="I26" s="46">
        <v>8.6999999999999993</v>
      </c>
      <c r="J26" s="46">
        <v>8.6999999999999993</v>
      </c>
      <c r="K26" s="46">
        <v>8.6999999999999993</v>
      </c>
      <c r="L26" s="46">
        <v>8.6999999999999993</v>
      </c>
      <c r="M26" s="46">
        <v>8.6999999999999993</v>
      </c>
      <c r="N26" s="46">
        <v>8.6999999999999993</v>
      </c>
      <c r="O26" s="46">
        <v>8.6999999999999993</v>
      </c>
      <c r="P26" s="46">
        <v>8.6999999999999993</v>
      </c>
      <c r="Q26" s="46">
        <v>8.6999999999999993</v>
      </c>
      <c r="R26" s="46">
        <v>8.6999999999999993</v>
      </c>
      <c r="S26" s="46">
        <v>8.6999999999999993</v>
      </c>
      <c r="T26" s="46">
        <v>8.6999999999999993</v>
      </c>
      <c r="U26" s="46">
        <v>8.6999999999999993</v>
      </c>
      <c r="V26" s="46">
        <v>8.6999999999999993</v>
      </c>
      <c r="W26" s="46">
        <v>8.6999999999999993</v>
      </c>
      <c r="X26" s="46">
        <v>8.6999999999999993</v>
      </c>
      <c r="Y26" s="46">
        <v>8.6999999999999993</v>
      </c>
      <c r="Z26" s="46">
        <v>8.6999999999999993</v>
      </c>
      <c r="AA26" s="46">
        <v>8.6999999999999993</v>
      </c>
      <c r="AB26" s="46">
        <v>8.6999999999999993</v>
      </c>
      <c r="AC26" s="46">
        <v>8.6999999999999993</v>
      </c>
      <c r="AD26" s="46">
        <v>8.6999999999999993</v>
      </c>
      <c r="AE26" s="46">
        <v>8.6999999999999993</v>
      </c>
      <c r="AF26" s="46">
        <v>8.6999999999999993</v>
      </c>
      <c r="AG26" s="50">
        <v>25</v>
      </c>
      <c r="AH26" s="48">
        <f t="shared" si="8"/>
        <v>8.6999999999999993</v>
      </c>
      <c r="AI26" s="49">
        <f t="shared" si="9"/>
        <v>8.6999999999999993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181">
        <v>16</v>
      </c>
      <c r="CA26" s="177">
        <v>0.15625</v>
      </c>
      <c r="CB26" s="178"/>
      <c r="CC26" s="178"/>
      <c r="CD26" s="178"/>
      <c r="CE26" s="178"/>
      <c r="CF26" s="178"/>
      <c r="CG26" s="180"/>
      <c r="CH26" s="180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5</v>
      </c>
      <c r="N27" s="46">
        <v>5</v>
      </c>
      <c r="O27" s="46">
        <v>5</v>
      </c>
      <c r="P27" s="46">
        <v>5</v>
      </c>
      <c r="Q27" s="46">
        <v>5</v>
      </c>
      <c r="R27" s="46">
        <v>5</v>
      </c>
      <c r="S27" s="46">
        <v>5</v>
      </c>
      <c r="T27" s="46">
        <v>5</v>
      </c>
      <c r="U27" s="46">
        <v>5</v>
      </c>
      <c r="V27" s="46">
        <v>5</v>
      </c>
      <c r="W27" s="46">
        <v>5</v>
      </c>
      <c r="X27" s="46">
        <v>5</v>
      </c>
      <c r="Y27" s="46">
        <v>5</v>
      </c>
      <c r="Z27" s="46">
        <v>5</v>
      </c>
      <c r="AA27" s="46">
        <v>5</v>
      </c>
      <c r="AB27" s="46">
        <v>5</v>
      </c>
      <c r="AC27" s="46">
        <v>5</v>
      </c>
      <c r="AD27" s="46">
        <v>5</v>
      </c>
      <c r="AE27" s="46">
        <v>5</v>
      </c>
      <c r="AF27" s="46">
        <v>5</v>
      </c>
      <c r="AG27" s="50">
        <v>25</v>
      </c>
      <c r="AH27" s="48">
        <f t="shared" si="8"/>
        <v>5</v>
      </c>
      <c r="AI27" s="49">
        <f t="shared" si="9"/>
        <v>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181">
        <v>17</v>
      </c>
      <c r="CA27" s="177">
        <v>0.16666666666666699</v>
      </c>
      <c r="CB27" s="178"/>
      <c r="CC27" s="178"/>
      <c r="CD27" s="178"/>
      <c r="CE27" s="178"/>
      <c r="CF27" s="178"/>
      <c r="CG27" s="180"/>
      <c r="CH27" s="180"/>
      <c r="CI27" s="24"/>
      <c r="CJ27" s="24"/>
    </row>
    <row r="28" spans="1:88" x14ac:dyDescent="0.25">
      <c r="A28" s="45" t="s">
        <v>45</v>
      </c>
      <c r="B28" s="46">
        <v>6</v>
      </c>
      <c r="C28" s="46">
        <v>6</v>
      </c>
      <c r="D28" s="46">
        <v>6</v>
      </c>
      <c r="E28" s="46">
        <v>6</v>
      </c>
      <c r="F28" s="46">
        <v>6</v>
      </c>
      <c r="G28" s="46">
        <v>6</v>
      </c>
      <c r="H28" s="46">
        <v>6</v>
      </c>
      <c r="I28" s="46">
        <v>6</v>
      </c>
      <c r="J28" s="46">
        <v>6</v>
      </c>
      <c r="K28" s="46">
        <v>6</v>
      </c>
      <c r="L28" s="46">
        <v>6</v>
      </c>
      <c r="M28" s="46">
        <v>6</v>
      </c>
      <c r="N28" s="46">
        <v>6</v>
      </c>
      <c r="O28" s="46">
        <v>6</v>
      </c>
      <c r="P28" s="46">
        <v>6</v>
      </c>
      <c r="Q28" s="46">
        <v>6</v>
      </c>
      <c r="R28" s="46">
        <v>6</v>
      </c>
      <c r="S28" s="46">
        <v>6</v>
      </c>
      <c r="T28" s="46">
        <v>6</v>
      </c>
      <c r="U28" s="46">
        <v>6</v>
      </c>
      <c r="V28" s="46">
        <v>6</v>
      </c>
      <c r="W28" s="46">
        <v>6</v>
      </c>
      <c r="X28" s="46">
        <v>6</v>
      </c>
      <c r="Y28" s="46">
        <v>6</v>
      </c>
      <c r="Z28" s="46">
        <v>6</v>
      </c>
      <c r="AA28" s="46">
        <v>6</v>
      </c>
      <c r="AB28" s="46">
        <v>6</v>
      </c>
      <c r="AC28" s="46">
        <v>6</v>
      </c>
      <c r="AD28" s="46">
        <v>6</v>
      </c>
      <c r="AE28" s="46">
        <v>6</v>
      </c>
      <c r="AF28" s="46">
        <v>6</v>
      </c>
      <c r="AG28" s="50">
        <v>25</v>
      </c>
      <c r="AH28" s="48">
        <f t="shared" si="8"/>
        <v>6</v>
      </c>
      <c r="AI28" s="49">
        <f t="shared" si="9"/>
        <v>6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181">
        <v>18</v>
      </c>
      <c r="CA28" s="177">
        <v>0.17708333333333301</v>
      </c>
      <c r="CB28" s="178"/>
      <c r="CC28" s="178"/>
      <c r="CD28" s="178"/>
      <c r="CE28" s="178"/>
      <c r="CF28" s="178"/>
      <c r="CG28" s="180"/>
      <c r="CH28" s="180"/>
      <c r="CI28" s="24"/>
      <c r="CJ28" s="24"/>
    </row>
    <row r="29" spans="1:88" x14ac:dyDescent="0.25">
      <c r="A29" s="45" t="s">
        <v>46</v>
      </c>
      <c r="B29" s="46">
        <v>6.6</v>
      </c>
      <c r="C29" s="46">
        <v>6.6</v>
      </c>
      <c r="D29" s="46">
        <v>6.6</v>
      </c>
      <c r="E29" s="46">
        <v>6.6</v>
      </c>
      <c r="F29" s="46">
        <v>6.6</v>
      </c>
      <c r="G29" s="46">
        <v>6.6</v>
      </c>
      <c r="H29" s="46">
        <v>6.6</v>
      </c>
      <c r="I29" s="46">
        <v>6.6</v>
      </c>
      <c r="J29" s="46">
        <v>6.6</v>
      </c>
      <c r="K29" s="46">
        <v>6.6</v>
      </c>
      <c r="L29" s="46">
        <v>6.6</v>
      </c>
      <c r="M29" s="46">
        <v>6.6</v>
      </c>
      <c r="N29" s="46">
        <v>6.6</v>
      </c>
      <c r="O29" s="46">
        <v>6.6</v>
      </c>
      <c r="P29" s="46">
        <v>6.6</v>
      </c>
      <c r="Q29" s="46">
        <v>6.6</v>
      </c>
      <c r="R29" s="46">
        <v>6.6</v>
      </c>
      <c r="S29" s="46">
        <v>6.6</v>
      </c>
      <c r="T29" s="46">
        <v>6.6</v>
      </c>
      <c r="U29" s="46">
        <v>6.6</v>
      </c>
      <c r="V29" s="46">
        <v>6.6</v>
      </c>
      <c r="W29" s="46">
        <v>6.6</v>
      </c>
      <c r="X29" s="46">
        <v>6.6</v>
      </c>
      <c r="Y29" s="46">
        <v>6.6</v>
      </c>
      <c r="Z29" s="46">
        <v>6.6</v>
      </c>
      <c r="AA29" s="46">
        <v>6.6</v>
      </c>
      <c r="AB29" s="46">
        <v>6.6</v>
      </c>
      <c r="AC29" s="46">
        <v>6.6</v>
      </c>
      <c r="AD29" s="46">
        <v>6.6</v>
      </c>
      <c r="AE29" s="46">
        <v>6.6</v>
      </c>
      <c r="AF29" s="46">
        <v>6.6</v>
      </c>
      <c r="AG29" s="50">
        <v>25</v>
      </c>
      <c r="AH29" s="48">
        <f t="shared" si="8"/>
        <v>6.6</v>
      </c>
      <c r="AI29" s="49">
        <f t="shared" si="9"/>
        <v>6.6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181">
        <v>19</v>
      </c>
      <c r="CA29" s="177">
        <v>0.1875</v>
      </c>
      <c r="CB29" s="178"/>
      <c r="CC29" s="178"/>
      <c r="CD29" s="178"/>
      <c r="CE29" s="178"/>
      <c r="CF29" s="178"/>
      <c r="CG29" s="180"/>
      <c r="CH29" s="180"/>
      <c r="CI29" s="24"/>
      <c r="CJ29" s="24"/>
    </row>
    <row r="30" spans="1:88" x14ac:dyDescent="0.25">
      <c r="A30" s="45" t="s">
        <v>47</v>
      </c>
      <c r="B30" s="46">
        <v>6.5</v>
      </c>
      <c r="C30" s="46">
        <v>6.5</v>
      </c>
      <c r="D30" s="46">
        <v>6.5</v>
      </c>
      <c r="E30" s="46">
        <v>6.5</v>
      </c>
      <c r="F30" s="46">
        <v>6.5</v>
      </c>
      <c r="G30" s="46">
        <v>6.5</v>
      </c>
      <c r="H30" s="46">
        <v>6.5</v>
      </c>
      <c r="I30" s="46">
        <v>6.5</v>
      </c>
      <c r="J30" s="46">
        <v>6.5</v>
      </c>
      <c r="K30" s="46">
        <v>6.5</v>
      </c>
      <c r="L30" s="46">
        <v>6.5</v>
      </c>
      <c r="M30" s="46">
        <v>6.5</v>
      </c>
      <c r="N30" s="46">
        <v>6.5</v>
      </c>
      <c r="O30" s="46">
        <v>6.5</v>
      </c>
      <c r="P30" s="46">
        <v>6.5</v>
      </c>
      <c r="Q30" s="46">
        <v>6.5</v>
      </c>
      <c r="R30" s="46">
        <v>6.5</v>
      </c>
      <c r="S30" s="46">
        <v>6.5</v>
      </c>
      <c r="T30" s="46">
        <v>6.5</v>
      </c>
      <c r="U30" s="46">
        <v>6.5</v>
      </c>
      <c r="V30" s="46">
        <v>6.5</v>
      </c>
      <c r="W30" s="46">
        <v>6.5</v>
      </c>
      <c r="X30" s="46">
        <v>6.5</v>
      </c>
      <c r="Y30" s="46">
        <v>6.5</v>
      </c>
      <c r="Z30" s="46">
        <v>6.5</v>
      </c>
      <c r="AA30" s="46">
        <v>6.5</v>
      </c>
      <c r="AB30" s="46">
        <v>6.5</v>
      </c>
      <c r="AC30" s="46">
        <v>6.5</v>
      </c>
      <c r="AD30" s="46">
        <v>6.5</v>
      </c>
      <c r="AE30" s="46">
        <v>6.5</v>
      </c>
      <c r="AF30" s="46">
        <v>6.5</v>
      </c>
      <c r="AG30" s="50">
        <v>23.5</v>
      </c>
      <c r="AH30" s="48">
        <f t="shared" si="8"/>
        <v>6.5</v>
      </c>
      <c r="AI30" s="49">
        <f t="shared" si="9"/>
        <v>6.5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181">
        <v>20</v>
      </c>
      <c r="CA30" s="177">
        <v>0.19791666666666699</v>
      </c>
      <c r="CB30" s="178"/>
      <c r="CC30" s="178"/>
      <c r="CD30" s="178"/>
      <c r="CE30" s="178"/>
      <c r="CF30" s="178"/>
      <c r="CG30" s="180"/>
      <c r="CH30" s="180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>
        <v>3</v>
      </c>
      <c r="V31" s="46">
        <v>3</v>
      </c>
      <c r="W31" s="46">
        <v>3</v>
      </c>
      <c r="X31" s="46">
        <v>3</v>
      </c>
      <c r="Y31" s="46">
        <v>3</v>
      </c>
      <c r="Z31" s="46">
        <v>3</v>
      </c>
      <c r="AA31" s="46">
        <v>3</v>
      </c>
      <c r="AB31" s="46">
        <v>3</v>
      </c>
      <c r="AC31" s="46">
        <v>3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8"/>
        <v>3</v>
      </c>
      <c r="AI31" s="49">
        <f t="shared" si="9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181">
        <v>21</v>
      </c>
      <c r="CA31" s="177">
        <v>0.20833333333333301</v>
      </c>
      <c r="CB31" s="178"/>
      <c r="CC31" s="178"/>
      <c r="CD31" s="178"/>
      <c r="CE31" s="178"/>
      <c r="CF31" s="178"/>
      <c r="CG31" s="180"/>
      <c r="CH31" s="180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5.5</v>
      </c>
      <c r="Q32" s="46">
        <v>5.5</v>
      </c>
      <c r="R32" s="46">
        <v>5.5</v>
      </c>
      <c r="S32" s="46">
        <v>5.5</v>
      </c>
      <c r="T32" s="46">
        <v>5.5</v>
      </c>
      <c r="U32" s="46">
        <v>5.5</v>
      </c>
      <c r="V32" s="46">
        <v>5.5</v>
      </c>
      <c r="W32" s="46">
        <v>5.5</v>
      </c>
      <c r="X32" s="46">
        <v>5.5</v>
      </c>
      <c r="Y32" s="46">
        <v>5.5</v>
      </c>
      <c r="Z32" s="46">
        <v>5.5</v>
      </c>
      <c r="AA32" s="46">
        <v>5.5</v>
      </c>
      <c r="AB32" s="46">
        <v>5.5</v>
      </c>
      <c r="AC32" s="46">
        <v>5.5</v>
      </c>
      <c r="AD32" s="46">
        <v>5.5</v>
      </c>
      <c r="AE32" s="46">
        <v>5.5</v>
      </c>
      <c r="AF32" s="46">
        <v>5.5</v>
      </c>
      <c r="AG32" s="50">
        <v>22.1</v>
      </c>
      <c r="AH32" s="48">
        <f t="shared" si="8"/>
        <v>5.5</v>
      </c>
      <c r="AI32" s="49">
        <f t="shared" si="9"/>
        <v>5.5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181">
        <v>22</v>
      </c>
      <c r="CA32" s="177">
        <v>0.21875</v>
      </c>
      <c r="CB32" s="178"/>
      <c r="CC32" s="178"/>
      <c r="CD32" s="178"/>
      <c r="CE32" s="178"/>
      <c r="CF32" s="178"/>
      <c r="CG32" s="180"/>
      <c r="CH32" s="180"/>
      <c r="CI32" s="24"/>
      <c r="CJ32" s="24"/>
    </row>
    <row r="33" spans="1:88" x14ac:dyDescent="0.25">
      <c r="A33" s="45" t="s">
        <v>50</v>
      </c>
      <c r="B33" s="46">
        <v>6</v>
      </c>
      <c r="C33" s="46">
        <v>6</v>
      </c>
      <c r="D33" s="46">
        <v>6</v>
      </c>
      <c r="E33" s="46">
        <v>6</v>
      </c>
      <c r="F33" s="46">
        <v>6</v>
      </c>
      <c r="G33" s="46">
        <v>6</v>
      </c>
      <c r="H33" s="46">
        <v>6</v>
      </c>
      <c r="I33" s="46">
        <v>6</v>
      </c>
      <c r="J33" s="46">
        <v>6</v>
      </c>
      <c r="K33" s="46">
        <v>6</v>
      </c>
      <c r="L33" s="46">
        <v>6</v>
      </c>
      <c r="M33" s="46">
        <v>6</v>
      </c>
      <c r="N33" s="46">
        <v>6</v>
      </c>
      <c r="O33" s="46">
        <v>6</v>
      </c>
      <c r="P33" s="46">
        <v>6</v>
      </c>
      <c r="Q33" s="46">
        <v>6</v>
      </c>
      <c r="R33" s="46">
        <v>6</v>
      </c>
      <c r="S33" s="46">
        <v>6</v>
      </c>
      <c r="T33" s="46">
        <v>6</v>
      </c>
      <c r="U33" s="46">
        <v>6</v>
      </c>
      <c r="V33" s="46">
        <v>6</v>
      </c>
      <c r="W33" s="46">
        <v>6</v>
      </c>
      <c r="X33" s="46">
        <v>6</v>
      </c>
      <c r="Y33" s="46">
        <v>6</v>
      </c>
      <c r="Z33" s="46">
        <v>6</v>
      </c>
      <c r="AA33" s="46">
        <v>6</v>
      </c>
      <c r="AB33" s="46">
        <v>6</v>
      </c>
      <c r="AC33" s="46">
        <v>6</v>
      </c>
      <c r="AD33" s="46">
        <v>6</v>
      </c>
      <c r="AE33" s="46">
        <v>6</v>
      </c>
      <c r="AF33" s="46">
        <v>6</v>
      </c>
      <c r="AG33" s="50">
        <v>22</v>
      </c>
      <c r="AH33" s="48">
        <f t="shared" si="8"/>
        <v>6</v>
      </c>
      <c r="AI33" s="49">
        <f t="shared" si="9"/>
        <v>6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181">
        <v>23</v>
      </c>
      <c r="CA33" s="177">
        <v>0.22916666666666699</v>
      </c>
      <c r="CB33" s="178"/>
      <c r="CC33" s="178"/>
      <c r="CD33" s="178"/>
      <c r="CE33" s="178"/>
      <c r="CF33" s="178"/>
      <c r="CG33" s="180"/>
      <c r="CH33" s="180"/>
      <c r="CI33" s="24"/>
      <c r="CJ33" s="24"/>
    </row>
    <row r="34" spans="1:88" x14ac:dyDescent="0.25">
      <c r="A34" s="45" t="s">
        <v>51</v>
      </c>
      <c r="B34" s="46">
        <v>6.1</v>
      </c>
      <c r="C34" s="46">
        <v>6.1</v>
      </c>
      <c r="D34" s="46">
        <v>6.1</v>
      </c>
      <c r="E34" s="46">
        <v>6.1</v>
      </c>
      <c r="F34" s="46">
        <v>6.1</v>
      </c>
      <c r="G34" s="46">
        <v>6.1</v>
      </c>
      <c r="H34" s="46">
        <v>6.1</v>
      </c>
      <c r="I34" s="46">
        <v>6.1</v>
      </c>
      <c r="J34" s="46">
        <v>6.1</v>
      </c>
      <c r="K34" s="46">
        <v>6.1</v>
      </c>
      <c r="L34" s="46">
        <v>6.1</v>
      </c>
      <c r="M34" s="46">
        <v>6.1</v>
      </c>
      <c r="N34" s="46">
        <v>6.1</v>
      </c>
      <c r="O34" s="46">
        <v>6.1</v>
      </c>
      <c r="P34" s="46">
        <v>6.1</v>
      </c>
      <c r="Q34" s="46">
        <v>6.1</v>
      </c>
      <c r="R34" s="46">
        <v>6.1</v>
      </c>
      <c r="S34" s="46">
        <v>6.1</v>
      </c>
      <c r="T34" s="46">
        <v>6.1</v>
      </c>
      <c r="U34" s="46">
        <v>6.1</v>
      </c>
      <c r="V34" s="46">
        <v>6.1</v>
      </c>
      <c r="W34" s="46">
        <v>6.1</v>
      </c>
      <c r="X34" s="46">
        <v>6.1</v>
      </c>
      <c r="Y34" s="46">
        <v>6.1</v>
      </c>
      <c r="Z34" s="46">
        <v>6.1</v>
      </c>
      <c r="AA34" s="46">
        <v>6.1</v>
      </c>
      <c r="AB34" s="46">
        <v>6.1</v>
      </c>
      <c r="AC34" s="46">
        <v>6.1</v>
      </c>
      <c r="AD34" s="46">
        <v>6.1</v>
      </c>
      <c r="AE34" s="46">
        <v>6.1</v>
      </c>
      <c r="AF34" s="46">
        <v>6.1</v>
      </c>
      <c r="AG34" s="50">
        <v>22</v>
      </c>
      <c r="AH34" s="48">
        <f t="shared" si="8"/>
        <v>6.1</v>
      </c>
      <c r="AI34" s="49">
        <f t="shared" si="9"/>
        <v>6.1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181">
        <v>24</v>
      </c>
      <c r="CA34" s="177">
        <v>0.23958333333333301</v>
      </c>
      <c r="CB34" s="178"/>
      <c r="CC34" s="178"/>
      <c r="CD34" s="178"/>
      <c r="CE34" s="178"/>
      <c r="CF34" s="178"/>
      <c r="CG34" s="180"/>
      <c r="CH34" s="180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8"/>
        <v>4</v>
      </c>
      <c r="AI35" s="49">
        <f t="shared" si="9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181">
        <v>25</v>
      </c>
      <c r="CA35" s="177">
        <v>0.25</v>
      </c>
      <c r="CB35" s="178"/>
      <c r="CC35" s="178"/>
      <c r="CD35" s="178"/>
      <c r="CE35" s="178"/>
      <c r="CF35" s="178"/>
      <c r="CG35" s="180"/>
      <c r="CH35" s="180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>
        <v>4</v>
      </c>
      <c r="V36" s="46">
        <v>4</v>
      </c>
      <c r="W36" s="46">
        <v>4</v>
      </c>
      <c r="X36" s="46">
        <v>4</v>
      </c>
      <c r="Y36" s="46">
        <v>4</v>
      </c>
      <c r="Z36" s="46">
        <v>4</v>
      </c>
      <c r="AA36" s="46">
        <v>4</v>
      </c>
      <c r="AB36" s="46">
        <v>4</v>
      </c>
      <c r="AC36" s="46">
        <v>4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8"/>
        <v>4</v>
      </c>
      <c r="AI36" s="49">
        <f t="shared" si="9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181">
        <v>26</v>
      </c>
      <c r="CA36" s="177">
        <v>0.26041666666666702</v>
      </c>
      <c r="CB36" s="178"/>
      <c r="CC36" s="178"/>
      <c r="CD36" s="178"/>
      <c r="CE36" s="178"/>
      <c r="CF36" s="178"/>
      <c r="CG36" s="180"/>
      <c r="CH36" s="180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>
        <v>5.7</v>
      </c>
      <c r="V37" s="46">
        <v>5.7</v>
      </c>
      <c r="W37" s="46">
        <v>5.7</v>
      </c>
      <c r="X37" s="46">
        <v>5.7</v>
      </c>
      <c r="Y37" s="46">
        <v>5.7</v>
      </c>
      <c r="Z37" s="46">
        <v>5.7</v>
      </c>
      <c r="AA37" s="46">
        <v>5.7</v>
      </c>
      <c r="AB37" s="46">
        <v>5.7</v>
      </c>
      <c r="AC37" s="46">
        <v>5.7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8"/>
        <v>5.7</v>
      </c>
      <c r="AI37" s="49">
        <f t="shared" si="9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181">
        <v>27</v>
      </c>
      <c r="CA37" s="177">
        <v>0.27083333333333298</v>
      </c>
      <c r="CB37" s="178"/>
      <c r="CC37" s="178"/>
      <c r="CD37" s="178"/>
      <c r="CE37" s="178"/>
      <c r="CF37" s="178"/>
      <c r="CG37" s="180"/>
      <c r="CH37" s="180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7.2</v>
      </c>
      <c r="Q38" s="46">
        <v>7.2</v>
      </c>
      <c r="R38" s="46">
        <v>7.2</v>
      </c>
      <c r="S38" s="46">
        <v>7.2</v>
      </c>
      <c r="T38" s="46">
        <v>7.2</v>
      </c>
      <c r="U38" s="46">
        <v>7.2</v>
      </c>
      <c r="V38" s="46">
        <v>7.2</v>
      </c>
      <c r="W38" s="46">
        <v>7.2</v>
      </c>
      <c r="X38" s="46">
        <v>7.2</v>
      </c>
      <c r="Y38" s="46">
        <v>7.2</v>
      </c>
      <c r="Z38" s="46">
        <v>7.2</v>
      </c>
      <c r="AA38" s="46">
        <v>7.2</v>
      </c>
      <c r="AB38" s="46">
        <v>7.2</v>
      </c>
      <c r="AC38" s="46">
        <v>7.2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8"/>
        <v>7.2</v>
      </c>
      <c r="AI38" s="49">
        <f t="shared" si="9"/>
        <v>7.2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181">
        <v>28</v>
      </c>
      <c r="CA38" s="177">
        <v>0.28125</v>
      </c>
      <c r="CB38" s="178"/>
      <c r="CC38" s="178"/>
      <c r="CD38" s="178"/>
      <c r="CE38" s="178"/>
      <c r="CF38" s="178"/>
      <c r="CG38" s="180"/>
      <c r="CH38" s="180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181">
        <v>29</v>
      </c>
      <c r="CA39" s="177">
        <v>0.29166666666666702</v>
      </c>
      <c r="CB39" s="178"/>
      <c r="CC39" s="178"/>
      <c r="CD39" s="178"/>
      <c r="CE39" s="178"/>
      <c r="CF39" s="178"/>
      <c r="CG39" s="180"/>
      <c r="CH39" s="180"/>
      <c r="CI39" s="24"/>
      <c r="CJ39" s="24"/>
    </row>
    <row r="40" spans="1:88" x14ac:dyDescent="0.25">
      <c r="A40" s="45" t="s">
        <v>57</v>
      </c>
      <c r="B40" s="46">
        <v>5</v>
      </c>
      <c r="C40" s="46">
        <v>5</v>
      </c>
      <c r="D40" s="46">
        <v>5</v>
      </c>
      <c r="E40" s="46">
        <v>5</v>
      </c>
      <c r="F40" s="46">
        <v>5</v>
      </c>
      <c r="G40" s="46">
        <v>5</v>
      </c>
      <c r="H40" s="46">
        <v>5</v>
      </c>
      <c r="I40" s="46">
        <v>5</v>
      </c>
      <c r="J40" s="46">
        <v>5</v>
      </c>
      <c r="K40" s="46">
        <v>5</v>
      </c>
      <c r="L40" s="46">
        <v>5</v>
      </c>
      <c r="M40" s="46">
        <v>5</v>
      </c>
      <c r="N40" s="46">
        <v>5</v>
      </c>
      <c r="O40" s="46">
        <v>5</v>
      </c>
      <c r="P40" s="46">
        <v>5</v>
      </c>
      <c r="Q40" s="46">
        <v>5</v>
      </c>
      <c r="R40" s="46">
        <v>5</v>
      </c>
      <c r="S40" s="46">
        <v>5</v>
      </c>
      <c r="T40" s="46">
        <v>5</v>
      </c>
      <c r="U40" s="46">
        <v>5</v>
      </c>
      <c r="V40" s="46">
        <v>5</v>
      </c>
      <c r="W40" s="46">
        <v>5</v>
      </c>
      <c r="X40" s="46">
        <v>5</v>
      </c>
      <c r="Y40" s="46">
        <v>5</v>
      </c>
      <c r="Z40" s="46">
        <v>5</v>
      </c>
      <c r="AA40" s="46">
        <v>5</v>
      </c>
      <c r="AB40" s="46">
        <v>5</v>
      </c>
      <c r="AC40" s="46">
        <v>5</v>
      </c>
      <c r="AD40" s="46">
        <v>5</v>
      </c>
      <c r="AE40" s="46">
        <v>5</v>
      </c>
      <c r="AF40" s="46">
        <v>5</v>
      </c>
      <c r="AG40" s="50">
        <v>14.9</v>
      </c>
      <c r="AH40" s="48">
        <f t="shared" si="8"/>
        <v>5</v>
      </c>
      <c r="AI40" s="49">
        <f t="shared" si="9"/>
        <v>5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181">
        <v>30</v>
      </c>
      <c r="CA40" s="177">
        <v>0.30208333333333298</v>
      </c>
      <c r="CB40" s="178"/>
      <c r="CC40" s="178"/>
      <c r="CD40" s="178"/>
      <c r="CE40" s="178"/>
      <c r="CF40" s="178"/>
      <c r="CG40" s="180"/>
      <c r="CH40" s="180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8"/>
        <v>4</v>
      </c>
      <c r="AI41" s="49">
        <f t="shared" si="9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181">
        <v>31</v>
      </c>
      <c r="CA41" s="177">
        <v>0.3125</v>
      </c>
      <c r="CB41" s="178"/>
      <c r="CC41" s="178"/>
      <c r="CD41" s="178"/>
      <c r="CE41" s="178"/>
      <c r="CF41" s="178"/>
      <c r="CG41" s="180"/>
      <c r="CH41" s="180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>
        <v>1.8</v>
      </c>
      <c r="V42" s="46">
        <v>1.8</v>
      </c>
      <c r="W42" s="46">
        <v>1.8</v>
      </c>
      <c r="X42" s="46">
        <v>1.8</v>
      </c>
      <c r="Y42" s="46">
        <v>1.8</v>
      </c>
      <c r="Z42" s="46">
        <v>1.8</v>
      </c>
      <c r="AA42" s="46">
        <v>1.8</v>
      </c>
      <c r="AB42" s="46">
        <v>1.8</v>
      </c>
      <c r="AC42" s="46">
        <v>1.8</v>
      </c>
      <c r="AD42" s="46">
        <v>1.8</v>
      </c>
      <c r="AE42" s="46">
        <v>1.8</v>
      </c>
      <c r="AF42" s="46">
        <v>1.8</v>
      </c>
      <c r="AG42" s="50">
        <v>13.6</v>
      </c>
      <c r="AH42" s="48">
        <f t="shared" si="8"/>
        <v>1.8</v>
      </c>
      <c r="AI42" s="49">
        <f t="shared" si="9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181">
        <v>32</v>
      </c>
      <c r="CA42" s="177">
        <v>0.32291666666666702</v>
      </c>
      <c r="CB42" s="178"/>
      <c r="CC42" s="178"/>
      <c r="CD42" s="178"/>
      <c r="CE42" s="178"/>
      <c r="CF42" s="178"/>
      <c r="CG42" s="180"/>
      <c r="CH42" s="180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>
        <v>3.8</v>
      </c>
      <c r="V43" s="46">
        <v>3.8</v>
      </c>
      <c r="W43" s="46">
        <v>3.8</v>
      </c>
      <c r="X43" s="46">
        <v>3.8</v>
      </c>
      <c r="Y43" s="46">
        <v>3.8</v>
      </c>
      <c r="Z43" s="46">
        <v>3.8</v>
      </c>
      <c r="AA43" s="46">
        <v>3.8</v>
      </c>
      <c r="AB43" s="46">
        <v>3.8</v>
      </c>
      <c r="AC43" s="46">
        <v>3.8</v>
      </c>
      <c r="AD43" s="46">
        <v>3.8</v>
      </c>
      <c r="AE43" s="46">
        <v>3.8</v>
      </c>
      <c r="AF43" s="46">
        <v>3.8</v>
      </c>
      <c r="AG43" s="50">
        <v>13</v>
      </c>
      <c r="AH43" s="48">
        <f t="shared" si="8"/>
        <v>3.8</v>
      </c>
      <c r="AI43" s="49">
        <f t="shared" si="9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181">
        <v>33</v>
      </c>
      <c r="CA43" s="177">
        <v>0.33333333333333298</v>
      </c>
      <c r="CB43" s="178"/>
      <c r="CC43" s="178"/>
      <c r="CD43" s="178"/>
      <c r="CE43" s="178"/>
      <c r="CF43" s="178"/>
      <c r="CG43" s="180"/>
      <c r="CH43" s="180"/>
      <c r="CI43" s="24"/>
      <c r="CJ43" s="24"/>
    </row>
    <row r="44" spans="1:88" x14ac:dyDescent="0.25">
      <c r="A44" s="45" t="s">
        <v>61</v>
      </c>
      <c r="B44" s="46">
        <v>7.5</v>
      </c>
      <c r="C44" s="46">
        <v>7.5</v>
      </c>
      <c r="D44" s="46">
        <v>7.5</v>
      </c>
      <c r="E44" s="46">
        <v>7.5</v>
      </c>
      <c r="F44" s="46">
        <v>7.5</v>
      </c>
      <c r="G44" s="46">
        <v>7.5</v>
      </c>
      <c r="H44" s="46">
        <v>7.5</v>
      </c>
      <c r="I44" s="46">
        <v>7.5</v>
      </c>
      <c r="J44" s="46">
        <v>7.5</v>
      </c>
      <c r="K44" s="46">
        <v>7.5</v>
      </c>
      <c r="L44" s="46">
        <v>7.5</v>
      </c>
      <c r="M44" s="46">
        <v>7.5</v>
      </c>
      <c r="N44" s="46">
        <v>7.5</v>
      </c>
      <c r="O44" s="46">
        <v>7.5</v>
      </c>
      <c r="P44" s="46">
        <v>7.5</v>
      </c>
      <c r="Q44" s="46">
        <v>7.5</v>
      </c>
      <c r="R44" s="46">
        <v>7.5</v>
      </c>
      <c r="S44" s="46">
        <v>7.5</v>
      </c>
      <c r="T44" s="46">
        <v>7.5</v>
      </c>
      <c r="U44" s="46">
        <v>7.5</v>
      </c>
      <c r="V44" s="46">
        <v>7.5</v>
      </c>
      <c r="W44" s="46">
        <v>7.5</v>
      </c>
      <c r="X44" s="46">
        <v>7.5</v>
      </c>
      <c r="Y44" s="46">
        <v>7.5</v>
      </c>
      <c r="Z44" s="46">
        <v>7.5</v>
      </c>
      <c r="AA44" s="46">
        <v>7.5</v>
      </c>
      <c r="AB44" s="46">
        <v>7.5</v>
      </c>
      <c r="AC44" s="46">
        <v>7.5</v>
      </c>
      <c r="AD44" s="46">
        <v>7.5</v>
      </c>
      <c r="AE44" s="46">
        <v>7.5</v>
      </c>
      <c r="AF44" s="46">
        <v>7.5</v>
      </c>
      <c r="AG44" s="50">
        <v>12</v>
      </c>
      <c r="AH44" s="48">
        <f t="shared" si="8"/>
        <v>7.5</v>
      </c>
      <c r="AI44" s="49">
        <f t="shared" si="9"/>
        <v>7.5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181">
        <v>34</v>
      </c>
      <c r="CA44" s="177">
        <v>0.34375</v>
      </c>
      <c r="CB44" s="178"/>
      <c r="CC44" s="178"/>
      <c r="CD44" s="178"/>
      <c r="CE44" s="178"/>
      <c r="CF44" s="178"/>
      <c r="CG44" s="180"/>
      <c r="CH44" s="180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>
        <v>9</v>
      </c>
      <c r="V45" s="46">
        <v>9</v>
      </c>
      <c r="W45" s="46">
        <v>9</v>
      </c>
      <c r="X45" s="46">
        <v>9</v>
      </c>
      <c r="Y45" s="46">
        <v>9</v>
      </c>
      <c r="Z45" s="46">
        <v>9</v>
      </c>
      <c r="AA45" s="46">
        <v>9</v>
      </c>
      <c r="AB45" s="46">
        <v>9</v>
      </c>
      <c r="AC45" s="46">
        <v>9</v>
      </c>
      <c r="AD45" s="46">
        <v>9</v>
      </c>
      <c r="AE45" s="46">
        <v>9</v>
      </c>
      <c r="AF45" s="46">
        <v>9</v>
      </c>
      <c r="AG45" s="50">
        <v>12</v>
      </c>
      <c r="AH45" s="48">
        <f t="shared" si="8"/>
        <v>9</v>
      </c>
      <c r="AI45" s="49">
        <f t="shared" si="9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181">
        <v>35</v>
      </c>
      <c r="CA45" s="177">
        <v>0.35416666666666702</v>
      </c>
      <c r="CB45" s="178"/>
      <c r="CC45" s="178"/>
      <c r="CD45" s="178"/>
      <c r="CE45" s="178"/>
      <c r="CF45" s="178"/>
      <c r="CG45" s="180"/>
      <c r="CH45" s="180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181">
        <v>36</v>
      </c>
      <c r="CA46" s="177">
        <v>0.36458333333333298</v>
      </c>
      <c r="CB46" s="178"/>
      <c r="CC46" s="178"/>
      <c r="CD46" s="178"/>
      <c r="CE46" s="178"/>
      <c r="CF46" s="178"/>
      <c r="CG46" s="180"/>
      <c r="CH46" s="180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>
        <v>3.5</v>
      </c>
      <c r="V47" s="46">
        <v>3.5</v>
      </c>
      <c r="W47" s="46">
        <v>3.5</v>
      </c>
      <c r="X47" s="46">
        <v>3.5</v>
      </c>
      <c r="Y47" s="46">
        <v>3.5</v>
      </c>
      <c r="Z47" s="46">
        <v>3.5</v>
      </c>
      <c r="AA47" s="46">
        <v>3.5</v>
      </c>
      <c r="AB47" s="46">
        <v>3.5</v>
      </c>
      <c r="AC47" s="46">
        <v>3.5</v>
      </c>
      <c r="AD47" s="46">
        <v>3.5</v>
      </c>
      <c r="AE47" s="46">
        <v>3.5</v>
      </c>
      <c r="AF47" s="46">
        <v>3.5</v>
      </c>
      <c r="AG47" s="63">
        <v>22</v>
      </c>
      <c r="AH47" s="48">
        <f t="shared" si="8"/>
        <v>3.5</v>
      </c>
      <c r="AI47" s="49">
        <f t="shared" si="9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181">
        <v>37</v>
      </c>
      <c r="CA47" s="177">
        <v>0.375</v>
      </c>
      <c r="CB47" s="178"/>
      <c r="CC47" s="178"/>
      <c r="CD47" s="178"/>
      <c r="CE47" s="178"/>
      <c r="CF47" s="178"/>
      <c r="CG47" s="180"/>
      <c r="CH47" s="180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>
        <v>5</v>
      </c>
      <c r="V48" s="46">
        <v>5</v>
      </c>
      <c r="W48" s="46">
        <v>5</v>
      </c>
      <c r="X48" s="46">
        <v>5</v>
      </c>
      <c r="Y48" s="46">
        <v>5</v>
      </c>
      <c r="Z48" s="46">
        <v>5</v>
      </c>
      <c r="AA48" s="46">
        <v>5</v>
      </c>
      <c r="AB48" s="46">
        <v>5</v>
      </c>
      <c r="AC48" s="46">
        <v>5</v>
      </c>
      <c r="AD48" s="46">
        <v>5</v>
      </c>
      <c r="AE48" s="46">
        <v>5</v>
      </c>
      <c r="AF48" s="46">
        <v>5</v>
      </c>
      <c r="AG48" s="60">
        <v>11.88</v>
      </c>
      <c r="AH48" s="48">
        <f t="shared" si="8"/>
        <v>5</v>
      </c>
      <c r="AI48" s="49">
        <f t="shared" si="9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181">
        <v>38</v>
      </c>
      <c r="CA48" s="177">
        <v>0.38541666666666702</v>
      </c>
      <c r="CB48" s="178"/>
      <c r="CC48" s="178"/>
      <c r="CD48" s="178"/>
      <c r="CE48" s="178"/>
      <c r="CF48" s="178"/>
      <c r="CG48" s="180"/>
      <c r="CH48" s="180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5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181">
        <v>39</v>
      </c>
      <c r="CA49" s="177">
        <v>0.39583333333333298</v>
      </c>
      <c r="CB49" s="178"/>
      <c r="CC49" s="178"/>
      <c r="CD49" s="178"/>
      <c r="CE49" s="178"/>
      <c r="CF49" s="178"/>
      <c r="CG49" s="180"/>
      <c r="CH49" s="180"/>
      <c r="CI49" s="24"/>
      <c r="CJ49" s="24"/>
    </row>
    <row r="50" spans="1:88" ht="14.25" customHeight="1" x14ac:dyDescent="0.25">
      <c r="A50" s="64" t="s">
        <v>67</v>
      </c>
      <c r="B50" s="46">
        <v>2.4500000000000002</v>
      </c>
      <c r="C50" s="46">
        <v>2.4500000000000002</v>
      </c>
      <c r="D50" s="46">
        <v>2.4500000000000002</v>
      </c>
      <c r="E50" s="46">
        <v>2.4500000000000002</v>
      </c>
      <c r="F50" s="46">
        <v>2.4500000000000002</v>
      </c>
      <c r="G50" s="46">
        <v>2.4500000000000002</v>
      </c>
      <c r="H50" s="46">
        <v>2.4500000000000002</v>
      </c>
      <c r="I50" s="46">
        <v>2.4500000000000002</v>
      </c>
      <c r="J50" s="46">
        <v>2.4500000000000002</v>
      </c>
      <c r="K50" s="46">
        <v>2.4500000000000002</v>
      </c>
      <c r="L50" s="46">
        <v>2.4500000000000002</v>
      </c>
      <c r="M50" s="46">
        <v>2.4500000000000002</v>
      </c>
      <c r="N50" s="46">
        <v>2.4500000000000002</v>
      </c>
      <c r="O50" s="46">
        <v>2.4500000000000002</v>
      </c>
      <c r="P50" s="46">
        <v>2.4500000000000002</v>
      </c>
      <c r="Q50" s="46">
        <v>2.4500000000000002</v>
      </c>
      <c r="R50" s="46">
        <v>2.4500000000000002</v>
      </c>
      <c r="S50" s="46">
        <v>2.4500000000000002</v>
      </c>
      <c r="T50" s="46">
        <v>2.4500000000000002</v>
      </c>
      <c r="U50" s="46">
        <v>2.4500000000000002</v>
      </c>
      <c r="V50" s="46">
        <v>2.4500000000000002</v>
      </c>
      <c r="W50" s="46">
        <v>2.4500000000000002</v>
      </c>
      <c r="X50" s="46">
        <v>2.4500000000000002</v>
      </c>
      <c r="Y50" s="46">
        <v>2.4500000000000002</v>
      </c>
      <c r="Z50" s="46">
        <v>2.4500000000000002</v>
      </c>
      <c r="AA50" s="46">
        <v>2.4500000000000002</v>
      </c>
      <c r="AB50" s="46">
        <v>2.4500000000000002</v>
      </c>
      <c r="AC50" s="46">
        <v>2.4500000000000002</v>
      </c>
      <c r="AD50" s="46">
        <v>2.4500000000000002</v>
      </c>
      <c r="AE50" s="46">
        <v>2.4500000000000002</v>
      </c>
      <c r="AF50" s="46">
        <v>2.4500000000000002</v>
      </c>
      <c r="AG50" s="65">
        <v>11</v>
      </c>
      <c r="AH50" s="48">
        <f t="shared" si="8"/>
        <v>2.4500000000000002</v>
      </c>
      <c r="AI50" s="49">
        <f t="shared" si="9"/>
        <v>2.4500000000000002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181">
        <v>40</v>
      </c>
      <c r="CA50" s="177">
        <v>0.40625</v>
      </c>
      <c r="CB50" s="178"/>
      <c r="CC50" s="178"/>
      <c r="CD50" s="178"/>
      <c r="CE50" s="178"/>
      <c r="CF50" s="178"/>
      <c r="CG50" s="180"/>
      <c r="CH50" s="180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65">
        <v>11</v>
      </c>
      <c r="AH51" s="48">
        <f t="shared" si="8"/>
        <v>3</v>
      </c>
      <c r="AI51" s="49">
        <f t="shared" si="9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181">
        <v>41</v>
      </c>
      <c r="CA51" s="177">
        <v>0.41666666666666702</v>
      </c>
      <c r="CB51" s="178"/>
      <c r="CC51" s="178"/>
      <c r="CD51" s="178"/>
      <c r="CE51" s="178"/>
      <c r="CF51" s="178"/>
      <c r="CG51" s="180"/>
      <c r="CH51" s="180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5">
        <v>10</v>
      </c>
      <c r="AH52" s="48">
        <f t="shared" si="8"/>
        <v>4</v>
      </c>
      <c r="AI52" s="49">
        <f t="shared" si="9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181">
        <v>42</v>
      </c>
      <c r="CA52" s="177">
        <v>0.42708333333333298</v>
      </c>
      <c r="CB52" s="178"/>
      <c r="CC52" s="178"/>
      <c r="CD52" s="178"/>
      <c r="CE52" s="178"/>
      <c r="CF52" s="178"/>
      <c r="CG52" s="180"/>
      <c r="CH52" s="180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>
        <v>4.5</v>
      </c>
      <c r="V53" s="46">
        <v>4.5</v>
      </c>
      <c r="W53" s="46">
        <v>4.5</v>
      </c>
      <c r="X53" s="46">
        <v>4.5</v>
      </c>
      <c r="Y53" s="46">
        <v>4.5</v>
      </c>
      <c r="Z53" s="46">
        <v>4.5</v>
      </c>
      <c r="AA53" s="46">
        <v>4.5</v>
      </c>
      <c r="AB53" s="46">
        <v>4.5</v>
      </c>
      <c r="AC53" s="46">
        <v>4.5</v>
      </c>
      <c r="AD53" s="46">
        <v>4.5</v>
      </c>
      <c r="AE53" s="46">
        <v>4.5</v>
      </c>
      <c r="AF53" s="46">
        <v>4.5</v>
      </c>
      <c r="AG53" s="65">
        <v>10</v>
      </c>
      <c r="AH53" s="48">
        <f t="shared" si="8"/>
        <v>4.5</v>
      </c>
      <c r="AI53" s="49">
        <f t="shared" si="9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181">
        <v>43</v>
      </c>
      <c r="CA53" s="177">
        <v>0.4375</v>
      </c>
      <c r="CB53" s="178"/>
      <c r="CC53" s="178"/>
      <c r="CD53" s="178"/>
      <c r="CE53" s="178"/>
      <c r="CF53" s="178"/>
      <c r="CG53" s="180"/>
      <c r="CH53" s="180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5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181">
        <v>44</v>
      </c>
      <c r="CA54" s="177">
        <v>0.44791666666666702</v>
      </c>
      <c r="CB54" s="178"/>
      <c r="CC54" s="178"/>
      <c r="CD54" s="178"/>
      <c r="CE54" s="178"/>
      <c r="CF54" s="178"/>
      <c r="CG54" s="180"/>
      <c r="CH54" s="180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5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181">
        <v>45</v>
      </c>
      <c r="CA55" s="177">
        <v>0.45833333333333298</v>
      </c>
      <c r="CB55" s="178"/>
      <c r="CC55" s="178"/>
      <c r="CD55" s="178"/>
      <c r="CE55" s="178"/>
      <c r="CF55" s="178"/>
      <c r="CG55" s="180"/>
      <c r="CH55" s="180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>
        <v>150</v>
      </c>
      <c r="W56" s="67">
        <v>150</v>
      </c>
      <c r="X56" s="67">
        <v>150</v>
      </c>
      <c r="Y56" s="67">
        <v>150</v>
      </c>
      <c r="Z56" s="67">
        <v>150</v>
      </c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8"/>
        <v>150</v>
      </c>
      <c r="AI56" s="49">
        <f t="shared" si="9"/>
        <v>150</v>
      </c>
      <c r="AK56" s="51"/>
      <c r="BZ56" s="181">
        <v>46</v>
      </c>
      <c r="CA56" s="177">
        <v>0.46875</v>
      </c>
      <c r="CB56" s="182"/>
      <c r="CC56" s="182"/>
      <c r="CD56" s="182"/>
      <c r="CE56" s="182"/>
      <c r="CF56" s="182"/>
      <c r="CG56" s="183"/>
      <c r="CH56" s="183"/>
    </row>
    <row r="57" spans="1:88" ht="15.75" thickBot="1" x14ac:dyDescent="0.3">
      <c r="A57" s="68" t="s">
        <v>74</v>
      </c>
      <c r="B57" s="67">
        <v>15.6</v>
      </c>
      <c r="C57" s="67">
        <v>15.6</v>
      </c>
      <c r="D57" s="67">
        <v>21.6</v>
      </c>
      <c r="E57" s="67">
        <v>21.6</v>
      </c>
      <c r="F57" s="67">
        <v>21.6</v>
      </c>
      <c r="G57" s="67">
        <v>21.6</v>
      </c>
      <c r="H57" s="67">
        <v>18.399999999999999</v>
      </c>
      <c r="I57" s="67">
        <v>18.399999999999999</v>
      </c>
      <c r="J57" s="67">
        <v>18.399999999999999</v>
      </c>
      <c r="K57" s="67">
        <v>18.399999999999999</v>
      </c>
      <c r="L57" s="67">
        <v>18.399999999999999</v>
      </c>
      <c r="M57" s="53">
        <f>12.4+5.5</f>
        <v>17.899999999999999</v>
      </c>
      <c r="N57" s="53">
        <f>12.2+5.6</f>
        <v>17.799999999999997</v>
      </c>
      <c r="O57" s="53">
        <f>12.7+5.8</f>
        <v>18.5</v>
      </c>
      <c r="P57" s="53">
        <f>13.3+6.2</f>
        <v>19.5</v>
      </c>
      <c r="Q57" s="53">
        <f>12.9+6.4</f>
        <v>19.3</v>
      </c>
      <c r="R57" s="53">
        <v>20.3</v>
      </c>
      <c r="S57" s="53">
        <v>20.3</v>
      </c>
      <c r="T57" s="53">
        <v>20.3</v>
      </c>
      <c r="U57" s="53">
        <v>20.3</v>
      </c>
      <c r="V57" s="53">
        <v>20.3</v>
      </c>
      <c r="W57" s="53">
        <v>20.3</v>
      </c>
      <c r="X57" s="53">
        <v>20.3</v>
      </c>
      <c r="Y57" s="53">
        <v>20.3</v>
      </c>
      <c r="Z57" s="67">
        <v>20.3</v>
      </c>
      <c r="AA57" s="67">
        <v>20.3</v>
      </c>
      <c r="AB57" s="67">
        <v>14.3</v>
      </c>
      <c r="AC57" s="67">
        <v>14.3</v>
      </c>
      <c r="AD57" s="67">
        <v>14.3</v>
      </c>
      <c r="AE57" s="67">
        <v>14.3</v>
      </c>
      <c r="AF57" s="67">
        <v>14.3</v>
      </c>
      <c r="AG57" s="65">
        <v>240</v>
      </c>
      <c r="AH57" s="48">
        <f t="shared" si="8"/>
        <v>21.6</v>
      </c>
      <c r="AI57" s="49">
        <f t="shared" si="9"/>
        <v>14.3</v>
      </c>
      <c r="AK57" s="51"/>
      <c r="BZ57" s="181">
        <v>47</v>
      </c>
      <c r="CA57" s="177">
        <v>0.47916666666666702</v>
      </c>
      <c r="CB57" s="182"/>
      <c r="CC57" s="182"/>
      <c r="CD57" s="182"/>
      <c r="CE57" s="182"/>
      <c r="CF57" s="182"/>
      <c r="CG57" s="183"/>
      <c r="CH57" s="183"/>
    </row>
    <row r="58" spans="1:88" ht="15.75" thickBot="1" x14ac:dyDescent="0.3">
      <c r="A58" s="69" t="s">
        <v>75</v>
      </c>
      <c r="B58" s="70">
        <f t="shared" ref="B58:C58" si="22">SUM(B11:B56)</f>
        <v>459.45</v>
      </c>
      <c r="C58" s="70">
        <f t="shared" si="22"/>
        <v>459.45</v>
      </c>
      <c r="D58" s="70">
        <f t="shared" ref="D58:AF58" si="23">SUM(D11:D56)</f>
        <v>464.74999999999994</v>
      </c>
      <c r="E58" s="70">
        <f t="shared" si="23"/>
        <v>464.74999999999994</v>
      </c>
      <c r="F58" s="70">
        <f t="shared" si="23"/>
        <v>464.74999999999994</v>
      </c>
      <c r="G58" s="70">
        <f t="shared" si="23"/>
        <v>464.74999999999994</v>
      </c>
      <c r="H58" s="70">
        <f t="shared" si="23"/>
        <v>462.95</v>
      </c>
      <c r="I58" s="70">
        <f t="shared" si="23"/>
        <v>462.95</v>
      </c>
      <c r="J58" s="70">
        <f t="shared" si="23"/>
        <v>460.45</v>
      </c>
      <c r="K58" s="70">
        <f t="shared" si="23"/>
        <v>458.95</v>
      </c>
      <c r="L58" s="70">
        <f t="shared" si="23"/>
        <v>458.95</v>
      </c>
      <c r="M58" s="70">
        <f t="shared" si="23"/>
        <v>459.45</v>
      </c>
      <c r="N58" s="70">
        <f t="shared" si="23"/>
        <v>459.45</v>
      </c>
      <c r="O58" s="70">
        <f t="shared" si="23"/>
        <v>458.84999999999997</v>
      </c>
      <c r="P58" s="70">
        <f t="shared" si="23"/>
        <v>458.95</v>
      </c>
      <c r="Q58" s="70">
        <f t="shared" si="23"/>
        <v>458.95</v>
      </c>
      <c r="R58" s="70">
        <f t="shared" si="23"/>
        <v>458.95</v>
      </c>
      <c r="S58" s="70">
        <f t="shared" si="23"/>
        <v>458.95</v>
      </c>
      <c r="T58" s="70">
        <f t="shared" si="23"/>
        <v>458.95</v>
      </c>
      <c r="U58" s="70">
        <f t="shared" si="23"/>
        <v>458.95</v>
      </c>
      <c r="V58" s="70">
        <f t="shared" si="23"/>
        <v>458.95</v>
      </c>
      <c r="W58" s="70">
        <f t="shared" si="23"/>
        <v>458.95</v>
      </c>
      <c r="X58" s="70">
        <f t="shared" si="23"/>
        <v>458.95</v>
      </c>
      <c r="Y58" s="70">
        <f t="shared" si="23"/>
        <v>458.95</v>
      </c>
      <c r="Z58" s="70">
        <f t="shared" si="23"/>
        <v>458.95</v>
      </c>
      <c r="AA58" s="70">
        <f t="shared" si="23"/>
        <v>458.95</v>
      </c>
      <c r="AB58" s="70">
        <f t="shared" si="23"/>
        <v>461.34999999999997</v>
      </c>
      <c r="AC58" s="70">
        <f t="shared" si="23"/>
        <v>461.34999999999997</v>
      </c>
      <c r="AD58" s="70">
        <f t="shared" si="23"/>
        <v>461.34999999999997</v>
      </c>
      <c r="AE58" s="70">
        <f t="shared" si="23"/>
        <v>461.34999999999997</v>
      </c>
      <c r="AF58" s="70">
        <f t="shared" si="23"/>
        <v>461.34999999999997</v>
      </c>
      <c r="AG58" s="71">
        <f>SUM(AG14:AG56)</f>
        <v>1042.4000000000001</v>
      </c>
      <c r="AH58" s="48">
        <f t="shared" si="8"/>
        <v>464.74999999999994</v>
      </c>
      <c r="AI58" s="49">
        <f t="shared" si="9"/>
        <v>458.84999999999997</v>
      </c>
      <c r="AK58" s="51"/>
      <c r="BZ58" s="181">
        <v>48</v>
      </c>
      <c r="CA58" s="177">
        <v>0.48958333333333298</v>
      </c>
      <c r="CB58" s="182"/>
      <c r="CC58" s="182"/>
      <c r="CD58" s="182"/>
      <c r="CE58" s="182"/>
      <c r="CF58" s="182"/>
      <c r="CG58" s="183"/>
      <c r="CH58" s="183"/>
    </row>
    <row r="59" spans="1:88" x14ac:dyDescent="0.25">
      <c r="A59" s="72" t="s">
        <v>76</v>
      </c>
      <c r="B59" s="46">
        <v>0</v>
      </c>
      <c r="C59" s="46">
        <v>0</v>
      </c>
      <c r="D59" s="46">
        <v>0</v>
      </c>
      <c r="E59" s="46">
        <v>0</v>
      </c>
      <c r="F59" s="46">
        <v>0</v>
      </c>
      <c r="G59" s="46">
        <v>0</v>
      </c>
      <c r="H59" s="46">
        <v>0</v>
      </c>
      <c r="I59" s="46">
        <v>0</v>
      </c>
      <c r="J59" s="46">
        <v>30</v>
      </c>
      <c r="K59" s="46">
        <v>60</v>
      </c>
      <c r="L59" s="46">
        <v>70</v>
      </c>
      <c r="M59" s="46">
        <v>305</v>
      </c>
      <c r="N59" s="73">
        <v>30</v>
      </c>
      <c r="O59" s="73">
        <v>35</v>
      </c>
      <c r="P59" s="73">
        <v>55</v>
      </c>
      <c r="Q59" s="73">
        <v>55</v>
      </c>
      <c r="R59" s="73">
        <v>60</v>
      </c>
      <c r="S59" s="73">
        <v>40</v>
      </c>
      <c r="T59" s="73">
        <v>55</v>
      </c>
      <c r="U59" s="73">
        <v>40</v>
      </c>
      <c r="V59" s="73">
        <v>50</v>
      </c>
      <c r="W59" s="73">
        <v>15</v>
      </c>
      <c r="X59" s="73">
        <v>30</v>
      </c>
      <c r="Y59" s="73">
        <v>230</v>
      </c>
      <c r="Z59" s="46">
        <v>340</v>
      </c>
      <c r="AA59" s="46">
        <v>0</v>
      </c>
      <c r="AB59" s="46">
        <v>0</v>
      </c>
      <c r="AC59" s="46">
        <v>0</v>
      </c>
      <c r="AD59" s="46">
        <v>0</v>
      </c>
      <c r="AE59" s="46">
        <v>60</v>
      </c>
      <c r="AF59" s="46">
        <v>40</v>
      </c>
      <c r="AG59" s="60">
        <v>456</v>
      </c>
      <c r="AH59" s="48">
        <f t="shared" si="8"/>
        <v>340</v>
      </c>
      <c r="AI59" s="49">
        <f t="shared" si="9"/>
        <v>0</v>
      </c>
      <c r="AK59" s="51"/>
      <c r="BZ59" s="181">
        <v>49</v>
      </c>
      <c r="CA59" s="177">
        <v>0.5</v>
      </c>
      <c r="CB59" s="182"/>
      <c r="CC59" s="182"/>
      <c r="CD59" s="182"/>
      <c r="CE59" s="182"/>
      <c r="CF59" s="182"/>
      <c r="CG59" s="183"/>
      <c r="CH59" s="183"/>
    </row>
    <row r="60" spans="1:88" x14ac:dyDescent="0.25">
      <c r="A60" s="74" t="s">
        <v>77</v>
      </c>
      <c r="B60" s="75">
        <v>27</v>
      </c>
      <c r="C60" s="75">
        <v>27</v>
      </c>
      <c r="D60" s="75">
        <v>27</v>
      </c>
      <c r="E60" s="75">
        <v>27</v>
      </c>
      <c r="F60" s="75">
        <v>27</v>
      </c>
      <c r="G60" s="75">
        <v>27</v>
      </c>
      <c r="H60" s="75">
        <v>27</v>
      </c>
      <c r="I60" s="75">
        <v>27</v>
      </c>
      <c r="J60" s="75">
        <v>27</v>
      </c>
      <c r="K60" s="75">
        <v>27</v>
      </c>
      <c r="L60" s="75">
        <v>27</v>
      </c>
      <c r="M60" s="75">
        <v>27</v>
      </c>
      <c r="N60" s="75">
        <v>27</v>
      </c>
      <c r="O60" s="75">
        <v>27</v>
      </c>
      <c r="P60" s="75">
        <v>27</v>
      </c>
      <c r="Q60" s="75">
        <v>27</v>
      </c>
      <c r="R60" s="75">
        <v>27</v>
      </c>
      <c r="S60" s="75">
        <v>27</v>
      </c>
      <c r="T60" s="75">
        <v>27</v>
      </c>
      <c r="U60" s="75">
        <v>27</v>
      </c>
      <c r="V60" s="75">
        <v>27</v>
      </c>
      <c r="W60" s="75">
        <v>27</v>
      </c>
      <c r="X60" s="75">
        <v>27</v>
      </c>
      <c r="Y60" s="75">
        <v>27</v>
      </c>
      <c r="Z60" s="75">
        <v>27</v>
      </c>
      <c r="AA60" s="75">
        <v>27</v>
      </c>
      <c r="AB60" s="75">
        <v>27</v>
      </c>
      <c r="AC60" s="75">
        <v>27</v>
      </c>
      <c r="AD60" s="75">
        <v>27</v>
      </c>
      <c r="AE60" s="75">
        <v>27</v>
      </c>
      <c r="AF60" s="75">
        <v>27</v>
      </c>
      <c r="AG60" s="65">
        <v>60</v>
      </c>
      <c r="AH60" s="48">
        <f t="shared" si="8"/>
        <v>27</v>
      </c>
      <c r="AI60" s="49">
        <f t="shared" si="9"/>
        <v>27</v>
      </c>
      <c r="AK60" s="51"/>
      <c r="BZ60" s="181">
        <v>50</v>
      </c>
      <c r="CA60" s="177">
        <v>0.51041666666666696</v>
      </c>
      <c r="CB60" s="182"/>
      <c r="CC60" s="182"/>
      <c r="CD60" s="182"/>
      <c r="CE60" s="182"/>
      <c r="CF60" s="182"/>
      <c r="CG60" s="183"/>
      <c r="CH60" s="183"/>
    </row>
    <row r="61" spans="1:88" ht="15.75" thickBot="1" x14ac:dyDescent="0.3">
      <c r="A61" s="76" t="s">
        <v>78</v>
      </c>
      <c r="B61" s="77">
        <v>9.1999999999999993</v>
      </c>
      <c r="C61" s="77">
        <v>9.1999999999999993</v>
      </c>
      <c r="D61" s="77">
        <v>9.1999999999999993</v>
      </c>
      <c r="E61" s="77">
        <v>9.1999999999999993</v>
      </c>
      <c r="F61" s="77">
        <v>9.1999999999999993</v>
      </c>
      <c r="G61" s="77">
        <v>9.1999999999999993</v>
      </c>
      <c r="H61" s="77">
        <v>9.1999999999999993</v>
      </c>
      <c r="I61" s="77">
        <v>9.1999999999999993</v>
      </c>
      <c r="J61" s="77">
        <v>9.1999999999999993</v>
      </c>
      <c r="K61" s="77">
        <v>9.1999999999999993</v>
      </c>
      <c r="L61" s="77">
        <v>9.1999999999999993</v>
      </c>
      <c r="M61" s="77">
        <v>9.1999999999999993</v>
      </c>
      <c r="N61" s="77">
        <v>9.1999999999999993</v>
      </c>
      <c r="O61" s="77">
        <v>11.1</v>
      </c>
      <c r="P61" s="77">
        <v>9</v>
      </c>
      <c r="Q61" s="77">
        <v>9</v>
      </c>
      <c r="R61" s="77">
        <v>9.1</v>
      </c>
      <c r="S61" s="77">
        <v>9.1</v>
      </c>
      <c r="T61" s="77">
        <v>9.1</v>
      </c>
      <c r="U61" s="77">
        <v>9.1</v>
      </c>
      <c r="V61" s="77">
        <v>9.1</v>
      </c>
      <c r="W61" s="77">
        <v>9.1</v>
      </c>
      <c r="X61" s="77">
        <v>9.1</v>
      </c>
      <c r="Y61" s="77">
        <v>10</v>
      </c>
      <c r="Z61" s="77">
        <v>10</v>
      </c>
      <c r="AA61" s="77">
        <v>10</v>
      </c>
      <c r="AB61" s="77">
        <v>10</v>
      </c>
      <c r="AC61" s="77">
        <v>10</v>
      </c>
      <c r="AD61" s="77">
        <v>10</v>
      </c>
      <c r="AE61" s="77">
        <v>10</v>
      </c>
      <c r="AF61" s="77">
        <v>10</v>
      </c>
      <c r="AG61" s="78">
        <v>22.1</v>
      </c>
      <c r="AH61" s="48">
        <f t="shared" si="8"/>
        <v>11.1</v>
      </c>
      <c r="AI61" s="49">
        <f t="shared" si="9"/>
        <v>9</v>
      </c>
      <c r="AK61" s="51"/>
      <c r="BZ61" s="181">
        <v>51</v>
      </c>
      <c r="CA61" s="177">
        <v>0.52083333333333304</v>
      </c>
      <c r="CB61" s="182"/>
      <c r="CC61" s="182"/>
      <c r="CD61" s="182"/>
      <c r="CE61" s="182"/>
      <c r="CF61" s="182"/>
      <c r="CG61" s="183"/>
      <c r="CH61" s="183"/>
    </row>
    <row r="62" spans="1:88" ht="15.75" thickBot="1" x14ac:dyDescent="0.3">
      <c r="A62" s="79" t="s">
        <v>79</v>
      </c>
      <c r="B62" s="70">
        <f t="shared" ref="B62:AG62" si="24">SUM(B59:B61)</f>
        <v>36.200000000000003</v>
      </c>
      <c r="C62" s="70">
        <f t="shared" si="24"/>
        <v>36.200000000000003</v>
      </c>
      <c r="D62" s="70">
        <f t="shared" si="24"/>
        <v>36.200000000000003</v>
      </c>
      <c r="E62" s="70">
        <f t="shared" si="24"/>
        <v>36.200000000000003</v>
      </c>
      <c r="F62" s="70">
        <f t="shared" si="24"/>
        <v>36.200000000000003</v>
      </c>
      <c r="G62" s="70">
        <f t="shared" si="24"/>
        <v>36.200000000000003</v>
      </c>
      <c r="H62" s="70">
        <f t="shared" si="24"/>
        <v>36.200000000000003</v>
      </c>
      <c r="I62" s="70">
        <f t="shared" si="24"/>
        <v>36.200000000000003</v>
      </c>
      <c r="J62" s="70">
        <f t="shared" si="24"/>
        <v>66.2</v>
      </c>
      <c r="K62" s="70">
        <f t="shared" si="24"/>
        <v>96.2</v>
      </c>
      <c r="L62" s="70">
        <f t="shared" si="24"/>
        <v>106.2</v>
      </c>
      <c r="M62" s="70">
        <f t="shared" si="24"/>
        <v>341.2</v>
      </c>
      <c r="N62" s="70">
        <f t="shared" si="24"/>
        <v>66.2</v>
      </c>
      <c r="O62" s="70">
        <f t="shared" si="24"/>
        <v>73.099999999999994</v>
      </c>
      <c r="P62" s="70">
        <f t="shared" si="24"/>
        <v>91</v>
      </c>
      <c r="Q62" s="70">
        <f t="shared" si="24"/>
        <v>91</v>
      </c>
      <c r="R62" s="70">
        <f t="shared" si="24"/>
        <v>96.1</v>
      </c>
      <c r="S62" s="70">
        <f t="shared" si="24"/>
        <v>76.099999999999994</v>
      </c>
      <c r="T62" s="70">
        <f t="shared" si="24"/>
        <v>91.1</v>
      </c>
      <c r="U62" s="70">
        <f t="shared" si="24"/>
        <v>76.099999999999994</v>
      </c>
      <c r="V62" s="70">
        <f t="shared" si="24"/>
        <v>86.1</v>
      </c>
      <c r="W62" s="70">
        <f t="shared" si="24"/>
        <v>51.1</v>
      </c>
      <c r="X62" s="70">
        <f t="shared" si="24"/>
        <v>66.099999999999994</v>
      </c>
      <c r="Y62" s="70">
        <f t="shared" si="24"/>
        <v>267</v>
      </c>
      <c r="Z62" s="70">
        <f t="shared" si="24"/>
        <v>377</v>
      </c>
      <c r="AA62" s="70">
        <f t="shared" si="24"/>
        <v>37</v>
      </c>
      <c r="AB62" s="70">
        <f t="shared" si="24"/>
        <v>37</v>
      </c>
      <c r="AC62" s="70">
        <f t="shared" si="24"/>
        <v>37</v>
      </c>
      <c r="AD62" s="70">
        <f t="shared" si="24"/>
        <v>37</v>
      </c>
      <c r="AE62" s="70">
        <f t="shared" si="24"/>
        <v>97</v>
      </c>
      <c r="AF62" s="70">
        <f t="shared" si="24"/>
        <v>77</v>
      </c>
      <c r="AG62" s="71">
        <f t="shared" si="24"/>
        <v>538.1</v>
      </c>
      <c r="AH62" s="48">
        <f t="shared" si="8"/>
        <v>377</v>
      </c>
      <c r="AI62" s="49">
        <f t="shared" si="9"/>
        <v>36.200000000000003</v>
      </c>
      <c r="AK62" s="51"/>
      <c r="BZ62" s="181">
        <v>52</v>
      </c>
      <c r="CA62" s="177">
        <v>0.53125</v>
      </c>
      <c r="CB62" s="182"/>
      <c r="CC62" s="182"/>
      <c r="CD62" s="182"/>
      <c r="CE62" s="182"/>
      <c r="CF62" s="182"/>
      <c r="CG62" s="183"/>
      <c r="CH62" s="183"/>
    </row>
    <row r="63" spans="1:88" x14ac:dyDescent="0.25">
      <c r="A63" s="45" t="s">
        <v>80</v>
      </c>
      <c r="B63" s="46">
        <v>0</v>
      </c>
      <c r="C63" s="46">
        <v>0</v>
      </c>
      <c r="D63" s="46">
        <v>0</v>
      </c>
      <c r="E63" s="46">
        <v>0</v>
      </c>
      <c r="F63" s="46">
        <v>0</v>
      </c>
      <c r="G63" s="46">
        <v>0</v>
      </c>
      <c r="H63" s="46">
        <v>30</v>
      </c>
      <c r="I63" s="46">
        <v>68.099999999999994</v>
      </c>
      <c r="J63" s="46">
        <v>97.4</v>
      </c>
      <c r="K63" s="46">
        <v>62.3</v>
      </c>
      <c r="L63" s="46">
        <v>62</v>
      </c>
      <c r="M63" s="46">
        <v>71</v>
      </c>
      <c r="N63" s="46">
        <v>62.2</v>
      </c>
      <c r="O63" s="46">
        <v>62</v>
      </c>
      <c r="P63" s="46">
        <v>61.5</v>
      </c>
      <c r="Q63" s="46">
        <v>50</v>
      </c>
      <c r="R63" s="46">
        <v>40.200000000000003</v>
      </c>
      <c r="S63" s="46">
        <v>48.8</v>
      </c>
      <c r="T63" s="46">
        <v>48.8</v>
      </c>
      <c r="U63" s="46">
        <v>67.2</v>
      </c>
      <c r="V63" s="46">
        <v>61.9</v>
      </c>
      <c r="W63" s="46">
        <v>88.2</v>
      </c>
      <c r="X63" s="46">
        <v>111</v>
      </c>
      <c r="Y63" s="46">
        <v>133.80000000000001</v>
      </c>
      <c r="Z63" s="46">
        <v>138</v>
      </c>
      <c r="AA63" s="46">
        <v>133.80000000000001</v>
      </c>
      <c r="AB63" s="46">
        <v>98</v>
      </c>
      <c r="AC63" s="46">
        <v>61</v>
      </c>
      <c r="AD63" s="46">
        <v>30.5</v>
      </c>
      <c r="AE63" s="46">
        <v>30.5</v>
      </c>
      <c r="AF63" s="46">
        <v>35.5</v>
      </c>
      <c r="AG63" s="60">
        <v>144</v>
      </c>
      <c r="AH63" s="48">
        <f t="shared" si="8"/>
        <v>138</v>
      </c>
      <c r="AI63" s="49">
        <f t="shared" si="9"/>
        <v>0</v>
      </c>
      <c r="AK63" s="51"/>
      <c r="BZ63" s="181">
        <v>53</v>
      </c>
      <c r="CA63" s="177">
        <v>0.54166666666666696</v>
      </c>
      <c r="CB63" s="182"/>
      <c r="CC63" s="182"/>
      <c r="CD63" s="182"/>
      <c r="CE63" s="182"/>
      <c r="CF63" s="182"/>
      <c r="CG63" s="183">
        <v>10</v>
      </c>
      <c r="CH63" s="183">
        <v>5</v>
      </c>
    </row>
    <row r="64" spans="1:88" x14ac:dyDescent="0.25">
      <c r="A64" s="64" t="s">
        <v>81</v>
      </c>
      <c r="B64" s="75">
        <v>0</v>
      </c>
      <c r="C64" s="75">
        <v>0</v>
      </c>
      <c r="D64" s="75">
        <v>0</v>
      </c>
      <c r="E64" s="75">
        <v>0</v>
      </c>
      <c r="F64" s="75">
        <v>0</v>
      </c>
      <c r="G64" s="75">
        <v>0</v>
      </c>
      <c r="H64" s="75">
        <v>24</v>
      </c>
      <c r="I64" s="75">
        <v>34.4</v>
      </c>
      <c r="J64" s="75">
        <v>68</v>
      </c>
      <c r="K64" s="75">
        <v>46.6</v>
      </c>
      <c r="L64" s="75">
        <v>47.6</v>
      </c>
      <c r="M64" s="75">
        <v>60</v>
      </c>
      <c r="N64" s="75">
        <v>59.7</v>
      </c>
      <c r="O64" s="75">
        <v>49.4</v>
      </c>
      <c r="P64" s="75">
        <v>49.5</v>
      </c>
      <c r="Q64" s="75">
        <v>49.3</v>
      </c>
      <c r="R64" s="75">
        <v>29.6</v>
      </c>
      <c r="S64" s="75">
        <v>23.4</v>
      </c>
      <c r="T64" s="75">
        <v>23.4</v>
      </c>
      <c r="U64" s="75">
        <v>35.299999999999997</v>
      </c>
      <c r="V64" s="75">
        <v>0</v>
      </c>
      <c r="W64" s="75">
        <v>0</v>
      </c>
      <c r="X64" s="75">
        <v>0</v>
      </c>
      <c r="Y64" s="75">
        <v>23.6</v>
      </c>
      <c r="Z64" s="46">
        <v>34.799999999999997</v>
      </c>
      <c r="AA64" s="46">
        <v>47.4</v>
      </c>
      <c r="AB64" s="46">
        <v>47.8</v>
      </c>
      <c r="AC64" s="46">
        <v>25.4</v>
      </c>
      <c r="AD64" s="46">
        <v>25.9</v>
      </c>
      <c r="AE64" s="46">
        <v>0</v>
      </c>
      <c r="AF64" s="46">
        <v>0</v>
      </c>
      <c r="AG64" s="65">
        <v>70</v>
      </c>
      <c r="AH64" s="48">
        <f t="shared" si="8"/>
        <v>68</v>
      </c>
      <c r="AI64" s="49">
        <f t="shared" si="9"/>
        <v>0</v>
      </c>
      <c r="AK64" s="51"/>
      <c r="BZ64" s="181">
        <v>54</v>
      </c>
      <c r="CA64" s="177">
        <v>0.55208333333333304</v>
      </c>
      <c r="CB64" s="182"/>
      <c r="CC64" s="182"/>
      <c r="CD64" s="182"/>
      <c r="CE64" s="182"/>
      <c r="CF64" s="182"/>
      <c r="CG64" s="183">
        <v>10</v>
      </c>
      <c r="CH64" s="183">
        <v>5</v>
      </c>
    </row>
    <row r="65" spans="1:86" x14ac:dyDescent="0.25">
      <c r="A65" s="64" t="s">
        <v>82</v>
      </c>
      <c r="B65" s="75">
        <v>0</v>
      </c>
      <c r="C65" s="75">
        <v>0</v>
      </c>
      <c r="D65" s="75">
        <v>0</v>
      </c>
      <c r="E65" s="75">
        <v>0</v>
      </c>
      <c r="F65" s="75">
        <v>0</v>
      </c>
      <c r="G65" s="75">
        <v>0</v>
      </c>
      <c r="H65" s="75">
        <v>17.2</v>
      </c>
      <c r="I65" s="75">
        <v>37</v>
      </c>
      <c r="J65" s="75">
        <v>70</v>
      </c>
      <c r="K65" s="75">
        <v>54.2</v>
      </c>
      <c r="L65" s="75">
        <v>54.2</v>
      </c>
      <c r="M65" s="75">
        <v>54.8</v>
      </c>
      <c r="N65" s="75">
        <v>52.5</v>
      </c>
      <c r="O65" s="75">
        <v>52.1</v>
      </c>
      <c r="P65" s="75">
        <v>52</v>
      </c>
      <c r="Q65" s="75">
        <v>37.799999999999997</v>
      </c>
      <c r="R65" s="75">
        <v>35</v>
      </c>
      <c r="S65" s="75">
        <v>35</v>
      </c>
      <c r="T65" s="75">
        <v>23.4</v>
      </c>
      <c r="U65" s="75">
        <v>23.1</v>
      </c>
      <c r="V65" s="75">
        <v>15.8</v>
      </c>
      <c r="W65" s="75">
        <v>36.799999999999997</v>
      </c>
      <c r="X65" s="75">
        <v>50.6</v>
      </c>
      <c r="Y65" s="75">
        <v>67.8</v>
      </c>
      <c r="Z65" s="46">
        <v>67.5</v>
      </c>
      <c r="AA65" s="46">
        <v>68.400000000000006</v>
      </c>
      <c r="AB65" s="46">
        <v>67.3</v>
      </c>
      <c r="AC65" s="46">
        <v>45.9</v>
      </c>
      <c r="AD65" s="46">
        <v>45.6</v>
      </c>
      <c r="AE65" s="46">
        <v>0</v>
      </c>
      <c r="AF65" s="46">
        <v>18</v>
      </c>
      <c r="AG65" s="65">
        <v>69</v>
      </c>
      <c r="AH65" s="48">
        <f t="shared" si="8"/>
        <v>70</v>
      </c>
      <c r="AI65" s="49">
        <f t="shared" si="9"/>
        <v>0</v>
      </c>
      <c r="AK65" s="51"/>
      <c r="BZ65" s="181">
        <v>55</v>
      </c>
      <c r="CA65" s="177">
        <v>0.5625</v>
      </c>
      <c r="CB65" s="182"/>
      <c r="CC65" s="182"/>
      <c r="CD65" s="182"/>
      <c r="CE65" s="182"/>
      <c r="CF65" s="182"/>
      <c r="CG65" s="183">
        <v>10</v>
      </c>
      <c r="CH65" s="183">
        <v>5</v>
      </c>
    </row>
    <row r="66" spans="1:86" x14ac:dyDescent="0.25">
      <c r="A66" s="64" t="s">
        <v>83</v>
      </c>
      <c r="B66" s="75">
        <v>31.3</v>
      </c>
      <c r="C66" s="75">
        <v>31.3</v>
      </c>
      <c r="D66" s="75">
        <v>35.299999999999997</v>
      </c>
      <c r="E66" s="75">
        <v>35.299999999999997</v>
      </c>
      <c r="F66" s="75">
        <v>35.299999999999997</v>
      </c>
      <c r="G66" s="75">
        <v>35.299999999999997</v>
      </c>
      <c r="H66" s="75">
        <v>35.299999999999997</v>
      </c>
      <c r="I66" s="75">
        <v>36</v>
      </c>
      <c r="J66" s="75">
        <v>35</v>
      </c>
      <c r="K66" s="67">
        <v>31</v>
      </c>
      <c r="L66" s="67">
        <v>34</v>
      </c>
      <c r="M66" s="75">
        <v>34.299999999999997</v>
      </c>
      <c r="N66" s="75">
        <v>35</v>
      </c>
      <c r="O66" s="75">
        <v>35</v>
      </c>
      <c r="P66" s="75">
        <v>35</v>
      </c>
      <c r="Q66" s="75">
        <v>34.299999999999997</v>
      </c>
      <c r="R66" s="75">
        <v>34.299999999999997</v>
      </c>
      <c r="S66" s="75">
        <v>34.299999999999997</v>
      </c>
      <c r="T66" s="75">
        <v>34.299999999999997</v>
      </c>
      <c r="U66" s="75">
        <v>34.299999999999997</v>
      </c>
      <c r="V66" s="75">
        <v>34.299999999999997</v>
      </c>
      <c r="W66" s="75">
        <v>34.299999999999997</v>
      </c>
      <c r="X66" s="75">
        <v>35.200000000000003</v>
      </c>
      <c r="Y66" s="75">
        <v>35.200000000000003</v>
      </c>
      <c r="Z66" s="46">
        <v>35.200000000000003</v>
      </c>
      <c r="AA66" s="46">
        <v>33.700000000000003</v>
      </c>
      <c r="AB66" s="46">
        <v>34</v>
      </c>
      <c r="AC66" s="46">
        <v>34</v>
      </c>
      <c r="AD66" s="46">
        <v>34</v>
      </c>
      <c r="AE66" s="46">
        <v>34</v>
      </c>
      <c r="AF66" s="46">
        <v>34</v>
      </c>
      <c r="AG66" s="65">
        <v>60</v>
      </c>
      <c r="AH66" s="48">
        <f t="shared" si="8"/>
        <v>36</v>
      </c>
      <c r="AI66" s="49">
        <f t="shared" si="9"/>
        <v>31</v>
      </c>
      <c r="AK66" s="51"/>
      <c r="BZ66" s="181">
        <v>56</v>
      </c>
      <c r="CA66" s="177">
        <v>0.57291666666666696</v>
      </c>
      <c r="CB66" s="182"/>
      <c r="CC66" s="182"/>
      <c r="CD66" s="182"/>
      <c r="CE66" s="182"/>
      <c r="CF66" s="182"/>
      <c r="CG66" s="183">
        <v>10</v>
      </c>
      <c r="CH66" s="183">
        <v>5</v>
      </c>
    </row>
    <row r="67" spans="1:86" x14ac:dyDescent="0.25">
      <c r="A67" s="64" t="s">
        <v>84</v>
      </c>
      <c r="B67" s="46">
        <v>0</v>
      </c>
      <c r="C67" s="46">
        <v>0</v>
      </c>
      <c r="D67" s="46">
        <v>0</v>
      </c>
      <c r="E67" s="46">
        <v>0</v>
      </c>
      <c r="F67" s="46">
        <v>0</v>
      </c>
      <c r="G67" s="46">
        <v>0</v>
      </c>
      <c r="H67" s="75">
        <v>10</v>
      </c>
      <c r="I67" s="75">
        <v>15</v>
      </c>
      <c r="J67" s="75">
        <v>10.7</v>
      </c>
      <c r="K67" s="75">
        <v>10.7</v>
      </c>
      <c r="L67" s="67">
        <v>13.2</v>
      </c>
      <c r="M67" s="75">
        <v>14.9</v>
      </c>
      <c r="N67" s="75">
        <v>10.199999999999999</v>
      </c>
      <c r="O67" s="75">
        <v>10.1</v>
      </c>
      <c r="P67" s="75">
        <v>10.199999999999999</v>
      </c>
      <c r="Q67" s="75">
        <v>10.199999999999999</v>
      </c>
      <c r="R67" s="75">
        <v>0</v>
      </c>
      <c r="S67" s="75">
        <v>0</v>
      </c>
      <c r="T67" s="75">
        <v>9.5</v>
      </c>
      <c r="U67" s="75">
        <v>14.7</v>
      </c>
      <c r="V67" s="75">
        <v>14.7</v>
      </c>
      <c r="W67" s="75">
        <v>14.5</v>
      </c>
      <c r="X67" s="75">
        <v>14.3</v>
      </c>
      <c r="Y67" s="75">
        <v>29</v>
      </c>
      <c r="Z67" s="46">
        <v>28.8</v>
      </c>
      <c r="AA67" s="46">
        <v>23.1</v>
      </c>
      <c r="AB67" s="46">
        <v>23</v>
      </c>
      <c r="AC67" s="46">
        <v>9.4</v>
      </c>
      <c r="AD67" s="46">
        <v>9.4</v>
      </c>
      <c r="AE67" s="46">
        <v>9.4</v>
      </c>
      <c r="AF67" s="46">
        <v>0</v>
      </c>
      <c r="AG67" s="65">
        <v>30</v>
      </c>
      <c r="AH67" s="48">
        <f t="shared" si="8"/>
        <v>29</v>
      </c>
      <c r="AI67" s="49">
        <f t="shared" si="9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  <c r="BZ67" s="181">
        <v>57</v>
      </c>
      <c r="CA67" s="177">
        <v>0.58333333333333304</v>
      </c>
      <c r="CB67" s="182"/>
      <c r="CC67" s="182"/>
      <c r="CD67" s="182"/>
      <c r="CE67" s="182"/>
      <c r="CF67" s="182"/>
      <c r="CG67" s="183">
        <v>10</v>
      </c>
      <c r="CH67" s="183">
        <v>5</v>
      </c>
    </row>
    <row r="68" spans="1:86" x14ac:dyDescent="0.25">
      <c r="A68" s="64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1.2</v>
      </c>
      <c r="L68" s="75">
        <v>2.8</v>
      </c>
      <c r="M68" s="75">
        <v>6.7</v>
      </c>
      <c r="N68" s="75">
        <v>10.3</v>
      </c>
      <c r="O68" s="75">
        <v>15.3</v>
      </c>
      <c r="P68" s="75">
        <v>17.7</v>
      </c>
      <c r="Q68" s="75">
        <v>19.100000000000001</v>
      </c>
      <c r="R68" s="75">
        <v>19</v>
      </c>
      <c r="S68" s="75">
        <v>16</v>
      </c>
      <c r="T68" s="75">
        <v>12.7</v>
      </c>
      <c r="U68" s="75">
        <v>7.5</v>
      </c>
      <c r="V68" s="75">
        <v>1.6</v>
      </c>
      <c r="W68" s="75">
        <v>0.6</v>
      </c>
      <c r="X68" s="75">
        <v>0.6</v>
      </c>
      <c r="Y68" s="75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5">
        <v>25</v>
      </c>
      <c r="AH68" s="48">
        <f t="shared" si="8"/>
        <v>19.100000000000001</v>
      </c>
      <c r="AI68" s="49">
        <f t="shared" si="9"/>
        <v>0</v>
      </c>
      <c r="AK68" s="51"/>
      <c r="AY68" s="1" t="s">
        <v>86</v>
      </c>
      <c r="AZ68" s="81">
        <f>ROUND(C81,0)</f>
        <v>55</v>
      </c>
      <c r="BA68" s="80">
        <f t="shared" ref="BA68:BD72" si="25">D81</f>
        <v>56.8</v>
      </c>
      <c r="BB68" s="80">
        <f t="shared" si="25"/>
        <v>51</v>
      </c>
      <c r="BC68" s="80">
        <f t="shared" si="25"/>
        <v>54.2</v>
      </c>
      <c r="BD68" s="80">
        <f t="shared" si="25"/>
        <v>56.3</v>
      </c>
      <c r="BE68" s="81">
        <f>I81</f>
        <v>56.6</v>
      </c>
      <c r="BF68" s="81">
        <f>K81</f>
        <v>63</v>
      </c>
      <c r="BG68" s="81">
        <f t="shared" ref="BG68:BP72" si="26">M81</f>
        <v>44.7</v>
      </c>
      <c r="BH68" s="81">
        <f t="shared" si="26"/>
        <v>49</v>
      </c>
      <c r="BI68" s="81">
        <f t="shared" si="26"/>
        <v>51.2</v>
      </c>
      <c r="BJ68" s="81">
        <f t="shared" si="26"/>
        <v>47.8</v>
      </c>
      <c r="BK68" s="81">
        <f t="shared" si="26"/>
        <v>47.4</v>
      </c>
      <c r="BL68" s="81">
        <f t="shared" si="26"/>
        <v>59.6</v>
      </c>
      <c r="BM68" s="81">
        <f t="shared" si="26"/>
        <v>67.5</v>
      </c>
      <c r="BN68" s="81">
        <f t="shared" si="26"/>
        <v>72.400000000000006</v>
      </c>
      <c r="BO68" s="81">
        <f t="shared" si="26"/>
        <v>46.3</v>
      </c>
      <c r="BP68" s="81">
        <f t="shared" si="26"/>
        <v>54</v>
      </c>
      <c r="BQ68" s="81">
        <f>X81</f>
        <v>58.1</v>
      </c>
      <c r="BR68" s="81">
        <f>Z81</f>
        <v>43.4</v>
      </c>
      <c r="BS68" s="80">
        <f>AB81</f>
        <v>49.2</v>
      </c>
      <c r="BT68" s="80">
        <f>AD81</f>
        <v>57</v>
      </c>
      <c r="BU68" s="80">
        <f>AE81</f>
        <v>62</v>
      </c>
      <c r="BV68" s="80">
        <f>AF81</f>
        <v>62.3</v>
      </c>
      <c r="BW68" s="80">
        <f>B81</f>
        <v>48</v>
      </c>
      <c r="BZ68" s="181">
        <v>58</v>
      </c>
      <c r="CA68" s="177">
        <v>0.59375</v>
      </c>
      <c r="CB68" s="182"/>
      <c r="CC68" s="182"/>
      <c r="CD68" s="182"/>
      <c r="CE68" s="182"/>
      <c r="CF68" s="182"/>
      <c r="CG68" s="183">
        <v>10</v>
      </c>
      <c r="CH68" s="183">
        <v>5</v>
      </c>
    </row>
    <row r="69" spans="1:86" x14ac:dyDescent="0.25">
      <c r="A69" s="64" t="s">
        <v>87</v>
      </c>
      <c r="B69" s="75">
        <v>15</v>
      </c>
      <c r="C69" s="75">
        <v>15</v>
      </c>
      <c r="D69" s="75">
        <v>15</v>
      </c>
      <c r="E69" s="75">
        <v>15</v>
      </c>
      <c r="F69" s="75">
        <v>15</v>
      </c>
      <c r="G69" s="75">
        <v>15</v>
      </c>
      <c r="H69" s="75">
        <v>15</v>
      </c>
      <c r="I69" s="75">
        <v>15</v>
      </c>
      <c r="J69" s="75">
        <v>15</v>
      </c>
      <c r="K69" s="75">
        <v>15</v>
      </c>
      <c r="L69" s="75">
        <v>15</v>
      </c>
      <c r="M69" s="75">
        <v>15</v>
      </c>
      <c r="N69" s="75">
        <v>15</v>
      </c>
      <c r="O69" s="75">
        <v>15</v>
      </c>
      <c r="P69" s="75">
        <v>15</v>
      </c>
      <c r="Q69" s="75">
        <v>15</v>
      </c>
      <c r="R69" s="75">
        <v>16</v>
      </c>
      <c r="S69" s="75">
        <v>16</v>
      </c>
      <c r="T69" s="75">
        <v>16</v>
      </c>
      <c r="U69" s="75">
        <v>16</v>
      </c>
      <c r="V69" s="75">
        <v>16</v>
      </c>
      <c r="W69" s="75">
        <v>16</v>
      </c>
      <c r="X69" s="75">
        <v>16</v>
      </c>
      <c r="Y69" s="75">
        <v>16</v>
      </c>
      <c r="Z69" s="75">
        <v>16</v>
      </c>
      <c r="AA69" s="75">
        <v>16</v>
      </c>
      <c r="AB69" s="75">
        <v>16</v>
      </c>
      <c r="AC69" s="75">
        <v>16</v>
      </c>
      <c r="AD69" s="75">
        <v>16</v>
      </c>
      <c r="AE69" s="75">
        <v>16</v>
      </c>
      <c r="AF69" s="75">
        <v>16</v>
      </c>
      <c r="AG69" s="65">
        <v>24</v>
      </c>
      <c r="AH69" s="48">
        <f t="shared" si="8"/>
        <v>16</v>
      </c>
      <c r="AI69" s="49">
        <f t="shared" si="9"/>
        <v>15</v>
      </c>
      <c r="AK69" s="51"/>
      <c r="AY69" s="1" t="s">
        <v>88</v>
      </c>
      <c r="AZ69" s="81">
        <f>ROUND(C82,0)</f>
        <v>0</v>
      </c>
      <c r="BA69" s="80">
        <f t="shared" si="25"/>
        <v>0</v>
      </c>
      <c r="BB69" s="80">
        <f t="shared" si="25"/>
        <v>0</v>
      </c>
      <c r="BC69" s="80">
        <f t="shared" si="25"/>
        <v>0</v>
      </c>
      <c r="BD69" s="80">
        <f t="shared" si="25"/>
        <v>0</v>
      </c>
      <c r="BE69" s="81">
        <f t="shared" ref="BE69:BE72" si="27">I82</f>
        <v>0</v>
      </c>
      <c r="BF69" s="81">
        <f t="shared" ref="BF69:BF72" si="28">K82</f>
        <v>0</v>
      </c>
      <c r="BG69" s="81">
        <f t="shared" si="26"/>
        <v>0</v>
      </c>
      <c r="BH69" s="81">
        <f t="shared" si="26"/>
        <v>0</v>
      </c>
      <c r="BI69" s="81">
        <f t="shared" si="26"/>
        <v>0</v>
      </c>
      <c r="BJ69" s="81">
        <f t="shared" si="26"/>
        <v>0</v>
      </c>
      <c r="BK69" s="81">
        <f t="shared" si="26"/>
        <v>0</v>
      </c>
      <c r="BL69" s="81">
        <f t="shared" si="26"/>
        <v>0</v>
      </c>
      <c r="BM69" s="81">
        <f t="shared" si="26"/>
        <v>0</v>
      </c>
      <c r="BN69" s="81">
        <f t="shared" si="26"/>
        <v>0</v>
      </c>
      <c r="BO69" s="81">
        <f t="shared" si="26"/>
        <v>0</v>
      </c>
      <c r="BP69" s="81">
        <f t="shared" si="26"/>
        <v>0</v>
      </c>
      <c r="BQ69" s="81">
        <f t="shared" ref="BQ69:BQ72" si="29">X82</f>
        <v>0</v>
      </c>
      <c r="BR69" s="81">
        <f t="shared" ref="BR69:BR72" si="30">Z82</f>
        <v>0</v>
      </c>
      <c r="BS69" s="80">
        <f t="shared" ref="BS69:BS72" si="31">AB82</f>
        <v>0</v>
      </c>
      <c r="BT69" s="80">
        <f t="shared" ref="BT69:BV72" si="32">AD82</f>
        <v>0</v>
      </c>
      <c r="BU69" s="80">
        <f t="shared" si="32"/>
        <v>0</v>
      </c>
      <c r="BV69" s="80">
        <f t="shared" si="32"/>
        <v>0</v>
      </c>
      <c r="BW69" s="80">
        <f t="shared" ref="BW69:BW72" si="33">B82</f>
        <v>0</v>
      </c>
      <c r="BZ69" s="181">
        <v>59</v>
      </c>
      <c r="CA69" s="177">
        <v>0.60416666666666696</v>
      </c>
      <c r="CB69" s="182"/>
      <c r="CC69" s="182"/>
      <c r="CD69" s="182"/>
      <c r="CE69" s="182"/>
      <c r="CF69" s="182"/>
      <c r="CG69" s="183">
        <v>18</v>
      </c>
      <c r="CH69" s="183">
        <v>5</v>
      </c>
    </row>
    <row r="70" spans="1:86" x14ac:dyDescent="0.25">
      <c r="A70" s="64" t="s">
        <v>89</v>
      </c>
      <c r="B70" s="75">
        <v>5</v>
      </c>
      <c r="C70" s="75">
        <v>5</v>
      </c>
      <c r="D70" s="75">
        <v>5</v>
      </c>
      <c r="E70" s="75">
        <v>5</v>
      </c>
      <c r="F70" s="75">
        <v>5</v>
      </c>
      <c r="G70" s="75">
        <v>5</v>
      </c>
      <c r="H70" s="75">
        <v>5</v>
      </c>
      <c r="I70" s="75">
        <v>5</v>
      </c>
      <c r="J70" s="75">
        <v>5</v>
      </c>
      <c r="K70" s="75">
        <v>5</v>
      </c>
      <c r="L70" s="75">
        <v>5</v>
      </c>
      <c r="M70" s="75">
        <v>5</v>
      </c>
      <c r="N70" s="75">
        <v>5</v>
      </c>
      <c r="O70" s="75">
        <v>5</v>
      </c>
      <c r="P70" s="75">
        <v>5</v>
      </c>
      <c r="Q70" s="75">
        <v>5</v>
      </c>
      <c r="R70" s="75">
        <v>4</v>
      </c>
      <c r="S70" s="75">
        <v>4</v>
      </c>
      <c r="T70" s="75">
        <v>4</v>
      </c>
      <c r="U70" s="75">
        <v>4</v>
      </c>
      <c r="V70" s="75">
        <v>4</v>
      </c>
      <c r="W70" s="75">
        <v>4</v>
      </c>
      <c r="X70" s="75">
        <v>4</v>
      </c>
      <c r="Y70" s="75">
        <v>4</v>
      </c>
      <c r="Z70" s="75">
        <v>4</v>
      </c>
      <c r="AA70" s="75">
        <v>4</v>
      </c>
      <c r="AB70" s="75">
        <v>4</v>
      </c>
      <c r="AC70" s="75">
        <v>4</v>
      </c>
      <c r="AD70" s="75">
        <v>4</v>
      </c>
      <c r="AE70" s="75">
        <v>4</v>
      </c>
      <c r="AF70" s="75">
        <v>4</v>
      </c>
      <c r="AG70" s="65">
        <v>15</v>
      </c>
      <c r="AH70" s="48">
        <f t="shared" si="8"/>
        <v>5</v>
      </c>
      <c r="AI70" s="49">
        <f t="shared" si="9"/>
        <v>4</v>
      </c>
      <c r="AK70" s="51"/>
      <c r="AL70" s="82"/>
      <c r="AO70" s="82"/>
      <c r="AY70" s="1" t="s">
        <v>90</v>
      </c>
      <c r="AZ70" s="81">
        <f>ROUND(C83,0)</f>
        <v>400</v>
      </c>
      <c r="BA70" s="80">
        <f t="shared" si="25"/>
        <v>411</v>
      </c>
      <c r="BB70" s="80">
        <f t="shared" si="25"/>
        <v>410</v>
      </c>
      <c r="BC70" s="80">
        <f t="shared" si="25"/>
        <v>426</v>
      </c>
      <c r="BD70" s="80">
        <f t="shared" si="25"/>
        <v>465</v>
      </c>
      <c r="BE70" s="81">
        <f t="shared" si="27"/>
        <v>456</v>
      </c>
      <c r="BF70" s="81">
        <f t="shared" si="28"/>
        <v>416</v>
      </c>
      <c r="BG70" s="81">
        <f t="shared" si="26"/>
        <v>150</v>
      </c>
      <c r="BH70" s="81">
        <f t="shared" si="26"/>
        <v>418.6</v>
      </c>
      <c r="BI70" s="81">
        <f t="shared" si="26"/>
        <v>415</v>
      </c>
      <c r="BJ70" s="81">
        <f t="shared" si="26"/>
        <v>434.4</v>
      </c>
      <c r="BK70" s="81">
        <f t="shared" si="26"/>
        <v>433.4</v>
      </c>
      <c r="BL70" s="81">
        <f t="shared" si="26"/>
        <v>457</v>
      </c>
      <c r="BM70" s="81">
        <f t="shared" si="26"/>
        <v>466.5</v>
      </c>
      <c r="BN70" s="81">
        <f t="shared" si="26"/>
        <v>471.5</v>
      </c>
      <c r="BO70" s="81">
        <f t="shared" si="26"/>
        <v>498.2</v>
      </c>
      <c r="BP70" s="81">
        <f t="shared" si="26"/>
        <v>483</v>
      </c>
      <c r="BQ70" s="81">
        <f t="shared" si="29"/>
        <v>441.2</v>
      </c>
      <c r="BR70" s="81">
        <f t="shared" si="30"/>
        <v>221.5</v>
      </c>
      <c r="BS70" s="80">
        <f t="shared" si="31"/>
        <v>262</v>
      </c>
      <c r="BT70" s="80">
        <f t="shared" si="32"/>
        <v>385</v>
      </c>
      <c r="BU70" s="80">
        <f t="shared" si="32"/>
        <v>395</v>
      </c>
      <c r="BV70" s="80">
        <f t="shared" si="32"/>
        <v>405</v>
      </c>
      <c r="BW70" s="80">
        <f t="shared" si="33"/>
        <v>402</v>
      </c>
      <c r="BZ70" s="181">
        <v>60</v>
      </c>
      <c r="CA70" s="177">
        <v>0.61458333333333304</v>
      </c>
      <c r="CB70" s="182"/>
      <c r="CC70" s="182"/>
      <c r="CD70" s="182"/>
      <c r="CE70" s="182"/>
      <c r="CF70" s="182"/>
      <c r="CG70" s="183">
        <v>18</v>
      </c>
      <c r="CH70" s="183">
        <v>0</v>
      </c>
    </row>
    <row r="71" spans="1:86" s="82" customFormat="1" x14ac:dyDescent="0.25">
      <c r="A71" s="64" t="s">
        <v>91</v>
      </c>
      <c r="B71" s="75">
        <v>9</v>
      </c>
      <c r="C71" s="75">
        <v>9</v>
      </c>
      <c r="D71" s="75">
        <v>10.199999999999999</v>
      </c>
      <c r="E71" s="75">
        <v>10.199999999999999</v>
      </c>
      <c r="F71" s="75">
        <v>10.199999999999999</v>
      </c>
      <c r="G71" s="75">
        <v>10.199999999999999</v>
      </c>
      <c r="H71" s="75">
        <v>10.199999999999999</v>
      </c>
      <c r="I71" s="75">
        <v>10.199999999999999</v>
      </c>
      <c r="J71" s="75">
        <v>10.199999999999999</v>
      </c>
      <c r="K71" s="75">
        <v>10.199999999999999</v>
      </c>
      <c r="L71" s="75">
        <v>10.199999999999999</v>
      </c>
      <c r="M71" s="75">
        <v>10.199999999999999</v>
      </c>
      <c r="N71" s="75">
        <v>10.199999999999999</v>
      </c>
      <c r="O71" s="75">
        <v>10.199999999999999</v>
      </c>
      <c r="P71" s="75">
        <v>10.199999999999999</v>
      </c>
      <c r="Q71" s="75">
        <v>10.199999999999999</v>
      </c>
      <c r="R71" s="75">
        <v>10.6</v>
      </c>
      <c r="S71" s="75">
        <v>10.6</v>
      </c>
      <c r="T71" s="75">
        <v>10.6</v>
      </c>
      <c r="U71" s="75">
        <v>10.6</v>
      </c>
      <c r="V71" s="75">
        <v>10.6</v>
      </c>
      <c r="W71" s="75">
        <v>10.6</v>
      </c>
      <c r="X71" s="75">
        <v>10.6</v>
      </c>
      <c r="Y71" s="75">
        <v>10.6</v>
      </c>
      <c r="Z71" s="75">
        <v>10.6</v>
      </c>
      <c r="AA71" s="75">
        <v>10.6</v>
      </c>
      <c r="AB71" s="75">
        <v>8.3000000000000007</v>
      </c>
      <c r="AC71" s="75">
        <v>8.3000000000000007</v>
      </c>
      <c r="AD71" s="75">
        <v>8.3000000000000007</v>
      </c>
      <c r="AE71" s="75">
        <v>8.3000000000000007</v>
      </c>
      <c r="AF71" s="75">
        <v>8.3000000000000007</v>
      </c>
      <c r="AG71" s="65">
        <v>14.1</v>
      </c>
      <c r="AH71" s="48">
        <f t="shared" si="8"/>
        <v>10.6</v>
      </c>
      <c r="AI71" s="49">
        <f t="shared" si="9"/>
        <v>8.3000000000000007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39</v>
      </c>
      <c r="BA71" s="80">
        <f t="shared" si="25"/>
        <v>5.6</v>
      </c>
      <c r="BB71" s="80">
        <f t="shared" si="25"/>
        <v>5.4</v>
      </c>
      <c r="BC71" s="80">
        <f t="shared" si="25"/>
        <v>5.2</v>
      </c>
      <c r="BD71" s="80">
        <f t="shared" si="25"/>
        <v>5.0999999999999996</v>
      </c>
      <c r="BE71" s="81">
        <f t="shared" si="27"/>
        <v>6.6</v>
      </c>
      <c r="BF71" s="81">
        <f t="shared" si="28"/>
        <v>7.9</v>
      </c>
      <c r="BG71" s="81">
        <f t="shared" si="26"/>
        <v>4.8</v>
      </c>
      <c r="BH71" s="81">
        <f t="shared" si="26"/>
        <v>3</v>
      </c>
      <c r="BI71" s="81">
        <f t="shared" si="26"/>
        <v>1</v>
      </c>
      <c r="BJ71" s="81">
        <f t="shared" si="26"/>
        <v>7.5</v>
      </c>
      <c r="BK71" s="81">
        <f t="shared" si="26"/>
        <v>32</v>
      </c>
      <c r="BL71" s="81">
        <f t="shared" si="26"/>
        <v>35.4</v>
      </c>
      <c r="BM71" s="81">
        <f t="shared" si="26"/>
        <v>40.5</v>
      </c>
      <c r="BN71" s="81">
        <f t="shared" si="26"/>
        <v>51.8</v>
      </c>
      <c r="BO71" s="81">
        <f t="shared" si="26"/>
        <v>47.3</v>
      </c>
      <c r="BP71" s="81">
        <f t="shared" si="26"/>
        <v>47</v>
      </c>
      <c r="BQ71" s="81">
        <f t="shared" si="29"/>
        <v>6.4</v>
      </c>
      <c r="BR71" s="81">
        <f t="shared" si="30"/>
        <v>8</v>
      </c>
      <c r="BS71" s="80">
        <f t="shared" si="31"/>
        <v>6.1</v>
      </c>
      <c r="BT71" s="80">
        <f t="shared" si="32"/>
        <v>23</v>
      </c>
      <c r="BU71" s="80">
        <f t="shared" si="32"/>
        <v>37</v>
      </c>
      <c r="BV71" s="80">
        <f t="shared" si="32"/>
        <v>57</v>
      </c>
      <c r="BW71" s="80">
        <f t="shared" si="33"/>
        <v>39</v>
      </c>
      <c r="BZ71" s="181">
        <v>61</v>
      </c>
      <c r="CA71" s="177">
        <v>0.625</v>
      </c>
      <c r="CB71" s="184"/>
      <c r="CC71" s="184"/>
      <c r="CD71" s="184"/>
      <c r="CE71" s="184"/>
      <c r="CF71" s="184"/>
      <c r="CG71" s="183">
        <v>18</v>
      </c>
      <c r="CH71" s="183">
        <v>0</v>
      </c>
    </row>
    <row r="72" spans="1:86" x14ac:dyDescent="0.25">
      <c r="A72" s="83" t="s">
        <v>93</v>
      </c>
      <c r="B72" s="75">
        <v>2.8</v>
      </c>
      <c r="C72" s="75">
        <v>2.8</v>
      </c>
      <c r="D72" s="75">
        <v>4.0999999999999996</v>
      </c>
      <c r="E72" s="75">
        <v>4.0999999999999996</v>
      </c>
      <c r="F72" s="75">
        <v>4.0999999999999996</v>
      </c>
      <c r="G72" s="75">
        <v>4.0999999999999996</v>
      </c>
      <c r="H72" s="75">
        <v>2.9</v>
      </c>
      <c r="I72" s="75">
        <v>2.9</v>
      </c>
      <c r="J72" s="75">
        <v>3</v>
      </c>
      <c r="K72" s="75">
        <v>2.9</v>
      </c>
      <c r="L72" s="75">
        <v>2.99</v>
      </c>
      <c r="M72" s="75">
        <v>2.99</v>
      </c>
      <c r="N72" s="75">
        <v>2.99</v>
      </c>
      <c r="O72" s="75">
        <v>2.99</v>
      </c>
      <c r="P72" s="75">
        <v>2.99</v>
      </c>
      <c r="Q72" s="75">
        <v>2.99</v>
      </c>
      <c r="R72" s="75">
        <v>4</v>
      </c>
      <c r="S72" s="75">
        <v>4</v>
      </c>
      <c r="T72" s="75">
        <v>4</v>
      </c>
      <c r="U72" s="75">
        <v>4</v>
      </c>
      <c r="V72" s="75">
        <v>4</v>
      </c>
      <c r="W72" s="75">
        <v>4</v>
      </c>
      <c r="X72" s="75">
        <v>4</v>
      </c>
      <c r="Y72" s="75">
        <v>4</v>
      </c>
      <c r="Z72" s="75">
        <v>4</v>
      </c>
      <c r="AA72" s="75">
        <v>4</v>
      </c>
      <c r="AB72" s="75">
        <v>4</v>
      </c>
      <c r="AC72" s="75">
        <v>4</v>
      </c>
      <c r="AD72" s="75">
        <v>4</v>
      </c>
      <c r="AE72" s="75">
        <v>4</v>
      </c>
      <c r="AF72" s="75">
        <v>4</v>
      </c>
      <c r="AG72" s="65">
        <v>14</v>
      </c>
      <c r="AH72" s="48">
        <f t="shared" si="8"/>
        <v>4.0999999999999996</v>
      </c>
      <c r="AI72" s="49">
        <f t="shared" si="9"/>
        <v>2.8</v>
      </c>
      <c r="AK72" s="51"/>
      <c r="AY72" s="1" t="s">
        <v>94</v>
      </c>
      <c r="AZ72" s="81">
        <f>ROUND(C85,0)</f>
        <v>140</v>
      </c>
      <c r="BA72" s="80">
        <f t="shared" si="25"/>
        <v>114.6</v>
      </c>
      <c r="BB72" s="80">
        <f t="shared" si="25"/>
        <v>109</v>
      </c>
      <c r="BC72" s="80">
        <f t="shared" si="25"/>
        <v>106.3</v>
      </c>
      <c r="BD72" s="80">
        <f t="shared" si="25"/>
        <v>90</v>
      </c>
      <c r="BE72" s="81">
        <f t="shared" si="27"/>
        <v>84.6</v>
      </c>
      <c r="BF72" s="81">
        <f t="shared" si="28"/>
        <v>78.900000000000006</v>
      </c>
      <c r="BG72" s="81">
        <f t="shared" si="26"/>
        <v>0</v>
      </c>
      <c r="BH72" s="81">
        <f t="shared" si="26"/>
        <v>0</v>
      </c>
      <c r="BI72" s="81">
        <f t="shared" si="26"/>
        <v>0</v>
      </c>
      <c r="BJ72" s="81">
        <f t="shared" si="26"/>
        <v>0</v>
      </c>
      <c r="BK72" s="81">
        <f t="shared" si="26"/>
        <v>98</v>
      </c>
      <c r="BL72" s="81">
        <f t="shared" si="26"/>
        <v>112.8</v>
      </c>
      <c r="BM72" s="81">
        <f t="shared" si="26"/>
        <v>100</v>
      </c>
      <c r="BN72" s="81">
        <f t="shared" si="26"/>
        <v>99.8</v>
      </c>
      <c r="BO72" s="81">
        <f t="shared" si="26"/>
        <v>98.6</v>
      </c>
      <c r="BP72" s="81">
        <f t="shared" si="26"/>
        <v>88</v>
      </c>
      <c r="BQ72" s="81">
        <f t="shared" si="29"/>
        <v>0</v>
      </c>
      <c r="BR72" s="81">
        <f t="shared" si="30"/>
        <v>0</v>
      </c>
      <c r="BS72" s="80">
        <f t="shared" si="31"/>
        <v>0</v>
      </c>
      <c r="BT72" s="80">
        <f t="shared" si="32"/>
        <v>0</v>
      </c>
      <c r="BU72" s="80">
        <f t="shared" si="32"/>
        <v>95</v>
      </c>
      <c r="BV72" s="80">
        <f t="shared" si="32"/>
        <v>0</v>
      </c>
      <c r="BW72" s="80">
        <f t="shared" si="33"/>
        <v>120</v>
      </c>
      <c r="BZ72" s="181">
        <v>62</v>
      </c>
      <c r="CA72" s="177">
        <v>0.63541666666666696</v>
      </c>
      <c r="CB72" s="182"/>
      <c r="CC72" s="182"/>
      <c r="CD72" s="182"/>
      <c r="CE72" s="182"/>
      <c r="CF72" s="182"/>
      <c r="CG72" s="183">
        <v>18</v>
      </c>
      <c r="CH72" s="183">
        <v>0</v>
      </c>
    </row>
    <row r="73" spans="1:86" x14ac:dyDescent="0.25">
      <c r="A73" s="64" t="s">
        <v>95</v>
      </c>
      <c r="B73" s="75">
        <v>4.5</v>
      </c>
      <c r="C73" s="75">
        <v>4.5</v>
      </c>
      <c r="D73" s="75">
        <v>4.5</v>
      </c>
      <c r="E73" s="75">
        <v>4.5</v>
      </c>
      <c r="F73" s="75">
        <v>4.5</v>
      </c>
      <c r="G73" s="75">
        <v>4.5</v>
      </c>
      <c r="H73" s="75">
        <v>4.5</v>
      </c>
      <c r="I73" s="75">
        <v>4.5</v>
      </c>
      <c r="J73" s="75">
        <v>4.5</v>
      </c>
      <c r="K73" s="75">
        <v>4.5</v>
      </c>
      <c r="L73" s="75">
        <v>4.5</v>
      </c>
      <c r="M73" s="75">
        <v>4.5</v>
      </c>
      <c r="N73" s="75">
        <v>4.5</v>
      </c>
      <c r="O73" s="75">
        <v>4.5</v>
      </c>
      <c r="P73" s="75">
        <v>4.5</v>
      </c>
      <c r="Q73" s="75">
        <v>4.5</v>
      </c>
      <c r="R73" s="75">
        <v>3</v>
      </c>
      <c r="S73" s="75">
        <v>3</v>
      </c>
      <c r="T73" s="75">
        <v>3</v>
      </c>
      <c r="U73" s="75">
        <v>3</v>
      </c>
      <c r="V73" s="75">
        <v>3</v>
      </c>
      <c r="W73" s="75">
        <v>3</v>
      </c>
      <c r="X73" s="75">
        <v>3</v>
      </c>
      <c r="Y73" s="75">
        <v>3</v>
      </c>
      <c r="Z73" s="75">
        <v>3</v>
      </c>
      <c r="AA73" s="75">
        <v>3</v>
      </c>
      <c r="AB73" s="75">
        <v>3</v>
      </c>
      <c r="AC73" s="75">
        <v>3</v>
      </c>
      <c r="AD73" s="75">
        <v>3</v>
      </c>
      <c r="AE73" s="75">
        <v>3</v>
      </c>
      <c r="AF73" s="75">
        <v>3</v>
      </c>
      <c r="AG73" s="65">
        <v>10.050000000000001</v>
      </c>
      <c r="AH73" s="48">
        <f t="shared" si="8"/>
        <v>4.5</v>
      </c>
      <c r="AI73" s="49">
        <f t="shared" si="9"/>
        <v>3</v>
      </c>
      <c r="AK73" s="51"/>
      <c r="AY73" s="1" t="s">
        <v>96</v>
      </c>
      <c r="AZ73" s="81">
        <f>ROUND(C91,0)</f>
        <v>50</v>
      </c>
      <c r="BA73" s="81">
        <f>D91</f>
        <v>52</v>
      </c>
      <c r="BB73" s="81">
        <f>E91</f>
        <v>56</v>
      </c>
      <c r="BC73" s="81">
        <f>F91</f>
        <v>59</v>
      </c>
      <c r="BD73" s="81">
        <f>G91</f>
        <v>52</v>
      </c>
      <c r="BE73" s="81">
        <f>I91</f>
        <v>69</v>
      </c>
      <c r="BF73" s="81">
        <f>K91</f>
        <v>68</v>
      </c>
      <c r="BG73" s="81">
        <f t="shared" ref="BG73:BP73" si="34">M91</f>
        <v>62</v>
      </c>
      <c r="BH73" s="81">
        <f t="shared" si="34"/>
        <v>70.900000000000006</v>
      </c>
      <c r="BI73" s="81">
        <f t="shared" si="34"/>
        <v>72</v>
      </c>
      <c r="BJ73" s="81">
        <f t="shared" si="34"/>
        <v>76</v>
      </c>
      <c r="BK73" s="81">
        <f t="shared" si="34"/>
        <v>71</v>
      </c>
      <c r="BL73" s="81">
        <f t="shared" si="34"/>
        <v>72</v>
      </c>
      <c r="BM73" s="81">
        <f t="shared" si="34"/>
        <v>77</v>
      </c>
      <c r="BN73" s="81">
        <f t="shared" si="34"/>
        <v>85</v>
      </c>
      <c r="BO73" s="81">
        <f t="shared" si="34"/>
        <v>73</v>
      </c>
      <c r="BP73" s="81">
        <f t="shared" si="34"/>
        <v>60</v>
      </c>
      <c r="BQ73" s="81">
        <f>X91</f>
        <v>77</v>
      </c>
      <c r="BR73" s="81">
        <f>Z91</f>
        <v>76.5</v>
      </c>
      <c r="BS73" s="81">
        <f>AB91</f>
        <v>62</v>
      </c>
      <c r="BT73" s="81">
        <f>AD91</f>
        <v>64</v>
      </c>
      <c r="BU73" s="81">
        <f>AE91</f>
        <v>74</v>
      </c>
      <c r="BV73" s="81">
        <f>AF91</f>
        <v>74</v>
      </c>
      <c r="BW73" s="81">
        <f>B91</f>
        <v>62</v>
      </c>
      <c r="BZ73" s="181">
        <v>63</v>
      </c>
      <c r="CA73" s="177">
        <v>0.64583333333333304</v>
      </c>
      <c r="CB73" s="182"/>
      <c r="CC73" s="182"/>
      <c r="CD73" s="182"/>
      <c r="CE73" s="182"/>
      <c r="CF73" s="182"/>
      <c r="CG73" s="183">
        <v>18</v>
      </c>
      <c r="CH73" s="183">
        <v>0</v>
      </c>
    </row>
    <row r="74" spans="1:86" x14ac:dyDescent="0.25">
      <c r="A74" s="64" t="s">
        <v>97</v>
      </c>
      <c r="B74" s="75">
        <v>1.7</v>
      </c>
      <c r="C74" s="75">
        <v>1.7</v>
      </c>
      <c r="D74" s="75">
        <v>1.6</v>
      </c>
      <c r="E74" s="75">
        <v>1.6</v>
      </c>
      <c r="F74" s="75">
        <v>1.6</v>
      </c>
      <c r="G74" s="75">
        <v>1.6</v>
      </c>
      <c r="H74" s="75">
        <v>1.6</v>
      </c>
      <c r="I74" s="75">
        <v>1.6</v>
      </c>
      <c r="J74" s="75">
        <v>1.6</v>
      </c>
      <c r="K74" s="75">
        <v>1.6</v>
      </c>
      <c r="L74" s="75">
        <v>1.6</v>
      </c>
      <c r="M74" s="75">
        <v>1.6</v>
      </c>
      <c r="N74" s="75">
        <v>1.6</v>
      </c>
      <c r="O74" s="75">
        <v>1.6</v>
      </c>
      <c r="P74" s="75">
        <v>1.6</v>
      </c>
      <c r="Q74" s="75">
        <v>1.6</v>
      </c>
      <c r="R74" s="75">
        <v>2</v>
      </c>
      <c r="S74" s="75">
        <v>2</v>
      </c>
      <c r="T74" s="75">
        <v>2</v>
      </c>
      <c r="U74" s="75">
        <v>2</v>
      </c>
      <c r="V74" s="75">
        <v>2</v>
      </c>
      <c r="W74" s="75">
        <v>2</v>
      </c>
      <c r="X74" s="75">
        <v>2</v>
      </c>
      <c r="Y74" s="75">
        <v>2</v>
      </c>
      <c r="Z74" s="75">
        <v>2</v>
      </c>
      <c r="AA74" s="75">
        <v>2</v>
      </c>
      <c r="AB74" s="75">
        <v>2</v>
      </c>
      <c r="AC74" s="75">
        <v>2</v>
      </c>
      <c r="AD74" s="75">
        <v>2</v>
      </c>
      <c r="AE74" s="75">
        <v>2</v>
      </c>
      <c r="AF74" s="75">
        <v>2</v>
      </c>
      <c r="AG74" s="65">
        <v>6.2</v>
      </c>
      <c r="AH74" s="48">
        <f t="shared" si="8"/>
        <v>2</v>
      </c>
      <c r="AI74" s="49">
        <f t="shared" si="9"/>
        <v>1.6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  <c r="BZ74" s="181">
        <v>64</v>
      </c>
      <c r="CA74" s="177">
        <v>0.65625</v>
      </c>
      <c r="CB74" s="182"/>
      <c r="CC74" s="182"/>
      <c r="CD74" s="182"/>
      <c r="CE74" s="182"/>
      <c r="CF74" s="182"/>
      <c r="CG74" s="183">
        <v>18</v>
      </c>
      <c r="CH74" s="183">
        <v>0</v>
      </c>
    </row>
    <row r="75" spans="1:86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>
        <v>3.54</v>
      </c>
      <c r="W75" s="84">
        <v>3.54</v>
      </c>
      <c r="X75" s="84">
        <v>3.54</v>
      </c>
      <c r="Y75" s="84">
        <v>3.54</v>
      </c>
      <c r="Z75" s="84">
        <v>3.54</v>
      </c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8"/>
        <v>3.54</v>
      </c>
      <c r="AI75" s="49">
        <f t="shared" si="9"/>
        <v>3.54</v>
      </c>
      <c r="AK75" s="51"/>
      <c r="AZ75" s="81">
        <f>VALUE(AZ68)</f>
        <v>55</v>
      </c>
      <c r="BA75" s="81">
        <f t="shared" ref="BA75:BW75" si="35">VALUE(BA68)</f>
        <v>56.8</v>
      </c>
      <c r="BB75" s="81">
        <f t="shared" si="35"/>
        <v>51</v>
      </c>
      <c r="BC75" s="81">
        <f t="shared" si="35"/>
        <v>54.2</v>
      </c>
      <c r="BD75" s="81">
        <f t="shared" si="35"/>
        <v>56.3</v>
      </c>
      <c r="BE75" s="81">
        <f t="shared" si="35"/>
        <v>56.6</v>
      </c>
      <c r="BF75" s="81">
        <f t="shared" si="35"/>
        <v>63</v>
      </c>
      <c r="BG75" s="81">
        <f t="shared" si="35"/>
        <v>44.7</v>
      </c>
      <c r="BH75" s="81">
        <f t="shared" si="35"/>
        <v>49</v>
      </c>
      <c r="BI75" s="81">
        <f t="shared" si="35"/>
        <v>51.2</v>
      </c>
      <c r="BJ75" s="81">
        <f t="shared" si="35"/>
        <v>47.8</v>
      </c>
      <c r="BK75" s="81">
        <f t="shared" si="35"/>
        <v>47.4</v>
      </c>
      <c r="BL75" s="81">
        <f t="shared" si="35"/>
        <v>59.6</v>
      </c>
      <c r="BM75" s="81">
        <f t="shared" si="35"/>
        <v>67.5</v>
      </c>
      <c r="BN75" s="81">
        <f t="shared" si="35"/>
        <v>72.400000000000006</v>
      </c>
      <c r="BO75" s="81">
        <f t="shared" si="35"/>
        <v>46.3</v>
      </c>
      <c r="BP75" s="81">
        <f t="shared" si="35"/>
        <v>54</v>
      </c>
      <c r="BQ75" s="81">
        <f t="shared" si="35"/>
        <v>58.1</v>
      </c>
      <c r="BR75" s="81">
        <f t="shared" si="35"/>
        <v>43.4</v>
      </c>
      <c r="BS75" s="81">
        <f t="shared" si="35"/>
        <v>49.2</v>
      </c>
      <c r="BT75" s="81">
        <f t="shared" si="35"/>
        <v>57</v>
      </c>
      <c r="BU75" s="81">
        <f t="shared" si="35"/>
        <v>62</v>
      </c>
      <c r="BV75" s="81">
        <f t="shared" si="35"/>
        <v>62.3</v>
      </c>
      <c r="BW75" s="81">
        <f t="shared" si="35"/>
        <v>48</v>
      </c>
      <c r="BZ75" s="185">
        <v>65</v>
      </c>
      <c r="CA75" s="186">
        <v>0.66666666666666696</v>
      </c>
      <c r="CB75" s="187"/>
      <c r="CC75" s="187"/>
      <c r="CD75" s="187"/>
      <c r="CE75" s="187"/>
      <c r="CF75" s="187"/>
      <c r="CG75" s="172">
        <v>10</v>
      </c>
      <c r="CH75" s="172"/>
    </row>
    <row r="76" spans="1:86" ht="15.75" thickBot="1" x14ac:dyDescent="0.3">
      <c r="A76" s="86" t="s">
        <v>99</v>
      </c>
      <c r="B76" s="70">
        <f t="shared" ref="B76:AG76" si="36">SUM(B63:B75)</f>
        <v>72.84</v>
      </c>
      <c r="C76" s="70">
        <f t="shared" si="36"/>
        <v>72.84</v>
      </c>
      <c r="D76" s="70">
        <f t="shared" si="36"/>
        <v>79.239999999999995</v>
      </c>
      <c r="E76" s="70">
        <f t="shared" si="36"/>
        <v>79.239999999999995</v>
      </c>
      <c r="F76" s="70">
        <f t="shared" si="36"/>
        <v>79.239999999999995</v>
      </c>
      <c r="G76" s="70">
        <f t="shared" si="36"/>
        <v>79.239999999999995</v>
      </c>
      <c r="H76" s="70">
        <f t="shared" si="36"/>
        <v>159.23999999999998</v>
      </c>
      <c r="I76" s="70">
        <f t="shared" si="36"/>
        <v>233.23999999999998</v>
      </c>
      <c r="J76" s="70">
        <f t="shared" si="36"/>
        <v>323.94</v>
      </c>
      <c r="K76" s="70">
        <f t="shared" si="36"/>
        <v>248.73999999999998</v>
      </c>
      <c r="L76" s="70">
        <f t="shared" si="36"/>
        <v>256.63</v>
      </c>
      <c r="M76" s="70">
        <f t="shared" si="36"/>
        <v>284.53000000000009</v>
      </c>
      <c r="N76" s="70">
        <f t="shared" si="36"/>
        <v>272.73000000000008</v>
      </c>
      <c r="O76" s="70">
        <f t="shared" si="36"/>
        <v>266.73</v>
      </c>
      <c r="P76" s="70">
        <f t="shared" si="36"/>
        <v>268.73</v>
      </c>
      <c r="Q76" s="70">
        <f t="shared" si="36"/>
        <v>243.52999999999994</v>
      </c>
      <c r="R76" s="70">
        <f t="shared" si="36"/>
        <v>201.24</v>
      </c>
      <c r="S76" s="70">
        <f t="shared" si="36"/>
        <v>200.64</v>
      </c>
      <c r="T76" s="70">
        <f t="shared" si="36"/>
        <v>195.23999999999995</v>
      </c>
      <c r="U76" s="70">
        <f t="shared" si="36"/>
        <v>225.23999999999995</v>
      </c>
      <c r="V76" s="70">
        <f t="shared" si="36"/>
        <v>171.44</v>
      </c>
      <c r="W76" s="70">
        <f t="shared" si="36"/>
        <v>217.54</v>
      </c>
      <c r="X76" s="70">
        <f t="shared" si="36"/>
        <v>254.84</v>
      </c>
      <c r="Y76" s="70">
        <f t="shared" si="36"/>
        <v>332.54</v>
      </c>
      <c r="Z76" s="70">
        <f t="shared" si="36"/>
        <v>347.44000000000005</v>
      </c>
      <c r="AA76" s="70">
        <f t="shared" si="36"/>
        <v>349.54000000000008</v>
      </c>
      <c r="AB76" s="70">
        <f t="shared" si="36"/>
        <v>310.94000000000005</v>
      </c>
      <c r="AC76" s="70">
        <f t="shared" si="36"/>
        <v>216.54000000000002</v>
      </c>
      <c r="AD76" s="70">
        <f t="shared" si="36"/>
        <v>186.24</v>
      </c>
      <c r="AE76" s="70">
        <f t="shared" si="36"/>
        <v>114.74000000000001</v>
      </c>
      <c r="AF76" s="70">
        <f t="shared" si="36"/>
        <v>128.34</v>
      </c>
      <c r="AG76" s="71">
        <f t="shared" si="36"/>
        <v>489.91</v>
      </c>
      <c r="AH76" s="48">
        <f t="shared" si="8"/>
        <v>349.54000000000008</v>
      </c>
      <c r="AI76" s="49">
        <f t="shared" si="9"/>
        <v>72.84</v>
      </c>
      <c r="AK76" s="51"/>
      <c r="AZ76" s="81">
        <f t="shared" ref="AZ76:BW80" si="37">VALUE(AZ69)</f>
        <v>0</v>
      </c>
      <c r="BA76" s="81">
        <f t="shared" si="37"/>
        <v>0</v>
      </c>
      <c r="BB76" s="81">
        <f t="shared" si="37"/>
        <v>0</v>
      </c>
      <c r="BC76" s="81">
        <f t="shared" si="37"/>
        <v>0</v>
      </c>
      <c r="BD76" s="81">
        <f t="shared" si="37"/>
        <v>0</v>
      </c>
      <c r="BE76" s="81">
        <f t="shared" si="37"/>
        <v>0</v>
      </c>
      <c r="BF76" s="81">
        <f t="shared" si="37"/>
        <v>0</v>
      </c>
      <c r="BG76" s="81">
        <f t="shared" si="37"/>
        <v>0</v>
      </c>
      <c r="BH76" s="81">
        <f t="shared" si="37"/>
        <v>0</v>
      </c>
      <c r="BI76" s="81">
        <f t="shared" si="37"/>
        <v>0</v>
      </c>
      <c r="BJ76" s="81">
        <f t="shared" si="37"/>
        <v>0</v>
      </c>
      <c r="BK76" s="81">
        <f t="shared" si="37"/>
        <v>0</v>
      </c>
      <c r="BL76" s="81">
        <f t="shared" si="37"/>
        <v>0</v>
      </c>
      <c r="BM76" s="81">
        <f t="shared" si="37"/>
        <v>0</v>
      </c>
      <c r="BN76" s="81">
        <f t="shared" si="37"/>
        <v>0</v>
      </c>
      <c r="BO76" s="81">
        <f t="shared" si="37"/>
        <v>0</v>
      </c>
      <c r="BP76" s="81">
        <f t="shared" si="37"/>
        <v>0</v>
      </c>
      <c r="BQ76" s="81">
        <f t="shared" si="37"/>
        <v>0</v>
      </c>
      <c r="BR76" s="81">
        <f t="shared" si="37"/>
        <v>0</v>
      </c>
      <c r="BS76" s="81">
        <f t="shared" si="37"/>
        <v>0</v>
      </c>
      <c r="BT76" s="81">
        <f t="shared" si="37"/>
        <v>0</v>
      </c>
      <c r="BU76" s="81">
        <f t="shared" si="37"/>
        <v>0</v>
      </c>
      <c r="BV76" s="81">
        <f t="shared" si="37"/>
        <v>0</v>
      </c>
      <c r="BW76" s="81">
        <f t="shared" si="37"/>
        <v>0</v>
      </c>
      <c r="BZ76" s="181">
        <v>66</v>
      </c>
      <c r="CA76" s="177">
        <v>0.67708333333333304</v>
      </c>
      <c r="CB76" s="182"/>
      <c r="CC76" s="182"/>
      <c r="CD76" s="182"/>
      <c r="CE76" s="182"/>
      <c r="CF76" s="182"/>
      <c r="CG76" s="183">
        <v>18</v>
      </c>
      <c r="CH76" s="183">
        <v>0</v>
      </c>
    </row>
    <row r="77" spans="1:86" x14ac:dyDescent="0.25">
      <c r="A77" s="45" t="s">
        <v>100</v>
      </c>
      <c r="B77" s="46">
        <v>0</v>
      </c>
      <c r="C77" s="46">
        <v>0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>
        <v>44</v>
      </c>
      <c r="X77" s="46">
        <v>35</v>
      </c>
      <c r="Y77" s="46">
        <v>35</v>
      </c>
      <c r="Z77" s="46">
        <v>40</v>
      </c>
      <c r="AA77" s="46">
        <v>50</v>
      </c>
      <c r="AB77" s="46">
        <v>50</v>
      </c>
      <c r="AC77" s="46">
        <v>30</v>
      </c>
      <c r="AD77" s="46">
        <v>0</v>
      </c>
      <c r="AE77" s="46">
        <v>0</v>
      </c>
      <c r="AF77" s="46">
        <v>0</v>
      </c>
      <c r="AG77" s="60">
        <v>60</v>
      </c>
      <c r="AH77" s="48">
        <f t="shared" si="8"/>
        <v>50</v>
      </c>
      <c r="AI77" s="49">
        <f t="shared" si="9"/>
        <v>0</v>
      </c>
      <c r="AK77" s="51"/>
      <c r="AZ77" s="81">
        <f t="shared" si="37"/>
        <v>400</v>
      </c>
      <c r="BA77" s="81">
        <f t="shared" si="37"/>
        <v>411</v>
      </c>
      <c r="BB77" s="81">
        <f t="shared" si="37"/>
        <v>410</v>
      </c>
      <c r="BC77" s="81">
        <f t="shared" si="37"/>
        <v>426</v>
      </c>
      <c r="BD77" s="81">
        <f t="shared" si="37"/>
        <v>465</v>
      </c>
      <c r="BE77" s="81">
        <f t="shared" si="37"/>
        <v>456</v>
      </c>
      <c r="BF77" s="81">
        <f t="shared" si="37"/>
        <v>416</v>
      </c>
      <c r="BG77" s="81">
        <f t="shared" si="37"/>
        <v>150</v>
      </c>
      <c r="BH77" s="81">
        <f t="shared" si="37"/>
        <v>418.6</v>
      </c>
      <c r="BI77" s="81">
        <f t="shared" si="37"/>
        <v>415</v>
      </c>
      <c r="BJ77" s="81">
        <f t="shared" si="37"/>
        <v>434.4</v>
      </c>
      <c r="BK77" s="81">
        <f t="shared" si="37"/>
        <v>433.4</v>
      </c>
      <c r="BL77" s="81">
        <f t="shared" si="37"/>
        <v>457</v>
      </c>
      <c r="BM77" s="81">
        <f t="shared" si="37"/>
        <v>466.5</v>
      </c>
      <c r="BN77" s="81">
        <f t="shared" si="37"/>
        <v>471.5</v>
      </c>
      <c r="BO77" s="81">
        <f t="shared" si="37"/>
        <v>498.2</v>
      </c>
      <c r="BP77" s="81">
        <f t="shared" si="37"/>
        <v>483</v>
      </c>
      <c r="BQ77" s="81">
        <f t="shared" si="37"/>
        <v>441.2</v>
      </c>
      <c r="BR77" s="81">
        <f t="shared" si="37"/>
        <v>221.5</v>
      </c>
      <c r="BS77" s="81">
        <f t="shared" si="37"/>
        <v>262</v>
      </c>
      <c r="BT77" s="81">
        <f t="shared" si="37"/>
        <v>385</v>
      </c>
      <c r="BU77" s="81">
        <f t="shared" si="37"/>
        <v>395</v>
      </c>
      <c r="BV77" s="81">
        <f t="shared" si="37"/>
        <v>405</v>
      </c>
      <c r="BW77" s="81">
        <f t="shared" si="37"/>
        <v>402</v>
      </c>
      <c r="BZ77" s="185">
        <v>67</v>
      </c>
      <c r="CA77" s="186">
        <v>0.6875</v>
      </c>
      <c r="CB77" s="187"/>
      <c r="CC77" s="187"/>
      <c r="CD77" s="187"/>
      <c r="CE77" s="187"/>
      <c r="CF77" s="187"/>
      <c r="CG77" s="172">
        <v>10</v>
      </c>
      <c r="CH77" s="172"/>
    </row>
    <row r="78" spans="1:86" x14ac:dyDescent="0.25">
      <c r="A78" s="64" t="s">
        <v>101</v>
      </c>
      <c r="B78" s="75">
        <v>0</v>
      </c>
      <c r="C78" s="75">
        <v>0</v>
      </c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>
        <v>12.5</v>
      </c>
      <c r="X78" s="75">
        <v>16.100000000000001</v>
      </c>
      <c r="Y78" s="75">
        <v>16.600000000000001</v>
      </c>
      <c r="Z78" s="75">
        <v>15.8</v>
      </c>
      <c r="AA78" s="75">
        <v>16.3</v>
      </c>
      <c r="AB78" s="75">
        <v>25.8</v>
      </c>
      <c r="AC78" s="75">
        <v>12.5</v>
      </c>
      <c r="AD78" s="75">
        <v>6.2</v>
      </c>
      <c r="AE78" s="75">
        <v>0</v>
      </c>
      <c r="AF78" s="75">
        <v>5</v>
      </c>
      <c r="AG78" s="65">
        <v>32</v>
      </c>
      <c r="AH78" s="48">
        <f t="shared" si="8"/>
        <v>25.8</v>
      </c>
      <c r="AI78" s="49">
        <f t="shared" si="9"/>
        <v>0</v>
      </c>
      <c r="AK78" s="51"/>
      <c r="AZ78" s="81">
        <f t="shared" si="37"/>
        <v>39</v>
      </c>
      <c r="BA78" s="81">
        <f t="shared" si="37"/>
        <v>5.6</v>
      </c>
      <c r="BB78" s="81">
        <f t="shared" si="37"/>
        <v>5.4</v>
      </c>
      <c r="BC78" s="81">
        <f t="shared" si="37"/>
        <v>5.2</v>
      </c>
      <c r="BD78" s="81">
        <f t="shared" si="37"/>
        <v>5.0999999999999996</v>
      </c>
      <c r="BE78" s="81">
        <f t="shared" si="37"/>
        <v>6.6</v>
      </c>
      <c r="BF78" s="81">
        <f t="shared" si="37"/>
        <v>7.9</v>
      </c>
      <c r="BG78" s="81">
        <f t="shared" si="37"/>
        <v>4.8</v>
      </c>
      <c r="BH78" s="81">
        <f t="shared" si="37"/>
        <v>3</v>
      </c>
      <c r="BI78" s="81">
        <f t="shared" si="37"/>
        <v>1</v>
      </c>
      <c r="BJ78" s="81">
        <f t="shared" si="37"/>
        <v>7.5</v>
      </c>
      <c r="BK78" s="81">
        <f t="shared" si="37"/>
        <v>32</v>
      </c>
      <c r="BL78" s="81">
        <f t="shared" si="37"/>
        <v>35.4</v>
      </c>
      <c r="BM78" s="81">
        <f t="shared" si="37"/>
        <v>40.5</v>
      </c>
      <c r="BN78" s="81">
        <f t="shared" si="37"/>
        <v>51.8</v>
      </c>
      <c r="BO78" s="81">
        <f t="shared" si="37"/>
        <v>47.3</v>
      </c>
      <c r="BP78" s="81">
        <f t="shared" si="37"/>
        <v>47</v>
      </c>
      <c r="BQ78" s="81">
        <f t="shared" si="37"/>
        <v>6.4</v>
      </c>
      <c r="BR78" s="81">
        <f t="shared" si="37"/>
        <v>8</v>
      </c>
      <c r="BS78" s="81">
        <f t="shared" si="37"/>
        <v>6.1</v>
      </c>
      <c r="BT78" s="81">
        <f t="shared" si="37"/>
        <v>23</v>
      </c>
      <c r="BU78" s="81">
        <f t="shared" si="37"/>
        <v>37</v>
      </c>
      <c r="BV78" s="81">
        <f t="shared" si="37"/>
        <v>57</v>
      </c>
      <c r="BW78" s="81">
        <f t="shared" si="37"/>
        <v>39</v>
      </c>
      <c r="BZ78" s="181">
        <v>68</v>
      </c>
      <c r="CA78" s="177">
        <v>0.69791666666666696</v>
      </c>
      <c r="CB78" s="182"/>
      <c r="CC78" s="182"/>
      <c r="CD78" s="182"/>
      <c r="CE78" s="182"/>
      <c r="CF78" s="182"/>
      <c r="CG78" s="172">
        <v>10</v>
      </c>
      <c r="CH78" s="183"/>
    </row>
    <row r="79" spans="1:86" ht="15.75" thickBot="1" x14ac:dyDescent="0.3">
      <c r="A79" s="83" t="s">
        <v>102</v>
      </c>
      <c r="B79" s="77">
        <v>0</v>
      </c>
      <c r="C79" s="77">
        <v>0</v>
      </c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>
        <v>4.5999999999999996</v>
      </c>
      <c r="X79" s="77">
        <v>5.9</v>
      </c>
      <c r="Y79" s="77">
        <v>6</v>
      </c>
      <c r="Z79" s="77">
        <v>5.8</v>
      </c>
      <c r="AA79" s="77">
        <v>5.8</v>
      </c>
      <c r="AB79" s="77">
        <v>9.4</v>
      </c>
      <c r="AC79" s="77">
        <v>4.5999999999999996</v>
      </c>
      <c r="AD79" s="77">
        <v>2.2999999999999998</v>
      </c>
      <c r="AE79" s="77">
        <v>0</v>
      </c>
      <c r="AF79" s="77">
        <v>1.7</v>
      </c>
      <c r="AG79" s="78">
        <v>14</v>
      </c>
      <c r="AH79" s="48">
        <f t="shared" si="8"/>
        <v>9.4</v>
      </c>
      <c r="AI79" s="49">
        <f t="shared" si="9"/>
        <v>0</v>
      </c>
      <c r="AK79" s="51"/>
      <c r="AZ79" s="81">
        <f t="shared" si="37"/>
        <v>140</v>
      </c>
      <c r="BA79" s="81">
        <f t="shared" si="37"/>
        <v>114.6</v>
      </c>
      <c r="BB79" s="81">
        <f t="shared" si="37"/>
        <v>109</v>
      </c>
      <c r="BC79" s="81">
        <f t="shared" si="37"/>
        <v>106.3</v>
      </c>
      <c r="BD79" s="81">
        <f t="shared" si="37"/>
        <v>90</v>
      </c>
      <c r="BE79" s="81">
        <f t="shared" si="37"/>
        <v>84.6</v>
      </c>
      <c r="BF79" s="81">
        <f t="shared" si="37"/>
        <v>78.900000000000006</v>
      </c>
      <c r="BG79" s="81">
        <f t="shared" si="37"/>
        <v>0</v>
      </c>
      <c r="BH79" s="81">
        <f t="shared" si="37"/>
        <v>0</v>
      </c>
      <c r="BI79" s="81">
        <f t="shared" si="37"/>
        <v>0</v>
      </c>
      <c r="BJ79" s="81">
        <f t="shared" si="37"/>
        <v>0</v>
      </c>
      <c r="BK79" s="81">
        <f t="shared" si="37"/>
        <v>98</v>
      </c>
      <c r="BL79" s="81">
        <f t="shared" si="37"/>
        <v>112.8</v>
      </c>
      <c r="BM79" s="81">
        <f t="shared" si="37"/>
        <v>100</v>
      </c>
      <c r="BN79" s="81">
        <f t="shared" si="37"/>
        <v>99.8</v>
      </c>
      <c r="BO79" s="81">
        <f t="shared" si="37"/>
        <v>98.6</v>
      </c>
      <c r="BP79" s="81">
        <f t="shared" si="37"/>
        <v>88</v>
      </c>
      <c r="BQ79" s="81">
        <f t="shared" si="37"/>
        <v>0</v>
      </c>
      <c r="BR79" s="81">
        <f t="shared" si="37"/>
        <v>0</v>
      </c>
      <c r="BS79" s="81">
        <f t="shared" si="37"/>
        <v>0</v>
      </c>
      <c r="BT79" s="81">
        <f t="shared" si="37"/>
        <v>0</v>
      </c>
      <c r="BU79" s="81">
        <f t="shared" si="37"/>
        <v>95</v>
      </c>
      <c r="BV79" s="81">
        <f t="shared" si="37"/>
        <v>0</v>
      </c>
      <c r="BW79" s="81">
        <f t="shared" si="37"/>
        <v>120</v>
      </c>
      <c r="BZ79" s="185">
        <v>69</v>
      </c>
      <c r="CA79" s="186">
        <v>0.70833333333333304</v>
      </c>
      <c r="CB79" s="187"/>
      <c r="CC79" s="187"/>
      <c r="CD79" s="187"/>
      <c r="CE79" s="187"/>
      <c r="CF79" s="187"/>
      <c r="CG79" s="172">
        <v>10</v>
      </c>
      <c r="CH79" s="172"/>
    </row>
    <row r="80" spans="1:86" ht="15.75" thickBot="1" x14ac:dyDescent="0.3">
      <c r="A80" s="86" t="s">
        <v>103</v>
      </c>
      <c r="B80" s="70">
        <f t="shared" ref="B80:AF80" si="38">B77+B78+B79</f>
        <v>0</v>
      </c>
      <c r="C80" s="70">
        <f t="shared" si="38"/>
        <v>0</v>
      </c>
      <c r="D80" s="70">
        <f t="shared" si="38"/>
        <v>0</v>
      </c>
      <c r="E80" s="70">
        <f t="shared" si="38"/>
        <v>0</v>
      </c>
      <c r="F80" s="70">
        <f t="shared" si="38"/>
        <v>0</v>
      </c>
      <c r="G80" s="70">
        <f t="shared" si="38"/>
        <v>0</v>
      </c>
      <c r="H80" s="70">
        <f t="shared" si="38"/>
        <v>0</v>
      </c>
      <c r="I80" s="70">
        <f t="shared" si="38"/>
        <v>0</v>
      </c>
      <c r="J80" s="70">
        <f t="shared" si="38"/>
        <v>0</v>
      </c>
      <c r="K80" s="70">
        <f t="shared" si="38"/>
        <v>0</v>
      </c>
      <c r="L80" s="70">
        <f t="shared" si="38"/>
        <v>0</v>
      </c>
      <c r="M80" s="70">
        <f t="shared" si="38"/>
        <v>0</v>
      </c>
      <c r="N80" s="70">
        <f t="shared" si="38"/>
        <v>0</v>
      </c>
      <c r="O80" s="70">
        <f t="shared" si="38"/>
        <v>0</v>
      </c>
      <c r="P80" s="70">
        <f t="shared" si="38"/>
        <v>0</v>
      </c>
      <c r="Q80" s="70">
        <f t="shared" si="38"/>
        <v>0</v>
      </c>
      <c r="R80" s="70">
        <f t="shared" si="38"/>
        <v>0</v>
      </c>
      <c r="S80" s="70">
        <f t="shared" si="38"/>
        <v>0</v>
      </c>
      <c r="T80" s="70">
        <f t="shared" si="38"/>
        <v>0</v>
      </c>
      <c r="U80" s="70">
        <f t="shared" si="38"/>
        <v>0</v>
      </c>
      <c r="V80" s="70">
        <f t="shared" si="38"/>
        <v>0</v>
      </c>
      <c r="W80" s="70">
        <f t="shared" si="38"/>
        <v>61.1</v>
      </c>
      <c r="X80" s="70">
        <f t="shared" si="38"/>
        <v>57</v>
      </c>
      <c r="Y80" s="70">
        <f t="shared" si="38"/>
        <v>57.6</v>
      </c>
      <c r="Z80" s="70">
        <f t="shared" si="38"/>
        <v>61.599999999999994</v>
      </c>
      <c r="AA80" s="70">
        <f t="shared" si="38"/>
        <v>72.099999999999994</v>
      </c>
      <c r="AB80" s="70">
        <f t="shared" si="38"/>
        <v>85.2</v>
      </c>
      <c r="AC80" s="70">
        <f t="shared" si="38"/>
        <v>47.1</v>
      </c>
      <c r="AD80" s="70">
        <f t="shared" si="38"/>
        <v>8.5</v>
      </c>
      <c r="AE80" s="70">
        <f t="shared" si="38"/>
        <v>0</v>
      </c>
      <c r="AF80" s="70">
        <f t="shared" si="38"/>
        <v>6.7</v>
      </c>
      <c r="AG80" s="71">
        <f>SUM(AG77:AG79)</f>
        <v>106</v>
      </c>
      <c r="AH80" s="48">
        <f t="shared" si="8"/>
        <v>85.2</v>
      </c>
      <c r="AI80" s="49">
        <f t="shared" si="9"/>
        <v>0</v>
      </c>
      <c r="AK80" s="51"/>
      <c r="AZ80" s="81">
        <f t="shared" si="37"/>
        <v>50</v>
      </c>
      <c r="BA80" s="81">
        <f t="shared" si="37"/>
        <v>52</v>
      </c>
      <c r="BB80" s="81">
        <f t="shared" si="37"/>
        <v>56</v>
      </c>
      <c r="BC80" s="81">
        <f t="shared" si="37"/>
        <v>59</v>
      </c>
      <c r="BD80" s="81">
        <f t="shared" si="37"/>
        <v>52</v>
      </c>
      <c r="BE80" s="81">
        <f t="shared" si="37"/>
        <v>69</v>
      </c>
      <c r="BF80" s="81">
        <f t="shared" si="37"/>
        <v>68</v>
      </c>
      <c r="BG80" s="81">
        <f t="shared" si="37"/>
        <v>62</v>
      </c>
      <c r="BH80" s="81">
        <f t="shared" si="37"/>
        <v>70.900000000000006</v>
      </c>
      <c r="BI80" s="81">
        <f t="shared" si="37"/>
        <v>72</v>
      </c>
      <c r="BJ80" s="81">
        <f t="shared" si="37"/>
        <v>76</v>
      </c>
      <c r="BK80" s="81">
        <f t="shared" si="37"/>
        <v>71</v>
      </c>
      <c r="BL80" s="81">
        <f t="shared" si="37"/>
        <v>72</v>
      </c>
      <c r="BM80" s="81">
        <f t="shared" si="37"/>
        <v>77</v>
      </c>
      <c r="BN80" s="81">
        <f t="shared" si="37"/>
        <v>85</v>
      </c>
      <c r="BO80" s="81">
        <f t="shared" si="37"/>
        <v>73</v>
      </c>
      <c r="BP80" s="81">
        <f t="shared" si="37"/>
        <v>60</v>
      </c>
      <c r="BQ80" s="81">
        <f t="shared" si="37"/>
        <v>77</v>
      </c>
      <c r="BR80" s="81">
        <f t="shared" si="37"/>
        <v>76.5</v>
      </c>
      <c r="BS80" s="81">
        <f t="shared" si="37"/>
        <v>62</v>
      </c>
      <c r="BT80" s="81">
        <f t="shared" si="37"/>
        <v>64</v>
      </c>
      <c r="BU80" s="81">
        <f t="shared" si="37"/>
        <v>74</v>
      </c>
      <c r="BV80" s="81">
        <f t="shared" si="37"/>
        <v>74</v>
      </c>
      <c r="BW80" s="81">
        <f t="shared" si="37"/>
        <v>62</v>
      </c>
      <c r="BZ80" s="181">
        <v>70</v>
      </c>
      <c r="CA80" s="177">
        <v>0.71875</v>
      </c>
      <c r="CB80" s="182"/>
      <c r="CC80" s="182"/>
      <c r="CD80" s="182"/>
      <c r="CE80" s="182"/>
      <c r="CF80" s="182"/>
      <c r="CG80" s="172">
        <v>10</v>
      </c>
      <c r="CH80" s="183"/>
    </row>
    <row r="81" spans="1:86" x14ac:dyDescent="0.25">
      <c r="A81" s="45" t="s">
        <v>104</v>
      </c>
      <c r="B81" s="46">
        <v>48</v>
      </c>
      <c r="C81" s="46">
        <v>55</v>
      </c>
      <c r="D81" s="46">
        <v>56.8</v>
      </c>
      <c r="E81" s="46">
        <v>51</v>
      </c>
      <c r="F81" s="46">
        <v>54.2</v>
      </c>
      <c r="G81" s="46">
        <v>56.3</v>
      </c>
      <c r="H81" s="46">
        <v>54.5</v>
      </c>
      <c r="I81" s="46">
        <v>56.6</v>
      </c>
      <c r="J81" s="46">
        <v>50.064999999999998</v>
      </c>
      <c r="K81" s="46">
        <v>63</v>
      </c>
      <c r="L81" s="46">
        <v>57.9</v>
      </c>
      <c r="M81" s="46">
        <v>44.7</v>
      </c>
      <c r="N81" s="46">
        <v>49</v>
      </c>
      <c r="O81" s="46">
        <v>51.2</v>
      </c>
      <c r="P81" s="46">
        <v>47.8</v>
      </c>
      <c r="Q81" s="46">
        <v>47.4</v>
      </c>
      <c r="R81" s="46">
        <v>59.6</v>
      </c>
      <c r="S81" s="46">
        <v>67.5</v>
      </c>
      <c r="T81" s="46">
        <v>72.400000000000006</v>
      </c>
      <c r="U81" s="46">
        <v>46.3</v>
      </c>
      <c r="V81" s="46">
        <v>54</v>
      </c>
      <c r="W81" s="46">
        <v>55.6</v>
      </c>
      <c r="X81" s="46">
        <v>58.1</v>
      </c>
      <c r="Y81" s="46">
        <v>47.1</v>
      </c>
      <c r="Z81" s="46">
        <v>43.4</v>
      </c>
      <c r="AA81" s="46">
        <v>54.3</v>
      </c>
      <c r="AB81" s="46">
        <v>49.2</v>
      </c>
      <c r="AC81" s="46">
        <v>66</v>
      </c>
      <c r="AD81" s="46">
        <v>57</v>
      </c>
      <c r="AE81" s="46">
        <v>62</v>
      </c>
      <c r="AF81" s="46">
        <v>62.3</v>
      </c>
      <c r="AG81" s="60"/>
      <c r="AH81" s="48">
        <f t="shared" si="8"/>
        <v>72.400000000000006</v>
      </c>
      <c r="AI81" s="49">
        <f t="shared" si="9"/>
        <v>43.4</v>
      </c>
      <c r="AK81" s="51"/>
      <c r="AY81" s="81"/>
      <c r="BZ81" s="185">
        <v>71</v>
      </c>
      <c r="CA81" s="186">
        <v>0.72916666666666696</v>
      </c>
      <c r="CB81" s="187"/>
      <c r="CC81" s="187"/>
      <c r="CD81" s="187"/>
      <c r="CE81" s="187"/>
      <c r="CF81" s="187"/>
      <c r="CG81" s="172">
        <v>10</v>
      </c>
      <c r="CH81" s="172"/>
    </row>
    <row r="82" spans="1:86" x14ac:dyDescent="0.25">
      <c r="A82" s="64" t="s">
        <v>105</v>
      </c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65"/>
      <c r="AH82" s="48">
        <f t="shared" ref="AH82:AH123" si="39">MAX(B82:AF82)</f>
        <v>0</v>
      </c>
      <c r="AI82" s="49">
        <f t="shared" ref="AI82:AI123" si="40">MIN(B82:AF82)</f>
        <v>0</v>
      </c>
      <c r="AK82" s="51"/>
      <c r="AY82" s="81"/>
      <c r="BF82" s="81"/>
      <c r="BG82" s="81"/>
      <c r="BH82" s="81"/>
      <c r="BI82" s="81"/>
      <c r="BJ82" s="81"/>
      <c r="BK82" s="81"/>
      <c r="BZ82" s="181">
        <v>72</v>
      </c>
      <c r="CA82" s="177">
        <v>0.73958333333333304</v>
      </c>
      <c r="CB82" s="182"/>
      <c r="CC82" s="182"/>
      <c r="CD82" s="182"/>
      <c r="CE82" s="182"/>
      <c r="CF82" s="182"/>
      <c r="CG82" s="172">
        <v>30</v>
      </c>
      <c r="CH82" s="183"/>
    </row>
    <row r="83" spans="1:86" x14ac:dyDescent="0.25">
      <c r="A83" s="64" t="s">
        <v>106</v>
      </c>
      <c r="B83" s="75">
        <v>402</v>
      </c>
      <c r="C83" s="75">
        <v>400</v>
      </c>
      <c r="D83" s="75">
        <v>411</v>
      </c>
      <c r="E83" s="75">
        <v>410</v>
      </c>
      <c r="F83" s="75">
        <v>426</v>
      </c>
      <c r="G83" s="75">
        <v>465</v>
      </c>
      <c r="H83" s="75">
        <v>469</v>
      </c>
      <c r="I83" s="75">
        <v>456</v>
      </c>
      <c r="J83" s="75">
        <v>421</v>
      </c>
      <c r="K83" s="75">
        <v>416</v>
      </c>
      <c r="L83" s="75">
        <v>418</v>
      </c>
      <c r="M83" s="75">
        <v>150</v>
      </c>
      <c r="N83" s="75">
        <v>418.6</v>
      </c>
      <c r="O83" s="75">
        <v>415</v>
      </c>
      <c r="P83" s="75">
        <v>434.4</v>
      </c>
      <c r="Q83" s="75">
        <v>433.4</v>
      </c>
      <c r="R83" s="75">
        <v>457</v>
      </c>
      <c r="S83" s="75">
        <v>466.5</v>
      </c>
      <c r="T83" s="75">
        <v>471.5</v>
      </c>
      <c r="U83" s="75">
        <v>498.2</v>
      </c>
      <c r="V83" s="75">
        <v>483</v>
      </c>
      <c r="W83" s="75">
        <v>453.9</v>
      </c>
      <c r="X83" s="75">
        <v>441.2</v>
      </c>
      <c r="Y83" s="75">
        <v>307.3</v>
      </c>
      <c r="Z83" s="75">
        <v>221.5</v>
      </c>
      <c r="AA83" s="75">
        <v>337.1</v>
      </c>
      <c r="AB83" s="75">
        <v>262</v>
      </c>
      <c r="AC83" s="75">
        <v>386</v>
      </c>
      <c r="AD83" s="75">
        <v>385</v>
      </c>
      <c r="AE83" s="75">
        <v>395</v>
      </c>
      <c r="AF83" s="75">
        <v>405</v>
      </c>
      <c r="AG83" s="87"/>
      <c r="AH83" s="48">
        <f t="shared" si="39"/>
        <v>498.2</v>
      </c>
      <c r="AI83" s="49">
        <f t="shared" si="40"/>
        <v>150</v>
      </c>
      <c r="AK83" s="51"/>
      <c r="AY83" s="81"/>
      <c r="BF83" s="80"/>
      <c r="BG83" s="80"/>
      <c r="BH83" s="80"/>
      <c r="BI83" s="80"/>
      <c r="BJ83" s="80"/>
      <c r="BK83" s="81"/>
      <c r="BZ83" s="185">
        <v>73</v>
      </c>
      <c r="CA83" s="186">
        <v>0.75</v>
      </c>
      <c r="CB83" s="187"/>
      <c r="CC83" s="187"/>
      <c r="CD83" s="187"/>
      <c r="CE83" s="187"/>
      <c r="CF83" s="187"/>
      <c r="CG83" s="172">
        <v>65</v>
      </c>
      <c r="CH83" s="172"/>
    </row>
    <row r="84" spans="1:86" x14ac:dyDescent="0.25">
      <c r="A84" s="64" t="s">
        <v>107</v>
      </c>
      <c r="B84" s="75">
        <v>39</v>
      </c>
      <c r="C84" s="75">
        <v>39</v>
      </c>
      <c r="D84" s="75">
        <v>5.6</v>
      </c>
      <c r="E84" s="88">
        <v>5.4</v>
      </c>
      <c r="F84" s="88">
        <v>5.2</v>
      </c>
      <c r="G84" s="88">
        <v>5.0999999999999996</v>
      </c>
      <c r="H84" s="88">
        <v>5.2</v>
      </c>
      <c r="I84" s="88">
        <v>6.6</v>
      </c>
      <c r="J84" s="88">
        <v>7.7</v>
      </c>
      <c r="K84" s="88">
        <v>7.9</v>
      </c>
      <c r="L84" s="88">
        <v>7.4</v>
      </c>
      <c r="M84" s="88">
        <v>4.8</v>
      </c>
      <c r="N84" s="88">
        <v>3</v>
      </c>
      <c r="O84" s="88">
        <v>1</v>
      </c>
      <c r="P84" s="88">
        <v>7.5</v>
      </c>
      <c r="Q84" s="88">
        <v>32</v>
      </c>
      <c r="R84" s="88">
        <v>35.4</v>
      </c>
      <c r="S84" s="88">
        <v>40.5</v>
      </c>
      <c r="T84" s="88">
        <v>51.8</v>
      </c>
      <c r="U84" s="88">
        <v>47.3</v>
      </c>
      <c r="V84" s="88">
        <v>47</v>
      </c>
      <c r="W84" s="88">
        <v>6.1</v>
      </c>
      <c r="X84" s="88">
        <v>6.4</v>
      </c>
      <c r="Y84" s="88">
        <v>7.8</v>
      </c>
      <c r="Z84" s="88">
        <v>8</v>
      </c>
      <c r="AA84" s="88">
        <v>6.7</v>
      </c>
      <c r="AB84" s="88">
        <v>6.1</v>
      </c>
      <c r="AC84" s="88">
        <v>5.9</v>
      </c>
      <c r="AD84" s="88">
        <v>23</v>
      </c>
      <c r="AE84" s="88">
        <v>37</v>
      </c>
      <c r="AF84" s="88">
        <v>57</v>
      </c>
      <c r="AG84" s="87"/>
      <c r="AH84" s="48">
        <f t="shared" si="39"/>
        <v>57</v>
      </c>
      <c r="AI84" s="49">
        <f t="shared" si="40"/>
        <v>1</v>
      </c>
      <c r="AK84" s="51"/>
      <c r="AY84" s="81"/>
      <c r="BF84" s="80"/>
      <c r="BG84" s="81">
        <f t="array" ref="BG84:BL107">TRANSPOSE(AZ68:BW73)</f>
        <v>55</v>
      </c>
      <c r="BH84" s="81">
        <v>0</v>
      </c>
      <c r="BI84" s="81">
        <v>400</v>
      </c>
      <c r="BJ84" s="81">
        <v>39</v>
      </c>
      <c r="BK84" s="81">
        <v>140</v>
      </c>
      <c r="BL84" s="81">
        <v>50</v>
      </c>
      <c r="BZ84" s="181">
        <v>74</v>
      </c>
      <c r="CA84" s="177">
        <v>0.76041666666666696</v>
      </c>
      <c r="CB84" s="182"/>
      <c r="CC84" s="182"/>
      <c r="CD84" s="182"/>
      <c r="CE84" s="182"/>
      <c r="CF84" s="182"/>
      <c r="CG84" s="172">
        <v>65</v>
      </c>
      <c r="CH84" s="183"/>
    </row>
    <row r="85" spans="1:86" x14ac:dyDescent="0.25">
      <c r="A85" s="64" t="s">
        <v>108</v>
      </c>
      <c r="B85" s="46">
        <v>120</v>
      </c>
      <c r="C85" s="46">
        <v>140</v>
      </c>
      <c r="D85" s="46">
        <v>114.6</v>
      </c>
      <c r="E85" s="46">
        <v>109</v>
      </c>
      <c r="F85" s="46">
        <v>106.3</v>
      </c>
      <c r="G85" s="46">
        <v>90</v>
      </c>
      <c r="H85" s="46">
        <v>91</v>
      </c>
      <c r="I85" s="46">
        <v>84.6</v>
      </c>
      <c r="J85" s="46">
        <v>93.6</v>
      </c>
      <c r="K85" s="46">
        <v>78.900000000000006</v>
      </c>
      <c r="L85" s="46">
        <v>62</v>
      </c>
      <c r="M85" s="46"/>
      <c r="N85" s="46">
        <v>0</v>
      </c>
      <c r="O85" s="46">
        <v>0</v>
      </c>
      <c r="P85" s="46">
        <v>0</v>
      </c>
      <c r="Q85" s="46">
        <v>98</v>
      </c>
      <c r="R85" s="46">
        <v>112.8</v>
      </c>
      <c r="S85" s="46">
        <v>100</v>
      </c>
      <c r="T85" s="46">
        <v>99.8</v>
      </c>
      <c r="U85" s="46">
        <v>98.6</v>
      </c>
      <c r="V85" s="46">
        <v>88</v>
      </c>
      <c r="W85" s="46">
        <v>0</v>
      </c>
      <c r="X85" s="46">
        <v>0</v>
      </c>
      <c r="Y85" s="46">
        <v>0</v>
      </c>
      <c r="Z85" s="46">
        <v>0</v>
      </c>
      <c r="AA85" s="46">
        <v>0</v>
      </c>
      <c r="AB85" s="46">
        <v>0</v>
      </c>
      <c r="AC85" s="46">
        <v>0</v>
      </c>
      <c r="AD85" s="46">
        <v>0</v>
      </c>
      <c r="AE85" s="46">
        <v>95</v>
      </c>
      <c r="AF85" s="46">
        <v>0</v>
      </c>
      <c r="AG85" s="87"/>
      <c r="AH85" s="48">
        <f t="shared" si="39"/>
        <v>140</v>
      </c>
      <c r="AI85" s="49">
        <f t="shared" si="40"/>
        <v>0</v>
      </c>
      <c r="AK85" s="51"/>
      <c r="AY85" s="81"/>
      <c r="BF85" s="80"/>
      <c r="BG85" s="81">
        <v>56.8</v>
      </c>
      <c r="BH85" s="81">
        <v>0</v>
      </c>
      <c r="BI85" s="81">
        <v>411</v>
      </c>
      <c r="BJ85" s="81">
        <v>5.6</v>
      </c>
      <c r="BK85" s="81">
        <v>114.6</v>
      </c>
      <c r="BL85" s="81">
        <v>52</v>
      </c>
      <c r="BZ85" s="185">
        <v>75</v>
      </c>
      <c r="CA85" s="186">
        <v>0.77083333333333304</v>
      </c>
      <c r="CB85" s="187"/>
      <c r="CC85" s="187"/>
      <c r="CD85" s="187"/>
      <c r="CE85" s="187"/>
      <c r="CF85" s="187"/>
      <c r="CG85" s="172">
        <v>65</v>
      </c>
      <c r="CH85" s="172"/>
    </row>
    <row r="86" spans="1:86" x14ac:dyDescent="0.25">
      <c r="A86" s="64" t="s">
        <v>109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7"/>
      <c r="AH86" s="48">
        <f t="shared" si="39"/>
        <v>0</v>
      </c>
      <c r="AI86" s="49">
        <f t="shared" si="40"/>
        <v>0</v>
      </c>
      <c r="AK86" s="51"/>
      <c r="AY86" s="81"/>
      <c r="BF86" s="80"/>
      <c r="BG86" s="81">
        <v>51</v>
      </c>
      <c r="BH86" s="81">
        <v>0</v>
      </c>
      <c r="BI86" s="81">
        <v>410</v>
      </c>
      <c r="BJ86" s="81">
        <v>5.4</v>
      </c>
      <c r="BK86" s="81">
        <v>109</v>
      </c>
      <c r="BL86" s="81">
        <v>56</v>
      </c>
      <c r="BZ86" s="181">
        <v>76</v>
      </c>
      <c r="CA86" s="177">
        <v>0.78125</v>
      </c>
      <c r="CB86" s="182"/>
      <c r="CC86" s="182"/>
      <c r="CD86" s="182"/>
      <c r="CE86" s="182"/>
      <c r="CF86" s="182"/>
      <c r="CG86" s="172">
        <v>65</v>
      </c>
      <c r="CH86" s="183"/>
    </row>
    <row r="87" spans="1:86" ht="15.75" thickBot="1" x14ac:dyDescent="0.3">
      <c r="A87" s="64" t="s">
        <v>110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7"/>
      <c r="AH87" s="48">
        <f t="shared" si="39"/>
        <v>0</v>
      </c>
      <c r="AI87" s="49">
        <f t="shared" si="40"/>
        <v>0</v>
      </c>
      <c r="AK87" s="51"/>
      <c r="AL87" s="90" t="s">
        <v>111</v>
      </c>
      <c r="AM87" s="90"/>
      <c r="AY87" s="81"/>
      <c r="BF87" s="81"/>
      <c r="BG87" s="81">
        <v>54.2</v>
      </c>
      <c r="BH87" s="81">
        <v>0</v>
      </c>
      <c r="BI87" s="81">
        <v>426</v>
      </c>
      <c r="BJ87" s="81">
        <v>5.2</v>
      </c>
      <c r="BK87" s="81">
        <v>106.3</v>
      </c>
      <c r="BL87" s="81">
        <v>59</v>
      </c>
      <c r="BZ87" s="185">
        <v>77</v>
      </c>
      <c r="CA87" s="186">
        <v>0.79166666666666696</v>
      </c>
      <c r="CB87" s="187"/>
      <c r="CC87" s="187"/>
      <c r="CD87" s="187"/>
      <c r="CE87" s="187"/>
      <c r="CF87" s="187"/>
      <c r="CG87" s="172">
        <v>65</v>
      </c>
      <c r="CH87" s="172"/>
    </row>
    <row r="88" spans="1:86" x14ac:dyDescent="0.25">
      <c r="A88" s="64" t="s">
        <v>112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7"/>
      <c r="AH88" s="48">
        <f t="shared" si="39"/>
        <v>0</v>
      </c>
      <c r="AI88" s="49">
        <f t="shared" si="40"/>
        <v>0</v>
      </c>
      <c r="AK88" s="91"/>
      <c r="AL88" s="92"/>
      <c r="AM88" s="92"/>
      <c r="AN88" s="93"/>
      <c r="AY88" s="81"/>
      <c r="BF88" s="81"/>
      <c r="BG88" s="81">
        <v>56.3</v>
      </c>
      <c r="BH88" s="81">
        <v>0</v>
      </c>
      <c r="BI88" s="81">
        <v>465</v>
      </c>
      <c r="BJ88" s="81">
        <v>5.0999999999999996</v>
      </c>
      <c r="BK88" s="81">
        <v>90</v>
      </c>
      <c r="BL88" s="81">
        <v>52</v>
      </c>
      <c r="BZ88" s="181">
        <v>78</v>
      </c>
      <c r="CA88" s="177">
        <v>0.80208333333333304</v>
      </c>
      <c r="CB88" s="182"/>
      <c r="CC88" s="182"/>
      <c r="CD88" s="182"/>
      <c r="CE88" s="182"/>
      <c r="CF88" s="182"/>
      <c r="CG88" s="172">
        <v>65</v>
      </c>
      <c r="CH88" s="183"/>
    </row>
    <row r="89" spans="1:86" x14ac:dyDescent="0.25">
      <c r="A89" s="64" t="s">
        <v>113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7"/>
      <c r="AH89" s="48">
        <f t="shared" si="39"/>
        <v>0</v>
      </c>
      <c r="AI89" s="49">
        <f t="shared" si="40"/>
        <v>0</v>
      </c>
      <c r="AK89" s="94" t="s">
        <v>114</v>
      </c>
      <c r="AL89" s="75"/>
      <c r="AM89" s="88"/>
      <c r="AN89" s="95"/>
      <c r="AY89" s="81"/>
      <c r="BF89" s="81"/>
      <c r="BG89" s="81">
        <v>56.6</v>
      </c>
      <c r="BH89" s="81">
        <v>0</v>
      </c>
      <c r="BI89" s="81">
        <v>456</v>
      </c>
      <c r="BJ89" s="81">
        <v>6.6</v>
      </c>
      <c r="BK89" s="81">
        <v>84.6</v>
      </c>
      <c r="BL89" s="81">
        <v>69</v>
      </c>
      <c r="BZ89" s="185">
        <v>79</v>
      </c>
      <c r="CA89" s="186">
        <v>0.8125</v>
      </c>
      <c r="CB89" s="187"/>
      <c r="CC89" s="187"/>
      <c r="CD89" s="187"/>
      <c r="CE89" s="187"/>
      <c r="CF89" s="187"/>
      <c r="CG89" s="172">
        <v>65</v>
      </c>
      <c r="CH89" s="172"/>
    </row>
    <row r="90" spans="1:86" x14ac:dyDescent="0.25">
      <c r="A90" s="96" t="s">
        <v>115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97"/>
      <c r="AH90" s="48">
        <f t="shared" si="39"/>
        <v>0</v>
      </c>
      <c r="AI90" s="49">
        <f t="shared" si="40"/>
        <v>0</v>
      </c>
      <c r="AK90" s="94" t="s">
        <v>116</v>
      </c>
      <c r="AL90" s="88"/>
      <c r="AM90" s="88"/>
      <c r="AN90" s="95"/>
      <c r="AY90" s="81"/>
      <c r="BF90" s="81"/>
      <c r="BG90" s="81">
        <v>63</v>
      </c>
      <c r="BH90" s="81">
        <v>0</v>
      </c>
      <c r="BI90" s="81">
        <v>416</v>
      </c>
      <c r="BJ90" s="81">
        <v>7.9</v>
      </c>
      <c r="BK90" s="81">
        <v>78.900000000000006</v>
      </c>
      <c r="BL90" s="81">
        <v>68</v>
      </c>
      <c r="BZ90" s="181">
        <v>80</v>
      </c>
      <c r="CA90" s="177">
        <v>0.82291666666666696</v>
      </c>
      <c r="CB90" s="182"/>
      <c r="CC90" s="182"/>
      <c r="CD90" s="182"/>
      <c r="CE90" s="182"/>
      <c r="CF90" s="182"/>
      <c r="CG90" s="172">
        <v>65</v>
      </c>
      <c r="CH90" s="183"/>
    </row>
    <row r="91" spans="1:86" ht="15.75" thickBot="1" x14ac:dyDescent="0.3">
      <c r="A91" s="96" t="s">
        <v>117</v>
      </c>
      <c r="B91" s="89">
        <v>62</v>
      </c>
      <c r="C91" s="89">
        <v>50</v>
      </c>
      <c r="D91" s="89">
        <v>52</v>
      </c>
      <c r="E91" s="89">
        <v>56</v>
      </c>
      <c r="F91" s="89">
        <v>59</v>
      </c>
      <c r="G91" s="89">
        <v>52</v>
      </c>
      <c r="H91" s="89">
        <v>48.6</v>
      </c>
      <c r="I91" s="89">
        <v>69</v>
      </c>
      <c r="J91" s="89">
        <v>69</v>
      </c>
      <c r="K91" s="89">
        <v>68</v>
      </c>
      <c r="L91" s="89">
        <v>62.6</v>
      </c>
      <c r="M91" s="89">
        <v>62</v>
      </c>
      <c r="N91" s="89">
        <v>70.900000000000006</v>
      </c>
      <c r="O91" s="89">
        <v>72</v>
      </c>
      <c r="P91" s="89">
        <v>76</v>
      </c>
      <c r="Q91" s="89">
        <v>71</v>
      </c>
      <c r="R91" s="89">
        <v>72</v>
      </c>
      <c r="S91" s="89">
        <v>77</v>
      </c>
      <c r="T91" s="89">
        <v>85</v>
      </c>
      <c r="U91" s="89">
        <v>73</v>
      </c>
      <c r="V91" s="89">
        <v>60</v>
      </c>
      <c r="W91" s="89">
        <v>79</v>
      </c>
      <c r="X91" s="89">
        <v>77</v>
      </c>
      <c r="Y91" s="89">
        <v>75</v>
      </c>
      <c r="Z91" s="89">
        <v>76.5</v>
      </c>
      <c r="AA91" s="89">
        <v>68</v>
      </c>
      <c r="AB91" s="89">
        <v>62</v>
      </c>
      <c r="AC91" s="89">
        <v>62</v>
      </c>
      <c r="AD91" s="89">
        <v>64</v>
      </c>
      <c r="AE91" s="89">
        <v>74</v>
      </c>
      <c r="AF91" s="89">
        <v>74</v>
      </c>
      <c r="AG91" s="97"/>
      <c r="AH91" s="48">
        <f t="shared" si="39"/>
        <v>85</v>
      </c>
      <c r="AI91" s="49">
        <f t="shared" si="40"/>
        <v>48.6</v>
      </c>
      <c r="AK91" s="98"/>
      <c r="AL91" s="46"/>
      <c r="AM91" s="46"/>
      <c r="AN91" s="99"/>
      <c r="AY91" s="81"/>
      <c r="BF91" s="81"/>
      <c r="BG91" s="81">
        <v>44.7</v>
      </c>
      <c r="BH91" s="81">
        <v>0</v>
      </c>
      <c r="BI91" s="81">
        <v>150</v>
      </c>
      <c r="BJ91" s="81">
        <v>4.8</v>
      </c>
      <c r="BK91" s="81">
        <v>0</v>
      </c>
      <c r="BL91" s="81">
        <v>62</v>
      </c>
      <c r="BZ91" s="181">
        <v>81</v>
      </c>
      <c r="CA91" s="177">
        <v>0.83333333333333304</v>
      </c>
      <c r="CB91" s="182"/>
      <c r="CC91" s="182"/>
      <c r="CD91" s="182"/>
      <c r="CE91" s="182"/>
      <c r="CF91" s="182"/>
      <c r="CG91" s="172">
        <v>65</v>
      </c>
      <c r="CH91" s="183"/>
    </row>
    <row r="92" spans="1:86" ht="15.75" thickBot="1" x14ac:dyDescent="0.3">
      <c r="A92" s="86" t="s">
        <v>118</v>
      </c>
      <c r="B92" s="70">
        <f t="shared" ref="B92:AF92" si="41">SUMIF(B81:B91,"&gt;0")</f>
        <v>671</v>
      </c>
      <c r="C92" s="70">
        <f t="shared" si="41"/>
        <v>684</v>
      </c>
      <c r="D92" s="70">
        <f t="shared" si="41"/>
        <v>640</v>
      </c>
      <c r="E92" s="70">
        <f t="shared" si="41"/>
        <v>631.4</v>
      </c>
      <c r="F92" s="70">
        <f t="shared" si="41"/>
        <v>650.69999999999993</v>
      </c>
      <c r="G92" s="70">
        <f t="shared" si="41"/>
        <v>668.4</v>
      </c>
      <c r="H92" s="70">
        <f t="shared" si="41"/>
        <v>668.30000000000007</v>
      </c>
      <c r="I92" s="70">
        <f t="shared" si="41"/>
        <v>672.80000000000007</v>
      </c>
      <c r="J92" s="70">
        <f t="shared" si="41"/>
        <v>641.36500000000001</v>
      </c>
      <c r="K92" s="70">
        <f t="shared" si="41"/>
        <v>633.79999999999995</v>
      </c>
      <c r="L92" s="70">
        <f t="shared" si="41"/>
        <v>607.9</v>
      </c>
      <c r="M92" s="70">
        <f t="shared" si="41"/>
        <v>261.5</v>
      </c>
      <c r="N92" s="70">
        <f t="shared" si="41"/>
        <v>541.5</v>
      </c>
      <c r="O92" s="70">
        <f t="shared" si="41"/>
        <v>539.20000000000005</v>
      </c>
      <c r="P92" s="70">
        <f t="shared" si="41"/>
        <v>565.70000000000005</v>
      </c>
      <c r="Q92" s="70">
        <f t="shared" si="41"/>
        <v>681.8</v>
      </c>
      <c r="R92" s="70">
        <f t="shared" si="41"/>
        <v>736.8</v>
      </c>
      <c r="S92" s="70">
        <f t="shared" si="41"/>
        <v>751.5</v>
      </c>
      <c r="T92" s="70">
        <f t="shared" si="41"/>
        <v>780.49999999999989</v>
      </c>
      <c r="U92" s="70">
        <f t="shared" si="41"/>
        <v>763.4</v>
      </c>
      <c r="V92" s="70">
        <f t="shared" si="41"/>
        <v>732</v>
      </c>
      <c r="W92" s="70">
        <f t="shared" si="41"/>
        <v>594.6</v>
      </c>
      <c r="X92" s="70">
        <f t="shared" si="41"/>
        <v>582.70000000000005</v>
      </c>
      <c r="Y92" s="70">
        <f t="shared" si="41"/>
        <v>437.20000000000005</v>
      </c>
      <c r="Z92" s="70">
        <f t="shared" si="41"/>
        <v>349.4</v>
      </c>
      <c r="AA92" s="70">
        <f t="shared" si="41"/>
        <v>466.1</v>
      </c>
      <c r="AB92" s="70">
        <f t="shared" si="41"/>
        <v>379.3</v>
      </c>
      <c r="AC92" s="70">
        <f t="shared" si="41"/>
        <v>519.9</v>
      </c>
      <c r="AD92" s="70">
        <f t="shared" si="41"/>
        <v>529</v>
      </c>
      <c r="AE92" s="70">
        <f t="shared" si="41"/>
        <v>663</v>
      </c>
      <c r="AF92" s="70">
        <f t="shared" si="41"/>
        <v>598.29999999999995</v>
      </c>
      <c r="AG92" s="100">
        <f>SUM(AG81:AG91)</f>
        <v>0</v>
      </c>
      <c r="AH92" s="48">
        <f t="shared" si="39"/>
        <v>780.49999999999989</v>
      </c>
      <c r="AI92" s="49">
        <f t="shared" si="40"/>
        <v>261.5</v>
      </c>
      <c r="AK92" s="98"/>
      <c r="AL92" s="89"/>
      <c r="AM92" s="101"/>
      <c r="AN92" s="202"/>
      <c r="AY92" s="81"/>
      <c r="BF92" s="81"/>
      <c r="BG92" s="81">
        <v>49</v>
      </c>
      <c r="BH92" s="81">
        <v>0</v>
      </c>
      <c r="BI92" s="81">
        <v>418.6</v>
      </c>
      <c r="BJ92" s="81">
        <v>3</v>
      </c>
      <c r="BK92" s="81">
        <v>0</v>
      </c>
      <c r="BL92" s="81">
        <v>70.900000000000006</v>
      </c>
      <c r="BZ92" s="181">
        <v>82</v>
      </c>
      <c r="CA92" s="177">
        <v>0.84375</v>
      </c>
      <c r="CB92" s="182"/>
      <c r="CC92" s="182"/>
      <c r="CD92" s="182"/>
      <c r="CE92" s="182"/>
      <c r="CF92" s="182"/>
      <c r="CG92" s="172">
        <v>65</v>
      </c>
      <c r="CH92" s="183"/>
    </row>
    <row r="93" spans="1:86" x14ac:dyDescent="0.25">
      <c r="A93" s="45" t="s">
        <v>119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39"/>
        <v>0</v>
      </c>
      <c r="AI93" s="49">
        <f t="shared" si="40"/>
        <v>0</v>
      </c>
      <c r="AK93" s="98"/>
      <c r="AL93" s="89"/>
      <c r="AM93" s="89"/>
      <c r="AN93" s="203"/>
      <c r="BF93" s="81"/>
      <c r="BG93" s="81">
        <v>51.2</v>
      </c>
      <c r="BH93" s="81">
        <v>0</v>
      </c>
      <c r="BI93" s="81">
        <v>415</v>
      </c>
      <c r="BJ93" s="81">
        <v>1</v>
      </c>
      <c r="BK93" s="81">
        <v>0</v>
      </c>
      <c r="BL93" s="81">
        <v>72</v>
      </c>
      <c r="BZ93" s="181">
        <v>83</v>
      </c>
      <c r="CA93" s="177">
        <v>0.85416666666666696</v>
      </c>
      <c r="CB93" s="182"/>
      <c r="CC93" s="182"/>
      <c r="CD93" s="182"/>
      <c r="CE93" s="182"/>
      <c r="CF93" s="182"/>
      <c r="CG93" s="172">
        <v>65</v>
      </c>
      <c r="CH93" s="183"/>
    </row>
    <row r="94" spans="1:86" ht="15.75" thickBot="1" x14ac:dyDescent="0.3">
      <c r="A94" s="64" t="s">
        <v>120</v>
      </c>
      <c r="B94" s="89">
        <v>0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39"/>
        <v>0</v>
      </c>
      <c r="AI94" s="49">
        <f t="shared" si="40"/>
        <v>0</v>
      </c>
      <c r="AK94" s="103"/>
      <c r="AL94" s="104"/>
      <c r="AM94" s="104"/>
      <c r="AN94" s="105"/>
      <c r="BF94" s="81"/>
      <c r="BG94" s="81">
        <v>47.8</v>
      </c>
      <c r="BH94" s="81">
        <v>0</v>
      </c>
      <c r="BI94" s="81">
        <v>434.4</v>
      </c>
      <c r="BJ94" s="81">
        <v>7.5</v>
      </c>
      <c r="BK94" s="81">
        <v>0</v>
      </c>
      <c r="BL94" s="81">
        <v>76</v>
      </c>
      <c r="BZ94" s="181">
        <v>84</v>
      </c>
      <c r="CA94" s="177">
        <v>0.86458333333333304</v>
      </c>
      <c r="CB94" s="182"/>
      <c r="CC94" s="182"/>
      <c r="CD94" s="182"/>
      <c r="CE94" s="182"/>
      <c r="CF94" s="182"/>
      <c r="CG94" s="172">
        <v>65</v>
      </c>
      <c r="CH94" s="183"/>
    </row>
    <row r="95" spans="1:86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0</v>
      </c>
      <c r="Y95" s="106">
        <v>0</v>
      </c>
      <c r="Z95" s="106">
        <v>0</v>
      </c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39"/>
        <v>0</v>
      </c>
      <c r="AI95" s="49">
        <f t="shared" si="40"/>
        <v>0</v>
      </c>
      <c r="BF95" s="81"/>
      <c r="BG95" s="81">
        <v>47.4</v>
      </c>
      <c r="BH95" s="81">
        <v>0</v>
      </c>
      <c r="BI95" s="81">
        <v>433.4</v>
      </c>
      <c r="BJ95" s="81">
        <v>32</v>
      </c>
      <c r="BK95" s="81">
        <v>98</v>
      </c>
      <c r="BL95" s="81">
        <v>71</v>
      </c>
      <c r="BZ95" s="181">
        <v>85</v>
      </c>
      <c r="CA95" s="177">
        <v>0.875</v>
      </c>
      <c r="CB95" s="182"/>
      <c r="CC95" s="182"/>
      <c r="CD95" s="182"/>
      <c r="CE95" s="182"/>
      <c r="CF95" s="182"/>
      <c r="CG95" s="183"/>
      <c r="CH95" s="183"/>
    </row>
    <row r="96" spans="1:86" ht="15.75" thickBot="1" x14ac:dyDescent="0.3">
      <c r="A96" s="86" t="s">
        <v>122</v>
      </c>
      <c r="B96" s="70">
        <v>0</v>
      </c>
      <c r="C96" s="70">
        <v>0</v>
      </c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100">
        <f>SUM(AG93:AG95)</f>
        <v>55.4</v>
      </c>
      <c r="AH96" s="48">
        <f t="shared" si="39"/>
        <v>0</v>
      </c>
      <c r="AI96" s="49">
        <f t="shared" si="40"/>
        <v>0</v>
      </c>
      <c r="BF96" s="81"/>
      <c r="BG96" s="81">
        <v>59.6</v>
      </c>
      <c r="BH96" s="81">
        <v>0</v>
      </c>
      <c r="BI96" s="81">
        <v>457</v>
      </c>
      <c r="BJ96" s="81">
        <v>35.4</v>
      </c>
      <c r="BK96" s="81">
        <v>112.8</v>
      </c>
      <c r="BL96" s="81">
        <v>72</v>
      </c>
      <c r="BZ96" s="181">
        <v>86</v>
      </c>
      <c r="CA96" s="177">
        <v>0.88541666666666696</v>
      </c>
      <c r="CB96" s="182"/>
      <c r="CC96" s="182"/>
      <c r="CD96" s="182"/>
      <c r="CE96" s="182"/>
      <c r="CF96" s="182"/>
      <c r="CG96" s="183"/>
      <c r="CH96" s="183"/>
    </row>
    <row r="97" spans="1:86" ht="15.75" thickBot="1" x14ac:dyDescent="0.3">
      <c r="A97" s="86" t="s">
        <v>123</v>
      </c>
      <c r="B97" s="107">
        <f t="shared" ref="B97:AG97" si="42">B58+B62+B80+B76+B92+B96</f>
        <v>1239.49</v>
      </c>
      <c r="C97" s="107">
        <f t="shared" si="42"/>
        <v>1252.49</v>
      </c>
      <c r="D97" s="107">
        <f t="shared" si="42"/>
        <v>1220.19</v>
      </c>
      <c r="E97" s="107">
        <f t="shared" si="42"/>
        <v>1211.5899999999999</v>
      </c>
      <c r="F97" s="107">
        <f t="shared" si="42"/>
        <v>1230.8899999999999</v>
      </c>
      <c r="G97" s="107">
        <f t="shared" si="42"/>
        <v>1248.5899999999999</v>
      </c>
      <c r="H97" s="107">
        <f t="shared" si="42"/>
        <v>1326.69</v>
      </c>
      <c r="I97" s="107">
        <f t="shared" si="42"/>
        <v>1405.19</v>
      </c>
      <c r="J97" s="107">
        <f t="shared" si="42"/>
        <v>1491.9549999999999</v>
      </c>
      <c r="K97" s="107">
        <f t="shared" si="42"/>
        <v>1437.69</v>
      </c>
      <c r="L97" s="107">
        <f t="shared" si="42"/>
        <v>1429.6799999999998</v>
      </c>
      <c r="M97" s="107">
        <f t="shared" si="42"/>
        <v>1346.68</v>
      </c>
      <c r="N97" s="107">
        <f t="shared" si="42"/>
        <v>1339.88</v>
      </c>
      <c r="O97" s="107">
        <f t="shared" si="42"/>
        <v>1337.88</v>
      </c>
      <c r="P97" s="107">
        <f t="shared" si="42"/>
        <v>1384.38</v>
      </c>
      <c r="Q97" s="107">
        <f t="shared" si="42"/>
        <v>1475.28</v>
      </c>
      <c r="R97" s="107">
        <f t="shared" si="42"/>
        <v>1493.09</v>
      </c>
      <c r="S97" s="107">
        <f t="shared" si="42"/>
        <v>1487.19</v>
      </c>
      <c r="T97" s="107">
        <f t="shared" si="42"/>
        <v>1525.79</v>
      </c>
      <c r="U97" s="107">
        <f t="shared" si="42"/>
        <v>1523.69</v>
      </c>
      <c r="V97" s="107">
        <f t="shared" si="42"/>
        <v>1448.49</v>
      </c>
      <c r="W97" s="107">
        <f t="shared" si="42"/>
        <v>1383.29</v>
      </c>
      <c r="X97" s="107">
        <f t="shared" si="42"/>
        <v>1419.5900000000001</v>
      </c>
      <c r="Y97" s="107">
        <f t="shared" si="42"/>
        <v>1553.2900000000002</v>
      </c>
      <c r="Z97" s="107">
        <f t="shared" si="42"/>
        <v>1594.3900000000003</v>
      </c>
      <c r="AA97" s="107">
        <f t="shared" si="42"/>
        <v>1383.69</v>
      </c>
      <c r="AB97" s="107">
        <f t="shared" si="42"/>
        <v>1273.79</v>
      </c>
      <c r="AC97" s="107">
        <f t="shared" si="42"/>
        <v>1281.8899999999999</v>
      </c>
      <c r="AD97" s="107">
        <f t="shared" si="42"/>
        <v>1222.0899999999999</v>
      </c>
      <c r="AE97" s="107">
        <f t="shared" si="42"/>
        <v>1336.09</v>
      </c>
      <c r="AF97" s="107">
        <f t="shared" si="42"/>
        <v>1271.69</v>
      </c>
      <c r="AG97" s="71">
        <f t="shared" si="42"/>
        <v>2231.81</v>
      </c>
      <c r="AH97" s="48">
        <f t="shared" si="39"/>
        <v>1594.3900000000003</v>
      </c>
      <c r="AI97" s="49">
        <f t="shared" si="40"/>
        <v>1211.5899999999999</v>
      </c>
      <c r="BF97" s="81"/>
      <c r="BG97" s="81">
        <v>67.5</v>
      </c>
      <c r="BH97" s="81">
        <v>0</v>
      </c>
      <c r="BI97" s="81">
        <v>466.5</v>
      </c>
      <c r="BJ97" s="81">
        <v>40.5</v>
      </c>
      <c r="BK97" s="81">
        <v>100</v>
      </c>
      <c r="BL97" s="81">
        <v>77</v>
      </c>
      <c r="BZ97" s="181">
        <v>87</v>
      </c>
      <c r="CA97" s="177">
        <v>0.89583333333333304</v>
      </c>
      <c r="CB97" s="182"/>
      <c r="CC97" s="182"/>
      <c r="CD97" s="182"/>
      <c r="CE97" s="182"/>
      <c r="CF97" s="182"/>
      <c r="CG97" s="183"/>
      <c r="CH97" s="183"/>
    </row>
    <row r="98" spans="1:86" ht="15.75" thickBot="1" x14ac:dyDescent="0.3">
      <c r="A98" s="108" t="s">
        <v>124</v>
      </c>
      <c r="B98" s="109">
        <v>0</v>
      </c>
      <c r="C98" s="109">
        <v>0</v>
      </c>
      <c r="D98" s="109"/>
      <c r="E98" s="109"/>
      <c r="F98" s="109"/>
      <c r="G98" s="109"/>
      <c r="H98" s="109"/>
      <c r="I98" s="109"/>
      <c r="J98" s="109"/>
      <c r="K98" s="109">
        <v>50</v>
      </c>
      <c r="L98" s="109">
        <v>250</v>
      </c>
      <c r="M98" s="109">
        <v>250</v>
      </c>
      <c r="N98" s="109">
        <v>200</v>
      </c>
      <c r="O98" s="109">
        <v>180</v>
      </c>
      <c r="P98" s="109"/>
      <c r="Q98" s="109"/>
      <c r="R98" s="109">
        <v>10</v>
      </c>
      <c r="S98" s="109">
        <v>18</v>
      </c>
      <c r="T98" s="109">
        <v>18</v>
      </c>
      <c r="U98" s="109">
        <v>10</v>
      </c>
      <c r="V98" s="109">
        <v>100</v>
      </c>
      <c r="W98" s="109">
        <v>200</v>
      </c>
      <c r="X98" s="109">
        <v>200</v>
      </c>
      <c r="Y98" s="109">
        <v>200</v>
      </c>
      <c r="Z98" s="109">
        <v>200</v>
      </c>
      <c r="AA98" s="109">
        <v>350</v>
      </c>
      <c r="AB98" s="109">
        <v>350</v>
      </c>
      <c r="AC98" s="109">
        <v>350</v>
      </c>
      <c r="AD98" s="109">
        <v>300</v>
      </c>
      <c r="AE98" s="109"/>
      <c r="AF98" s="109"/>
      <c r="AG98" s="100"/>
      <c r="AH98" s="48">
        <f t="shared" si="39"/>
        <v>350</v>
      </c>
      <c r="AI98" s="49">
        <f t="shared" si="40"/>
        <v>0</v>
      </c>
      <c r="BF98" s="81"/>
      <c r="BG98" s="81">
        <v>72.400000000000006</v>
      </c>
      <c r="BH98" s="81">
        <v>0</v>
      </c>
      <c r="BI98" s="81">
        <v>471.5</v>
      </c>
      <c r="BJ98" s="81">
        <v>51.8</v>
      </c>
      <c r="BK98" s="81">
        <v>99.8</v>
      </c>
      <c r="BL98" s="81">
        <v>85</v>
      </c>
      <c r="BZ98" s="181">
        <v>88</v>
      </c>
      <c r="CA98" s="177">
        <v>0.90625</v>
      </c>
      <c r="CB98" s="182"/>
      <c r="CC98" s="182"/>
      <c r="CD98" s="182"/>
      <c r="CE98" s="182"/>
      <c r="CF98" s="182"/>
      <c r="CG98" s="183"/>
      <c r="CH98" s="183"/>
    </row>
    <row r="99" spans="1:86" ht="15.75" thickBot="1" x14ac:dyDescent="0.3">
      <c r="A99" s="86" t="s">
        <v>125</v>
      </c>
      <c r="B99" s="107">
        <f t="shared" ref="B99:AF99" si="43">B97+B98</f>
        <v>1239.49</v>
      </c>
      <c r="C99" s="107">
        <f t="shared" si="43"/>
        <v>1252.49</v>
      </c>
      <c r="D99" s="107">
        <f t="shared" si="43"/>
        <v>1220.19</v>
      </c>
      <c r="E99" s="107">
        <f t="shared" si="43"/>
        <v>1211.5899999999999</v>
      </c>
      <c r="F99" s="107">
        <f t="shared" si="43"/>
        <v>1230.8899999999999</v>
      </c>
      <c r="G99" s="107">
        <f t="shared" si="43"/>
        <v>1248.5899999999999</v>
      </c>
      <c r="H99" s="107">
        <f t="shared" si="43"/>
        <v>1326.69</v>
      </c>
      <c r="I99" s="107">
        <f t="shared" si="43"/>
        <v>1405.19</v>
      </c>
      <c r="J99" s="107">
        <f t="shared" si="43"/>
        <v>1491.9549999999999</v>
      </c>
      <c r="K99" s="107">
        <f t="shared" si="43"/>
        <v>1487.69</v>
      </c>
      <c r="L99" s="107">
        <f t="shared" si="43"/>
        <v>1679.6799999999998</v>
      </c>
      <c r="M99" s="107">
        <f t="shared" si="43"/>
        <v>1596.68</v>
      </c>
      <c r="N99" s="107">
        <f t="shared" si="43"/>
        <v>1539.88</v>
      </c>
      <c r="O99" s="107">
        <f t="shared" si="43"/>
        <v>1517.88</v>
      </c>
      <c r="P99" s="107">
        <f t="shared" si="43"/>
        <v>1384.38</v>
      </c>
      <c r="Q99" s="107">
        <f t="shared" si="43"/>
        <v>1475.28</v>
      </c>
      <c r="R99" s="107">
        <f t="shared" si="43"/>
        <v>1503.09</v>
      </c>
      <c r="S99" s="107">
        <f t="shared" si="43"/>
        <v>1505.19</v>
      </c>
      <c r="T99" s="107">
        <f t="shared" si="43"/>
        <v>1543.79</v>
      </c>
      <c r="U99" s="107">
        <f t="shared" si="43"/>
        <v>1533.69</v>
      </c>
      <c r="V99" s="107">
        <f t="shared" si="43"/>
        <v>1548.49</v>
      </c>
      <c r="W99" s="107">
        <f t="shared" si="43"/>
        <v>1583.29</v>
      </c>
      <c r="X99" s="107">
        <f t="shared" si="43"/>
        <v>1619.5900000000001</v>
      </c>
      <c r="Y99" s="107">
        <f t="shared" si="43"/>
        <v>1753.2900000000002</v>
      </c>
      <c r="Z99" s="107">
        <f t="shared" si="43"/>
        <v>1794.3900000000003</v>
      </c>
      <c r="AA99" s="107">
        <f t="shared" si="43"/>
        <v>1733.69</v>
      </c>
      <c r="AB99" s="107">
        <f t="shared" si="43"/>
        <v>1623.79</v>
      </c>
      <c r="AC99" s="107">
        <f t="shared" si="43"/>
        <v>1631.8899999999999</v>
      </c>
      <c r="AD99" s="107">
        <f t="shared" si="43"/>
        <v>1522.09</v>
      </c>
      <c r="AE99" s="107">
        <f t="shared" si="43"/>
        <v>1336.09</v>
      </c>
      <c r="AF99" s="107">
        <f t="shared" si="43"/>
        <v>1271.69</v>
      </c>
      <c r="AG99" s="100">
        <f>AG96+AG92+AG80+AG76+AG58+AG98</f>
        <v>1693.71</v>
      </c>
      <c r="AH99" s="48">
        <f t="shared" si="39"/>
        <v>1794.3900000000003</v>
      </c>
      <c r="AI99" s="49">
        <f t="shared" si="40"/>
        <v>1211.5899999999999</v>
      </c>
      <c r="BF99" s="81"/>
      <c r="BG99" s="81">
        <v>46.3</v>
      </c>
      <c r="BH99" s="81">
        <v>0</v>
      </c>
      <c r="BI99" s="81">
        <v>498.2</v>
      </c>
      <c r="BJ99" s="81">
        <v>47.3</v>
      </c>
      <c r="BK99" s="81">
        <v>98.6</v>
      </c>
      <c r="BL99" s="81">
        <v>73</v>
      </c>
      <c r="BZ99" s="181">
        <v>89</v>
      </c>
      <c r="CA99" s="177">
        <v>0.91666666666666696</v>
      </c>
      <c r="CB99" s="182"/>
      <c r="CC99" s="182"/>
      <c r="CD99" s="182"/>
      <c r="CE99" s="182"/>
      <c r="CF99" s="182"/>
      <c r="CG99" s="183"/>
      <c r="CH99" s="183"/>
    </row>
    <row r="100" spans="1:86" ht="15.75" thickBot="1" x14ac:dyDescent="0.3">
      <c r="A100" s="86" t="s">
        <v>126</v>
      </c>
      <c r="B100" s="107">
        <f t="shared" ref="B100:M100" si="44">B99-(B107)</f>
        <v>1239.49</v>
      </c>
      <c r="C100" s="107">
        <f t="shared" si="44"/>
        <v>1252.49</v>
      </c>
      <c r="D100" s="107">
        <f t="shared" si="44"/>
        <v>1220.19</v>
      </c>
      <c r="E100" s="107">
        <f t="shared" si="44"/>
        <v>1211.5899999999999</v>
      </c>
      <c r="F100" s="107">
        <f t="shared" si="44"/>
        <v>1230.8899999999999</v>
      </c>
      <c r="G100" s="107">
        <f t="shared" si="44"/>
        <v>1248.5899999999999</v>
      </c>
      <c r="H100" s="107">
        <f t="shared" si="44"/>
        <v>1326.69</v>
      </c>
      <c r="I100" s="107">
        <f t="shared" si="44"/>
        <v>1405.19</v>
      </c>
      <c r="J100" s="107">
        <f t="shared" si="44"/>
        <v>1491.9549999999999</v>
      </c>
      <c r="K100" s="107">
        <f t="shared" si="44"/>
        <v>1487.69</v>
      </c>
      <c r="L100" s="107">
        <f t="shared" si="44"/>
        <v>1679.6799999999998</v>
      </c>
      <c r="M100" s="107">
        <f t="shared" si="44"/>
        <v>1596.68</v>
      </c>
      <c r="N100" s="107">
        <f>N99-(N107)</f>
        <v>1539.88</v>
      </c>
      <c r="O100" s="107">
        <f t="shared" ref="O100:AF100" si="45">O99-(O107)</f>
        <v>1517.88</v>
      </c>
      <c r="P100" s="107">
        <f t="shared" si="45"/>
        <v>1384.38</v>
      </c>
      <c r="Q100" s="107">
        <f t="shared" si="45"/>
        <v>1475.28</v>
      </c>
      <c r="R100" s="107">
        <f t="shared" si="45"/>
        <v>1503.09</v>
      </c>
      <c r="S100" s="107">
        <f t="shared" si="45"/>
        <v>1505.19</v>
      </c>
      <c r="T100" s="107">
        <f t="shared" si="45"/>
        <v>1543.79</v>
      </c>
      <c r="U100" s="107">
        <f t="shared" si="45"/>
        <v>1533.69</v>
      </c>
      <c r="V100" s="107">
        <f t="shared" si="45"/>
        <v>1548.49</v>
      </c>
      <c r="W100" s="107">
        <f t="shared" si="45"/>
        <v>1583.29</v>
      </c>
      <c r="X100" s="107">
        <f t="shared" si="45"/>
        <v>1619.5900000000001</v>
      </c>
      <c r="Y100" s="107">
        <f t="shared" si="45"/>
        <v>1753.2900000000002</v>
      </c>
      <c r="Z100" s="107">
        <f t="shared" si="45"/>
        <v>1794.3900000000003</v>
      </c>
      <c r="AA100" s="107">
        <f t="shared" si="45"/>
        <v>1733.69</v>
      </c>
      <c r="AB100" s="107">
        <f t="shared" si="45"/>
        <v>1623.79</v>
      </c>
      <c r="AC100" s="107">
        <f t="shared" si="45"/>
        <v>1631.8899999999999</v>
      </c>
      <c r="AD100" s="107">
        <f t="shared" si="45"/>
        <v>1522.09</v>
      </c>
      <c r="AE100" s="107">
        <f t="shared" si="45"/>
        <v>1336.09</v>
      </c>
      <c r="AF100" s="107">
        <f t="shared" si="45"/>
        <v>1271.69</v>
      </c>
      <c r="AG100" s="100"/>
      <c r="AH100" s="48">
        <f t="shared" si="39"/>
        <v>1794.3900000000003</v>
      </c>
      <c r="AI100" s="49">
        <f t="shared" si="40"/>
        <v>1211.5899999999999</v>
      </c>
      <c r="BF100" s="81"/>
      <c r="BG100" s="81">
        <v>54</v>
      </c>
      <c r="BH100" s="81">
        <v>0</v>
      </c>
      <c r="BI100" s="81">
        <v>483</v>
      </c>
      <c r="BJ100" s="81">
        <v>47</v>
      </c>
      <c r="BK100" s="81">
        <v>88</v>
      </c>
      <c r="BL100" s="81">
        <v>60</v>
      </c>
      <c r="BZ100" s="181">
        <v>90</v>
      </c>
      <c r="CA100" s="177">
        <v>0.92708333333333304</v>
      </c>
      <c r="CB100" s="182"/>
      <c r="CC100" s="182"/>
      <c r="CD100" s="182"/>
      <c r="CE100" s="182"/>
      <c r="CF100" s="182"/>
      <c r="CG100" s="183"/>
      <c r="CH100" s="183"/>
    </row>
    <row r="101" spans="1:86" x14ac:dyDescent="0.25">
      <c r="A101" s="45" t="s">
        <v>107</v>
      </c>
      <c r="B101" s="88">
        <f t="shared" ref="B101:AF101" si="46">IF(B84&lt;0,B84*-1,0)</f>
        <v>0</v>
      </c>
      <c r="C101" s="88">
        <f t="shared" si="46"/>
        <v>0</v>
      </c>
      <c r="D101" s="88">
        <f t="shared" si="46"/>
        <v>0</v>
      </c>
      <c r="E101" s="88">
        <f t="shared" si="46"/>
        <v>0</v>
      </c>
      <c r="F101" s="88">
        <f t="shared" si="46"/>
        <v>0</v>
      </c>
      <c r="G101" s="88">
        <f t="shared" si="46"/>
        <v>0</v>
      </c>
      <c r="H101" s="88">
        <f t="shared" si="46"/>
        <v>0</v>
      </c>
      <c r="I101" s="88">
        <f t="shared" si="46"/>
        <v>0</v>
      </c>
      <c r="J101" s="88">
        <f t="shared" si="46"/>
        <v>0</v>
      </c>
      <c r="K101" s="88">
        <f t="shared" si="46"/>
        <v>0</v>
      </c>
      <c r="L101" s="88">
        <f t="shared" si="46"/>
        <v>0</v>
      </c>
      <c r="M101" s="88">
        <f t="shared" si="46"/>
        <v>0</v>
      </c>
      <c r="N101" s="88">
        <f t="shared" si="46"/>
        <v>0</v>
      </c>
      <c r="O101" s="88">
        <f t="shared" si="46"/>
        <v>0</v>
      </c>
      <c r="P101" s="88">
        <f t="shared" si="46"/>
        <v>0</v>
      </c>
      <c r="Q101" s="88">
        <f t="shared" si="46"/>
        <v>0</v>
      </c>
      <c r="R101" s="88">
        <f t="shared" si="46"/>
        <v>0</v>
      </c>
      <c r="S101" s="88">
        <f t="shared" si="46"/>
        <v>0</v>
      </c>
      <c r="T101" s="88">
        <f t="shared" si="46"/>
        <v>0</v>
      </c>
      <c r="U101" s="88">
        <f t="shared" si="46"/>
        <v>0</v>
      </c>
      <c r="V101" s="88">
        <f t="shared" si="46"/>
        <v>0</v>
      </c>
      <c r="W101" s="88">
        <f t="shared" si="46"/>
        <v>0</v>
      </c>
      <c r="X101" s="88">
        <f t="shared" si="46"/>
        <v>0</v>
      </c>
      <c r="Y101" s="88">
        <f t="shared" si="46"/>
        <v>0</v>
      </c>
      <c r="Z101" s="88">
        <f t="shared" si="46"/>
        <v>0</v>
      </c>
      <c r="AA101" s="88">
        <f t="shared" si="46"/>
        <v>0</v>
      </c>
      <c r="AB101" s="88">
        <f t="shared" si="46"/>
        <v>0</v>
      </c>
      <c r="AC101" s="88">
        <f t="shared" si="46"/>
        <v>0</v>
      </c>
      <c r="AD101" s="88">
        <f t="shared" si="46"/>
        <v>0</v>
      </c>
      <c r="AE101" s="88">
        <f t="shared" si="46"/>
        <v>0</v>
      </c>
      <c r="AF101" s="88">
        <f t="shared" si="46"/>
        <v>0</v>
      </c>
      <c r="AG101" s="60"/>
      <c r="AH101" s="48">
        <f t="shared" si="39"/>
        <v>0</v>
      </c>
      <c r="AI101" s="49">
        <f t="shared" si="40"/>
        <v>0</v>
      </c>
      <c r="BF101" s="80"/>
      <c r="BG101" s="81">
        <v>58.1</v>
      </c>
      <c r="BH101" s="81">
        <v>0</v>
      </c>
      <c r="BI101" s="81">
        <v>441.2</v>
      </c>
      <c r="BJ101" s="81">
        <v>6.4</v>
      </c>
      <c r="BK101" s="81">
        <v>0</v>
      </c>
      <c r="BL101" s="81">
        <v>77</v>
      </c>
      <c r="BZ101" s="181">
        <v>91</v>
      </c>
      <c r="CA101" s="177">
        <v>0.9375</v>
      </c>
      <c r="CB101" s="182"/>
      <c r="CC101" s="182"/>
      <c r="CD101" s="182"/>
      <c r="CE101" s="182"/>
      <c r="CF101" s="182"/>
      <c r="CG101" s="183"/>
      <c r="CH101" s="183"/>
    </row>
    <row r="102" spans="1:86" x14ac:dyDescent="0.25">
      <c r="A102" s="64" t="s">
        <v>105</v>
      </c>
      <c r="B102" s="88">
        <f t="shared" ref="B102:AF102" si="47">IF(B82&lt;0,B82*-1,0)</f>
        <v>0</v>
      </c>
      <c r="C102" s="88">
        <f t="shared" si="47"/>
        <v>0</v>
      </c>
      <c r="D102" s="88">
        <f t="shared" si="47"/>
        <v>0</v>
      </c>
      <c r="E102" s="88">
        <f t="shared" si="47"/>
        <v>0</v>
      </c>
      <c r="F102" s="88">
        <f t="shared" si="47"/>
        <v>0</v>
      </c>
      <c r="G102" s="88">
        <f t="shared" si="47"/>
        <v>0</v>
      </c>
      <c r="H102" s="88">
        <f t="shared" si="47"/>
        <v>0</v>
      </c>
      <c r="I102" s="88">
        <f t="shared" si="47"/>
        <v>0</v>
      </c>
      <c r="J102" s="88">
        <f t="shared" si="47"/>
        <v>0</v>
      </c>
      <c r="K102" s="88">
        <f t="shared" si="47"/>
        <v>0</v>
      </c>
      <c r="L102" s="88">
        <f t="shared" si="47"/>
        <v>0</v>
      </c>
      <c r="M102" s="88">
        <f t="shared" si="47"/>
        <v>0</v>
      </c>
      <c r="N102" s="88">
        <f t="shared" si="47"/>
        <v>0</v>
      </c>
      <c r="O102" s="88">
        <f t="shared" si="47"/>
        <v>0</v>
      </c>
      <c r="P102" s="88">
        <f t="shared" si="47"/>
        <v>0</v>
      </c>
      <c r="Q102" s="88">
        <f t="shared" si="47"/>
        <v>0</v>
      </c>
      <c r="R102" s="88">
        <f t="shared" si="47"/>
        <v>0</v>
      </c>
      <c r="S102" s="88">
        <f t="shared" si="47"/>
        <v>0</v>
      </c>
      <c r="T102" s="88">
        <f t="shared" si="47"/>
        <v>0</v>
      </c>
      <c r="U102" s="88">
        <f t="shared" si="47"/>
        <v>0</v>
      </c>
      <c r="V102" s="88">
        <f t="shared" si="47"/>
        <v>0</v>
      </c>
      <c r="W102" s="88">
        <f t="shared" si="47"/>
        <v>0</v>
      </c>
      <c r="X102" s="88">
        <f t="shared" si="47"/>
        <v>0</v>
      </c>
      <c r="Y102" s="88">
        <f t="shared" si="47"/>
        <v>0</v>
      </c>
      <c r="Z102" s="88">
        <f t="shared" si="47"/>
        <v>0</v>
      </c>
      <c r="AA102" s="88">
        <f t="shared" si="47"/>
        <v>0</v>
      </c>
      <c r="AB102" s="88">
        <f t="shared" si="47"/>
        <v>0</v>
      </c>
      <c r="AC102" s="88">
        <f t="shared" si="47"/>
        <v>0</v>
      </c>
      <c r="AD102" s="88">
        <f t="shared" si="47"/>
        <v>0</v>
      </c>
      <c r="AE102" s="88">
        <f t="shared" si="47"/>
        <v>0</v>
      </c>
      <c r="AF102" s="88">
        <f t="shared" si="47"/>
        <v>0</v>
      </c>
      <c r="AG102" s="65"/>
      <c r="AH102" s="48">
        <f t="shared" si="39"/>
        <v>0</v>
      </c>
      <c r="AI102" s="49">
        <f t="shared" si="40"/>
        <v>0</v>
      </c>
      <c r="BF102" s="80"/>
      <c r="BG102" s="81">
        <v>43.4</v>
      </c>
      <c r="BH102" s="81">
        <v>0</v>
      </c>
      <c r="BI102" s="81">
        <v>221.5</v>
      </c>
      <c r="BJ102" s="81">
        <v>8</v>
      </c>
      <c r="BK102" s="81">
        <v>0</v>
      </c>
      <c r="BL102" s="81">
        <v>76.5</v>
      </c>
      <c r="BZ102" s="181">
        <v>92</v>
      </c>
      <c r="CA102" s="177">
        <v>0.94791666666666696</v>
      </c>
      <c r="CB102" s="182"/>
      <c r="CC102" s="182"/>
      <c r="CD102" s="182"/>
      <c r="CE102" s="182"/>
      <c r="CF102" s="182"/>
      <c r="CG102" s="183"/>
      <c r="CH102" s="183"/>
    </row>
    <row r="103" spans="1:86" x14ac:dyDescent="0.25">
      <c r="A103" s="96" t="s">
        <v>127</v>
      </c>
      <c r="B103" s="88">
        <f t="shared" ref="B103:AF103" si="48">IF(B85&lt;0,B85*-1,0)</f>
        <v>0</v>
      </c>
      <c r="C103" s="88">
        <f t="shared" si="48"/>
        <v>0</v>
      </c>
      <c r="D103" s="88">
        <f t="shared" si="48"/>
        <v>0</v>
      </c>
      <c r="E103" s="88">
        <f t="shared" si="48"/>
        <v>0</v>
      </c>
      <c r="F103" s="88">
        <f t="shared" si="48"/>
        <v>0</v>
      </c>
      <c r="G103" s="88">
        <f t="shared" si="48"/>
        <v>0</v>
      </c>
      <c r="H103" s="88">
        <f t="shared" si="48"/>
        <v>0</v>
      </c>
      <c r="I103" s="88">
        <f t="shared" si="48"/>
        <v>0</v>
      </c>
      <c r="J103" s="88">
        <f t="shared" si="48"/>
        <v>0</v>
      </c>
      <c r="K103" s="88">
        <f t="shared" si="48"/>
        <v>0</v>
      </c>
      <c r="L103" s="88">
        <f t="shared" si="48"/>
        <v>0</v>
      </c>
      <c r="M103" s="88">
        <f t="shared" si="48"/>
        <v>0</v>
      </c>
      <c r="N103" s="88">
        <f t="shared" si="48"/>
        <v>0</v>
      </c>
      <c r="O103" s="88">
        <f t="shared" si="48"/>
        <v>0</v>
      </c>
      <c r="P103" s="88">
        <f t="shared" si="48"/>
        <v>0</v>
      </c>
      <c r="Q103" s="88">
        <f t="shared" si="48"/>
        <v>0</v>
      </c>
      <c r="R103" s="88">
        <f t="shared" si="48"/>
        <v>0</v>
      </c>
      <c r="S103" s="88">
        <f t="shared" si="48"/>
        <v>0</v>
      </c>
      <c r="T103" s="88">
        <f t="shared" si="48"/>
        <v>0</v>
      </c>
      <c r="U103" s="88">
        <f t="shared" si="48"/>
        <v>0</v>
      </c>
      <c r="V103" s="88">
        <f t="shared" si="48"/>
        <v>0</v>
      </c>
      <c r="W103" s="88">
        <f t="shared" si="48"/>
        <v>0</v>
      </c>
      <c r="X103" s="88">
        <f t="shared" si="48"/>
        <v>0</v>
      </c>
      <c r="Y103" s="88">
        <f t="shared" si="48"/>
        <v>0</v>
      </c>
      <c r="Z103" s="88">
        <f t="shared" si="48"/>
        <v>0</v>
      </c>
      <c r="AA103" s="88">
        <f t="shared" si="48"/>
        <v>0</v>
      </c>
      <c r="AB103" s="88">
        <f t="shared" si="48"/>
        <v>0</v>
      </c>
      <c r="AC103" s="88">
        <f t="shared" si="48"/>
        <v>0</v>
      </c>
      <c r="AD103" s="88">
        <f t="shared" si="48"/>
        <v>0</v>
      </c>
      <c r="AE103" s="88">
        <f t="shared" si="48"/>
        <v>0</v>
      </c>
      <c r="AF103" s="88">
        <f t="shared" si="48"/>
        <v>0</v>
      </c>
      <c r="AG103" s="110"/>
      <c r="AH103" s="48">
        <f t="shared" si="39"/>
        <v>0</v>
      </c>
      <c r="AI103" s="49">
        <f t="shared" si="40"/>
        <v>0</v>
      </c>
      <c r="BF103" s="80"/>
      <c r="BG103" s="81">
        <v>49.2</v>
      </c>
      <c r="BH103" s="81">
        <v>0</v>
      </c>
      <c r="BI103" s="81">
        <v>262</v>
      </c>
      <c r="BJ103" s="81">
        <v>6.1</v>
      </c>
      <c r="BK103" s="81">
        <v>0</v>
      </c>
      <c r="BL103" s="81">
        <v>62</v>
      </c>
      <c r="BZ103" s="181">
        <v>93</v>
      </c>
      <c r="CA103" s="177">
        <v>0.95833333333333304</v>
      </c>
      <c r="CB103" s="182"/>
      <c r="CC103" s="182"/>
      <c r="CD103" s="182"/>
      <c r="CE103" s="182"/>
      <c r="CF103" s="182"/>
      <c r="CG103" s="183"/>
      <c r="CH103" s="183"/>
    </row>
    <row r="104" spans="1:86" x14ac:dyDescent="0.25">
      <c r="A104" s="96" t="s">
        <v>128</v>
      </c>
      <c r="B104" s="88">
        <f t="shared" ref="B104:AF104" si="49">IF(B83&lt;0,B83*-1,0)</f>
        <v>0</v>
      </c>
      <c r="C104" s="88">
        <f t="shared" si="49"/>
        <v>0</v>
      </c>
      <c r="D104" s="88">
        <f t="shared" si="49"/>
        <v>0</v>
      </c>
      <c r="E104" s="88">
        <f t="shared" si="49"/>
        <v>0</v>
      </c>
      <c r="F104" s="88">
        <f t="shared" si="49"/>
        <v>0</v>
      </c>
      <c r="G104" s="88">
        <f t="shared" si="49"/>
        <v>0</v>
      </c>
      <c r="H104" s="88">
        <f t="shared" si="49"/>
        <v>0</v>
      </c>
      <c r="I104" s="88">
        <f t="shared" si="49"/>
        <v>0</v>
      </c>
      <c r="J104" s="88">
        <f t="shared" si="49"/>
        <v>0</v>
      </c>
      <c r="K104" s="88">
        <f t="shared" si="49"/>
        <v>0</v>
      </c>
      <c r="L104" s="88">
        <f t="shared" si="49"/>
        <v>0</v>
      </c>
      <c r="M104" s="88">
        <f t="shared" si="49"/>
        <v>0</v>
      </c>
      <c r="N104" s="88">
        <f t="shared" si="49"/>
        <v>0</v>
      </c>
      <c r="O104" s="88">
        <f t="shared" si="49"/>
        <v>0</v>
      </c>
      <c r="P104" s="88">
        <f t="shared" si="49"/>
        <v>0</v>
      </c>
      <c r="Q104" s="88">
        <f t="shared" si="49"/>
        <v>0</v>
      </c>
      <c r="R104" s="88">
        <f t="shared" si="49"/>
        <v>0</v>
      </c>
      <c r="S104" s="88">
        <f t="shared" si="49"/>
        <v>0</v>
      </c>
      <c r="T104" s="88">
        <f t="shared" si="49"/>
        <v>0</v>
      </c>
      <c r="U104" s="88">
        <f t="shared" si="49"/>
        <v>0</v>
      </c>
      <c r="V104" s="88">
        <f t="shared" si="49"/>
        <v>0</v>
      </c>
      <c r="W104" s="88">
        <f t="shared" si="49"/>
        <v>0</v>
      </c>
      <c r="X104" s="88">
        <f t="shared" si="49"/>
        <v>0</v>
      </c>
      <c r="Y104" s="88">
        <f t="shared" si="49"/>
        <v>0</v>
      </c>
      <c r="Z104" s="88">
        <f t="shared" si="49"/>
        <v>0</v>
      </c>
      <c r="AA104" s="88">
        <f t="shared" si="49"/>
        <v>0</v>
      </c>
      <c r="AB104" s="88">
        <f t="shared" si="49"/>
        <v>0</v>
      </c>
      <c r="AC104" s="88">
        <f t="shared" si="49"/>
        <v>0</v>
      </c>
      <c r="AD104" s="88">
        <f t="shared" si="49"/>
        <v>0</v>
      </c>
      <c r="AE104" s="88">
        <f t="shared" si="49"/>
        <v>0</v>
      </c>
      <c r="AF104" s="88">
        <f t="shared" si="49"/>
        <v>0</v>
      </c>
      <c r="AG104" s="110"/>
      <c r="AH104" s="48">
        <f t="shared" si="39"/>
        <v>0</v>
      </c>
      <c r="AI104" s="49">
        <f t="shared" si="40"/>
        <v>0</v>
      </c>
      <c r="BF104" s="80"/>
      <c r="BG104" s="81">
        <v>57</v>
      </c>
      <c r="BH104" s="81">
        <v>0</v>
      </c>
      <c r="BI104" s="81">
        <v>385</v>
      </c>
      <c r="BJ104" s="81">
        <v>23</v>
      </c>
      <c r="BK104" s="81">
        <v>0</v>
      </c>
      <c r="BL104" s="81">
        <v>64</v>
      </c>
      <c r="BZ104" s="181">
        <v>94</v>
      </c>
      <c r="CA104" s="177">
        <v>0.96875</v>
      </c>
      <c r="CB104" s="182"/>
      <c r="CC104" s="182"/>
      <c r="CD104" s="182"/>
      <c r="CE104" s="182"/>
      <c r="CF104" s="182"/>
      <c r="CG104" s="183"/>
      <c r="CH104" s="183"/>
    </row>
    <row r="105" spans="1:86" x14ac:dyDescent="0.25">
      <c r="A105" s="96" t="s">
        <v>104</v>
      </c>
      <c r="B105" s="88">
        <f t="shared" ref="B105:AF105" si="50">IF(B81&lt;0,B81*-1,0)</f>
        <v>0</v>
      </c>
      <c r="C105" s="88">
        <f t="shared" si="50"/>
        <v>0</v>
      </c>
      <c r="D105" s="88">
        <f t="shared" si="50"/>
        <v>0</v>
      </c>
      <c r="E105" s="88">
        <f t="shared" si="50"/>
        <v>0</v>
      </c>
      <c r="F105" s="88">
        <f t="shared" si="50"/>
        <v>0</v>
      </c>
      <c r="G105" s="88">
        <f t="shared" si="50"/>
        <v>0</v>
      </c>
      <c r="H105" s="88">
        <f t="shared" si="50"/>
        <v>0</v>
      </c>
      <c r="I105" s="88">
        <f t="shared" si="50"/>
        <v>0</v>
      </c>
      <c r="J105" s="88">
        <f t="shared" si="50"/>
        <v>0</v>
      </c>
      <c r="K105" s="88">
        <f t="shared" si="50"/>
        <v>0</v>
      </c>
      <c r="L105" s="88">
        <f t="shared" si="50"/>
        <v>0</v>
      </c>
      <c r="M105" s="88">
        <f t="shared" si="50"/>
        <v>0</v>
      </c>
      <c r="N105" s="88">
        <f t="shared" si="50"/>
        <v>0</v>
      </c>
      <c r="O105" s="88">
        <f t="shared" si="50"/>
        <v>0</v>
      </c>
      <c r="P105" s="88">
        <f t="shared" si="50"/>
        <v>0</v>
      </c>
      <c r="Q105" s="88">
        <f t="shared" si="50"/>
        <v>0</v>
      </c>
      <c r="R105" s="88">
        <f t="shared" si="50"/>
        <v>0</v>
      </c>
      <c r="S105" s="88">
        <f t="shared" si="50"/>
        <v>0</v>
      </c>
      <c r="T105" s="88">
        <f t="shared" si="50"/>
        <v>0</v>
      </c>
      <c r="U105" s="88">
        <f t="shared" si="50"/>
        <v>0</v>
      </c>
      <c r="V105" s="88">
        <f t="shared" si="50"/>
        <v>0</v>
      </c>
      <c r="W105" s="88">
        <f t="shared" si="50"/>
        <v>0</v>
      </c>
      <c r="X105" s="88">
        <f t="shared" si="50"/>
        <v>0</v>
      </c>
      <c r="Y105" s="88">
        <f t="shared" si="50"/>
        <v>0</v>
      </c>
      <c r="Z105" s="88">
        <f t="shared" si="50"/>
        <v>0</v>
      </c>
      <c r="AA105" s="88">
        <f t="shared" si="50"/>
        <v>0</v>
      </c>
      <c r="AB105" s="88">
        <f t="shared" si="50"/>
        <v>0</v>
      </c>
      <c r="AC105" s="88">
        <f t="shared" si="50"/>
        <v>0</v>
      </c>
      <c r="AD105" s="88">
        <f t="shared" si="50"/>
        <v>0</v>
      </c>
      <c r="AE105" s="88">
        <f t="shared" si="50"/>
        <v>0</v>
      </c>
      <c r="AF105" s="88">
        <f t="shared" si="50"/>
        <v>0</v>
      </c>
      <c r="AG105" s="110"/>
      <c r="AH105" s="48">
        <f t="shared" si="39"/>
        <v>0</v>
      </c>
      <c r="AI105" s="49">
        <f t="shared" si="40"/>
        <v>0</v>
      </c>
      <c r="BF105" s="80"/>
      <c r="BG105" s="81">
        <v>62</v>
      </c>
      <c r="BH105" s="81">
        <v>0</v>
      </c>
      <c r="BI105" s="81">
        <v>395</v>
      </c>
      <c r="BJ105" s="81">
        <v>37</v>
      </c>
      <c r="BK105" s="81">
        <v>95</v>
      </c>
      <c r="BL105" s="81">
        <v>74</v>
      </c>
      <c r="BZ105" s="181">
        <v>95</v>
      </c>
      <c r="CA105" s="177">
        <v>0.97916666666666696</v>
      </c>
      <c r="CB105" s="182"/>
      <c r="CC105" s="182"/>
      <c r="CD105" s="182"/>
      <c r="CE105" s="182"/>
      <c r="CF105" s="182"/>
      <c r="CG105" s="183"/>
      <c r="CH105" s="183"/>
    </row>
    <row r="106" spans="1:86" ht="15.75" thickBot="1" x14ac:dyDescent="0.3">
      <c r="A106" s="96" t="s">
        <v>129</v>
      </c>
      <c r="B106" s="106">
        <v>0</v>
      </c>
      <c r="C106" s="106">
        <v>0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0</v>
      </c>
      <c r="Y106" s="106">
        <v>0</v>
      </c>
      <c r="Z106" s="106">
        <v>0</v>
      </c>
      <c r="AA106" s="106">
        <v>0</v>
      </c>
      <c r="AB106" s="106">
        <v>0</v>
      </c>
      <c r="AC106" s="106">
        <v>0</v>
      </c>
      <c r="AD106" s="106">
        <v>0</v>
      </c>
      <c r="AE106" s="106">
        <v>0</v>
      </c>
      <c r="AF106" s="106">
        <v>0</v>
      </c>
      <c r="AG106" s="97"/>
      <c r="AH106" s="48">
        <f t="shared" si="39"/>
        <v>0</v>
      </c>
      <c r="AI106" s="49">
        <f t="shared" si="40"/>
        <v>0</v>
      </c>
      <c r="BG106" s="81">
        <v>62.3</v>
      </c>
      <c r="BH106" s="81">
        <v>0</v>
      </c>
      <c r="BI106" s="81">
        <v>405</v>
      </c>
      <c r="BJ106" s="81">
        <v>57</v>
      </c>
      <c r="BK106" s="81">
        <v>0</v>
      </c>
      <c r="BL106" s="81">
        <v>74</v>
      </c>
      <c r="BZ106" s="181">
        <v>96</v>
      </c>
      <c r="CA106" s="177">
        <v>0.98958333333333304</v>
      </c>
      <c r="CB106" s="182"/>
      <c r="CC106" s="182"/>
      <c r="CD106" s="182"/>
      <c r="CE106" s="182"/>
      <c r="CF106" s="182"/>
      <c r="CG106" s="183"/>
      <c r="CH106" s="183"/>
    </row>
    <row r="107" spans="1:86" ht="15.75" thickBot="1" x14ac:dyDescent="0.3">
      <c r="A107" s="111" t="s">
        <v>130</v>
      </c>
      <c r="B107" s="70">
        <f t="shared" ref="B107:C107" si="51">SUM(B101:B106)</f>
        <v>0</v>
      </c>
      <c r="C107" s="70">
        <f t="shared" si="51"/>
        <v>0</v>
      </c>
      <c r="D107" s="70">
        <f t="shared" ref="D107:AF107" si="52">SUM(D101:D106)</f>
        <v>0</v>
      </c>
      <c r="E107" s="70">
        <f t="shared" si="52"/>
        <v>0</v>
      </c>
      <c r="F107" s="70">
        <f t="shared" si="52"/>
        <v>0</v>
      </c>
      <c r="G107" s="70">
        <f t="shared" si="52"/>
        <v>0</v>
      </c>
      <c r="H107" s="70">
        <f t="shared" si="52"/>
        <v>0</v>
      </c>
      <c r="I107" s="70">
        <f t="shared" si="52"/>
        <v>0</v>
      </c>
      <c r="J107" s="70">
        <f t="shared" si="52"/>
        <v>0</v>
      </c>
      <c r="K107" s="70">
        <f t="shared" si="52"/>
        <v>0</v>
      </c>
      <c r="L107" s="70">
        <f t="shared" si="52"/>
        <v>0</v>
      </c>
      <c r="M107" s="70">
        <f t="shared" si="52"/>
        <v>0</v>
      </c>
      <c r="N107" s="70">
        <f t="shared" si="52"/>
        <v>0</v>
      </c>
      <c r="O107" s="70">
        <f t="shared" si="52"/>
        <v>0</v>
      </c>
      <c r="P107" s="70">
        <f t="shared" si="52"/>
        <v>0</v>
      </c>
      <c r="Q107" s="70">
        <f t="shared" si="52"/>
        <v>0</v>
      </c>
      <c r="R107" s="70">
        <f t="shared" si="52"/>
        <v>0</v>
      </c>
      <c r="S107" s="70">
        <f t="shared" si="52"/>
        <v>0</v>
      </c>
      <c r="T107" s="70">
        <f t="shared" si="52"/>
        <v>0</v>
      </c>
      <c r="U107" s="70">
        <f t="shared" si="52"/>
        <v>0</v>
      </c>
      <c r="V107" s="70">
        <f t="shared" si="52"/>
        <v>0</v>
      </c>
      <c r="W107" s="70">
        <f t="shared" si="52"/>
        <v>0</v>
      </c>
      <c r="X107" s="70">
        <f t="shared" si="52"/>
        <v>0</v>
      </c>
      <c r="Y107" s="70">
        <f t="shared" si="52"/>
        <v>0</v>
      </c>
      <c r="Z107" s="70">
        <f t="shared" si="52"/>
        <v>0</v>
      </c>
      <c r="AA107" s="70">
        <f t="shared" si="52"/>
        <v>0</v>
      </c>
      <c r="AB107" s="70">
        <f t="shared" si="52"/>
        <v>0</v>
      </c>
      <c r="AC107" s="70">
        <f t="shared" si="52"/>
        <v>0</v>
      </c>
      <c r="AD107" s="70">
        <f t="shared" si="52"/>
        <v>0</v>
      </c>
      <c r="AE107" s="70">
        <f t="shared" si="52"/>
        <v>0</v>
      </c>
      <c r="AF107" s="70">
        <f t="shared" si="52"/>
        <v>0</v>
      </c>
      <c r="AG107" s="100"/>
      <c r="AH107" s="48">
        <f t="shared" si="39"/>
        <v>0</v>
      </c>
      <c r="AI107" s="49">
        <f t="shared" si="40"/>
        <v>0</v>
      </c>
      <c r="AK107" s="51"/>
      <c r="BG107" s="81">
        <v>48</v>
      </c>
      <c r="BH107" s="81">
        <v>0</v>
      </c>
      <c r="BI107" s="81">
        <v>402</v>
      </c>
      <c r="BJ107" s="81">
        <v>39</v>
      </c>
      <c r="BK107" s="81">
        <v>120</v>
      </c>
      <c r="BL107" s="81">
        <v>62</v>
      </c>
    </row>
    <row r="108" spans="1:86" ht="15.75" thickBot="1" x14ac:dyDescent="0.3">
      <c r="A108" s="86" t="s">
        <v>131</v>
      </c>
      <c r="B108" s="70">
        <f t="shared" ref="B108:AF108" si="53">B92-B107</f>
        <v>671</v>
      </c>
      <c r="C108" s="70">
        <f t="shared" si="53"/>
        <v>684</v>
      </c>
      <c r="D108" s="70">
        <f t="shared" si="53"/>
        <v>640</v>
      </c>
      <c r="E108" s="70">
        <f t="shared" si="53"/>
        <v>631.4</v>
      </c>
      <c r="F108" s="70">
        <f t="shared" si="53"/>
        <v>650.69999999999993</v>
      </c>
      <c r="G108" s="70">
        <f t="shared" si="53"/>
        <v>668.4</v>
      </c>
      <c r="H108" s="70">
        <f t="shared" si="53"/>
        <v>668.30000000000007</v>
      </c>
      <c r="I108" s="70">
        <f t="shared" si="53"/>
        <v>672.80000000000007</v>
      </c>
      <c r="J108" s="70">
        <f t="shared" si="53"/>
        <v>641.36500000000001</v>
      </c>
      <c r="K108" s="70">
        <f t="shared" si="53"/>
        <v>633.79999999999995</v>
      </c>
      <c r="L108" s="70">
        <f t="shared" si="53"/>
        <v>607.9</v>
      </c>
      <c r="M108" s="70">
        <f t="shared" si="53"/>
        <v>261.5</v>
      </c>
      <c r="N108" s="70">
        <f t="shared" si="53"/>
        <v>541.5</v>
      </c>
      <c r="O108" s="70">
        <f t="shared" si="53"/>
        <v>539.20000000000005</v>
      </c>
      <c r="P108" s="70">
        <f t="shared" si="53"/>
        <v>565.70000000000005</v>
      </c>
      <c r="Q108" s="70">
        <f t="shared" si="53"/>
        <v>681.8</v>
      </c>
      <c r="R108" s="70">
        <f t="shared" si="53"/>
        <v>736.8</v>
      </c>
      <c r="S108" s="70">
        <f t="shared" si="53"/>
        <v>751.5</v>
      </c>
      <c r="T108" s="70">
        <f t="shared" si="53"/>
        <v>780.49999999999989</v>
      </c>
      <c r="U108" s="70">
        <f t="shared" si="53"/>
        <v>763.4</v>
      </c>
      <c r="V108" s="70">
        <f t="shared" si="53"/>
        <v>732</v>
      </c>
      <c r="W108" s="70">
        <f t="shared" si="53"/>
        <v>594.6</v>
      </c>
      <c r="X108" s="70">
        <f t="shared" si="53"/>
        <v>582.70000000000005</v>
      </c>
      <c r="Y108" s="70">
        <f t="shared" si="53"/>
        <v>437.20000000000005</v>
      </c>
      <c r="Z108" s="70">
        <f t="shared" si="53"/>
        <v>349.4</v>
      </c>
      <c r="AA108" s="70">
        <f t="shared" si="53"/>
        <v>466.1</v>
      </c>
      <c r="AB108" s="70">
        <f t="shared" si="53"/>
        <v>379.3</v>
      </c>
      <c r="AC108" s="70">
        <f t="shared" si="53"/>
        <v>519.9</v>
      </c>
      <c r="AD108" s="70">
        <f t="shared" si="53"/>
        <v>529</v>
      </c>
      <c r="AE108" s="70">
        <f t="shared" si="53"/>
        <v>663</v>
      </c>
      <c r="AF108" s="70">
        <f t="shared" si="53"/>
        <v>598.29999999999995</v>
      </c>
      <c r="AG108" s="100"/>
      <c r="AH108" s="48">
        <f t="shared" si="39"/>
        <v>780.49999999999989</v>
      </c>
      <c r="AI108" s="49">
        <f t="shared" si="40"/>
        <v>261.5</v>
      </c>
    </row>
    <row r="109" spans="1:86" x14ac:dyDescent="0.25">
      <c r="A109" s="112" t="s">
        <v>132</v>
      </c>
      <c r="B109" s="113">
        <v>50.04</v>
      </c>
      <c r="C109" s="113">
        <v>49.98</v>
      </c>
      <c r="D109" s="113">
        <v>50.01</v>
      </c>
      <c r="E109" s="113">
        <v>49.917999999999999</v>
      </c>
      <c r="F109" s="113">
        <v>49.917999999999999</v>
      </c>
      <c r="G109" s="113">
        <v>49.976999999999997</v>
      </c>
      <c r="H109" s="113">
        <v>49.923000000000002</v>
      </c>
      <c r="I109" s="113">
        <v>50.006999999999998</v>
      </c>
      <c r="J109" s="113">
        <v>50.081000000000003</v>
      </c>
      <c r="K109" s="113">
        <v>49.927999999999997</v>
      </c>
      <c r="L109" s="113">
        <v>49.85</v>
      </c>
      <c r="M109" s="113">
        <v>49.884</v>
      </c>
      <c r="N109" s="113">
        <v>50.011000000000003</v>
      </c>
      <c r="O109" s="113">
        <v>50.078000000000003</v>
      </c>
      <c r="P109" s="113">
        <v>50.061999999999998</v>
      </c>
      <c r="Q109" s="113">
        <v>50.055</v>
      </c>
      <c r="R109" s="113">
        <v>49.99</v>
      </c>
      <c r="S109" s="113">
        <v>49.97</v>
      </c>
      <c r="T109" s="113">
        <v>49.93</v>
      </c>
      <c r="U109" s="113">
        <v>49.96</v>
      </c>
      <c r="V109" s="113">
        <v>50</v>
      </c>
      <c r="W109" s="113">
        <v>50</v>
      </c>
      <c r="X109" s="113">
        <v>50.04</v>
      </c>
      <c r="Y109" s="113">
        <v>49.92</v>
      </c>
      <c r="Z109" s="113">
        <v>49.95</v>
      </c>
      <c r="AA109" s="113">
        <v>50</v>
      </c>
      <c r="AB109" s="113">
        <v>49.96</v>
      </c>
      <c r="AC109" s="113">
        <v>50.034999999999997</v>
      </c>
      <c r="AD109" s="113">
        <v>49.975999999999999</v>
      </c>
      <c r="AE109" s="113">
        <v>50.002000000000002</v>
      </c>
      <c r="AF109" s="113">
        <v>50.024999999999999</v>
      </c>
      <c r="AG109" s="114"/>
      <c r="AH109" s="48">
        <f t="shared" si="39"/>
        <v>50.081000000000003</v>
      </c>
      <c r="AI109" s="49">
        <f t="shared" si="40"/>
        <v>49.85</v>
      </c>
    </row>
    <row r="110" spans="1:86" x14ac:dyDescent="0.25">
      <c r="A110" s="115" t="s">
        <v>133</v>
      </c>
      <c r="B110" s="75">
        <v>130.4</v>
      </c>
      <c r="C110" s="75">
        <v>130.4</v>
      </c>
      <c r="D110" s="75">
        <v>130.19999999999999</v>
      </c>
      <c r="E110" s="75">
        <v>129.80000000000001</v>
      </c>
      <c r="F110" s="75">
        <v>129.80000000000001</v>
      </c>
      <c r="G110" s="75">
        <v>127.1</v>
      </c>
      <c r="H110" s="75">
        <v>127.3</v>
      </c>
      <c r="I110" s="75">
        <v>127.3</v>
      </c>
      <c r="J110" s="75">
        <v>127</v>
      </c>
      <c r="K110" s="75">
        <v>128.19999999999999</v>
      </c>
      <c r="L110" s="75">
        <v>126</v>
      </c>
      <c r="M110" s="75">
        <v>124.7</v>
      </c>
      <c r="N110" s="75">
        <v>124.3</v>
      </c>
      <c r="O110" s="75">
        <v>126.6</v>
      </c>
      <c r="P110" s="75">
        <v>124</v>
      </c>
      <c r="Q110" s="75">
        <v>125.1</v>
      </c>
      <c r="R110" s="75">
        <v>124.1</v>
      </c>
      <c r="S110" s="75">
        <v>125.3</v>
      </c>
      <c r="T110" s="75">
        <v>122.2</v>
      </c>
      <c r="U110" s="75">
        <v>124.6</v>
      </c>
      <c r="V110" s="75">
        <v>127.2</v>
      </c>
      <c r="W110" s="75">
        <v>127.2</v>
      </c>
      <c r="X110" s="75">
        <v>129</v>
      </c>
      <c r="Y110" s="75">
        <v>127</v>
      </c>
      <c r="Z110" s="75">
        <v>127.5</v>
      </c>
      <c r="AA110" s="75">
        <v>130.69999999999999</v>
      </c>
      <c r="AB110" s="75">
        <v>131.19999999999999</v>
      </c>
      <c r="AC110" s="75">
        <v>130.30000000000001</v>
      </c>
      <c r="AD110" s="75">
        <v>130.1</v>
      </c>
      <c r="AE110" s="75">
        <v>128.6</v>
      </c>
      <c r="AF110" s="75">
        <v>127.8</v>
      </c>
      <c r="AG110" s="116"/>
      <c r="AH110" s="48">
        <f t="shared" si="39"/>
        <v>131.19999999999999</v>
      </c>
      <c r="AI110" s="49">
        <f t="shared" si="40"/>
        <v>122.2</v>
      </c>
    </row>
    <row r="111" spans="1:86" x14ac:dyDescent="0.25">
      <c r="A111" s="115" t="s">
        <v>134</v>
      </c>
      <c r="B111" s="75">
        <v>133</v>
      </c>
      <c r="C111" s="75">
        <v>133</v>
      </c>
      <c r="D111" s="75">
        <v>133.6</v>
      </c>
      <c r="E111" s="75">
        <v>133.19999999999999</v>
      </c>
      <c r="F111" s="75">
        <v>133.19999999999999</v>
      </c>
      <c r="G111" s="75">
        <v>130.6</v>
      </c>
      <c r="H111" s="75">
        <v>130.80000000000001</v>
      </c>
      <c r="I111" s="75">
        <v>130.80000000000001</v>
      </c>
      <c r="J111" s="75">
        <v>129.6</v>
      </c>
      <c r="K111" s="75">
        <v>130</v>
      </c>
      <c r="L111" s="75">
        <v>127.6</v>
      </c>
      <c r="M111" s="75">
        <v>127.5</v>
      </c>
      <c r="N111" s="75">
        <v>127.8</v>
      </c>
      <c r="O111" s="75">
        <v>129</v>
      </c>
      <c r="P111" s="75">
        <v>128</v>
      </c>
      <c r="Q111" s="75">
        <v>128.19999999999999</v>
      </c>
      <c r="R111" s="75">
        <v>127.2</v>
      </c>
      <c r="S111" s="75">
        <v>128.6</v>
      </c>
      <c r="T111" s="75">
        <v>126.1</v>
      </c>
      <c r="U111" s="75">
        <v>127.8</v>
      </c>
      <c r="V111" s="75">
        <v>129.80000000000001</v>
      </c>
      <c r="W111" s="75">
        <v>129.80000000000001</v>
      </c>
      <c r="X111" s="75">
        <v>131.74</v>
      </c>
      <c r="Y111" s="75">
        <v>131.74</v>
      </c>
      <c r="Z111" s="75">
        <v>129.4</v>
      </c>
      <c r="AA111" s="75">
        <v>132.30000000000001</v>
      </c>
      <c r="AB111" s="75">
        <v>132.5</v>
      </c>
      <c r="AC111" s="75">
        <v>132.19999999999999</v>
      </c>
      <c r="AD111" s="75">
        <v>132.4</v>
      </c>
      <c r="AE111" s="75">
        <v>131.69999999999999</v>
      </c>
      <c r="AF111" s="75">
        <v>132</v>
      </c>
      <c r="AG111" s="116"/>
      <c r="AH111" s="48">
        <f t="shared" si="39"/>
        <v>133.6</v>
      </c>
      <c r="AI111" s="49">
        <f t="shared" si="40"/>
        <v>126.1</v>
      </c>
    </row>
    <row r="112" spans="1:86" x14ac:dyDescent="0.25">
      <c r="A112" s="115" t="s">
        <v>135</v>
      </c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>
        <v>125.4</v>
      </c>
      <c r="T112" s="75">
        <v>127.8</v>
      </c>
      <c r="U112" s="75">
        <v>124.2</v>
      </c>
      <c r="V112" s="75">
        <v>127.3</v>
      </c>
      <c r="W112" s="75">
        <v>127.3</v>
      </c>
      <c r="X112" s="75">
        <v>128.80000000000001</v>
      </c>
      <c r="Y112" s="75">
        <v>128.80000000000001</v>
      </c>
      <c r="Z112" s="75">
        <v>129.31</v>
      </c>
      <c r="AA112" s="75">
        <v>133.1</v>
      </c>
      <c r="AB112" s="75">
        <v>131.1</v>
      </c>
      <c r="AC112" s="75">
        <v>129.4</v>
      </c>
      <c r="AD112" s="75">
        <v>128.69999999999999</v>
      </c>
      <c r="AE112" s="75">
        <v>126.1</v>
      </c>
      <c r="AF112" s="75">
        <v>128.5</v>
      </c>
      <c r="AG112" s="116"/>
      <c r="AH112" s="48">
        <f t="shared" si="39"/>
        <v>133.1</v>
      </c>
      <c r="AI112" s="49">
        <f t="shared" si="40"/>
        <v>124.2</v>
      </c>
    </row>
    <row r="113" spans="1:35" x14ac:dyDescent="0.25">
      <c r="A113" s="117" t="s">
        <v>136</v>
      </c>
      <c r="B113" s="75">
        <v>133</v>
      </c>
      <c r="C113" s="75">
        <v>134</v>
      </c>
      <c r="D113" s="75">
        <v>134.6</v>
      </c>
      <c r="E113" s="75">
        <v>134.5</v>
      </c>
      <c r="F113" s="75">
        <v>134.5</v>
      </c>
      <c r="G113" s="75">
        <v>130.6</v>
      </c>
      <c r="H113" s="75">
        <v>128.69999999999999</v>
      </c>
      <c r="I113" s="75">
        <v>128.69999999999999</v>
      </c>
      <c r="J113" s="75">
        <v>122.2</v>
      </c>
      <c r="K113" s="75">
        <v>122.6</v>
      </c>
      <c r="L113" s="75">
        <v>122.4</v>
      </c>
      <c r="M113" s="75">
        <v>122.6</v>
      </c>
      <c r="N113" s="75">
        <v>123.3</v>
      </c>
      <c r="O113" s="75">
        <v>125.6</v>
      </c>
      <c r="P113" s="75">
        <v>121.5</v>
      </c>
      <c r="Q113" s="75">
        <v>127.4</v>
      </c>
      <c r="R113" s="75">
        <v>122.3</v>
      </c>
      <c r="S113" s="75">
        <v>123.9</v>
      </c>
      <c r="T113" s="75">
        <v>126.3</v>
      </c>
      <c r="U113" s="75">
        <v>123.9</v>
      </c>
      <c r="V113" s="75">
        <v>125.9</v>
      </c>
      <c r="W113" s="75">
        <v>125.9</v>
      </c>
      <c r="X113" s="75">
        <v>125.8</v>
      </c>
      <c r="Y113" s="75">
        <v>125.8</v>
      </c>
      <c r="Z113" s="75">
        <v>127.3</v>
      </c>
      <c r="AA113" s="75">
        <v>131.4</v>
      </c>
      <c r="AB113" s="75">
        <v>131.5</v>
      </c>
      <c r="AC113" s="75">
        <v>130.80000000000001</v>
      </c>
      <c r="AD113" s="75">
        <v>129.69999999999999</v>
      </c>
      <c r="AE113" s="75">
        <v>128.30000000000001</v>
      </c>
      <c r="AF113" s="75">
        <v>131</v>
      </c>
      <c r="AG113" s="116"/>
      <c r="AH113" s="48">
        <f t="shared" si="39"/>
        <v>134.6</v>
      </c>
      <c r="AI113" s="49">
        <f t="shared" si="40"/>
        <v>121.5</v>
      </c>
    </row>
    <row r="114" spans="1:35" x14ac:dyDescent="0.25">
      <c r="A114" s="117" t="s">
        <v>137</v>
      </c>
      <c r="B114" s="118">
        <v>134.5</v>
      </c>
      <c r="C114" s="118">
        <v>131.4</v>
      </c>
      <c r="D114" s="118">
        <v>133.9</v>
      </c>
      <c r="E114" s="118">
        <v>133.9</v>
      </c>
      <c r="F114" s="118">
        <v>133.9</v>
      </c>
      <c r="G114" s="118">
        <v>131.80000000000001</v>
      </c>
      <c r="H114" s="118">
        <v>132.80000000000001</v>
      </c>
      <c r="I114" s="118">
        <v>135.1</v>
      </c>
      <c r="J114" s="118">
        <v>133.9</v>
      </c>
      <c r="K114" s="118">
        <v>136.19999999999999</v>
      </c>
      <c r="L114" s="118">
        <v>133.5</v>
      </c>
      <c r="M114" s="118">
        <v>132.9</v>
      </c>
      <c r="N114" s="118">
        <v>131.9</v>
      </c>
      <c r="O114" s="118">
        <v>132.19999999999999</v>
      </c>
      <c r="P114" s="118">
        <v>121.7</v>
      </c>
      <c r="Q114" s="118">
        <v>133.30000000000001</v>
      </c>
      <c r="R114" s="118">
        <v>131.19999999999999</v>
      </c>
      <c r="S114" s="118">
        <v>135.30000000000001</v>
      </c>
      <c r="T114" s="118">
        <v>130.6</v>
      </c>
      <c r="U114" s="118">
        <v>134.30000000000001</v>
      </c>
      <c r="V114" s="118">
        <v>135.19999999999999</v>
      </c>
      <c r="W114" s="118">
        <v>135.19999999999999</v>
      </c>
      <c r="X114" s="118">
        <v>135.5</v>
      </c>
      <c r="Y114" s="118">
        <v>135.5</v>
      </c>
      <c r="Z114" s="118">
        <v>135.80000000000001</v>
      </c>
      <c r="AA114" s="118">
        <v>136.9</v>
      </c>
      <c r="AB114" s="118">
        <v>135.80000000000001</v>
      </c>
      <c r="AC114" s="118">
        <v>136.5</v>
      </c>
      <c r="AD114" s="118">
        <v>136.69999999999999</v>
      </c>
      <c r="AE114" s="118">
        <v>133.19999999999999</v>
      </c>
      <c r="AF114" s="118">
        <v>133.4</v>
      </c>
      <c r="AG114" s="119"/>
      <c r="AH114" s="48">
        <f t="shared" si="39"/>
        <v>136.9</v>
      </c>
      <c r="AI114" s="49">
        <f t="shared" si="40"/>
        <v>121.7</v>
      </c>
    </row>
    <row r="115" spans="1:35" x14ac:dyDescent="0.25">
      <c r="A115" s="115" t="s">
        <v>138</v>
      </c>
      <c r="B115" s="75">
        <v>134.6</v>
      </c>
      <c r="C115" s="75">
        <v>131.5</v>
      </c>
      <c r="D115" s="75">
        <v>132.6</v>
      </c>
      <c r="E115" s="75">
        <v>136.9</v>
      </c>
      <c r="F115" s="75">
        <v>136.9</v>
      </c>
      <c r="G115" s="75">
        <v>130.6</v>
      </c>
      <c r="H115" s="75">
        <v>127.2</v>
      </c>
      <c r="I115" s="75">
        <v>129.30000000000001</v>
      </c>
      <c r="J115" s="75">
        <v>132.30000000000001</v>
      </c>
      <c r="K115" s="75">
        <v>132</v>
      </c>
      <c r="L115" s="75">
        <v>135.19999999999999</v>
      </c>
      <c r="M115" s="75">
        <v>130</v>
      </c>
      <c r="N115" s="75">
        <v>130.9</v>
      </c>
      <c r="O115" s="75">
        <v>131.5</v>
      </c>
      <c r="P115" s="75">
        <v>131.5</v>
      </c>
      <c r="Q115" s="75">
        <v>131.19999999999999</v>
      </c>
      <c r="R115" s="75">
        <v>131</v>
      </c>
      <c r="S115" s="75">
        <v>128.80000000000001</v>
      </c>
      <c r="T115" s="75">
        <v>126.9</v>
      </c>
      <c r="U115" s="75">
        <v>130.6</v>
      </c>
      <c r="V115" s="75">
        <v>135.69999999999999</v>
      </c>
      <c r="W115" s="75">
        <v>135.69999999999999</v>
      </c>
      <c r="X115" s="75">
        <v>133.69999999999999</v>
      </c>
      <c r="Y115" s="75">
        <v>133.69999999999999</v>
      </c>
      <c r="Z115" s="75">
        <v>129.1</v>
      </c>
      <c r="AA115" s="75">
        <v>130.6</v>
      </c>
      <c r="AB115" s="75">
        <v>133.9</v>
      </c>
      <c r="AC115" s="75">
        <v>134.80000000000001</v>
      </c>
      <c r="AD115" s="75">
        <v>133.4</v>
      </c>
      <c r="AE115" s="75">
        <v>133.9</v>
      </c>
      <c r="AF115" s="75">
        <v>131.69999999999999</v>
      </c>
      <c r="AG115" s="116"/>
      <c r="AH115" s="48">
        <f t="shared" si="39"/>
        <v>136.9</v>
      </c>
      <c r="AI115" s="49">
        <f t="shared" si="40"/>
        <v>126.9</v>
      </c>
    </row>
    <row r="116" spans="1:35" ht="15.75" thickBot="1" x14ac:dyDescent="0.3">
      <c r="A116" s="115" t="s">
        <v>139</v>
      </c>
      <c r="B116" s="104">
        <v>67</v>
      </c>
      <c r="C116" s="104">
        <v>66.900000000000006</v>
      </c>
      <c r="D116" s="104">
        <v>67.2</v>
      </c>
      <c r="E116" s="104">
        <v>67</v>
      </c>
      <c r="F116" s="104">
        <v>67</v>
      </c>
      <c r="G116" s="104">
        <v>65.599999999999994</v>
      </c>
      <c r="H116" s="104">
        <v>65.8</v>
      </c>
      <c r="I116" s="104">
        <v>65.599999999999994</v>
      </c>
      <c r="J116" s="104">
        <v>65.099999999999994</v>
      </c>
      <c r="K116" s="104">
        <v>65.3</v>
      </c>
      <c r="L116" s="104">
        <v>64.2</v>
      </c>
      <c r="M116" s="104">
        <v>64.099999999999994</v>
      </c>
      <c r="N116" s="104">
        <v>64.2</v>
      </c>
      <c r="O116" s="104">
        <v>64.8</v>
      </c>
      <c r="P116" s="104">
        <v>64.099999999999994</v>
      </c>
      <c r="Q116" s="104">
        <v>64.3</v>
      </c>
      <c r="R116" s="104">
        <v>63.7</v>
      </c>
      <c r="S116" s="104">
        <v>65</v>
      </c>
      <c r="T116" s="104">
        <v>65</v>
      </c>
      <c r="U116" s="104">
        <v>64.2</v>
      </c>
      <c r="V116" s="104">
        <v>65.3</v>
      </c>
      <c r="W116" s="104">
        <v>65.3</v>
      </c>
      <c r="X116" s="104">
        <v>66.5</v>
      </c>
      <c r="Y116" s="104">
        <v>66.5</v>
      </c>
      <c r="Z116" s="104">
        <v>65</v>
      </c>
      <c r="AA116" s="104">
        <v>66.5</v>
      </c>
      <c r="AB116" s="104">
        <v>66.2</v>
      </c>
      <c r="AC116" s="104">
        <v>66.099999999999994</v>
      </c>
      <c r="AD116" s="104">
        <v>66.2</v>
      </c>
      <c r="AE116" s="104">
        <v>66.099999999999994</v>
      </c>
      <c r="AF116" s="104">
        <v>66.2</v>
      </c>
      <c r="AG116" s="120"/>
      <c r="AH116" s="48">
        <f t="shared" si="39"/>
        <v>67.2</v>
      </c>
      <c r="AI116" s="49">
        <f t="shared" si="40"/>
        <v>63.7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39"/>
        <v>0</v>
      </c>
      <c r="AI117" s="49">
        <f t="shared" si="40"/>
        <v>0</v>
      </c>
    </row>
    <row r="118" spans="1:35" ht="15.75" thickBot="1" x14ac:dyDescent="0.3">
      <c r="A118" s="122" t="s">
        <v>141</v>
      </c>
      <c r="B118" s="123">
        <f t="shared" ref="B118:O118" si="54">SUM(B22,B28,B31:B32,B66,B68:B69,B71,B73,B119:B123,B155,B161,B167,B176,B178,B190,B197,B200:B201,B208,B210,B212,B216:B218,B220:B222,B227,B233:B234,B236:B238,B246,B251)</f>
        <v>120.84</v>
      </c>
      <c r="C118" s="123">
        <f t="shared" si="54"/>
        <v>112.84</v>
      </c>
      <c r="D118" s="123">
        <f t="shared" si="54"/>
        <v>130.82399999999998</v>
      </c>
      <c r="E118" s="123">
        <f t="shared" si="54"/>
        <v>127.916</v>
      </c>
      <c r="F118" s="123">
        <f t="shared" si="54"/>
        <v>161.54</v>
      </c>
      <c r="G118" s="123">
        <f t="shared" si="54"/>
        <v>163.864</v>
      </c>
      <c r="H118" s="123">
        <f t="shared" si="54"/>
        <v>185.61199999999997</v>
      </c>
      <c r="I118" s="123">
        <f t="shared" si="54"/>
        <v>226.124</v>
      </c>
      <c r="J118" s="123">
        <f t="shared" si="54"/>
        <v>276.71199999999999</v>
      </c>
      <c r="K118" s="123">
        <f t="shared" si="54"/>
        <v>194.53999999999996</v>
      </c>
      <c r="L118" s="123">
        <f t="shared" si="54"/>
        <v>345.47599999999994</v>
      </c>
      <c r="M118" s="123">
        <f t="shared" si="54"/>
        <v>331.69199999999995</v>
      </c>
      <c r="N118" s="123">
        <f t="shared" si="54"/>
        <v>315.53999999999996</v>
      </c>
      <c r="O118" s="123">
        <f t="shared" si="54"/>
        <v>308.94000000000005</v>
      </c>
      <c r="P118" s="123">
        <v>42</v>
      </c>
      <c r="Q118" s="123">
        <f t="shared" ref="Q118:AF118" si="55">SUM(Q22,Q28,Q31:Q32,Q66,Q68:Q69,Q71,Q73,Q119:Q123,Q155,Q161,Q167,Q176,Q178,Q190,Q197,Q200:Q201,Q208,Q210,Q212,Q216:Q218,Q220:Q222,Q227,Q233:Q234,Q236:Q238,Q246,Q251)</f>
        <v>293.2</v>
      </c>
      <c r="R118" s="123">
        <f t="shared" si="55"/>
        <v>238.03999999999996</v>
      </c>
      <c r="S118" s="123">
        <f t="shared" si="55"/>
        <v>274.59999999999997</v>
      </c>
      <c r="T118" s="123">
        <f t="shared" si="55"/>
        <v>279.94</v>
      </c>
      <c r="U118" s="123">
        <f t="shared" si="55"/>
        <v>284.32</v>
      </c>
      <c r="V118" s="123">
        <f t="shared" si="55"/>
        <v>287.66000000000003</v>
      </c>
      <c r="W118" s="123">
        <f t="shared" si="55"/>
        <v>286.66000000000003</v>
      </c>
      <c r="X118" s="123">
        <f t="shared" si="55"/>
        <v>319.54000000000002</v>
      </c>
      <c r="Y118" s="123">
        <f t="shared" si="55"/>
        <v>371.08</v>
      </c>
      <c r="Z118" s="123">
        <f t="shared" si="55"/>
        <v>396.92</v>
      </c>
      <c r="AA118" s="123">
        <f t="shared" si="55"/>
        <v>363.84</v>
      </c>
      <c r="AB118" s="123">
        <f t="shared" si="55"/>
        <v>292.09999999999997</v>
      </c>
      <c r="AC118" s="123">
        <f t="shared" si="55"/>
        <v>286.608</v>
      </c>
      <c r="AD118" s="123">
        <f t="shared" si="55"/>
        <v>268.34000000000003</v>
      </c>
      <c r="AE118" s="123">
        <f t="shared" si="55"/>
        <v>206.94</v>
      </c>
      <c r="AF118" s="123">
        <f t="shared" si="55"/>
        <v>158.94</v>
      </c>
      <c r="AG118" s="124"/>
      <c r="AH118" s="48">
        <f t="shared" si="39"/>
        <v>396.92</v>
      </c>
      <c r="AI118" s="49">
        <f t="shared" si="40"/>
        <v>42</v>
      </c>
    </row>
    <row r="119" spans="1:35" x14ac:dyDescent="0.25">
      <c r="A119" s="125" t="s">
        <v>142</v>
      </c>
      <c r="B119" s="126">
        <v>-4</v>
      </c>
      <c r="C119" s="126">
        <v>-11</v>
      </c>
      <c r="D119" s="126">
        <v>-14.2</v>
      </c>
      <c r="E119" s="126">
        <v>-14.1</v>
      </c>
      <c r="F119" s="126">
        <v>-13.2</v>
      </c>
      <c r="G119" s="126">
        <v>-16.899999999999999</v>
      </c>
      <c r="H119" s="126">
        <v>-3.5</v>
      </c>
      <c r="I119" s="126">
        <v>14</v>
      </c>
      <c r="J119" s="126">
        <v>32.4</v>
      </c>
      <c r="K119" s="126">
        <v>24.4</v>
      </c>
      <c r="L119" s="126">
        <v>24.8</v>
      </c>
      <c r="M119" s="126">
        <v>33.9</v>
      </c>
      <c r="N119" s="126">
        <v>28.9</v>
      </c>
      <c r="O119" s="126">
        <v>28.9</v>
      </c>
      <c r="P119" s="126">
        <v>31.3</v>
      </c>
      <c r="Q119" s="126">
        <v>18.2</v>
      </c>
      <c r="R119" s="126">
        <v>12.6</v>
      </c>
      <c r="S119" s="126">
        <v>22.1</v>
      </c>
      <c r="T119" s="126">
        <v>12.8</v>
      </c>
      <c r="U119" s="126">
        <v>17</v>
      </c>
      <c r="V119" s="126">
        <v>15.1</v>
      </c>
      <c r="W119" s="126">
        <v>15.1</v>
      </c>
      <c r="X119" s="126">
        <v>31.1</v>
      </c>
      <c r="Y119" s="126">
        <v>40.799999999999997</v>
      </c>
      <c r="Z119" s="126">
        <v>32.1</v>
      </c>
      <c r="AA119" s="126">
        <v>50.5</v>
      </c>
      <c r="AB119" s="126">
        <v>45.9</v>
      </c>
      <c r="AC119" s="126">
        <v>29.8</v>
      </c>
      <c r="AD119" s="126">
        <v>30.7</v>
      </c>
      <c r="AE119" s="126">
        <v>3.9</v>
      </c>
      <c r="AF119" s="126">
        <v>10.1</v>
      </c>
      <c r="AG119" s="127">
        <v>75</v>
      </c>
      <c r="AH119" s="48">
        <f t="shared" si="39"/>
        <v>50.5</v>
      </c>
      <c r="AI119" s="49">
        <f t="shared" si="40"/>
        <v>-16.899999999999999</v>
      </c>
    </row>
    <row r="120" spans="1:35" x14ac:dyDescent="0.25">
      <c r="A120" s="128" t="s">
        <v>143</v>
      </c>
      <c r="B120" s="129">
        <v>-11</v>
      </c>
      <c r="C120" s="129">
        <v>-18</v>
      </c>
      <c r="D120" s="129">
        <v>-22.4</v>
      </c>
      <c r="E120" s="129">
        <v>-23.1</v>
      </c>
      <c r="F120" s="129">
        <v>-24.2</v>
      </c>
      <c r="G120" s="129">
        <v>-26.8</v>
      </c>
      <c r="H120" s="129">
        <v>-8.8000000000000007</v>
      </c>
      <c r="I120" s="129">
        <v>14.4</v>
      </c>
      <c r="J120" s="129">
        <v>38.799999999999997</v>
      </c>
      <c r="K120" s="129">
        <v>34.200000000000003</v>
      </c>
      <c r="L120" s="129">
        <v>35.200000000000003</v>
      </c>
      <c r="M120" s="129">
        <v>48.7</v>
      </c>
      <c r="N120" s="129">
        <v>42.7</v>
      </c>
      <c r="O120" s="129">
        <v>42.3</v>
      </c>
      <c r="P120" s="129">
        <v>39.200000000000003</v>
      </c>
      <c r="Q120" s="129">
        <v>20.5</v>
      </c>
      <c r="R120" s="129">
        <v>11.5</v>
      </c>
      <c r="S120" s="129">
        <v>23.2</v>
      </c>
      <c r="T120" s="129">
        <v>12.6</v>
      </c>
      <c r="U120" s="129">
        <v>18.8</v>
      </c>
      <c r="V120" s="129">
        <v>16.7</v>
      </c>
      <c r="W120" s="129">
        <v>16.7</v>
      </c>
      <c r="X120" s="129">
        <v>38.299999999999997</v>
      </c>
      <c r="Y120" s="129">
        <v>51.6</v>
      </c>
      <c r="Z120" s="129">
        <v>38.799999999999997</v>
      </c>
      <c r="AA120" s="129">
        <v>64.599999999999994</v>
      </c>
      <c r="AB120" s="129">
        <v>57.4</v>
      </c>
      <c r="AC120" s="129">
        <v>34.799999999999997</v>
      </c>
      <c r="AD120" s="129">
        <v>35.200000000000003</v>
      </c>
      <c r="AE120" s="129">
        <v>-0.2</v>
      </c>
      <c r="AF120" s="129">
        <v>8.6</v>
      </c>
      <c r="AG120" s="127">
        <v>240</v>
      </c>
      <c r="AH120" s="48">
        <f t="shared" si="39"/>
        <v>64.599999999999994</v>
      </c>
      <c r="AI120" s="49">
        <f t="shared" si="40"/>
        <v>-26.8</v>
      </c>
    </row>
    <row r="121" spans="1:35" x14ac:dyDescent="0.25">
      <c r="A121" s="128" t="s">
        <v>144</v>
      </c>
      <c r="B121" s="129">
        <v>-12</v>
      </c>
      <c r="C121" s="129">
        <v>-10</v>
      </c>
      <c r="D121" s="129">
        <v>-12.3</v>
      </c>
      <c r="E121" s="129">
        <v>-13.2</v>
      </c>
      <c r="F121" s="129">
        <v>-6.1</v>
      </c>
      <c r="G121" s="129">
        <v>0</v>
      </c>
      <c r="H121" s="129">
        <v>0</v>
      </c>
      <c r="I121" s="129">
        <v>0</v>
      </c>
      <c r="J121" s="129">
        <v>5.6</v>
      </c>
      <c r="K121" s="129">
        <v>34.200000000000003</v>
      </c>
      <c r="L121" s="129">
        <v>39.5</v>
      </c>
      <c r="M121" s="129">
        <v>21.2</v>
      </c>
      <c r="N121" s="129">
        <f>6.4+7.2</f>
        <v>13.600000000000001</v>
      </c>
      <c r="O121" s="129">
        <f>3.6+4.2</f>
        <v>7.8000000000000007</v>
      </c>
      <c r="P121" s="129">
        <f>2.6</f>
        <v>2.6</v>
      </c>
      <c r="Q121" s="129">
        <f>14</f>
        <v>14</v>
      </c>
      <c r="R121" s="129">
        <v>16.600000000000001</v>
      </c>
      <c r="S121" s="129">
        <v>9.3000000000000007</v>
      </c>
      <c r="T121" s="129">
        <v>16</v>
      </c>
      <c r="U121" s="129">
        <v>17</v>
      </c>
      <c r="V121" s="129">
        <v>29</v>
      </c>
      <c r="W121" s="129">
        <v>29</v>
      </c>
      <c r="X121" s="129">
        <v>21</v>
      </c>
      <c r="Y121" s="129">
        <v>26</v>
      </c>
      <c r="Z121" s="129">
        <v>42.9</v>
      </c>
      <c r="AA121" s="129">
        <v>43</v>
      </c>
      <c r="AB121" s="129">
        <v>1</v>
      </c>
      <c r="AC121" s="129">
        <v>15.6</v>
      </c>
      <c r="AD121" s="129">
        <v>18</v>
      </c>
      <c r="AE121" s="129">
        <v>5</v>
      </c>
      <c r="AF121" s="129">
        <v>-33</v>
      </c>
      <c r="AG121" s="127">
        <v>240</v>
      </c>
      <c r="AH121" s="48">
        <f t="shared" si="39"/>
        <v>43</v>
      </c>
      <c r="AI121" s="49">
        <f t="shared" si="40"/>
        <v>-33</v>
      </c>
    </row>
    <row r="122" spans="1:35" ht="15.75" thickBot="1" x14ac:dyDescent="0.3">
      <c r="A122" s="128" t="s">
        <v>145</v>
      </c>
      <c r="B122" s="129">
        <v>-10</v>
      </c>
      <c r="C122" s="129">
        <v>-11</v>
      </c>
      <c r="D122" s="129">
        <v>-11.8</v>
      </c>
      <c r="E122" s="129">
        <v>-13.7</v>
      </c>
      <c r="F122" s="129">
        <v>-6</v>
      </c>
      <c r="G122" s="129">
        <v>-10.199999999999999</v>
      </c>
      <c r="H122" s="129">
        <v>-8</v>
      </c>
      <c r="I122" s="129">
        <v>-6.1</v>
      </c>
      <c r="J122" s="129">
        <v>2.5</v>
      </c>
      <c r="K122" s="129">
        <v>17.5</v>
      </c>
      <c r="L122" s="129">
        <v>17.899999999999999</v>
      </c>
      <c r="M122" s="129">
        <v>16.7</v>
      </c>
      <c r="N122" s="129">
        <v>14.1</v>
      </c>
      <c r="O122" s="129">
        <v>12.8</v>
      </c>
      <c r="P122" s="129">
        <v>5.8</v>
      </c>
      <c r="Q122" s="129">
        <v>5.5</v>
      </c>
      <c r="R122" s="129">
        <v>5.7</v>
      </c>
      <c r="S122" s="129">
        <v>-4.8</v>
      </c>
      <c r="T122" s="129">
        <v>-2</v>
      </c>
      <c r="U122" s="129">
        <v>2.9</v>
      </c>
      <c r="V122" s="129">
        <v>6.7</v>
      </c>
      <c r="W122" s="129">
        <v>6.7</v>
      </c>
      <c r="X122" s="129">
        <v>32.6</v>
      </c>
      <c r="Y122" s="129">
        <v>35.299999999999997</v>
      </c>
      <c r="Z122" s="129">
        <v>41.9</v>
      </c>
      <c r="AA122" s="129">
        <v>49.6</v>
      </c>
      <c r="AB122" s="129">
        <v>52.5</v>
      </c>
      <c r="AC122" s="129">
        <v>26.5</v>
      </c>
      <c r="AD122" s="129">
        <v>16</v>
      </c>
      <c r="AE122" s="129">
        <v>-0.2</v>
      </c>
      <c r="AF122" s="129">
        <v>-5.4</v>
      </c>
      <c r="AG122" s="127">
        <v>60</v>
      </c>
      <c r="AH122" s="48">
        <f t="shared" si="39"/>
        <v>52.5</v>
      </c>
      <c r="AI122" s="49">
        <f t="shared" si="40"/>
        <v>-13.7</v>
      </c>
    </row>
    <row r="123" spans="1:35" x14ac:dyDescent="0.25">
      <c r="A123" s="125" t="s">
        <v>146</v>
      </c>
      <c r="B123" s="130">
        <v>75</v>
      </c>
      <c r="C123" s="130">
        <v>80</v>
      </c>
      <c r="D123" s="130">
        <f>1.64*63.1</f>
        <v>103.48399999999999</v>
      </c>
      <c r="E123" s="130">
        <f>1.64*63.4</f>
        <v>103.97599999999998</v>
      </c>
      <c r="F123" s="130">
        <f>1.64*75</f>
        <v>122.99999999999999</v>
      </c>
      <c r="G123" s="130">
        <f>1.64*79.1</f>
        <v>129.72399999999999</v>
      </c>
      <c r="H123" s="130">
        <f>1.64*72.3</f>
        <v>118.57199999999999</v>
      </c>
      <c r="I123" s="130">
        <f>1.64*70.6</f>
        <v>115.78399999999998</v>
      </c>
      <c r="J123" s="130">
        <f>1.64*67.3</f>
        <v>110.37199999999999</v>
      </c>
      <c r="K123" s="130"/>
      <c r="L123" s="130">
        <f>1.64*84.9</f>
        <v>139.23599999999999</v>
      </c>
      <c r="M123" s="130">
        <f>72*1.641</f>
        <v>118.152</v>
      </c>
      <c r="N123" s="130">
        <f>72.5*1.64</f>
        <v>118.89999999999999</v>
      </c>
      <c r="O123" s="130">
        <f>70*1.64</f>
        <v>114.8</v>
      </c>
      <c r="P123" s="130">
        <f>75*1.64</f>
        <v>122.99999999999999</v>
      </c>
      <c r="Q123" s="130">
        <f>79*1.64</f>
        <v>129.56</v>
      </c>
      <c r="R123" s="130">
        <v>86.4</v>
      </c>
      <c r="S123" s="130">
        <f>76.6*1.6</f>
        <v>122.56</v>
      </c>
      <c r="T123" s="130">
        <f>88.5*1.6</f>
        <v>141.6</v>
      </c>
      <c r="U123" s="130">
        <f>84.3*1.6</f>
        <v>134.88</v>
      </c>
      <c r="V123" s="130">
        <f>82.7*1.6</f>
        <v>132.32000000000002</v>
      </c>
      <c r="W123" s="130">
        <f>82.7*1.6</f>
        <v>132.32000000000002</v>
      </c>
      <c r="X123" s="130">
        <f>68*1.6</f>
        <v>108.80000000000001</v>
      </c>
      <c r="Y123" s="130">
        <f>81.4*1.6</f>
        <v>130.24</v>
      </c>
      <c r="Z123" s="130">
        <f>96.3*1.6</f>
        <v>154.08000000000001</v>
      </c>
      <c r="AA123" s="130">
        <f>47*1.5</f>
        <v>70.5</v>
      </c>
      <c r="AB123" s="130">
        <f>1.64*31.5</f>
        <v>51.66</v>
      </c>
      <c r="AC123" s="130">
        <f>1.64*58.7</f>
        <v>96.268000000000001</v>
      </c>
      <c r="AD123" s="130">
        <f>53*1.6</f>
        <v>84.800000000000011</v>
      </c>
      <c r="AE123" s="130">
        <f>70*1.64</f>
        <v>114.8</v>
      </c>
      <c r="AF123" s="130">
        <v>95</v>
      </c>
      <c r="AG123" s="131">
        <v>120</v>
      </c>
      <c r="AH123" s="48">
        <f t="shared" si="39"/>
        <v>154.08000000000001</v>
      </c>
      <c r="AI123" s="49">
        <f t="shared" si="40"/>
        <v>51.66</v>
      </c>
    </row>
    <row r="124" spans="1:35" x14ac:dyDescent="0.25">
      <c r="A124" s="128" t="s">
        <v>147</v>
      </c>
      <c r="B124" s="130">
        <v>72</v>
      </c>
      <c r="C124" s="130">
        <v>74</v>
      </c>
      <c r="D124" s="130">
        <v>74.099999999999994</v>
      </c>
      <c r="E124" s="130">
        <v>75</v>
      </c>
      <c r="F124" s="130">
        <v>82.2</v>
      </c>
      <c r="G124" s="130">
        <v>87.7</v>
      </c>
      <c r="H124" s="130">
        <v>84</v>
      </c>
      <c r="I124" s="130">
        <v>79.2</v>
      </c>
      <c r="J124" s="130">
        <v>76.3</v>
      </c>
      <c r="K124" s="130">
        <v>85.6</v>
      </c>
      <c r="L124" s="130">
        <v>90.3</v>
      </c>
      <c r="M124" s="130">
        <v>81.400000000000006</v>
      </c>
      <c r="N124" s="130">
        <v>79.3</v>
      </c>
      <c r="O124" s="130">
        <v>77.7</v>
      </c>
      <c r="P124" s="130">
        <v>80.099999999999994</v>
      </c>
      <c r="Q124" s="130">
        <v>85.2</v>
      </c>
      <c r="R124" s="130">
        <v>90.9</v>
      </c>
      <c r="S124" s="130">
        <v>81.599999999999994</v>
      </c>
      <c r="T124" s="130">
        <v>92.5</v>
      </c>
      <c r="U124" s="130">
        <v>87.6</v>
      </c>
      <c r="V124" s="130">
        <v>86.9</v>
      </c>
      <c r="W124" s="130">
        <v>86.9</v>
      </c>
      <c r="X124" s="130">
        <v>74.599999999999994</v>
      </c>
      <c r="Y124" s="130">
        <v>84.9</v>
      </c>
      <c r="Z124" s="130">
        <v>96.1</v>
      </c>
      <c r="AA124" s="130">
        <v>56.6</v>
      </c>
      <c r="AB124" s="130">
        <v>46.4</v>
      </c>
      <c r="AC124" s="130">
        <v>70.099999999999994</v>
      </c>
      <c r="AD124" s="130">
        <v>65</v>
      </c>
      <c r="AE124" s="130">
        <v>80</v>
      </c>
      <c r="AF124" s="130">
        <v>72</v>
      </c>
      <c r="AG124" s="131"/>
      <c r="AH124" s="48"/>
      <c r="AI124" s="49"/>
    </row>
    <row r="125" spans="1:35" x14ac:dyDescent="0.25">
      <c r="A125" s="128" t="s">
        <v>148</v>
      </c>
      <c r="B125" s="130">
        <v>52</v>
      </c>
      <c r="C125" s="130">
        <v>54</v>
      </c>
      <c r="D125" s="130">
        <v>59.4</v>
      </c>
      <c r="E125" s="130">
        <v>62</v>
      </c>
      <c r="F125" s="130">
        <v>63</v>
      </c>
      <c r="G125" s="130">
        <v>64.8</v>
      </c>
      <c r="H125" s="130">
        <v>52.2</v>
      </c>
      <c r="I125" s="130">
        <v>26.3</v>
      </c>
      <c r="J125" s="130">
        <v>-4.5999999999999996</v>
      </c>
      <c r="K125" s="130">
        <v>-11.7</v>
      </c>
      <c r="L125" s="130">
        <v>-11.7</v>
      </c>
      <c r="M125" s="130">
        <v>-16.7</v>
      </c>
      <c r="N125" s="130">
        <v>-7.8</v>
      </c>
      <c r="O125" s="130">
        <v>-2.2999999999999998</v>
      </c>
      <c r="P125" s="130">
        <v>6</v>
      </c>
      <c r="Q125" s="130">
        <v>23.7</v>
      </c>
      <c r="R125" s="130">
        <v>35.799999999999997</v>
      </c>
      <c r="S125" s="130">
        <v>25.2</v>
      </c>
      <c r="T125" s="130">
        <v>36.200000000000003</v>
      </c>
      <c r="U125" s="130">
        <v>26.4</v>
      </c>
      <c r="V125" s="130">
        <v>20.5</v>
      </c>
      <c r="W125" s="130">
        <v>20.5</v>
      </c>
      <c r="X125" s="130">
        <v>-11.2</v>
      </c>
      <c r="Y125" s="130">
        <v>-21.2</v>
      </c>
      <c r="Z125" s="130">
        <v>-14.9</v>
      </c>
      <c r="AA125" s="130">
        <v>-60.7</v>
      </c>
      <c r="AB125" s="130">
        <v>-58.5</v>
      </c>
      <c r="AC125" s="130">
        <v>-70.5</v>
      </c>
      <c r="AD125" s="130">
        <v>-12</v>
      </c>
      <c r="AE125" s="130">
        <v>38</v>
      </c>
      <c r="AF125" s="130">
        <v>47</v>
      </c>
      <c r="AG125" s="131"/>
      <c r="AH125" s="48"/>
      <c r="AI125" s="49"/>
    </row>
    <row r="126" spans="1:35" ht="15.75" thickBot="1" x14ac:dyDescent="0.3">
      <c r="A126" s="128" t="s">
        <v>149</v>
      </c>
      <c r="B126" s="130">
        <v>81</v>
      </c>
      <c r="C126" s="130">
        <v>85</v>
      </c>
      <c r="D126" s="130">
        <v>79.2</v>
      </c>
      <c r="E126" s="130">
        <v>86.4</v>
      </c>
      <c r="F126" s="130">
        <v>95</v>
      </c>
      <c r="G126" s="130">
        <v>101.4</v>
      </c>
      <c r="H126" s="130">
        <v>95.2</v>
      </c>
      <c r="I126" s="130">
        <v>84.8</v>
      </c>
      <c r="J126" s="130">
        <v>80.400000000000006</v>
      </c>
      <c r="K126" s="130">
        <v>82.7</v>
      </c>
      <c r="L126" s="130">
        <v>95.6</v>
      </c>
      <c r="M126" s="130">
        <v>92.9</v>
      </c>
      <c r="N126" s="130">
        <v>86</v>
      </c>
      <c r="O126" s="130">
        <v>84.9</v>
      </c>
      <c r="P126" s="130">
        <v>92.8</v>
      </c>
      <c r="Q126" s="130">
        <v>88.5</v>
      </c>
      <c r="R126" s="130">
        <v>98.7</v>
      </c>
      <c r="S126" s="130">
        <v>82.5</v>
      </c>
      <c r="T126" s="130">
        <v>103.4</v>
      </c>
      <c r="U126" s="130">
        <v>91.2</v>
      </c>
      <c r="V126" s="130">
        <v>91.4</v>
      </c>
      <c r="W126" s="130">
        <v>91.4</v>
      </c>
      <c r="X126" s="130">
        <v>83.5</v>
      </c>
      <c r="Y126" s="130">
        <v>85.5</v>
      </c>
      <c r="Z126" s="130">
        <v>95.9</v>
      </c>
      <c r="AA126" s="130">
        <v>49</v>
      </c>
      <c r="AB126" s="130">
        <v>34.9</v>
      </c>
      <c r="AC126" s="130">
        <v>76.599999999999994</v>
      </c>
      <c r="AD126" s="130">
        <v>67</v>
      </c>
      <c r="AE126" s="130">
        <v>80</v>
      </c>
      <c r="AF126" s="130">
        <v>90</v>
      </c>
      <c r="AG126" s="127"/>
      <c r="AH126" s="48">
        <f>MAX(B126:AF126)</f>
        <v>103.4</v>
      </c>
      <c r="AI126" s="49">
        <f>MIN(B126:AF126)</f>
        <v>34.9</v>
      </c>
    </row>
    <row r="127" spans="1:35" x14ac:dyDescent="0.25">
      <c r="A127" s="125" t="s">
        <v>150</v>
      </c>
      <c r="B127" s="130">
        <v>12</v>
      </c>
      <c r="C127" s="130">
        <v>20</v>
      </c>
      <c r="D127" s="130">
        <v>23.4</v>
      </c>
      <c r="E127" s="130">
        <v>23.8</v>
      </c>
      <c r="F127" s="130">
        <v>25.1</v>
      </c>
      <c r="G127" s="130">
        <v>25</v>
      </c>
      <c r="H127" s="130">
        <v>18.2</v>
      </c>
      <c r="I127" s="130">
        <v>6.7</v>
      </c>
      <c r="J127" s="130">
        <v>0</v>
      </c>
      <c r="K127" s="130">
        <v>3.7</v>
      </c>
      <c r="L127" s="130">
        <v>1</v>
      </c>
      <c r="M127" s="130">
        <v>-3.9</v>
      </c>
      <c r="N127" s="130">
        <v>-1.3</v>
      </c>
      <c r="O127" s="130">
        <v>-1.3</v>
      </c>
      <c r="P127" s="130">
        <v>4.8</v>
      </c>
      <c r="Q127" s="130">
        <v>4.4000000000000004</v>
      </c>
      <c r="R127" s="130">
        <v>6.2</v>
      </c>
      <c r="S127" s="130">
        <v>-7.1</v>
      </c>
      <c r="T127" s="130">
        <v>-3.6</v>
      </c>
      <c r="U127" s="130">
        <v>-5.0999999999999996</v>
      </c>
      <c r="V127" s="130">
        <v>-4.5999999999999996</v>
      </c>
      <c r="W127" s="130">
        <v>-4.5999999999999996</v>
      </c>
      <c r="X127" s="130">
        <v>-11.1</v>
      </c>
      <c r="Y127" s="130">
        <v>-14.8</v>
      </c>
      <c r="Z127" s="130">
        <v>-6.4</v>
      </c>
      <c r="AA127" s="130">
        <v>-15.9</v>
      </c>
      <c r="AB127" s="130">
        <v>-9.1</v>
      </c>
      <c r="AC127" s="130">
        <v>0</v>
      </c>
      <c r="AD127" s="130">
        <v>0</v>
      </c>
      <c r="AE127" s="130">
        <v>1.6</v>
      </c>
      <c r="AF127" s="130">
        <v>-1.8</v>
      </c>
      <c r="AG127" s="127"/>
      <c r="AH127" s="48">
        <f>MAX(B127:AF127)</f>
        <v>25.1</v>
      </c>
      <c r="AI127" s="49">
        <f>MIN(B127:AF127)</f>
        <v>-15.9</v>
      </c>
    </row>
    <row r="128" spans="1:35" x14ac:dyDescent="0.25">
      <c r="A128" s="128" t="s">
        <v>151</v>
      </c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>
        <v>-36.700000000000003</v>
      </c>
      <c r="T128" s="118">
        <v>-29.5</v>
      </c>
      <c r="U128" s="118">
        <v>-42.5</v>
      </c>
      <c r="V128" s="118">
        <v>-49.5</v>
      </c>
      <c r="W128" s="118">
        <v>-49.5</v>
      </c>
      <c r="X128" s="118">
        <v>-61</v>
      </c>
      <c r="Y128" s="118"/>
      <c r="Z128" s="118">
        <v>-66.3</v>
      </c>
      <c r="AA128" s="118">
        <v>-56</v>
      </c>
      <c r="AB128" s="118">
        <v>-43.2</v>
      </c>
      <c r="AC128" s="118">
        <v>-37.5</v>
      </c>
      <c r="AD128" s="118">
        <v>-34</v>
      </c>
      <c r="AE128" s="118">
        <v>-24</v>
      </c>
      <c r="AF128" s="118">
        <v>-18</v>
      </c>
      <c r="AG128" s="127"/>
      <c r="AH128" s="48">
        <f>MAX(B128:AF128)</f>
        <v>-18</v>
      </c>
      <c r="AI128" s="49">
        <f>MIN(B128:AF128)</f>
        <v>-66.3</v>
      </c>
    </row>
    <row r="129" spans="1:37" x14ac:dyDescent="0.25">
      <c r="A129" s="128" t="s">
        <v>152</v>
      </c>
      <c r="B129" s="118">
        <v>-17</v>
      </c>
      <c r="C129" s="118">
        <v>-21</v>
      </c>
      <c r="D129" s="118">
        <v>-22.4</v>
      </c>
      <c r="E129" s="118">
        <v>-24.1</v>
      </c>
      <c r="F129" s="118">
        <v>-37.1</v>
      </c>
      <c r="G129" s="118">
        <v>-36.799999999999997</v>
      </c>
      <c r="H129" s="118">
        <v>-30.4</v>
      </c>
      <c r="I129" s="118">
        <v>-20.399999999999999</v>
      </c>
      <c r="J129" s="118">
        <v>-11.5</v>
      </c>
      <c r="K129" s="118">
        <v>-31.4</v>
      </c>
      <c r="L129" s="118">
        <v>-32.9</v>
      </c>
      <c r="M129" s="118">
        <v>-9.6</v>
      </c>
      <c r="N129" s="118">
        <v>-9.4</v>
      </c>
      <c r="O129" s="118">
        <v>-6.4</v>
      </c>
      <c r="P129" s="118">
        <v>-8.6</v>
      </c>
      <c r="Q129" s="118">
        <v>-22.9</v>
      </c>
      <c r="R129" s="118">
        <v>-31.4</v>
      </c>
      <c r="S129" s="118">
        <v>-18.7</v>
      </c>
      <c r="T129" s="118">
        <v>-29.3</v>
      </c>
      <c r="U129" s="118">
        <v>-23.2</v>
      </c>
      <c r="V129" s="118">
        <v>-37.799999999999997</v>
      </c>
      <c r="W129" s="118">
        <v>-37.799999999999997</v>
      </c>
      <c r="X129" s="118">
        <v>1.3</v>
      </c>
      <c r="Y129" s="118">
        <v>2.7</v>
      </c>
      <c r="Z129" s="118">
        <v>-13.9</v>
      </c>
      <c r="AA129" s="118">
        <v>6.6</v>
      </c>
      <c r="AB129" s="118">
        <v>16.399999999999999</v>
      </c>
      <c r="AC129" s="118">
        <v>-14.8</v>
      </c>
      <c r="AD129" s="118">
        <v>-6</v>
      </c>
      <c r="AE129" s="118">
        <v>-20</v>
      </c>
      <c r="AF129" s="118">
        <v>-19</v>
      </c>
      <c r="AG129" s="127"/>
      <c r="AH129" s="48">
        <f>MAX(B129:AF129)</f>
        <v>16.399999999999999</v>
      </c>
      <c r="AI129" s="49">
        <f>MIN(B129:AF129)</f>
        <v>-37.799999999999997</v>
      </c>
    </row>
    <row r="130" spans="1:37" ht="15.75" thickBot="1" x14ac:dyDescent="0.3">
      <c r="A130" s="128" t="s">
        <v>153</v>
      </c>
      <c r="B130" s="118">
        <v>98</v>
      </c>
      <c r="C130" s="118">
        <v>92</v>
      </c>
      <c r="D130" s="118">
        <v>91</v>
      </c>
      <c r="E130" s="118">
        <v>90.7</v>
      </c>
      <c r="F130" s="118">
        <v>96</v>
      </c>
      <c r="G130" s="118">
        <v>95</v>
      </c>
      <c r="H130" s="118">
        <v>98.5</v>
      </c>
      <c r="I130" s="118">
        <v>108.5</v>
      </c>
      <c r="J130" s="118">
        <v>113.5</v>
      </c>
      <c r="K130" s="118">
        <v>107.8</v>
      </c>
      <c r="L130" s="118">
        <v>114.9</v>
      </c>
      <c r="M130" s="118">
        <v>109.7</v>
      </c>
      <c r="N130" s="118">
        <v>102.1</v>
      </c>
      <c r="O130" s="118">
        <v>102</v>
      </c>
      <c r="P130" s="118">
        <v>116.2</v>
      </c>
      <c r="Q130" s="118">
        <v>119.3</v>
      </c>
      <c r="R130" s="118">
        <v>125.7</v>
      </c>
      <c r="S130" s="118">
        <v>126.2</v>
      </c>
      <c r="T130" s="118">
        <v>119.8</v>
      </c>
      <c r="U130" s="118">
        <v>123.5</v>
      </c>
      <c r="V130" s="118">
        <v>123.5</v>
      </c>
      <c r="W130" s="118">
        <v>123.5</v>
      </c>
      <c r="X130" s="118">
        <v>109.9</v>
      </c>
      <c r="Y130" s="118">
        <v>124.6</v>
      </c>
      <c r="Z130" s="118">
        <v>118.4</v>
      </c>
      <c r="AA130" s="118">
        <v>100</v>
      </c>
      <c r="AB130" s="118">
        <v>65.599999999999994</v>
      </c>
      <c r="AC130" s="118">
        <v>95.4</v>
      </c>
      <c r="AD130" s="118">
        <v>102</v>
      </c>
      <c r="AE130" s="118">
        <v>111</v>
      </c>
      <c r="AF130" s="118">
        <v>109</v>
      </c>
      <c r="AG130" s="127"/>
      <c r="AH130" s="48">
        <f>MAX(B130:AF130)</f>
        <v>126.2</v>
      </c>
      <c r="AI130" s="49">
        <f>MIN(B130:AF130)</f>
        <v>65.599999999999994</v>
      </c>
    </row>
    <row r="131" spans="1:37" x14ac:dyDescent="0.25">
      <c r="A131" s="132" t="s">
        <v>154</v>
      </c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4"/>
      <c r="AG131" s="44"/>
      <c r="AH131" s="48"/>
      <c r="AI131" s="49"/>
    </row>
    <row r="132" spans="1:37" x14ac:dyDescent="0.25">
      <c r="A132" s="135" t="s">
        <v>155</v>
      </c>
      <c r="B132" s="136">
        <v>1983.65</v>
      </c>
      <c r="C132" s="136">
        <v>1983.9</v>
      </c>
      <c r="D132" s="136">
        <v>1984.15</v>
      </c>
      <c r="E132" s="136">
        <v>1984.35</v>
      </c>
      <c r="F132" s="136">
        <v>1984.55</v>
      </c>
      <c r="G132" s="136">
        <v>1984.75</v>
      </c>
      <c r="H132" s="136"/>
      <c r="I132" s="136">
        <v>1984.95</v>
      </c>
      <c r="J132" s="136"/>
      <c r="K132" s="136">
        <v>1985.03</v>
      </c>
      <c r="L132" s="136"/>
      <c r="M132" s="130">
        <v>1984.97</v>
      </c>
      <c r="N132" s="130">
        <v>1984.82</v>
      </c>
      <c r="O132" s="130">
        <v>1984.9</v>
      </c>
      <c r="P132" s="130">
        <v>1984.95</v>
      </c>
      <c r="Q132" s="130">
        <v>1984.98</v>
      </c>
      <c r="R132" s="130">
        <v>1985.06</v>
      </c>
      <c r="S132" s="136">
        <v>1985.09</v>
      </c>
      <c r="T132" s="136">
        <v>1985.15</v>
      </c>
      <c r="U132" s="136">
        <v>1985.2</v>
      </c>
      <c r="V132" s="136">
        <v>1985.21</v>
      </c>
      <c r="W132" s="136"/>
      <c r="X132" s="136">
        <v>1985.31</v>
      </c>
      <c r="Y132" s="136"/>
      <c r="Z132" s="136"/>
      <c r="AA132" s="136"/>
      <c r="AB132" s="136"/>
      <c r="AC132" s="136"/>
      <c r="AD132" s="136">
        <v>1985.5</v>
      </c>
      <c r="AE132" s="136">
        <v>1985.75</v>
      </c>
      <c r="AF132" s="137">
        <v>1985.55</v>
      </c>
      <c r="AG132" s="138"/>
      <c r="AH132" s="48"/>
      <c r="AI132" s="49"/>
    </row>
    <row r="133" spans="1:37" x14ac:dyDescent="0.25">
      <c r="A133" s="135" t="s">
        <v>156</v>
      </c>
      <c r="B133" s="139">
        <v>519.76</v>
      </c>
      <c r="C133" s="139">
        <v>520.14</v>
      </c>
      <c r="D133" s="139">
        <v>520.48</v>
      </c>
      <c r="E133" s="139">
        <v>520.82000000000005</v>
      </c>
      <c r="F133" s="139">
        <v>521.14</v>
      </c>
      <c r="G133" s="139">
        <v>521.46</v>
      </c>
      <c r="H133" s="139"/>
      <c r="I133" s="139">
        <v>521.6</v>
      </c>
      <c r="J133" s="139"/>
      <c r="K133" s="139">
        <v>521.38</v>
      </c>
      <c r="L133" s="139"/>
      <c r="M133" s="130">
        <v>521.32000000000005</v>
      </c>
      <c r="N133" s="130">
        <v>521.17999999999995</v>
      </c>
      <c r="O133" s="130">
        <v>521.12</v>
      </c>
      <c r="P133" s="130">
        <v>521.04999999999995</v>
      </c>
      <c r="Q133" s="130">
        <v>520.99</v>
      </c>
      <c r="R133" s="130">
        <v>521.04999999999995</v>
      </c>
      <c r="S133" s="139">
        <v>521.08000000000004</v>
      </c>
      <c r="T133" s="139">
        <v>521.1</v>
      </c>
      <c r="U133" s="139">
        <v>521.02</v>
      </c>
      <c r="V133" s="139">
        <v>520.87</v>
      </c>
      <c r="W133" s="139"/>
      <c r="X133" s="139">
        <v>520.66300000000001</v>
      </c>
      <c r="Y133" s="139"/>
      <c r="Z133" s="139">
        <v>519.58000000000004</v>
      </c>
      <c r="AA133" s="139"/>
      <c r="AB133" s="139">
        <v>519.48</v>
      </c>
      <c r="AC133" s="139"/>
      <c r="AD133" s="139">
        <v>519.38</v>
      </c>
      <c r="AE133" s="139">
        <v>519.55999999999995</v>
      </c>
      <c r="AF133" s="140">
        <v>519.72</v>
      </c>
      <c r="AG133" s="138"/>
      <c r="AH133" s="48"/>
      <c r="AI133" s="49"/>
    </row>
    <row r="134" spans="1:37" x14ac:dyDescent="0.25">
      <c r="A134" s="135" t="s">
        <v>158</v>
      </c>
      <c r="B134" s="139">
        <v>622.71</v>
      </c>
      <c r="C134" s="139">
        <v>623.12</v>
      </c>
      <c r="D134" s="139">
        <v>623.51</v>
      </c>
      <c r="E134" s="139">
        <v>623.85</v>
      </c>
      <c r="F134" s="139">
        <v>624.16</v>
      </c>
      <c r="G134" s="139">
        <v>624.52</v>
      </c>
      <c r="H134" s="139"/>
      <c r="I134" s="139">
        <v>624.55999999999995</v>
      </c>
      <c r="J134" s="139"/>
      <c r="K134" s="139">
        <v>624.22</v>
      </c>
      <c r="L134" s="139"/>
      <c r="M134" s="130">
        <v>624.09</v>
      </c>
      <c r="N134" s="130">
        <v>623.99</v>
      </c>
      <c r="O134" s="130">
        <v>623.03</v>
      </c>
      <c r="P134" s="130">
        <v>622.66999999999996</v>
      </c>
      <c r="Q134" s="130">
        <v>622.17999999999995</v>
      </c>
      <c r="R134" s="130"/>
      <c r="S134" s="139">
        <v>621.70000000000005</v>
      </c>
      <c r="T134" s="139">
        <v>621.80999999999995</v>
      </c>
      <c r="U134" s="139">
        <v>621.66</v>
      </c>
      <c r="V134" s="139">
        <v>621.63</v>
      </c>
      <c r="W134" s="139"/>
      <c r="X134" s="139">
        <v>622.38</v>
      </c>
      <c r="Y134" s="139"/>
      <c r="Z134" s="139">
        <v>622.47</v>
      </c>
      <c r="AA134" s="139"/>
      <c r="AB134" s="139">
        <v>621.98</v>
      </c>
      <c r="AC134" s="139"/>
      <c r="AD134" s="139">
        <v>622</v>
      </c>
      <c r="AE134" s="139">
        <v>622.72</v>
      </c>
      <c r="AF134" s="140">
        <v>622.73</v>
      </c>
      <c r="AG134" s="138"/>
      <c r="AH134" s="48"/>
      <c r="AI134" s="49"/>
    </row>
    <row r="135" spans="1:37" x14ac:dyDescent="0.25">
      <c r="A135" s="135" t="s">
        <v>159</v>
      </c>
      <c r="B135" s="139">
        <v>334.99</v>
      </c>
      <c r="C135" s="139">
        <v>335.52</v>
      </c>
      <c r="D135" s="139">
        <v>336</v>
      </c>
      <c r="E135" s="139">
        <v>336.3</v>
      </c>
      <c r="F135" s="139">
        <v>336.59</v>
      </c>
      <c r="G135" s="139">
        <v>336.83</v>
      </c>
      <c r="H135" s="139"/>
      <c r="I135" s="139">
        <v>336.95</v>
      </c>
      <c r="J135" s="139"/>
      <c r="K135" s="139">
        <v>336.68</v>
      </c>
      <c r="L135" s="139"/>
      <c r="M135" s="130">
        <v>336.32</v>
      </c>
      <c r="N135" s="130">
        <v>335.94</v>
      </c>
      <c r="O135" s="130">
        <v>335.56</v>
      </c>
      <c r="P135" s="130">
        <v>335.15</v>
      </c>
      <c r="Q135" s="130">
        <v>334.57</v>
      </c>
      <c r="R135" s="130"/>
      <c r="S135" s="139">
        <v>334.6</v>
      </c>
      <c r="T135" s="139">
        <v>335.88</v>
      </c>
      <c r="U135" s="139">
        <v>335.16</v>
      </c>
      <c r="V135" s="139">
        <v>335.45</v>
      </c>
      <c r="W135" s="139"/>
      <c r="X135" s="139">
        <v>335.68</v>
      </c>
      <c r="Y135" s="139"/>
      <c r="Z135" s="139">
        <v>335.47</v>
      </c>
      <c r="AA135" s="139"/>
      <c r="AB135" s="139">
        <v>335.09</v>
      </c>
      <c r="AC135" s="139"/>
      <c r="AD135" s="139">
        <v>334.77</v>
      </c>
      <c r="AE135" s="139">
        <v>334.72</v>
      </c>
      <c r="AF135" s="140">
        <v>334.98</v>
      </c>
      <c r="AG135" s="138"/>
      <c r="AH135" s="48"/>
      <c r="AI135" s="49"/>
    </row>
    <row r="136" spans="1:37" x14ac:dyDescent="0.25">
      <c r="A136" s="135" t="s">
        <v>160</v>
      </c>
      <c r="B136" s="139">
        <v>884.8</v>
      </c>
      <c r="C136" s="139">
        <v>885.4</v>
      </c>
      <c r="D136" s="139">
        <v>885.9</v>
      </c>
      <c r="E136" s="139">
        <v>886.5</v>
      </c>
      <c r="F136" s="139">
        <v>886.9</v>
      </c>
      <c r="G136" s="139">
        <v>887.3</v>
      </c>
      <c r="H136" s="139"/>
      <c r="I136" s="139">
        <v>887.4</v>
      </c>
      <c r="J136" s="139"/>
      <c r="K136" s="139">
        <v>887.4</v>
      </c>
      <c r="L136" s="139"/>
      <c r="M136" s="130">
        <v>887.1</v>
      </c>
      <c r="N136" s="130">
        <v>887</v>
      </c>
      <c r="O136" s="130">
        <v>886.9</v>
      </c>
      <c r="P136" s="130">
        <v>886.9</v>
      </c>
      <c r="Q136" s="130">
        <v>886.8</v>
      </c>
      <c r="R136" s="130"/>
      <c r="S136" s="139">
        <v>887.2</v>
      </c>
      <c r="T136" s="139">
        <v>887.6</v>
      </c>
      <c r="U136" s="139">
        <v>887.4</v>
      </c>
      <c r="V136" s="139">
        <v>887.2</v>
      </c>
      <c r="W136" s="139"/>
      <c r="X136" s="139">
        <v>887</v>
      </c>
      <c r="Y136" s="139"/>
      <c r="Z136" s="139">
        <v>886</v>
      </c>
      <c r="AA136" s="139"/>
      <c r="AB136" s="139">
        <v>885</v>
      </c>
      <c r="AC136" s="139"/>
      <c r="AD136" s="139">
        <v>885.7</v>
      </c>
      <c r="AE136" s="139">
        <v>884.7</v>
      </c>
      <c r="AF136" s="140">
        <v>884.7</v>
      </c>
      <c r="AG136" s="138"/>
      <c r="AH136" s="48"/>
      <c r="AI136" s="49"/>
    </row>
    <row r="137" spans="1:37" ht="15.75" thickBot="1" x14ac:dyDescent="0.3">
      <c r="A137" s="135" t="s">
        <v>161</v>
      </c>
      <c r="B137" s="141">
        <v>1519.75</v>
      </c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30"/>
      <c r="N137" s="130"/>
      <c r="O137" s="130"/>
      <c r="P137" s="130"/>
      <c r="Q137" s="130"/>
      <c r="R137" s="130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  <c r="AF137" s="142"/>
      <c r="AG137" s="138"/>
      <c r="AH137" s="48"/>
      <c r="AI137" s="49"/>
    </row>
    <row r="138" spans="1:37" ht="15.75" thickBot="1" x14ac:dyDescent="0.3">
      <c r="A138" s="143" t="s">
        <v>162</v>
      </c>
      <c r="B138" s="144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56">SUM(B139:B243)</f>
        <v>0</v>
      </c>
      <c r="C244" s="160">
        <f t="shared" si="56"/>
        <v>0</v>
      </c>
      <c r="D244" s="160">
        <f t="shared" si="56"/>
        <v>0</v>
      </c>
      <c r="E244" s="160">
        <f t="shared" si="56"/>
        <v>0</v>
      </c>
      <c r="F244" s="160">
        <f t="shared" si="56"/>
        <v>0</v>
      </c>
      <c r="G244" s="160">
        <f t="shared" si="56"/>
        <v>0</v>
      </c>
      <c r="H244" s="160">
        <f t="shared" si="56"/>
        <v>0</v>
      </c>
      <c r="I244" s="160">
        <f t="shared" si="56"/>
        <v>0</v>
      </c>
      <c r="J244" s="160">
        <f t="shared" si="56"/>
        <v>0</v>
      </c>
      <c r="K244" s="160">
        <f t="shared" si="56"/>
        <v>0</v>
      </c>
      <c r="L244" s="160">
        <f t="shared" si="56"/>
        <v>0</v>
      </c>
      <c r="M244" s="160">
        <f t="shared" si="56"/>
        <v>0</v>
      </c>
      <c r="N244" s="160">
        <f t="shared" si="56"/>
        <v>0</v>
      </c>
      <c r="O244" s="160">
        <f t="shared" si="56"/>
        <v>0</v>
      </c>
      <c r="P244" s="160">
        <f t="shared" si="56"/>
        <v>0</v>
      </c>
      <c r="Q244" s="160">
        <f t="shared" si="56"/>
        <v>0</v>
      </c>
      <c r="R244" s="160">
        <f t="shared" si="56"/>
        <v>0</v>
      </c>
      <c r="S244" s="160">
        <f t="shared" si="56"/>
        <v>0</v>
      </c>
      <c r="T244" s="160">
        <f t="shared" si="56"/>
        <v>0</v>
      </c>
      <c r="U244" s="160">
        <f t="shared" si="56"/>
        <v>0</v>
      </c>
      <c r="V244" s="160">
        <f t="shared" si="56"/>
        <v>0</v>
      </c>
      <c r="W244" s="160">
        <f t="shared" si="56"/>
        <v>0</v>
      </c>
      <c r="X244" s="160">
        <f t="shared" si="56"/>
        <v>0</v>
      </c>
      <c r="Y244" s="160">
        <f t="shared" si="56"/>
        <v>0</v>
      </c>
      <c r="Z244" s="160">
        <f t="shared" si="56"/>
        <v>0</v>
      </c>
      <c r="AA244" s="160">
        <f t="shared" si="56"/>
        <v>0</v>
      </c>
      <c r="AB244" s="160">
        <f t="shared" si="56"/>
        <v>0</v>
      </c>
      <c r="AC244" s="160">
        <f t="shared" si="56"/>
        <v>0</v>
      </c>
      <c r="AD244" s="160">
        <f t="shared" si="56"/>
        <v>0</v>
      </c>
      <c r="AE244" s="160">
        <f t="shared" si="56"/>
        <v>0</v>
      </c>
      <c r="AF244" s="161">
        <f t="shared" si="56"/>
        <v>0</v>
      </c>
      <c r="AG244" s="162">
        <f t="shared" si="56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57">AF246</f>
        <v>0.3</v>
      </c>
      <c r="C246" s="165">
        <v>0.3</v>
      </c>
      <c r="D246" s="165">
        <f t="shared" ref="D246:S251" si="58">C246</f>
        <v>0.3</v>
      </c>
      <c r="E246" s="165">
        <f t="shared" si="58"/>
        <v>0.3</v>
      </c>
      <c r="F246" s="165">
        <f t="shared" si="58"/>
        <v>0.3</v>
      </c>
      <c r="G246" s="165">
        <f t="shared" si="58"/>
        <v>0.3</v>
      </c>
      <c r="H246" s="165">
        <f t="shared" si="58"/>
        <v>0.3</v>
      </c>
      <c r="I246" s="165">
        <f t="shared" si="58"/>
        <v>0.3</v>
      </c>
      <c r="J246" s="165">
        <f t="shared" si="58"/>
        <v>0.3</v>
      </c>
      <c r="K246" s="165">
        <f t="shared" si="58"/>
        <v>0.3</v>
      </c>
      <c r="L246" s="165">
        <f t="shared" si="58"/>
        <v>0.3</v>
      </c>
      <c r="M246" s="165">
        <f t="shared" si="58"/>
        <v>0.3</v>
      </c>
      <c r="N246" s="165">
        <f t="shared" si="58"/>
        <v>0.3</v>
      </c>
      <c r="O246" s="165">
        <f t="shared" si="58"/>
        <v>0.3</v>
      </c>
      <c r="P246" s="165">
        <f t="shared" si="58"/>
        <v>0.3</v>
      </c>
      <c r="Q246" s="165">
        <f t="shared" si="58"/>
        <v>0.3</v>
      </c>
      <c r="R246" s="165">
        <f t="shared" si="58"/>
        <v>0.3</v>
      </c>
      <c r="S246" s="165">
        <f t="shared" si="58"/>
        <v>0.3</v>
      </c>
      <c r="T246" s="165">
        <f t="shared" ref="T246:AF251" si="59">S246</f>
        <v>0.3</v>
      </c>
      <c r="U246" s="165">
        <f t="shared" si="59"/>
        <v>0.3</v>
      </c>
      <c r="V246" s="165">
        <f t="shared" si="59"/>
        <v>0.3</v>
      </c>
      <c r="W246" s="165">
        <f t="shared" si="59"/>
        <v>0.3</v>
      </c>
      <c r="X246" s="165">
        <f t="shared" si="59"/>
        <v>0.3</v>
      </c>
      <c r="Y246" s="165">
        <f t="shared" si="59"/>
        <v>0.3</v>
      </c>
      <c r="Z246" s="165">
        <f t="shared" si="59"/>
        <v>0.3</v>
      </c>
      <c r="AA246" s="165">
        <f t="shared" si="59"/>
        <v>0.3</v>
      </c>
      <c r="AB246" s="165">
        <f t="shared" si="59"/>
        <v>0.3</v>
      </c>
      <c r="AC246" s="165">
        <f t="shared" si="59"/>
        <v>0.3</v>
      </c>
      <c r="AD246" s="165">
        <f t="shared" si="59"/>
        <v>0.3</v>
      </c>
      <c r="AE246" s="165">
        <f t="shared" si="59"/>
        <v>0.3</v>
      </c>
      <c r="AF246" s="165">
        <f t="shared" si="59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57"/>
        <v>0.4</v>
      </c>
      <c r="C247" s="151">
        <v>0.4</v>
      </c>
      <c r="D247" s="151">
        <f t="shared" si="58"/>
        <v>0.4</v>
      </c>
      <c r="E247" s="151">
        <f t="shared" si="58"/>
        <v>0.4</v>
      </c>
      <c r="F247" s="151">
        <f t="shared" si="58"/>
        <v>0.4</v>
      </c>
      <c r="G247" s="151">
        <f t="shared" si="58"/>
        <v>0.4</v>
      </c>
      <c r="H247" s="151">
        <f t="shared" si="58"/>
        <v>0.4</v>
      </c>
      <c r="I247" s="151">
        <f t="shared" si="58"/>
        <v>0.4</v>
      </c>
      <c r="J247" s="151">
        <f t="shared" si="58"/>
        <v>0.4</v>
      </c>
      <c r="K247" s="151">
        <f t="shared" si="58"/>
        <v>0.4</v>
      </c>
      <c r="L247" s="151">
        <f t="shared" si="58"/>
        <v>0.4</v>
      </c>
      <c r="M247" s="151">
        <f t="shared" si="58"/>
        <v>0.4</v>
      </c>
      <c r="N247" s="151">
        <f t="shared" si="58"/>
        <v>0.4</v>
      </c>
      <c r="O247" s="151">
        <f t="shared" si="58"/>
        <v>0.4</v>
      </c>
      <c r="P247" s="151">
        <f t="shared" si="58"/>
        <v>0.4</v>
      </c>
      <c r="Q247" s="151">
        <f t="shared" si="58"/>
        <v>0.4</v>
      </c>
      <c r="R247" s="151">
        <f t="shared" si="58"/>
        <v>0.4</v>
      </c>
      <c r="S247" s="151">
        <f t="shared" si="58"/>
        <v>0.4</v>
      </c>
      <c r="T247" s="151">
        <f t="shared" si="59"/>
        <v>0.4</v>
      </c>
      <c r="U247" s="151">
        <f t="shared" si="59"/>
        <v>0.4</v>
      </c>
      <c r="V247" s="151">
        <f t="shared" si="59"/>
        <v>0.4</v>
      </c>
      <c r="W247" s="151">
        <f t="shared" si="59"/>
        <v>0.4</v>
      </c>
      <c r="X247" s="151">
        <f t="shared" si="59"/>
        <v>0.4</v>
      </c>
      <c r="Y247" s="151">
        <f t="shared" si="59"/>
        <v>0.4</v>
      </c>
      <c r="Z247" s="151">
        <f t="shared" si="59"/>
        <v>0.4</v>
      </c>
      <c r="AA247" s="151">
        <f t="shared" si="59"/>
        <v>0.4</v>
      </c>
      <c r="AB247" s="151">
        <f t="shared" si="59"/>
        <v>0.4</v>
      </c>
      <c r="AC247" s="151">
        <f t="shared" si="59"/>
        <v>0.4</v>
      </c>
      <c r="AD247" s="151">
        <f t="shared" si="59"/>
        <v>0.4</v>
      </c>
      <c r="AE247" s="151">
        <f t="shared" si="59"/>
        <v>0.4</v>
      </c>
      <c r="AF247" s="151">
        <f t="shared" si="59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57"/>
        <v>1.5</v>
      </c>
      <c r="C248" s="151">
        <v>1.5</v>
      </c>
      <c r="D248" s="151">
        <f t="shared" si="58"/>
        <v>1.5</v>
      </c>
      <c r="E248" s="151">
        <f t="shared" si="58"/>
        <v>1.5</v>
      </c>
      <c r="F248" s="151">
        <f t="shared" si="58"/>
        <v>1.5</v>
      </c>
      <c r="G248" s="151">
        <f t="shared" si="58"/>
        <v>1.5</v>
      </c>
      <c r="H248" s="151">
        <f t="shared" si="58"/>
        <v>1.5</v>
      </c>
      <c r="I248" s="151">
        <f t="shared" si="58"/>
        <v>1.5</v>
      </c>
      <c r="J248" s="151">
        <f t="shared" si="58"/>
        <v>1.5</v>
      </c>
      <c r="K248" s="151">
        <f t="shared" si="58"/>
        <v>1.5</v>
      </c>
      <c r="L248" s="151">
        <f t="shared" si="58"/>
        <v>1.5</v>
      </c>
      <c r="M248" s="151">
        <f t="shared" si="58"/>
        <v>1.5</v>
      </c>
      <c r="N248" s="151">
        <f t="shared" si="58"/>
        <v>1.5</v>
      </c>
      <c r="O248" s="151">
        <f t="shared" si="58"/>
        <v>1.5</v>
      </c>
      <c r="P248" s="151">
        <f t="shared" si="58"/>
        <v>1.5</v>
      </c>
      <c r="Q248" s="151">
        <f t="shared" si="58"/>
        <v>1.5</v>
      </c>
      <c r="R248" s="151">
        <f t="shared" si="58"/>
        <v>1.5</v>
      </c>
      <c r="S248" s="151">
        <f t="shared" si="58"/>
        <v>1.5</v>
      </c>
      <c r="T248" s="151">
        <f t="shared" si="59"/>
        <v>1.5</v>
      </c>
      <c r="U248" s="151">
        <f t="shared" si="59"/>
        <v>1.5</v>
      </c>
      <c r="V248" s="151">
        <f t="shared" si="59"/>
        <v>1.5</v>
      </c>
      <c r="W248" s="151">
        <f t="shared" si="59"/>
        <v>1.5</v>
      </c>
      <c r="X248" s="151">
        <f t="shared" si="59"/>
        <v>1.5</v>
      </c>
      <c r="Y248" s="151">
        <f t="shared" si="59"/>
        <v>1.5</v>
      </c>
      <c r="Z248" s="151">
        <f t="shared" si="59"/>
        <v>1.5</v>
      </c>
      <c r="AA248" s="151">
        <f t="shared" si="59"/>
        <v>1.5</v>
      </c>
      <c r="AB248" s="151">
        <f t="shared" si="59"/>
        <v>1.5</v>
      </c>
      <c r="AC248" s="151">
        <f t="shared" si="59"/>
        <v>1.5</v>
      </c>
      <c r="AD248" s="151">
        <f t="shared" si="59"/>
        <v>1.5</v>
      </c>
      <c r="AE248" s="151">
        <f t="shared" si="59"/>
        <v>1.5</v>
      </c>
      <c r="AF248" s="151">
        <f t="shared" si="59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57"/>
        <v>0.3</v>
      </c>
      <c r="C249" s="151">
        <v>0.3</v>
      </c>
      <c r="D249" s="151">
        <f t="shared" si="58"/>
        <v>0.3</v>
      </c>
      <c r="E249" s="151">
        <f t="shared" si="58"/>
        <v>0.3</v>
      </c>
      <c r="F249" s="151">
        <f t="shared" si="58"/>
        <v>0.3</v>
      </c>
      <c r="G249" s="151">
        <f t="shared" si="58"/>
        <v>0.3</v>
      </c>
      <c r="H249" s="151">
        <f t="shared" si="58"/>
        <v>0.3</v>
      </c>
      <c r="I249" s="151">
        <f t="shared" si="58"/>
        <v>0.3</v>
      </c>
      <c r="J249" s="151">
        <f t="shared" si="58"/>
        <v>0.3</v>
      </c>
      <c r="K249" s="151">
        <f t="shared" si="58"/>
        <v>0.3</v>
      </c>
      <c r="L249" s="151">
        <f t="shared" si="58"/>
        <v>0.3</v>
      </c>
      <c r="M249" s="151">
        <f t="shared" si="58"/>
        <v>0.3</v>
      </c>
      <c r="N249" s="151">
        <f t="shared" si="58"/>
        <v>0.3</v>
      </c>
      <c r="O249" s="151">
        <f t="shared" si="58"/>
        <v>0.3</v>
      </c>
      <c r="P249" s="151">
        <f t="shared" si="58"/>
        <v>0.3</v>
      </c>
      <c r="Q249" s="151">
        <f t="shared" si="58"/>
        <v>0.3</v>
      </c>
      <c r="R249" s="151">
        <f t="shared" si="58"/>
        <v>0.3</v>
      </c>
      <c r="S249" s="151">
        <f t="shared" si="58"/>
        <v>0.3</v>
      </c>
      <c r="T249" s="151">
        <f t="shared" si="59"/>
        <v>0.3</v>
      </c>
      <c r="U249" s="151">
        <f t="shared" si="59"/>
        <v>0.3</v>
      </c>
      <c r="V249" s="151">
        <f t="shared" si="59"/>
        <v>0.3</v>
      </c>
      <c r="W249" s="151">
        <f t="shared" si="59"/>
        <v>0.3</v>
      </c>
      <c r="X249" s="151">
        <f t="shared" si="59"/>
        <v>0.3</v>
      </c>
      <c r="Y249" s="151">
        <f t="shared" si="59"/>
        <v>0.3</v>
      </c>
      <c r="Z249" s="151">
        <f t="shared" si="59"/>
        <v>0.3</v>
      </c>
      <c r="AA249" s="151">
        <f t="shared" si="59"/>
        <v>0.3</v>
      </c>
      <c r="AB249" s="151">
        <f t="shared" si="59"/>
        <v>0.3</v>
      </c>
      <c r="AC249" s="151">
        <f t="shared" si="59"/>
        <v>0.3</v>
      </c>
      <c r="AD249" s="151">
        <f t="shared" si="59"/>
        <v>0.3</v>
      </c>
      <c r="AE249" s="151">
        <f t="shared" si="59"/>
        <v>0.3</v>
      </c>
      <c r="AF249" s="151">
        <f t="shared" si="59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57"/>
        <v>0.4</v>
      </c>
      <c r="C250" s="151">
        <v>0.4</v>
      </c>
      <c r="D250" s="151">
        <f t="shared" si="58"/>
        <v>0.4</v>
      </c>
      <c r="E250" s="151">
        <f t="shared" si="58"/>
        <v>0.4</v>
      </c>
      <c r="F250" s="151">
        <f t="shared" si="58"/>
        <v>0.4</v>
      </c>
      <c r="G250" s="151">
        <f t="shared" si="58"/>
        <v>0.4</v>
      </c>
      <c r="H250" s="151">
        <f t="shared" si="58"/>
        <v>0.4</v>
      </c>
      <c r="I250" s="151">
        <f t="shared" si="58"/>
        <v>0.4</v>
      </c>
      <c r="J250" s="151">
        <f t="shared" si="58"/>
        <v>0.4</v>
      </c>
      <c r="K250" s="151">
        <f t="shared" si="58"/>
        <v>0.4</v>
      </c>
      <c r="L250" s="151">
        <f t="shared" si="58"/>
        <v>0.4</v>
      </c>
      <c r="M250" s="151">
        <f t="shared" si="58"/>
        <v>0.4</v>
      </c>
      <c r="N250" s="151">
        <f t="shared" si="58"/>
        <v>0.4</v>
      </c>
      <c r="O250" s="151">
        <f t="shared" si="58"/>
        <v>0.4</v>
      </c>
      <c r="P250" s="151">
        <f t="shared" si="58"/>
        <v>0.4</v>
      </c>
      <c r="Q250" s="151">
        <f t="shared" si="58"/>
        <v>0.4</v>
      </c>
      <c r="R250" s="151">
        <f t="shared" si="58"/>
        <v>0.4</v>
      </c>
      <c r="S250" s="151">
        <f t="shared" si="58"/>
        <v>0.4</v>
      </c>
      <c r="T250" s="151">
        <f t="shared" si="59"/>
        <v>0.4</v>
      </c>
      <c r="U250" s="151">
        <f t="shared" si="59"/>
        <v>0.4</v>
      </c>
      <c r="V250" s="151">
        <f t="shared" si="59"/>
        <v>0.4</v>
      </c>
      <c r="W250" s="151">
        <f t="shared" si="59"/>
        <v>0.4</v>
      </c>
      <c r="X250" s="151">
        <f t="shared" si="59"/>
        <v>0.4</v>
      </c>
      <c r="Y250" s="151">
        <f t="shared" si="59"/>
        <v>0.4</v>
      </c>
      <c r="Z250" s="151">
        <f t="shared" si="59"/>
        <v>0.4</v>
      </c>
      <c r="AA250" s="151">
        <f t="shared" si="59"/>
        <v>0.4</v>
      </c>
      <c r="AB250" s="151">
        <f t="shared" si="59"/>
        <v>0.4</v>
      </c>
      <c r="AC250" s="151">
        <f t="shared" si="59"/>
        <v>0.4</v>
      </c>
      <c r="AD250" s="151">
        <f t="shared" si="59"/>
        <v>0.4</v>
      </c>
      <c r="AE250" s="151">
        <f t="shared" si="59"/>
        <v>0.4</v>
      </c>
      <c r="AF250" s="151">
        <f t="shared" si="59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57"/>
        <v>0.64</v>
      </c>
      <c r="C251" s="156">
        <v>0.64</v>
      </c>
      <c r="D251" s="156">
        <f t="shared" si="58"/>
        <v>0.64</v>
      </c>
      <c r="E251" s="156">
        <f t="shared" si="58"/>
        <v>0.64</v>
      </c>
      <c r="F251" s="156">
        <f t="shared" si="58"/>
        <v>0.64</v>
      </c>
      <c r="G251" s="156">
        <f t="shared" si="58"/>
        <v>0.64</v>
      </c>
      <c r="H251" s="156">
        <f t="shared" si="58"/>
        <v>0.64</v>
      </c>
      <c r="I251" s="156">
        <f t="shared" si="58"/>
        <v>0.64</v>
      </c>
      <c r="J251" s="156">
        <f t="shared" si="58"/>
        <v>0.64</v>
      </c>
      <c r="K251" s="156">
        <f t="shared" si="58"/>
        <v>0.64</v>
      </c>
      <c r="L251" s="156">
        <f t="shared" si="58"/>
        <v>0.64</v>
      </c>
      <c r="M251" s="156">
        <f t="shared" si="58"/>
        <v>0.64</v>
      </c>
      <c r="N251" s="156">
        <f t="shared" si="58"/>
        <v>0.64</v>
      </c>
      <c r="O251" s="156">
        <f t="shared" si="58"/>
        <v>0.64</v>
      </c>
      <c r="P251" s="156">
        <f t="shared" si="58"/>
        <v>0.64</v>
      </c>
      <c r="Q251" s="156">
        <f t="shared" si="58"/>
        <v>0.64</v>
      </c>
      <c r="R251" s="156">
        <f t="shared" si="58"/>
        <v>0.64</v>
      </c>
      <c r="S251" s="156">
        <f t="shared" si="58"/>
        <v>0.64</v>
      </c>
      <c r="T251" s="156">
        <f t="shared" si="59"/>
        <v>0.64</v>
      </c>
      <c r="U251" s="156">
        <f t="shared" si="59"/>
        <v>0.64</v>
      </c>
      <c r="V251" s="156">
        <f t="shared" si="59"/>
        <v>0.64</v>
      </c>
      <c r="W251" s="156">
        <f t="shared" si="59"/>
        <v>0.64</v>
      </c>
      <c r="X251" s="156">
        <f t="shared" si="59"/>
        <v>0.64</v>
      </c>
      <c r="Y251" s="156">
        <f t="shared" si="59"/>
        <v>0.64</v>
      </c>
      <c r="Z251" s="156">
        <f t="shared" si="59"/>
        <v>0.64</v>
      </c>
      <c r="AA251" s="156">
        <f t="shared" si="59"/>
        <v>0.64</v>
      </c>
      <c r="AB251" s="156">
        <f t="shared" si="59"/>
        <v>0.64</v>
      </c>
      <c r="AC251" s="156">
        <f t="shared" si="59"/>
        <v>0.64</v>
      </c>
      <c r="AD251" s="156">
        <f t="shared" si="59"/>
        <v>0.64</v>
      </c>
      <c r="AE251" s="156">
        <f t="shared" si="59"/>
        <v>0.64</v>
      </c>
      <c r="AF251" s="156">
        <f t="shared" si="59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60">SUM(B246:B251)</f>
        <v>3.54</v>
      </c>
      <c r="C252" s="160">
        <f t="shared" si="60"/>
        <v>3.54</v>
      </c>
      <c r="D252" s="160">
        <f t="shared" si="60"/>
        <v>3.54</v>
      </c>
      <c r="E252" s="160">
        <f t="shared" si="60"/>
        <v>3.54</v>
      </c>
      <c r="F252" s="160">
        <f t="shared" si="60"/>
        <v>3.54</v>
      </c>
      <c r="G252" s="160">
        <f t="shared" si="60"/>
        <v>3.54</v>
      </c>
      <c r="H252" s="160">
        <f t="shared" si="60"/>
        <v>3.54</v>
      </c>
      <c r="I252" s="160">
        <f t="shared" si="60"/>
        <v>3.54</v>
      </c>
      <c r="J252" s="160">
        <f t="shared" si="60"/>
        <v>3.54</v>
      </c>
      <c r="K252" s="160">
        <f t="shared" si="60"/>
        <v>3.54</v>
      </c>
      <c r="L252" s="160">
        <f t="shared" si="60"/>
        <v>3.54</v>
      </c>
      <c r="M252" s="160">
        <f t="shared" si="60"/>
        <v>3.54</v>
      </c>
      <c r="N252" s="160">
        <f t="shared" si="60"/>
        <v>3.54</v>
      </c>
      <c r="O252" s="160">
        <f t="shared" si="60"/>
        <v>3.54</v>
      </c>
      <c r="P252" s="160">
        <f t="shared" si="60"/>
        <v>3.54</v>
      </c>
      <c r="Q252" s="160">
        <f t="shared" si="60"/>
        <v>3.54</v>
      </c>
      <c r="R252" s="160">
        <f t="shared" si="60"/>
        <v>3.54</v>
      </c>
      <c r="S252" s="160">
        <f t="shared" si="60"/>
        <v>3.54</v>
      </c>
      <c r="T252" s="160">
        <f t="shared" si="60"/>
        <v>3.54</v>
      </c>
      <c r="U252" s="160">
        <f t="shared" si="60"/>
        <v>3.54</v>
      </c>
      <c r="V252" s="160">
        <f t="shared" si="60"/>
        <v>3.54</v>
      </c>
      <c r="W252" s="160">
        <f t="shared" si="60"/>
        <v>3.54</v>
      </c>
      <c r="X252" s="160">
        <f t="shared" si="60"/>
        <v>3.54</v>
      </c>
      <c r="Y252" s="160">
        <f t="shared" si="60"/>
        <v>3.54</v>
      </c>
      <c r="Z252" s="160">
        <f t="shared" si="60"/>
        <v>3.54</v>
      </c>
      <c r="AA252" s="160">
        <f t="shared" si="60"/>
        <v>3.54</v>
      </c>
      <c r="AB252" s="160">
        <f t="shared" si="60"/>
        <v>3.54</v>
      </c>
      <c r="AC252" s="160">
        <f t="shared" si="60"/>
        <v>3.54</v>
      </c>
      <c r="AD252" s="160">
        <f t="shared" si="60"/>
        <v>3.54</v>
      </c>
      <c r="AE252" s="160">
        <f t="shared" si="60"/>
        <v>3.54</v>
      </c>
      <c r="AF252" s="160">
        <f t="shared" si="60"/>
        <v>3.54</v>
      </c>
      <c r="AG252" s="170">
        <f t="shared" si="60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1679.6799999999998</v>
      </c>
      <c r="C256" s="173">
        <f>INDEX(G9:N9,1,MATCH(MAX(G99:N99),G99:N99,0))</f>
        <v>0.3125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2080/10/0)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50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BZ8:CF8"/>
    <mergeCell ref="A9:A10"/>
    <mergeCell ref="B9:B10"/>
    <mergeCell ref="C9:C10"/>
    <mergeCell ref="D9:D10"/>
    <mergeCell ref="E9:E10"/>
    <mergeCell ref="F9:F10"/>
    <mergeCell ref="G9:G10"/>
    <mergeCell ref="H9:H10"/>
    <mergeCell ref="S8:AA8"/>
    <mergeCell ref="I9:I10"/>
    <mergeCell ref="J9:J10"/>
    <mergeCell ref="K9:K10"/>
    <mergeCell ref="L9:L10"/>
    <mergeCell ref="M9:M10"/>
    <mergeCell ref="P9:P10"/>
    <mergeCell ref="Q9:Q10"/>
    <mergeCell ref="R9:R10"/>
    <mergeCell ref="S9:S10"/>
    <mergeCell ref="O9:O10"/>
    <mergeCell ref="N9:N10"/>
    <mergeCell ref="T9:T10"/>
    <mergeCell ref="AG9:AG10"/>
    <mergeCell ref="AN92:AN93"/>
    <mergeCell ref="A258:B258"/>
    <mergeCell ref="AA9:AA10"/>
    <mergeCell ref="AB9:AB10"/>
    <mergeCell ref="AC9:AC10"/>
    <mergeCell ref="AD9:AD10"/>
    <mergeCell ref="AE9:AE10"/>
    <mergeCell ref="AF9:AF10"/>
    <mergeCell ref="U9:U10"/>
    <mergeCell ref="V9:V10"/>
    <mergeCell ref="W9:W10"/>
    <mergeCell ref="X9:X10"/>
    <mergeCell ref="Y9:Y10"/>
    <mergeCell ref="Z9:Z10"/>
  </mergeCells>
  <conditionalFormatting sqref="A11:A130">
    <cfRule type="expression" dxfId="4183" priority="90">
      <formula>$AH11=0</formula>
    </cfRule>
  </conditionalFormatting>
  <conditionalFormatting sqref="A132:A253">
    <cfRule type="expression" dxfId="4182" priority="91">
      <formula>$AH132=0</formula>
    </cfRule>
  </conditionalFormatting>
  <conditionalFormatting sqref="B8">
    <cfRule type="expression" dxfId="4181" priority="150">
      <formula>AND(C$9&gt;=8/24,C$9&lt;14/24)</formula>
    </cfRule>
    <cfRule type="expression" dxfId="4180" priority="151">
      <formula>C$9&lt;8/24</formula>
    </cfRule>
    <cfRule type="expression" dxfId="4179" priority="149">
      <formula>AND(C$9&gt;=14/24,C$9&lt;20/24)</formula>
    </cfRule>
    <cfRule type="expression" dxfId="4178" priority="152">
      <formula>C$9&gt;=20/24</formula>
    </cfRule>
  </conditionalFormatting>
  <conditionalFormatting sqref="B11:G52 H12:J52 K13:Y52 B59:G74 H69:AF74 B77:AF99 B9:AF10 B101:AF117 B119:AF137 B244:AF244 B246:B252">
    <cfRule type="expression" dxfId="4177" priority="41">
      <formula>B$9&gt;=20/24</formula>
    </cfRule>
  </conditionalFormatting>
  <conditionalFormatting sqref="B53:Y57">
    <cfRule type="expression" dxfId="4176" priority="53">
      <formula>B$9&lt;8/24</formula>
    </cfRule>
  </conditionalFormatting>
  <conditionalFormatting sqref="B9:AF10 B11:G52 H12:J52 K13:Y52 B59:G74 H69:AF74 B77:AF99 B101:AF117 B119:AF137 B244:AF244 B246:B252">
    <cfRule type="expression" dxfId="4175" priority="44">
      <formula>B$9&lt;8/24</formula>
    </cfRule>
    <cfRule type="expression" dxfId="4174" priority="43">
      <formula>AND(B$9&gt;=8/24,B$9&lt;14/24)</formula>
    </cfRule>
    <cfRule type="expression" dxfId="4173" priority="42">
      <formula>AND(B$9&gt;=14/24,B$9&lt;20/24)</formula>
    </cfRule>
  </conditionalFormatting>
  <conditionalFormatting sqref="D246:AF252">
    <cfRule type="expression" dxfId="4172" priority="137">
      <formula>D$9&lt;8/24</formula>
    </cfRule>
    <cfRule type="expression" dxfId="4171" priority="136">
      <formula>AND(D$9&gt;=8/24,D$9&lt;14/24)</formula>
    </cfRule>
    <cfRule type="expression" dxfId="4170" priority="135">
      <formula>AND(D$9&gt;=14/24,D$9&lt;20/24)</formula>
    </cfRule>
    <cfRule type="expression" dxfId="4169" priority="134">
      <formula>D$9&gt;=20/24</formula>
    </cfRule>
  </conditionalFormatting>
  <conditionalFormatting sqref="E11:G74 H12:J61 M13:Y56 K13:L61 D18:D76 B18:C80 B11:D17 M57:R61 S57:Y80 AB58:AF61 Z58:AA80 AB62:AG62 H62:R74 AB63:AF80 E75:R76 D77:R80 AG80">
    <cfRule type="expression" dxfId="4168" priority="40">
      <formula>B11&gt;$AG11</formula>
    </cfRule>
  </conditionalFormatting>
  <conditionalFormatting sqref="H63:I67 J64:J67 K67">
    <cfRule type="expression" dxfId="4167" priority="56">
      <formula>AND(H$9&gt;=8/24,H$9&lt;14/24)</formula>
    </cfRule>
    <cfRule type="expression" dxfId="4166" priority="55">
      <formula>AND(H$9&gt;=14/24,H$9&lt;20/24)</formula>
    </cfRule>
    <cfRule type="expression" dxfId="4165" priority="54">
      <formula>H$9&gt;=20/24</formula>
    </cfRule>
    <cfRule type="expression" dxfId="4164" priority="57">
      <formula>H$9&lt;8/24</formula>
    </cfRule>
  </conditionalFormatting>
  <conditionalFormatting sqref="H63:L65">
    <cfRule type="expression" dxfId="4163" priority="83">
      <formula>AND(H$9&gt;=14/24,H$9&lt;20/24)</formula>
    </cfRule>
    <cfRule type="expression" dxfId="4162" priority="85">
      <formula>H$9&lt;8/24</formula>
    </cfRule>
    <cfRule type="expression" dxfId="4161" priority="84">
      <formula>AND(H$9&gt;=8/24,H$9&lt;14/24)</formula>
    </cfRule>
    <cfRule type="expression" dxfId="4160" priority="82">
      <formula>H$9&gt;=20/24</formula>
    </cfRule>
  </conditionalFormatting>
  <conditionalFormatting sqref="H11:Q11 R11:Y12 Z11:AF52 K12:Q12">
    <cfRule type="expression" dxfId="4159" priority="62">
      <formula>H$9&lt;8/24</formula>
    </cfRule>
    <cfRule type="expression" dxfId="4158" priority="61">
      <formula>AND(H$9&gt;=8/24,H$9&lt;14/24)</formula>
    </cfRule>
    <cfRule type="expression" dxfId="4157" priority="60">
      <formula>AND(H$9&gt;=14/24,H$9&lt;20/24)</formula>
    </cfRule>
    <cfRule type="expression" dxfId="4156" priority="59">
      <formula>H$9&gt;=20/24</formula>
    </cfRule>
    <cfRule type="expression" dxfId="4155" priority="58">
      <formula>H11&gt;$AG11</formula>
    </cfRule>
  </conditionalFormatting>
  <conditionalFormatting sqref="H68:Y68">
    <cfRule type="expression" dxfId="4154" priority="51">
      <formula>AND(H$9&gt;=8/24,H$9&lt;14/24)</formula>
    </cfRule>
    <cfRule type="expression" dxfId="4153" priority="52">
      <formula>H$9&lt;8/24</formula>
    </cfRule>
    <cfRule type="expression" dxfId="4152" priority="50">
      <formula>AND(H$9&gt;=14/24,H$9&lt;20/24)</formula>
    </cfRule>
    <cfRule type="expression" dxfId="4151" priority="49">
      <formula>H$9&gt;=20/24</formula>
    </cfRule>
  </conditionalFormatting>
  <conditionalFormatting sqref="H59:AF62">
    <cfRule type="expression" dxfId="4150" priority="68">
      <formula>H$9&gt;=20/24</formula>
    </cfRule>
    <cfRule type="expression" dxfId="4149" priority="71">
      <formula>H$9&lt;8/24</formula>
    </cfRule>
    <cfRule type="expression" dxfId="4148" priority="70">
      <formula>AND(H$9&gt;=8/24,H$9&lt;14/24)</formula>
    </cfRule>
    <cfRule type="expression" dxfId="4147" priority="69">
      <formula>AND(H$9&gt;=14/24,H$9&lt;20/24)</formula>
    </cfRule>
  </conditionalFormatting>
  <conditionalFormatting sqref="M8 S8 AB8">
    <cfRule type="expression" dxfId="4146" priority="141">
      <formula>AND(N$9&gt;=14/24,N$9&lt;20/24)</formula>
    </cfRule>
    <cfRule type="expression" dxfId="4145" priority="142">
      <formula>AND(N$9&gt;=8/24,N$9&lt;14/24)</formula>
    </cfRule>
    <cfRule type="expression" dxfId="4144" priority="143">
      <formula>N$9&lt;8/24</formula>
    </cfRule>
  </conditionalFormatting>
  <conditionalFormatting sqref="M56:Y57">
    <cfRule type="expression" dxfId="4143" priority="46">
      <formula>M$9&gt;=20/24</formula>
    </cfRule>
    <cfRule type="expression" dxfId="4142" priority="47">
      <formula>AND(M$9&gt;=14/24,M$9&lt;20/24)</formula>
    </cfRule>
    <cfRule type="expression" dxfId="4141" priority="48">
      <formula>AND(M$9&gt;=8/24,M$9&lt;14/24)</formula>
    </cfRule>
  </conditionalFormatting>
  <conditionalFormatting sqref="M63:Y67">
    <cfRule type="expression" dxfId="4140" priority="88">
      <formula>AND(M$9&gt;=8/24,M$9&lt;14/24)</formula>
    </cfRule>
    <cfRule type="expression" dxfId="4139" priority="89">
      <formula>M$9&lt;8/24</formula>
    </cfRule>
    <cfRule type="expression" dxfId="4138" priority="86">
      <formula>M$9&gt;=20/24</formula>
    </cfRule>
    <cfRule type="expression" dxfId="4137" priority="87">
      <formula>AND(M$9&gt;=14/24,M$9&lt;20/24)</formula>
    </cfRule>
  </conditionalFormatting>
  <conditionalFormatting sqref="O3:P3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4136" priority="140">
      <formula>N$9&gt;=20/24</formula>
    </cfRule>
  </conditionalFormatting>
  <conditionalFormatting sqref="S8">
    <cfRule type="expression" dxfId="4135" priority="127">
      <formula>U$9&gt;=20/24</formula>
    </cfRule>
    <cfRule type="expression" dxfId="4134" priority="128">
      <formula>AND(U$9&gt;=14/24,U$9&lt;20/24)</formula>
    </cfRule>
    <cfRule type="expression" dxfId="4133" priority="129">
      <formula>AND(U$9&gt;=8/24,U$9&lt;14/24)</formula>
    </cfRule>
    <cfRule type="expression" dxfId="4132" priority="130">
      <formula>U$9&lt;8/24</formula>
    </cfRule>
  </conditionalFormatting>
  <conditionalFormatting sqref="V3 AB3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Z53:AF54 M53:Y55 B53:L57">
    <cfRule type="expression" dxfId="4131" priority="37">
      <formula>B$9&gt;=20/24</formula>
    </cfRule>
    <cfRule type="expression" dxfId="4130" priority="38">
      <formula>AND(B$9&gt;=14/24,B$9&lt;20/24)</formula>
    </cfRule>
    <cfRule type="expression" dxfId="4129" priority="39">
      <formula>AND(B$9&gt;=8/24,B$9&lt;14/24)</formula>
    </cfRule>
  </conditionalFormatting>
  <conditionalFormatting sqref="Z53:AF55">
    <cfRule type="expression" dxfId="4128" priority="77">
      <formula>Z53&gt;$AG53</formula>
    </cfRule>
  </conditionalFormatting>
  <conditionalFormatting sqref="Z53:AF57">
    <cfRule type="expression" dxfId="4127" priority="76">
      <formula>Z$9&lt;8/24</formula>
    </cfRule>
  </conditionalFormatting>
  <conditionalFormatting sqref="Z55:AF57">
    <cfRule type="expression" dxfId="4126" priority="66">
      <formula>AND(Z$9&gt;=8/24,Z$9&lt;14/24)</formula>
    </cfRule>
    <cfRule type="expression" dxfId="4125" priority="65">
      <formula>AND(Z$9&gt;=14/24,Z$9&lt;20/24)</formula>
    </cfRule>
    <cfRule type="expression" dxfId="4124" priority="64">
      <formula>Z$9&gt;=20/24</formula>
    </cfRule>
  </conditionalFormatting>
  <conditionalFormatting sqref="Z56:AF57">
    <cfRule type="expression" dxfId="4123" priority="63">
      <formula>Z56&gt;$AG56</formula>
    </cfRule>
  </conditionalFormatting>
  <conditionalFormatting sqref="Z63:AF68">
    <cfRule type="expression" dxfId="4122" priority="74">
      <formula>AND(Z$9&gt;=8/24,Z$9&lt;14/24)</formula>
    </cfRule>
    <cfRule type="expression" dxfId="4121" priority="75">
      <formula>Z$9&lt;8/24</formula>
    </cfRule>
    <cfRule type="expression" dxfId="4120" priority="72">
      <formula>Z$9&gt;=20/24</formula>
    </cfRule>
    <cfRule type="expression" dxfId="4119" priority="73">
      <formula>AND(Z$9&gt;=14/24,Z$9&lt;20/24)</formula>
    </cfRule>
  </conditionalFormatting>
  <conditionalFormatting sqref="AB8">
    <cfRule type="expression" dxfId="4118" priority="125">
      <formula>AND(AD$9&gt;=8/24,AD$9&lt;14/24)</formula>
    </cfRule>
    <cfRule type="expression" dxfId="4117" priority="123">
      <formula>AD$9&gt;=20/24</formula>
    </cfRule>
    <cfRule type="expression" dxfId="4116" priority="124">
      <formula>AND(AD$9&gt;=14/24,AD$9&lt;20/24)</formula>
    </cfRule>
    <cfRule type="expression" dxfId="4115" priority="126">
      <formula>AD$9&lt;8/24</formula>
    </cfRule>
  </conditionalFormatting>
  <conditionalFormatting sqref="AG58">
    <cfRule type="expression" dxfId="4114" priority="118">
      <formula>AG58&gt;$AG58</formula>
    </cfRule>
  </conditionalFormatting>
  <conditionalFormatting sqref="AG62">
    <cfRule type="expression" dxfId="4113" priority="104">
      <formula>AG$9&lt;8/24</formula>
    </cfRule>
    <cfRule type="expression" dxfId="4112" priority="102">
      <formula>AND(AG$9&gt;=14/24,AG$9&lt;20/24)</formula>
    </cfRule>
    <cfRule type="expression" dxfId="4111" priority="101">
      <formula>AG$9&gt;=20/24</formula>
    </cfRule>
    <cfRule type="expression" dxfId="4110" priority="103">
      <formula>AND(AG$9&gt;=8/24,AG$9&lt;14/24)</formula>
    </cfRule>
  </conditionalFormatting>
  <conditionalFormatting sqref="AG75:AG76">
    <cfRule type="expression" dxfId="4109" priority="96">
      <formula>AG75&gt;$AG75</formula>
    </cfRule>
  </conditionalFormatting>
  <conditionalFormatting sqref="AG80">
    <cfRule type="expression" dxfId="4108" priority="100">
      <formula>AG$9&lt;8/24</formula>
    </cfRule>
    <cfRule type="expression" dxfId="4107" priority="97">
      <formula>AG$9&gt;=20/24</formula>
    </cfRule>
    <cfRule type="expression" dxfId="4106" priority="98">
      <formula>AND(AG$9&gt;=14/24,AG$9&lt;20/24)</formula>
    </cfRule>
    <cfRule type="expression" dxfId="4105" priority="99">
      <formula>AND(AG$9&gt;=8/24,AG$9&lt;14/24)</formula>
    </cfRule>
  </conditionalFormatting>
  <conditionalFormatting sqref="AG97">
    <cfRule type="expression" dxfId="4104" priority="122">
      <formula>AG$9&lt;8/24</formula>
    </cfRule>
    <cfRule type="expression" dxfId="4103" priority="120">
      <formula>AND(AG$9&gt;=14/24,AG$9&lt;20/24)</formula>
    </cfRule>
    <cfRule type="expression" dxfId="4102" priority="119">
      <formula>AG$9&gt;=20/24</formula>
    </cfRule>
    <cfRule type="expression" dxfId="4101" priority="121">
      <formula>AND(AG$9&gt;=8/24,AG$9&lt;14/24)</formula>
    </cfRule>
  </conditionalFormatting>
  <conditionalFormatting sqref="AL4:AL6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4100" priority="144">
      <formula>AJ$9&gt;=20/24</formula>
    </cfRule>
    <cfRule type="expression" dxfId="4099" priority="145">
      <formula>AND(AJ$9&gt;=14/24,AJ$9&lt;20/24)</formula>
    </cfRule>
    <cfRule type="expression" dxfId="4098" priority="146">
      <formula>AND(AJ$9&gt;=8/24,AJ$9&lt;14/24)</formula>
    </cfRule>
    <cfRule type="expression" dxfId="4097" priority="147">
      <formula>AJ$9&lt;8/24</formula>
    </cfRule>
  </conditionalFormatting>
  <conditionalFormatting sqref="AL88:AN88 AL94:AN94">
    <cfRule type="expression" dxfId="4096" priority="112">
      <formula>AND(AL$9&gt;=14/24,AL$9&lt;20/24)</formula>
    </cfRule>
    <cfRule type="expression" dxfId="4095" priority="113">
      <formula>AND(AL$9&gt;=8/24,AL$9&lt;14/24)</formula>
    </cfRule>
    <cfRule type="expression" dxfId="4094" priority="114">
      <formula>AL$9&lt;8/24</formula>
    </cfRule>
    <cfRule type="expression" dxfId="4093" priority="111">
      <formula>AL$9&gt;=20/24</formula>
    </cfRule>
  </conditionalFormatting>
  <conditionalFormatting sqref="AM15:AM21 AN16:AR21">
    <cfRule type="expression" dxfId="4092" priority="16">
      <formula>AX$9&lt;8/24</formula>
    </cfRule>
    <cfRule type="expression" dxfId="4091" priority="15">
      <formula>AND(AX$9&gt;=8/24,AX$9&lt;14/24)</formula>
    </cfRule>
    <cfRule type="expression" dxfId="4090" priority="14">
      <formula>AND(AX$9&gt;=14/24,AX$9&lt;20/24)</formula>
    </cfRule>
    <cfRule type="expression" dxfId="4089" priority="13">
      <formula>AX$9&gt;=20/24</formula>
    </cfRule>
  </conditionalFormatting>
  <conditionalFormatting sqref="AN89:AN92">
    <cfRule type="expression" dxfId="4088" priority="107">
      <formula>AN$9&gt;=20/24</formula>
    </cfRule>
    <cfRule type="expression" dxfId="4087" priority="108">
      <formula>AND(AN$9&gt;=14/24,AN$9&lt;20/24)</formula>
    </cfRule>
    <cfRule type="expression" dxfId="4086" priority="109">
      <formula>AND(AN$9&gt;=8/24,AN$9&lt;14/24)</formula>
    </cfRule>
    <cfRule type="expression" dxfId="4085" priority="110">
      <formula>AN$9&lt;8/24</formula>
    </cfRule>
  </conditionalFormatting>
  <conditionalFormatting sqref="AN15:AR15">
    <cfRule type="expression" dxfId="4084" priority="3">
      <formula>AND(U$9&gt;=8/24,U$9&lt;14/24)</formula>
    </cfRule>
    <cfRule type="expression" dxfId="4083" priority="4">
      <formula>U$9&lt;8/24</formula>
    </cfRule>
    <cfRule type="expression" dxfId="4082" priority="1">
      <formula>U$9&gt;=20/24</formula>
    </cfRule>
    <cfRule type="expression" dxfId="4081" priority="2">
      <formula>AND(U$9&gt;=14/24,U$9&lt;20/24)</formula>
    </cfRule>
  </conditionalFormatting>
  <conditionalFormatting sqref="AS15">
    <cfRule type="expression" dxfId="4080" priority="12">
      <formula>AA$9&lt;8/24</formula>
    </cfRule>
    <cfRule type="expression" dxfId="4079" priority="11">
      <formula>AND(AA$9&gt;=8/24,AA$9&lt;14/24)</formula>
    </cfRule>
    <cfRule type="expression" dxfId="4078" priority="10">
      <formula>AND(AA$9&gt;=14/24,AA$9&lt;20/24)</formula>
    </cfRule>
    <cfRule type="expression" dxfId="4077" priority="9">
      <formula>AA$9&gt;=20/24</formula>
    </cfRule>
  </conditionalFormatting>
  <conditionalFormatting sqref="AS16:AS21">
    <cfRule type="expression" dxfId="4076" priority="20">
      <formula>BE$9&lt;8/24</formula>
    </cfRule>
    <cfRule type="expression" dxfId="4075" priority="18">
      <formula>AND(BE$9&gt;=14/24,BE$9&lt;20/24)</formula>
    </cfRule>
    <cfRule type="expression" dxfId="4074" priority="17">
      <formula>BE$9&gt;=20/24</formula>
    </cfRule>
    <cfRule type="expression" dxfId="4073" priority="19">
      <formula>AND(BE$9&gt;=8/24,BE$9&lt;14/24)</formula>
    </cfRule>
  </conditionalFormatting>
  <conditionalFormatting sqref="AT15 AX15">
    <cfRule type="expression" dxfId="4072" priority="23">
      <formula>AND(AC$9&gt;=8/24,AC$9&lt;14/24)</formula>
    </cfRule>
    <cfRule type="expression" dxfId="4071" priority="22">
      <formula>AND(AC$9&gt;=14/24,AC$9&lt;20/24)</formula>
    </cfRule>
    <cfRule type="expression" dxfId="4070" priority="21">
      <formula>AC$9&gt;=20/24</formula>
    </cfRule>
    <cfRule type="expression" dxfId="4069" priority="24">
      <formula>AC$9&lt;8/24</formula>
    </cfRule>
  </conditionalFormatting>
  <conditionalFormatting sqref="AT16:AT21">
    <cfRule type="expression" dxfId="4068" priority="25">
      <formula>BG$9&gt;=20/24</formula>
    </cfRule>
    <cfRule type="expression" dxfId="4067" priority="26">
      <formula>AND(BG$9&gt;=14/24,BG$9&lt;20/24)</formula>
    </cfRule>
    <cfRule type="expression" dxfId="4066" priority="27">
      <formula>AND(BG$9&gt;=8/24,BG$9&lt;14/24)</formula>
    </cfRule>
    <cfRule type="expression" dxfId="4065" priority="28">
      <formula>BG$9&lt;8/24</formula>
    </cfRule>
  </conditionalFormatting>
  <conditionalFormatting sqref="AU15:AV15">
    <cfRule type="expression" dxfId="4064" priority="32">
      <formula>AE$9&lt;8/24</formula>
    </cfRule>
    <cfRule type="expression" dxfId="4063" priority="29">
      <formula>AE$9&gt;=20/24</formula>
    </cfRule>
    <cfRule type="expression" dxfId="4062" priority="30">
      <formula>AND(AE$9&gt;=14/24,AE$9&lt;20/24)</formula>
    </cfRule>
    <cfRule type="expression" dxfId="4061" priority="31">
      <formula>AND(AE$9&gt;=8/24,AE$9&lt;14/24)</formula>
    </cfRule>
  </conditionalFormatting>
  <conditionalFormatting sqref="AU16:AX21">
    <cfRule type="expression" dxfId="4060" priority="34">
      <formula>AND(BI$9&gt;=14/24,BI$9&lt;20/24)</formula>
    </cfRule>
    <cfRule type="expression" dxfId="4059" priority="35">
      <formula>AND(BI$9&gt;=8/24,BI$9&lt;14/24)</formula>
    </cfRule>
    <cfRule type="expression" dxfId="4058" priority="36">
      <formula>BI$9&lt;8/24</formula>
    </cfRule>
    <cfRule type="expression" dxfId="4057" priority="33">
      <formula>BI$9&gt;=20/24</formula>
    </cfRule>
  </conditionalFormatting>
  <conditionalFormatting sqref="AW15">
    <cfRule type="expression" dxfId="4056" priority="6">
      <formula>AND(B$9&gt;=14/24,B$9&lt;20/24)</formula>
    </cfRule>
    <cfRule type="expression" dxfId="4055" priority="5">
      <formula>B$9&gt;=20/24</formula>
    </cfRule>
    <cfRule type="expression" dxfId="4054" priority="8">
      <formula>B$9&lt;8/24</formula>
    </cfRule>
    <cfRule type="expression" dxfId="4053" priority="7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7915-6D96-439D-93C9-057C5A3BF002}">
  <sheetPr codeName="Sheet2"/>
  <dimension ref="A1:CJ294"/>
  <sheetViews>
    <sheetView tabSelected="1" zoomScaleNormal="100" workbookViewId="0">
      <pane xSplit="1" ySplit="10" topLeftCell="B129" activePane="bottomRight" state="frozen"/>
      <selection activeCell="Z63" sqref="Z63"/>
      <selection pane="topRight" activeCell="Z63" sqref="Z63"/>
      <selection pane="bottomLeft" activeCell="Z63" sqref="Z63"/>
      <selection pane="bottomRight" activeCell="B137" sqref="B13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6" width="9.140625" style="1"/>
    <col min="57" max="57" width="0" style="1" hidden="1" customWidth="1"/>
    <col min="58" max="58" width="11.140625" style="1" customWidth="1"/>
    <col min="59" max="59" width="9.140625" style="1" customWidth="1"/>
    <col min="60" max="60" width="9.140625" style="1"/>
    <col min="61" max="61" width="9.140625" style="1" customWidth="1"/>
    <col min="62" max="62" width="9.140625" style="1"/>
    <col min="63" max="63" width="9.140625" style="1" customWidth="1"/>
    <col min="64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2080/10/1</v>
      </c>
      <c r="C4" s="214"/>
      <c r="D4" s="214"/>
      <c r="E4" s="215" t="str">
        <f ca="1">"2080/"&amp;"10/"&amp;INT(MID(CELL("filename",G6),FIND("]",CELL("filename",G6))+1,200))</f>
        <v>2080/10/1</v>
      </c>
      <c r="F4" s="215"/>
      <c r="G4" s="215"/>
      <c r="H4" s="215" t="str">
        <f ca="1">TEXT(E4,"dddd")</f>
        <v>Tuesday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581</v>
      </c>
      <c r="C5" s="30">
        <f t="shared" ref="C5:AE5" si="0">D92</f>
        <v>575</v>
      </c>
      <c r="D5" s="30">
        <f t="shared" si="0"/>
        <v>565.4</v>
      </c>
      <c r="E5" s="30">
        <f t="shared" si="0"/>
        <v>579.29999999999995</v>
      </c>
      <c r="F5" s="30">
        <f t="shared" si="0"/>
        <v>613.4</v>
      </c>
      <c r="G5" s="30">
        <f t="shared" si="0"/>
        <v>653.29999999999995</v>
      </c>
      <c r="H5" s="30">
        <f t="shared" si="0"/>
        <v>655.29999999999995</v>
      </c>
      <c r="I5" s="30">
        <f t="shared" si="0"/>
        <v>593.20000000000005</v>
      </c>
      <c r="J5" s="30">
        <f t="shared" si="0"/>
        <v>340.09999999999997</v>
      </c>
      <c r="K5" s="30">
        <f t="shared" si="0"/>
        <v>217</v>
      </c>
      <c r="L5" s="30">
        <f t="shared" si="0"/>
        <v>118.19999999999999</v>
      </c>
      <c r="M5" s="30">
        <f t="shared" si="0"/>
        <v>213.1</v>
      </c>
      <c r="N5" s="30">
        <f t="shared" si="0"/>
        <v>544.79999999999995</v>
      </c>
      <c r="O5" s="30">
        <f t="shared" si="0"/>
        <v>670.6</v>
      </c>
      <c r="P5" s="30">
        <f t="shared" si="0"/>
        <v>704.09999999999991</v>
      </c>
      <c r="Q5" s="30">
        <f t="shared" si="0"/>
        <v>730</v>
      </c>
      <c r="R5" s="30">
        <f t="shared" si="0"/>
        <v>771</v>
      </c>
      <c r="S5" s="30">
        <f t="shared" si="0"/>
        <v>837.1</v>
      </c>
      <c r="T5" s="30">
        <f t="shared" si="0"/>
        <v>820.5</v>
      </c>
      <c r="U5" s="30">
        <f t="shared" si="0"/>
        <v>736.3</v>
      </c>
      <c r="V5" s="30">
        <f t="shared" si="0"/>
        <v>778.60000000000014</v>
      </c>
      <c r="W5" s="30">
        <f t="shared" si="0"/>
        <v>639.4</v>
      </c>
      <c r="X5" s="30">
        <f t="shared" si="0"/>
        <v>575.70000000000005</v>
      </c>
      <c r="Y5" s="30">
        <f t="shared" si="0"/>
        <v>254.5</v>
      </c>
      <c r="Z5" s="30">
        <f t="shared" si="0"/>
        <v>228.1</v>
      </c>
      <c r="AA5" s="30">
        <f t="shared" si="0"/>
        <v>339.1</v>
      </c>
      <c r="AB5" s="30">
        <f t="shared" si="0"/>
        <v>633.38</v>
      </c>
      <c r="AC5" s="30">
        <f t="shared" si="0"/>
        <v>584.79999999999995</v>
      </c>
      <c r="AD5" s="30">
        <f t="shared" si="0"/>
        <v>630.80000000000007</v>
      </c>
      <c r="AE5" s="30">
        <f t="shared" si="0"/>
        <v>666.19999999999993</v>
      </c>
      <c r="AF5" s="30">
        <f>B92</f>
        <v>594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1625MW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Load=1238</v>
      </c>
      <c r="B7" s="35">
        <f>B100</f>
        <v>1295.79</v>
      </c>
      <c r="C7" s="35">
        <f t="shared" ref="C7:AF7" si="1">C100</f>
        <v>1244.29</v>
      </c>
      <c r="D7" s="35">
        <f t="shared" si="1"/>
        <v>1238.29</v>
      </c>
      <c r="E7" s="35">
        <f t="shared" si="1"/>
        <v>1242.19</v>
      </c>
      <c r="F7" s="35">
        <f t="shared" si="1"/>
        <v>1256.0899999999999</v>
      </c>
      <c r="G7" s="35">
        <f t="shared" si="1"/>
        <v>1290.19</v>
      </c>
      <c r="H7" s="35">
        <f t="shared" si="1"/>
        <v>1327.3899999999999</v>
      </c>
      <c r="I7" s="35">
        <f t="shared" si="1"/>
        <v>1404.1899999999998</v>
      </c>
      <c r="J7" s="35">
        <f t="shared" si="1"/>
        <v>1556.58</v>
      </c>
      <c r="K7" s="35">
        <f t="shared" si="1"/>
        <v>1443.5899999999997</v>
      </c>
      <c r="L7" s="35">
        <f t="shared" si="1"/>
        <v>1625.49</v>
      </c>
      <c r="M7" s="35">
        <f t="shared" si="1"/>
        <v>1595.6899999999998</v>
      </c>
      <c r="N7" s="35">
        <f t="shared" si="1"/>
        <v>1515.3899999999999</v>
      </c>
      <c r="O7" s="35">
        <f t="shared" si="1"/>
        <v>1455.4899999999998</v>
      </c>
      <c r="P7" s="35">
        <f t="shared" si="1"/>
        <v>1473.3899999999999</v>
      </c>
      <c r="Q7" s="35">
        <f t="shared" si="1"/>
        <v>1456.79</v>
      </c>
      <c r="R7" s="35">
        <f t="shared" si="1"/>
        <v>1441.3899999999999</v>
      </c>
      <c r="S7" s="35">
        <f t="shared" si="1"/>
        <v>1491.49</v>
      </c>
      <c r="T7" s="35">
        <f t="shared" si="1"/>
        <v>1537.8899999999999</v>
      </c>
      <c r="U7" s="35">
        <f t="shared" si="1"/>
        <v>1556.5900000000001</v>
      </c>
      <c r="V7" s="35">
        <f t="shared" si="1"/>
        <v>1484.3899999999999</v>
      </c>
      <c r="W7" s="35">
        <f t="shared" si="1"/>
        <v>1536.19</v>
      </c>
      <c r="X7" s="35">
        <f t="shared" si="1"/>
        <v>1596.9899999999998</v>
      </c>
      <c r="Y7" s="35">
        <f t="shared" si="1"/>
        <v>1712.3500000000001</v>
      </c>
      <c r="Z7" s="35">
        <f t="shared" si="1"/>
        <v>1692.75</v>
      </c>
      <c r="AA7" s="35">
        <f t="shared" si="1"/>
        <v>1738.5899999999997</v>
      </c>
      <c r="AB7" s="35">
        <f t="shared" si="1"/>
        <v>1566.8899999999999</v>
      </c>
      <c r="AC7" s="35">
        <f t="shared" si="1"/>
        <v>1579.77</v>
      </c>
      <c r="AD7" s="35">
        <f t="shared" si="1"/>
        <v>1464.3899999999999</v>
      </c>
      <c r="AE7" s="35">
        <f t="shared" si="1"/>
        <v>1355.8899999999999</v>
      </c>
      <c r="AF7" s="35">
        <f t="shared" si="1"/>
        <v>1322.69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1738.59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10" t="s">
        <v>284</v>
      </c>
      <c r="CA8" s="210"/>
      <c r="CB8" s="210"/>
      <c r="CC8" s="210"/>
      <c r="CD8" s="210"/>
      <c r="CE8" s="210"/>
      <c r="CF8" s="210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1738.59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177" t="s">
        <v>285</v>
      </c>
      <c r="CA9" s="178" t="s">
        <v>282</v>
      </c>
      <c r="CB9" s="178" t="s">
        <v>286</v>
      </c>
      <c r="CC9" s="178" t="s">
        <v>287</v>
      </c>
      <c r="CD9" s="178" t="s">
        <v>288</v>
      </c>
      <c r="CE9" s="178" t="s">
        <v>289</v>
      </c>
      <c r="CF9" s="178" t="s">
        <v>86</v>
      </c>
      <c r="CG9" s="179" t="s">
        <v>290</v>
      </c>
      <c r="CH9" s="179" t="s">
        <v>291</v>
      </c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177"/>
      <c r="CA10" s="178"/>
      <c r="CB10" s="178"/>
      <c r="CC10" s="178"/>
      <c r="CD10" s="178"/>
      <c r="CE10" s="178"/>
      <c r="CF10" s="178"/>
      <c r="CG10" s="180"/>
      <c r="CH10" s="180"/>
      <c r="CI10" s="24"/>
      <c r="CJ10" s="24"/>
    </row>
    <row r="11" spans="1:88" ht="15.75" customHeight="1" thickTop="1" x14ac:dyDescent="0.25">
      <c r="A11" s="45" t="s">
        <v>19</v>
      </c>
      <c r="B11" s="46">
        <v>24.4</v>
      </c>
      <c r="C11" s="46">
        <v>24.4</v>
      </c>
      <c r="D11" s="46">
        <v>24.4</v>
      </c>
      <c r="E11" s="46">
        <v>25.4</v>
      </c>
      <c r="F11" s="46">
        <v>25.4</v>
      </c>
      <c r="G11" s="46">
        <v>25.4</v>
      </c>
      <c r="H11" s="46">
        <v>24.6</v>
      </c>
      <c r="I11" s="46">
        <v>24.6</v>
      </c>
      <c r="J11" s="46">
        <v>23.7</v>
      </c>
      <c r="K11" s="46">
        <v>23.7</v>
      </c>
      <c r="L11" s="46">
        <v>23.7</v>
      </c>
      <c r="M11" s="46">
        <v>24.8</v>
      </c>
      <c r="N11" s="46">
        <v>24</v>
      </c>
      <c r="O11" s="46">
        <v>23.7</v>
      </c>
      <c r="P11" s="46">
        <v>23.7</v>
      </c>
      <c r="Q11" s="46">
        <v>23.7</v>
      </c>
      <c r="R11" s="46">
        <v>23.7</v>
      </c>
      <c r="S11" s="46">
        <v>23.7</v>
      </c>
      <c r="T11" s="46">
        <v>23.7</v>
      </c>
      <c r="U11" s="46">
        <v>23.7</v>
      </c>
      <c r="V11" s="46">
        <v>23.7</v>
      </c>
      <c r="W11" s="46">
        <v>23.7</v>
      </c>
      <c r="X11" s="46">
        <v>23.7</v>
      </c>
      <c r="Y11" s="46">
        <v>23.7</v>
      </c>
      <c r="Z11" s="46">
        <v>23.7</v>
      </c>
      <c r="AA11" s="46">
        <v>23.7</v>
      </c>
      <c r="AB11" s="46">
        <v>23.7</v>
      </c>
      <c r="AC11" s="46">
        <v>23.7</v>
      </c>
      <c r="AD11" s="46">
        <v>23.7</v>
      </c>
      <c r="AE11" s="46">
        <v>23.7</v>
      </c>
      <c r="AF11" s="46">
        <v>23.7</v>
      </c>
      <c r="AG11" s="47">
        <v>86</v>
      </c>
      <c r="AH11" s="48">
        <f t="shared" ref="AH11:AH16" si="2">MAX(B11:AF11)</f>
        <v>25.4</v>
      </c>
      <c r="AI11" s="49">
        <f t="shared" ref="AI11:AI16" si="3">MIN(B11:AF11)</f>
        <v>23.7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181">
        <v>1</v>
      </c>
      <c r="CA11" s="177">
        <v>0</v>
      </c>
      <c r="CB11" s="178"/>
      <c r="CC11" s="178"/>
      <c r="CD11" s="178"/>
      <c r="CE11" s="178"/>
      <c r="CF11" s="178"/>
      <c r="CG11" s="180"/>
      <c r="CH11" s="180"/>
      <c r="CI11" s="24"/>
      <c r="CJ11" s="24"/>
    </row>
    <row r="12" spans="1:88" x14ac:dyDescent="0.25">
      <c r="A12" s="45" t="s">
        <v>20</v>
      </c>
      <c r="B12" s="46">
        <v>8</v>
      </c>
      <c r="C12" s="46">
        <v>8</v>
      </c>
      <c r="D12" s="46">
        <v>8</v>
      </c>
      <c r="E12" s="46">
        <v>8</v>
      </c>
      <c r="F12" s="46">
        <v>8</v>
      </c>
      <c r="G12" s="46">
        <v>8</v>
      </c>
      <c r="H12" s="46">
        <v>8</v>
      </c>
      <c r="I12" s="46">
        <v>8</v>
      </c>
      <c r="J12" s="46">
        <v>8</v>
      </c>
      <c r="K12" s="46">
        <v>8</v>
      </c>
      <c r="L12" s="46">
        <v>8</v>
      </c>
      <c r="M12" s="46">
        <v>8</v>
      </c>
      <c r="N12" s="46">
        <v>8</v>
      </c>
      <c r="O12" s="46">
        <v>8</v>
      </c>
      <c r="P12" s="46">
        <v>8</v>
      </c>
      <c r="Q12" s="46">
        <v>8</v>
      </c>
      <c r="R12" s="46">
        <v>8</v>
      </c>
      <c r="S12" s="46">
        <v>8</v>
      </c>
      <c r="T12" s="46">
        <v>8</v>
      </c>
      <c r="U12" s="46">
        <v>8</v>
      </c>
      <c r="V12" s="46">
        <v>8</v>
      </c>
      <c r="W12" s="46">
        <v>8</v>
      </c>
      <c r="X12" s="46">
        <v>8</v>
      </c>
      <c r="Y12" s="46">
        <v>8</v>
      </c>
      <c r="Z12" s="46">
        <v>8</v>
      </c>
      <c r="AA12" s="46">
        <v>8</v>
      </c>
      <c r="AB12" s="46">
        <v>8</v>
      </c>
      <c r="AC12" s="46">
        <v>8</v>
      </c>
      <c r="AD12" s="46">
        <v>8</v>
      </c>
      <c r="AE12" s="46">
        <v>8</v>
      </c>
      <c r="AF12" s="46">
        <v>8</v>
      </c>
      <c r="AG12" s="50">
        <v>54</v>
      </c>
      <c r="AH12" s="48">
        <f t="shared" si="2"/>
        <v>8</v>
      </c>
      <c r="AI12" s="49">
        <f t="shared" si="3"/>
        <v>8</v>
      </c>
      <c r="AK12" s="51"/>
      <c r="AL12" s="52" t="str">
        <f ca="1">MID(CELL("filename",C7),FIND("]",CELL("filename",C7))+1,600)</f>
        <v>1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181">
        <v>2</v>
      </c>
      <c r="CA12" s="177">
        <v>1.0416666666666666E-2</v>
      </c>
      <c r="CB12" s="178"/>
      <c r="CC12" s="178"/>
      <c r="CD12" s="178"/>
      <c r="CE12" s="178"/>
      <c r="CF12" s="178"/>
      <c r="CG12" s="180"/>
      <c r="CH12" s="180"/>
      <c r="CI12" s="24"/>
      <c r="CJ12" s="24"/>
    </row>
    <row r="13" spans="1:88" x14ac:dyDescent="0.25">
      <c r="A13" s="45" t="s">
        <v>21</v>
      </c>
      <c r="B13" s="46">
        <v>10</v>
      </c>
      <c r="C13" s="46">
        <v>10</v>
      </c>
      <c r="D13" s="46">
        <v>10</v>
      </c>
      <c r="E13" s="46">
        <v>10</v>
      </c>
      <c r="F13" s="46">
        <v>10</v>
      </c>
      <c r="G13" s="46">
        <v>10</v>
      </c>
      <c r="H13" s="46">
        <v>10</v>
      </c>
      <c r="I13" s="46">
        <v>10</v>
      </c>
      <c r="J13" s="46">
        <v>10</v>
      </c>
      <c r="K13" s="46">
        <v>9.4</v>
      </c>
      <c r="L13" s="46">
        <v>9.4</v>
      </c>
      <c r="M13" s="46">
        <v>9.4</v>
      </c>
      <c r="N13" s="46">
        <v>9.4</v>
      </c>
      <c r="O13" s="46">
        <v>9.4</v>
      </c>
      <c r="P13" s="46">
        <v>9.4</v>
      </c>
      <c r="Q13" s="46">
        <v>9.4</v>
      </c>
      <c r="R13" s="46">
        <v>9.4</v>
      </c>
      <c r="S13" s="46">
        <v>9.4</v>
      </c>
      <c r="T13" s="46">
        <v>9.4</v>
      </c>
      <c r="U13" s="46">
        <v>9.4</v>
      </c>
      <c r="V13" s="46">
        <v>9.4</v>
      </c>
      <c r="W13" s="46">
        <v>9.4</v>
      </c>
      <c r="X13" s="46">
        <v>9.4</v>
      </c>
      <c r="Y13" s="46">
        <v>9.4</v>
      </c>
      <c r="Z13" s="46">
        <v>9.4</v>
      </c>
      <c r="AA13" s="46">
        <v>9.4</v>
      </c>
      <c r="AB13" s="46">
        <v>9.4</v>
      </c>
      <c r="AC13" s="46">
        <v>9.4</v>
      </c>
      <c r="AD13" s="46">
        <v>9.4</v>
      </c>
      <c r="AE13" s="46">
        <v>9.4</v>
      </c>
      <c r="AF13" s="46">
        <v>9.4</v>
      </c>
      <c r="AG13" s="50">
        <v>54</v>
      </c>
      <c r="AH13" s="48">
        <f t="shared" si="2"/>
        <v>10</v>
      </c>
      <c r="AI13" s="49">
        <f t="shared" si="3"/>
        <v>9.4</v>
      </c>
      <c r="AK13" s="51"/>
      <c r="AL13" s="52" t="str">
        <f ca="1">"Daily Load Curve(Excluding of Export) of Nepal ("&amp;A4&amp;" "&amp;B4&amp;")"</f>
        <v>Daily Load Curve(Excluding of Export) of Nepal (Nepali Date: 2080/10/1)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181">
        <v>3</v>
      </c>
      <c r="CA13" s="177">
        <v>2.0833333333333301E-2</v>
      </c>
      <c r="CB13" s="178"/>
      <c r="CC13" s="178"/>
      <c r="CD13" s="178"/>
      <c r="CE13" s="178"/>
      <c r="CF13" s="178"/>
      <c r="CG13" s="180"/>
      <c r="CH13" s="180"/>
      <c r="CI13" s="24"/>
      <c r="CJ13" s="24"/>
    </row>
    <row r="14" spans="1:88" ht="15.75" thickBot="1" x14ac:dyDescent="0.3">
      <c r="A14" s="45" t="s">
        <v>22</v>
      </c>
      <c r="B14" s="46">
        <v>14.2</v>
      </c>
      <c r="C14" s="46">
        <v>14.2</v>
      </c>
      <c r="D14" s="46">
        <v>14.2</v>
      </c>
      <c r="E14" s="46">
        <v>14.2</v>
      </c>
      <c r="F14" s="46">
        <v>14.2</v>
      </c>
      <c r="G14" s="46">
        <v>14.2</v>
      </c>
      <c r="H14" s="46">
        <v>13.4</v>
      </c>
      <c r="I14" s="46">
        <v>13.4</v>
      </c>
      <c r="J14" s="46">
        <v>13.4</v>
      </c>
      <c r="K14" s="46">
        <v>13.5</v>
      </c>
      <c r="L14" s="46">
        <v>13.5</v>
      </c>
      <c r="M14" s="46">
        <v>13.5</v>
      </c>
      <c r="N14" s="46">
        <v>13.5</v>
      </c>
      <c r="O14" s="46">
        <v>13.5</v>
      </c>
      <c r="P14" s="46">
        <v>13.5</v>
      </c>
      <c r="Q14" s="46">
        <v>13.5</v>
      </c>
      <c r="R14" s="46">
        <v>13.5</v>
      </c>
      <c r="S14" s="46">
        <v>13.5</v>
      </c>
      <c r="T14" s="46">
        <v>13.5</v>
      </c>
      <c r="U14" s="46">
        <v>13.5</v>
      </c>
      <c r="V14" s="46">
        <v>13.5</v>
      </c>
      <c r="W14" s="46">
        <v>13.5</v>
      </c>
      <c r="X14" s="46">
        <v>13.5</v>
      </c>
      <c r="Y14" s="46">
        <v>13.5</v>
      </c>
      <c r="Z14" s="46">
        <v>13.5</v>
      </c>
      <c r="AA14" s="46">
        <v>13.5</v>
      </c>
      <c r="AB14" s="46">
        <v>13.5</v>
      </c>
      <c r="AC14" s="46">
        <v>13.5</v>
      </c>
      <c r="AD14" s="46">
        <v>13.5</v>
      </c>
      <c r="AE14" s="46">
        <v>13.5</v>
      </c>
      <c r="AF14" s="46">
        <v>13.5</v>
      </c>
      <c r="AG14" s="47">
        <v>52.4</v>
      </c>
      <c r="AH14" s="48">
        <f t="shared" si="2"/>
        <v>14.2</v>
      </c>
      <c r="AI14" s="49">
        <f t="shared" si="3"/>
        <v>13.4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181">
        <v>4</v>
      </c>
      <c r="CA14" s="177">
        <v>3.125E-2</v>
      </c>
      <c r="CB14" s="178"/>
      <c r="CC14" s="178"/>
      <c r="CD14" s="178"/>
      <c r="CE14" s="178"/>
      <c r="CF14" s="178"/>
      <c r="CG14" s="180"/>
      <c r="CH14" s="180"/>
      <c r="CI14" s="24"/>
      <c r="CJ14" s="24"/>
    </row>
    <row r="15" spans="1:88" ht="15.75" thickTop="1" x14ac:dyDescent="0.25">
      <c r="A15" s="45" t="s">
        <v>23</v>
      </c>
      <c r="B15" s="46">
        <v>25.2</v>
      </c>
      <c r="C15" s="46">
        <v>25.2</v>
      </c>
      <c r="D15" s="46">
        <v>25.2</v>
      </c>
      <c r="E15" s="46">
        <v>25.2</v>
      </c>
      <c r="F15" s="46">
        <v>25.2</v>
      </c>
      <c r="G15" s="46">
        <v>25.2</v>
      </c>
      <c r="H15" s="46">
        <v>25.3</v>
      </c>
      <c r="I15" s="46">
        <v>25.3</v>
      </c>
      <c r="J15" s="46">
        <v>25.3</v>
      </c>
      <c r="K15" s="46">
        <v>25.3</v>
      </c>
      <c r="L15" s="46">
        <v>25.3</v>
      </c>
      <c r="M15" s="46">
        <v>28.1</v>
      </c>
      <c r="N15" s="46">
        <v>28.1</v>
      </c>
      <c r="O15" s="46">
        <v>28.1</v>
      </c>
      <c r="P15" s="46">
        <v>28.1</v>
      </c>
      <c r="Q15" s="46">
        <v>28.1</v>
      </c>
      <c r="R15" s="46">
        <v>28.1</v>
      </c>
      <c r="S15" s="46">
        <v>28.1</v>
      </c>
      <c r="T15" s="46">
        <v>28.1</v>
      </c>
      <c r="U15" s="46">
        <v>28.1</v>
      </c>
      <c r="V15" s="46">
        <v>28.1</v>
      </c>
      <c r="W15" s="46">
        <v>28.1</v>
      </c>
      <c r="X15" s="46">
        <v>28.1</v>
      </c>
      <c r="Y15" s="46">
        <v>28.1</v>
      </c>
      <c r="Z15" s="53">
        <v>28.1</v>
      </c>
      <c r="AA15" s="53">
        <v>28.1</v>
      </c>
      <c r="AB15" s="53">
        <v>28.1</v>
      </c>
      <c r="AC15" s="53">
        <v>28.1</v>
      </c>
      <c r="AD15" s="53">
        <v>28.1</v>
      </c>
      <c r="AE15" s="53">
        <v>28.1</v>
      </c>
      <c r="AF15" s="53">
        <v>28.1</v>
      </c>
      <c r="AG15" s="50">
        <v>50</v>
      </c>
      <c r="AH15" s="48">
        <f t="shared" si="2"/>
        <v>28.1</v>
      </c>
      <c r="AI15" s="49">
        <f t="shared" si="3"/>
        <v>25.2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0.499999999999999</v>
      </c>
      <c r="AZ15" s="58">
        <v>0.54166666666666496</v>
      </c>
      <c r="BA15" s="58">
        <v>0.58333333333333104</v>
      </c>
      <c r="BB15" s="58">
        <v>0.624999999999997</v>
      </c>
      <c r="BC15" s="58">
        <v>0.66666666666666297</v>
      </c>
      <c r="BD15" s="58">
        <v>0.70833333333332904</v>
      </c>
      <c r="BE15" s="58">
        <v>0.72916666666666663</v>
      </c>
      <c r="BF15" s="58">
        <v>0.75</v>
      </c>
      <c r="BG15" s="58">
        <v>0.77083333333333337</v>
      </c>
      <c r="BH15" s="58">
        <v>0.79166666666666663</v>
      </c>
      <c r="BI15" s="58">
        <v>0.8125</v>
      </c>
      <c r="BJ15" s="58">
        <v>0.83333333333333337</v>
      </c>
      <c r="BK15" s="58">
        <v>0.85416666666666663</v>
      </c>
      <c r="BL15" s="58">
        <v>0.875</v>
      </c>
      <c r="BM15" s="58">
        <v>0.91666666666666663</v>
      </c>
      <c r="BN15" s="58">
        <v>0.95833333333333337</v>
      </c>
      <c r="BO15" s="189"/>
      <c r="BP15" s="190"/>
      <c r="BQ15" s="190"/>
      <c r="BR15" s="24"/>
      <c r="BS15" s="24"/>
      <c r="BT15" s="24"/>
      <c r="BU15" s="24"/>
      <c r="BV15" s="24"/>
      <c r="BW15" s="24"/>
      <c r="BX15" s="24"/>
      <c r="BY15" s="24"/>
      <c r="BZ15" s="181">
        <v>5</v>
      </c>
      <c r="CA15" s="177">
        <v>4.1666666666666699E-2</v>
      </c>
      <c r="CB15" s="178"/>
      <c r="CC15" s="178"/>
      <c r="CD15" s="178"/>
      <c r="CE15" s="178"/>
      <c r="CF15" s="178"/>
      <c r="CG15" s="180"/>
      <c r="CH15" s="180"/>
      <c r="CI15" s="24"/>
      <c r="CJ15" s="24"/>
    </row>
    <row r="16" spans="1:88" x14ac:dyDescent="0.25">
      <c r="A16" s="45" t="s">
        <v>25</v>
      </c>
      <c r="B16" s="46">
        <v>14.9</v>
      </c>
      <c r="C16" s="46">
        <v>14.9</v>
      </c>
      <c r="D16" s="46">
        <v>14.9</v>
      </c>
      <c r="E16" s="46">
        <v>14.9</v>
      </c>
      <c r="F16" s="46">
        <v>14.9</v>
      </c>
      <c r="G16" s="46">
        <v>14.9</v>
      </c>
      <c r="H16" s="46">
        <v>15.9</v>
      </c>
      <c r="I16" s="46">
        <v>15.9</v>
      </c>
      <c r="J16" s="46">
        <v>14.8</v>
      </c>
      <c r="K16" s="46">
        <v>14.8</v>
      </c>
      <c r="L16" s="46">
        <v>14.8</v>
      </c>
      <c r="M16" s="46">
        <v>13.7</v>
      </c>
      <c r="N16" s="46">
        <v>13.7</v>
      </c>
      <c r="O16" s="46">
        <v>13.7</v>
      </c>
      <c r="P16" s="46">
        <v>13.7</v>
      </c>
      <c r="Q16" s="46">
        <v>13.7</v>
      </c>
      <c r="R16" s="46">
        <v>13.7</v>
      </c>
      <c r="S16" s="46">
        <v>13.7</v>
      </c>
      <c r="T16" s="46">
        <v>13.7</v>
      </c>
      <c r="U16" s="46">
        <v>13.7</v>
      </c>
      <c r="V16" s="46">
        <v>13.7</v>
      </c>
      <c r="W16" s="46">
        <v>13.7</v>
      </c>
      <c r="X16" s="46">
        <v>13.7</v>
      </c>
      <c r="Y16" s="46">
        <v>13.7</v>
      </c>
      <c r="Z16" s="46">
        <v>13.7</v>
      </c>
      <c r="AA16" s="46">
        <v>13.7</v>
      </c>
      <c r="AB16" s="46">
        <v>13.7</v>
      </c>
      <c r="AC16" s="46">
        <v>13.7</v>
      </c>
      <c r="AD16" s="46">
        <v>13.7</v>
      </c>
      <c r="AE16" s="46">
        <v>13.7</v>
      </c>
      <c r="AF16" s="46">
        <v>13.7</v>
      </c>
      <c r="AG16" s="50">
        <v>45</v>
      </c>
      <c r="AH16" s="48">
        <f t="shared" si="2"/>
        <v>15.9</v>
      </c>
      <c r="AI16" s="49">
        <f t="shared" si="3"/>
        <v>13.7</v>
      </c>
      <c r="AK16" s="51"/>
      <c r="AL16" s="54" t="s">
        <v>7</v>
      </c>
      <c r="AM16" s="59">
        <f>B58</f>
        <v>461.34999999999997</v>
      </c>
      <c r="AN16" s="59">
        <f t="shared" ref="AN16:AR16" si="4">C58</f>
        <v>461.34999999999997</v>
      </c>
      <c r="AO16" s="59">
        <f t="shared" si="4"/>
        <v>461.34999999999997</v>
      </c>
      <c r="AP16" s="59">
        <f t="shared" si="4"/>
        <v>462.34999999999997</v>
      </c>
      <c r="AQ16" s="59">
        <f t="shared" si="4"/>
        <v>462.34999999999997</v>
      </c>
      <c r="AR16" s="59">
        <f t="shared" si="4"/>
        <v>462.34999999999997</v>
      </c>
      <c r="AS16" s="59">
        <f>I58</f>
        <v>461.84999999999997</v>
      </c>
      <c r="AT16" s="59">
        <f>K58</f>
        <v>459.34999999999997</v>
      </c>
      <c r="AU16" s="59">
        <f t="shared" ref="AU16:BN16" si="5">M58</f>
        <v>451.74999999999994</v>
      </c>
      <c r="AV16" s="59">
        <f t="shared" si="5"/>
        <v>450.94999999999993</v>
      </c>
      <c r="AW16" s="59">
        <f t="shared" si="5"/>
        <v>450.65</v>
      </c>
      <c r="AX16" s="59">
        <f t="shared" si="5"/>
        <v>450.65</v>
      </c>
      <c r="AY16" s="59">
        <f t="shared" si="5"/>
        <v>450.65</v>
      </c>
      <c r="AZ16" s="59">
        <f t="shared" si="5"/>
        <v>450.65</v>
      </c>
      <c r="BA16" s="59">
        <f t="shared" si="5"/>
        <v>450.65</v>
      </c>
      <c r="BB16" s="59">
        <f t="shared" si="5"/>
        <v>450.65</v>
      </c>
      <c r="BC16" s="59">
        <f t="shared" si="5"/>
        <v>450.65</v>
      </c>
      <c r="BD16" s="59">
        <f t="shared" si="5"/>
        <v>450.65</v>
      </c>
      <c r="BE16" s="59">
        <f t="shared" si="5"/>
        <v>450.65</v>
      </c>
      <c r="BF16" s="59">
        <f t="shared" si="5"/>
        <v>450.65</v>
      </c>
      <c r="BG16" s="59">
        <f t="shared" si="5"/>
        <v>450.65</v>
      </c>
      <c r="BH16" s="59">
        <f t="shared" si="5"/>
        <v>450.65</v>
      </c>
      <c r="BI16" s="59">
        <f t="shared" si="5"/>
        <v>450.65</v>
      </c>
      <c r="BJ16" s="59">
        <f t="shared" si="5"/>
        <v>450.65</v>
      </c>
      <c r="BK16" s="59">
        <f t="shared" si="5"/>
        <v>450.65</v>
      </c>
      <c r="BL16" s="59">
        <f t="shared" si="5"/>
        <v>450.65</v>
      </c>
      <c r="BM16" s="59">
        <f t="shared" si="5"/>
        <v>450.65</v>
      </c>
      <c r="BN16" s="59">
        <f t="shared" si="5"/>
        <v>450.65</v>
      </c>
      <c r="BO16" s="191"/>
      <c r="BP16" s="190"/>
      <c r="BQ16" s="190"/>
      <c r="BR16" s="24"/>
      <c r="BS16" s="24"/>
      <c r="BT16" s="24"/>
      <c r="BU16" s="24"/>
      <c r="BV16" s="24"/>
      <c r="BW16" s="24"/>
      <c r="BX16" s="24"/>
      <c r="BY16" s="24"/>
      <c r="BZ16" s="181">
        <v>6</v>
      </c>
      <c r="CA16" s="177">
        <v>5.2083333333333301E-2</v>
      </c>
      <c r="CB16" s="178"/>
      <c r="CC16" s="178"/>
      <c r="CD16" s="178"/>
      <c r="CE16" s="178"/>
      <c r="CF16" s="178"/>
      <c r="CG16" s="180"/>
      <c r="CH16" s="180"/>
      <c r="CI16" s="24"/>
      <c r="CJ16" s="24"/>
    </row>
    <row r="17" spans="1:88" x14ac:dyDescent="0.25">
      <c r="A17" s="45" t="s">
        <v>26</v>
      </c>
      <c r="B17" s="46">
        <v>14</v>
      </c>
      <c r="C17" s="46">
        <v>14</v>
      </c>
      <c r="D17" s="46">
        <v>14</v>
      </c>
      <c r="E17" s="46">
        <v>14</v>
      </c>
      <c r="F17" s="46">
        <v>14</v>
      </c>
      <c r="G17" s="46">
        <v>14</v>
      </c>
      <c r="H17" s="46">
        <v>14</v>
      </c>
      <c r="I17" s="46">
        <v>14</v>
      </c>
      <c r="J17" s="46">
        <v>14</v>
      </c>
      <c r="K17" s="46">
        <v>14</v>
      </c>
      <c r="L17" s="46">
        <v>14</v>
      </c>
      <c r="M17" s="46">
        <v>14</v>
      </c>
      <c r="N17" s="46">
        <v>14</v>
      </c>
      <c r="O17" s="46">
        <v>14</v>
      </c>
      <c r="P17" s="46">
        <v>14</v>
      </c>
      <c r="Q17" s="46">
        <v>14</v>
      </c>
      <c r="R17" s="46">
        <v>14</v>
      </c>
      <c r="S17" s="46">
        <v>14</v>
      </c>
      <c r="T17" s="46">
        <v>14</v>
      </c>
      <c r="U17" s="46">
        <v>14</v>
      </c>
      <c r="V17" s="46">
        <v>14</v>
      </c>
      <c r="W17" s="46">
        <v>14</v>
      </c>
      <c r="X17" s="46">
        <v>14</v>
      </c>
      <c r="Y17" s="46">
        <v>14</v>
      </c>
      <c r="Z17" s="46">
        <v>14</v>
      </c>
      <c r="AA17" s="46">
        <v>14</v>
      </c>
      <c r="AB17" s="46">
        <v>14</v>
      </c>
      <c r="AC17" s="46">
        <v>14</v>
      </c>
      <c r="AD17" s="46">
        <v>14</v>
      </c>
      <c r="AE17" s="46">
        <v>14</v>
      </c>
      <c r="AF17" s="46">
        <v>14</v>
      </c>
      <c r="AG17" s="50">
        <v>44</v>
      </c>
      <c r="AH17" s="48">
        <f>MAX(B17:AG17)</f>
        <v>44</v>
      </c>
      <c r="AI17" s="49">
        <f>MIN(B17:AG17)</f>
        <v>14</v>
      </c>
      <c r="AK17" s="51"/>
      <c r="AL17" s="54" t="s">
        <v>27</v>
      </c>
      <c r="AM17" s="59">
        <f>B62</f>
        <v>62.1</v>
      </c>
      <c r="AN17" s="59">
        <f t="shared" ref="AN17:AR17" si="6">C62</f>
        <v>77.099999999999994</v>
      </c>
      <c r="AO17" s="59">
        <f t="shared" si="6"/>
        <v>77.099999999999994</v>
      </c>
      <c r="AP17" s="59">
        <f t="shared" si="6"/>
        <v>87.1</v>
      </c>
      <c r="AQ17" s="59">
        <f t="shared" si="6"/>
        <v>87.1</v>
      </c>
      <c r="AR17" s="59">
        <f t="shared" si="6"/>
        <v>87.1</v>
      </c>
      <c r="AS17" s="59">
        <f>I62</f>
        <v>67.099999999999994</v>
      </c>
      <c r="AT17" s="59">
        <f>K62</f>
        <v>237.1</v>
      </c>
      <c r="AU17" s="59">
        <f t="shared" ref="AU17:BN17" si="7">M62</f>
        <v>387.1</v>
      </c>
      <c r="AV17" s="59">
        <f t="shared" si="7"/>
        <v>321.2</v>
      </c>
      <c r="AW17" s="59">
        <f t="shared" si="7"/>
        <v>52</v>
      </c>
      <c r="AX17" s="59">
        <f t="shared" si="7"/>
        <v>113</v>
      </c>
      <c r="AY17" s="59">
        <f t="shared" si="7"/>
        <v>51.1</v>
      </c>
      <c r="AZ17" s="59">
        <f t="shared" si="7"/>
        <v>51.1</v>
      </c>
      <c r="BA17" s="59">
        <f t="shared" si="7"/>
        <v>51.1</v>
      </c>
      <c r="BB17" s="59">
        <f t="shared" si="7"/>
        <v>36.1</v>
      </c>
      <c r="BC17" s="59">
        <f t="shared" si="7"/>
        <v>51.1</v>
      </c>
      <c r="BD17" s="59">
        <f t="shared" si="7"/>
        <v>51.1</v>
      </c>
      <c r="BE17" s="59">
        <f t="shared" si="7"/>
        <v>71.099999999999994</v>
      </c>
      <c r="BF17" s="59">
        <f t="shared" si="7"/>
        <v>71.099999999999994</v>
      </c>
      <c r="BG17" s="59">
        <f t="shared" si="7"/>
        <v>136.1</v>
      </c>
      <c r="BH17" s="59">
        <f t="shared" si="7"/>
        <v>368.5</v>
      </c>
      <c r="BI17" s="59">
        <f t="shared" si="7"/>
        <v>447.5</v>
      </c>
      <c r="BJ17" s="59">
        <f t="shared" si="7"/>
        <v>317.5</v>
      </c>
      <c r="BK17" s="59">
        <f t="shared" si="7"/>
        <v>167.5</v>
      </c>
      <c r="BL17" s="59">
        <f t="shared" si="7"/>
        <v>170</v>
      </c>
      <c r="BM17" s="59">
        <f t="shared" si="7"/>
        <v>67.5</v>
      </c>
      <c r="BN17" s="59">
        <f t="shared" si="7"/>
        <v>57.5</v>
      </c>
      <c r="BO17" s="191"/>
      <c r="BP17" s="190"/>
      <c r="BQ17" s="190"/>
      <c r="BR17" s="24"/>
      <c r="BS17" s="24"/>
      <c r="BT17" s="24"/>
      <c r="BU17" s="24"/>
      <c r="BV17" s="24"/>
      <c r="BW17" s="24"/>
      <c r="BX17" s="24"/>
      <c r="BY17" s="24"/>
      <c r="BZ17" s="181">
        <v>7</v>
      </c>
      <c r="CA17" s="177">
        <v>6.25E-2</v>
      </c>
      <c r="CB17" s="178"/>
      <c r="CC17" s="178"/>
      <c r="CD17" s="178"/>
      <c r="CE17" s="178"/>
      <c r="CF17" s="178"/>
      <c r="CG17" s="180"/>
      <c r="CH17" s="180"/>
      <c r="CI17" s="24"/>
      <c r="CJ17" s="24"/>
    </row>
    <row r="18" spans="1:88" x14ac:dyDescent="0.25">
      <c r="A18" s="45" t="s">
        <v>28</v>
      </c>
      <c r="B18" s="46">
        <v>7</v>
      </c>
      <c r="C18" s="46">
        <v>7</v>
      </c>
      <c r="D18" s="46">
        <v>7</v>
      </c>
      <c r="E18" s="46">
        <v>7</v>
      </c>
      <c r="F18" s="46">
        <v>7</v>
      </c>
      <c r="G18" s="46">
        <v>7</v>
      </c>
      <c r="H18" s="46">
        <v>7</v>
      </c>
      <c r="I18" s="46">
        <v>7</v>
      </c>
      <c r="J18" s="46">
        <v>7</v>
      </c>
      <c r="K18" s="46">
        <v>7</v>
      </c>
      <c r="L18" s="46">
        <v>7</v>
      </c>
      <c r="M18" s="46">
        <v>7</v>
      </c>
      <c r="N18" s="46">
        <v>7</v>
      </c>
      <c r="O18" s="46">
        <v>7</v>
      </c>
      <c r="P18" s="46">
        <v>7</v>
      </c>
      <c r="Q18" s="46">
        <v>7</v>
      </c>
      <c r="R18" s="46">
        <v>7</v>
      </c>
      <c r="S18" s="46">
        <v>7</v>
      </c>
      <c r="T18" s="46">
        <v>7</v>
      </c>
      <c r="U18" s="46">
        <v>7</v>
      </c>
      <c r="V18" s="46">
        <v>7</v>
      </c>
      <c r="W18" s="46">
        <v>7</v>
      </c>
      <c r="X18" s="46">
        <v>7</v>
      </c>
      <c r="Y18" s="46">
        <v>7</v>
      </c>
      <c r="Z18" s="46">
        <v>7</v>
      </c>
      <c r="AA18" s="46">
        <v>7</v>
      </c>
      <c r="AB18" s="46">
        <v>7</v>
      </c>
      <c r="AC18" s="46">
        <v>7</v>
      </c>
      <c r="AD18" s="46">
        <v>7</v>
      </c>
      <c r="AE18" s="46">
        <v>7</v>
      </c>
      <c r="AF18" s="46">
        <v>7</v>
      </c>
      <c r="AG18" s="50">
        <v>42</v>
      </c>
      <c r="AH18" s="48">
        <f t="shared" ref="AH18:AH81" si="8">MAX(B18:AF18)</f>
        <v>7</v>
      </c>
      <c r="AI18" s="49">
        <f t="shared" ref="AI18:AI81" si="9">MIN(B18:AF18)</f>
        <v>7</v>
      </c>
      <c r="AK18" s="51"/>
      <c r="AL18" s="54" t="s">
        <v>29</v>
      </c>
      <c r="AM18" s="59">
        <f>B76</f>
        <v>128.34</v>
      </c>
      <c r="AN18" s="59">
        <f t="shared" ref="AN18:AR18" si="10">C76</f>
        <v>74.84</v>
      </c>
      <c r="AO18" s="59">
        <f t="shared" si="10"/>
        <v>74.84</v>
      </c>
      <c r="AP18" s="59">
        <f t="shared" si="10"/>
        <v>77.34</v>
      </c>
      <c r="AQ18" s="59">
        <f t="shared" si="10"/>
        <v>77.34</v>
      </c>
      <c r="AR18" s="59">
        <f t="shared" si="10"/>
        <v>77.34</v>
      </c>
      <c r="AS18" s="59">
        <f>I76</f>
        <v>169.93999999999997</v>
      </c>
      <c r="AT18" s="59">
        <f>K76</f>
        <v>357.03999999999996</v>
      </c>
      <c r="AU18" s="59">
        <f t="shared" ref="AU18:BN18" si="11">M76</f>
        <v>351.93999999999994</v>
      </c>
      <c r="AV18" s="59">
        <f t="shared" si="11"/>
        <v>280.14000000000004</v>
      </c>
      <c r="AW18" s="59">
        <f t="shared" si="11"/>
        <v>228.04</v>
      </c>
      <c r="AX18" s="59">
        <f t="shared" si="11"/>
        <v>239.14000000000001</v>
      </c>
      <c r="AY18" s="59">
        <f t="shared" si="11"/>
        <v>230.94</v>
      </c>
      <c r="AZ18" s="59">
        <f t="shared" si="11"/>
        <v>194.64000000000001</v>
      </c>
      <c r="BA18" s="59">
        <f t="shared" si="11"/>
        <v>204.73999999999998</v>
      </c>
      <c r="BB18" s="59">
        <f t="shared" si="11"/>
        <v>199.04</v>
      </c>
      <c r="BC18" s="59">
        <f t="shared" si="11"/>
        <v>177.14</v>
      </c>
      <c r="BD18" s="59">
        <f t="shared" si="11"/>
        <v>148.34</v>
      </c>
      <c r="BE18" s="59">
        <f t="shared" si="11"/>
        <v>139.94</v>
      </c>
      <c r="BF18" s="59">
        <f t="shared" si="11"/>
        <v>179.93999999999997</v>
      </c>
      <c r="BG18" s="59">
        <f t="shared" si="11"/>
        <v>286.8</v>
      </c>
      <c r="BH18" s="59">
        <f t="shared" si="11"/>
        <v>355.99999999999994</v>
      </c>
      <c r="BI18" s="59">
        <f t="shared" si="11"/>
        <v>356.03999999999996</v>
      </c>
      <c r="BJ18" s="59">
        <f t="shared" si="11"/>
        <v>259.64000000000004</v>
      </c>
      <c r="BK18" s="59">
        <f t="shared" si="11"/>
        <v>228.23999999999998</v>
      </c>
      <c r="BL18" s="59">
        <f t="shared" si="11"/>
        <v>228.94</v>
      </c>
      <c r="BM18" s="59">
        <f t="shared" si="11"/>
        <v>206.93999999999997</v>
      </c>
      <c r="BN18" s="59">
        <f t="shared" si="11"/>
        <v>148.33999999999997</v>
      </c>
      <c r="BO18" s="191"/>
      <c r="BP18" s="190"/>
      <c r="BQ18" s="190"/>
      <c r="BR18" s="24"/>
      <c r="BS18" s="24"/>
      <c r="BT18" s="24"/>
      <c r="BU18" s="24"/>
      <c r="BV18" s="24"/>
      <c r="BW18" s="24"/>
      <c r="BX18" s="24"/>
      <c r="BY18" s="24"/>
      <c r="BZ18" s="181">
        <v>8</v>
      </c>
      <c r="CA18" s="177">
        <v>7.2916666666666699E-2</v>
      </c>
      <c r="CB18" s="178"/>
      <c r="CC18" s="178"/>
      <c r="CD18" s="178"/>
      <c r="CE18" s="178"/>
      <c r="CF18" s="178"/>
      <c r="CG18" s="180"/>
      <c r="CH18" s="180"/>
      <c r="CI18" s="24"/>
      <c r="CJ18" s="24"/>
    </row>
    <row r="19" spans="1:88" x14ac:dyDescent="0.25">
      <c r="A19" s="45" t="s">
        <v>30</v>
      </c>
      <c r="B19" s="46">
        <v>11</v>
      </c>
      <c r="C19" s="46">
        <v>11</v>
      </c>
      <c r="D19" s="46">
        <v>11</v>
      </c>
      <c r="E19" s="46">
        <v>11</v>
      </c>
      <c r="F19" s="46">
        <v>11</v>
      </c>
      <c r="G19" s="46">
        <v>11</v>
      </c>
      <c r="H19" s="46">
        <v>11</v>
      </c>
      <c r="I19" s="46">
        <v>11</v>
      </c>
      <c r="J19" s="46">
        <v>11</v>
      </c>
      <c r="K19" s="46">
        <v>11</v>
      </c>
      <c r="L19" s="46">
        <v>11</v>
      </c>
      <c r="M19" s="46">
        <v>11</v>
      </c>
      <c r="N19" s="46">
        <v>11</v>
      </c>
      <c r="O19" s="46">
        <v>11</v>
      </c>
      <c r="P19" s="46">
        <v>11</v>
      </c>
      <c r="Q19" s="46">
        <v>11</v>
      </c>
      <c r="R19" s="46">
        <v>11</v>
      </c>
      <c r="S19" s="46">
        <v>11</v>
      </c>
      <c r="T19" s="46">
        <v>11</v>
      </c>
      <c r="U19" s="46">
        <v>11</v>
      </c>
      <c r="V19" s="46">
        <v>11</v>
      </c>
      <c r="W19" s="46">
        <v>11</v>
      </c>
      <c r="X19" s="46">
        <v>11</v>
      </c>
      <c r="Y19" s="46">
        <v>11</v>
      </c>
      <c r="Z19" s="46">
        <v>11</v>
      </c>
      <c r="AA19" s="46">
        <v>11</v>
      </c>
      <c r="AB19" s="46">
        <v>11</v>
      </c>
      <c r="AC19" s="46">
        <v>11</v>
      </c>
      <c r="AD19" s="46">
        <v>11</v>
      </c>
      <c r="AE19" s="46">
        <v>11</v>
      </c>
      <c r="AF19" s="46">
        <v>11</v>
      </c>
      <c r="AG19" s="50">
        <v>38.46</v>
      </c>
      <c r="AH19" s="48">
        <f t="shared" si="8"/>
        <v>11</v>
      </c>
      <c r="AI19" s="49">
        <f t="shared" si="9"/>
        <v>11</v>
      </c>
      <c r="AK19" s="51"/>
      <c r="AL19" s="54" t="s">
        <v>31</v>
      </c>
      <c r="AM19" s="59">
        <f>B92</f>
        <v>594</v>
      </c>
      <c r="AN19" s="59">
        <f t="shared" ref="AN19:AR19" si="12">C92</f>
        <v>581</v>
      </c>
      <c r="AO19" s="59">
        <f t="shared" si="12"/>
        <v>575</v>
      </c>
      <c r="AP19" s="59">
        <f t="shared" si="12"/>
        <v>565.4</v>
      </c>
      <c r="AQ19" s="59">
        <f t="shared" si="12"/>
        <v>579.29999999999995</v>
      </c>
      <c r="AR19" s="59">
        <f t="shared" si="12"/>
        <v>613.4</v>
      </c>
      <c r="AS19" s="59">
        <f>I92</f>
        <v>655.29999999999995</v>
      </c>
      <c r="AT19" s="59">
        <f>K92</f>
        <v>340.09999999999997</v>
      </c>
      <c r="AU19" s="59">
        <f t="shared" ref="AU19:BN19" si="13">M92</f>
        <v>118.19999999999999</v>
      </c>
      <c r="AV19" s="59">
        <f t="shared" si="13"/>
        <v>213.1</v>
      </c>
      <c r="AW19" s="59">
        <f t="shared" si="13"/>
        <v>544.79999999999995</v>
      </c>
      <c r="AX19" s="59">
        <f t="shared" si="13"/>
        <v>670.6</v>
      </c>
      <c r="AY19" s="59">
        <f t="shared" si="13"/>
        <v>704.09999999999991</v>
      </c>
      <c r="AZ19" s="59">
        <f t="shared" si="13"/>
        <v>730</v>
      </c>
      <c r="BA19" s="59">
        <f t="shared" si="13"/>
        <v>771</v>
      </c>
      <c r="BB19" s="59">
        <f t="shared" si="13"/>
        <v>837.1</v>
      </c>
      <c r="BC19" s="59">
        <f t="shared" si="13"/>
        <v>820.5</v>
      </c>
      <c r="BD19" s="59">
        <f t="shared" si="13"/>
        <v>736.3</v>
      </c>
      <c r="BE19" s="59">
        <f t="shared" si="13"/>
        <v>778.60000000000014</v>
      </c>
      <c r="BF19" s="59">
        <f t="shared" si="13"/>
        <v>639.4</v>
      </c>
      <c r="BG19" s="59">
        <f t="shared" si="13"/>
        <v>575.70000000000005</v>
      </c>
      <c r="BH19" s="59">
        <f t="shared" si="13"/>
        <v>254.5</v>
      </c>
      <c r="BI19" s="59">
        <f t="shared" si="13"/>
        <v>228.1</v>
      </c>
      <c r="BJ19" s="59">
        <f t="shared" si="13"/>
        <v>339.1</v>
      </c>
      <c r="BK19" s="59">
        <f t="shared" si="13"/>
        <v>633.38</v>
      </c>
      <c r="BL19" s="59">
        <f t="shared" si="13"/>
        <v>584.79999999999995</v>
      </c>
      <c r="BM19" s="59">
        <f t="shared" si="13"/>
        <v>630.80000000000007</v>
      </c>
      <c r="BN19" s="59">
        <f t="shared" si="13"/>
        <v>666.19999999999993</v>
      </c>
      <c r="BO19" s="191"/>
      <c r="BP19" s="190"/>
      <c r="BQ19" s="190"/>
      <c r="BR19" s="24"/>
      <c r="BS19" s="24"/>
      <c r="BT19" s="24"/>
      <c r="BU19" s="24"/>
      <c r="BV19" s="24"/>
      <c r="BW19" s="24"/>
      <c r="BX19" s="24"/>
      <c r="BY19" s="24"/>
      <c r="BZ19" s="181">
        <v>9</v>
      </c>
      <c r="CA19" s="177">
        <v>8.3333333333333301E-2</v>
      </c>
      <c r="CB19" s="178"/>
      <c r="CC19" s="178"/>
      <c r="CD19" s="178"/>
      <c r="CE19" s="178"/>
      <c r="CF19" s="178"/>
      <c r="CG19" s="180"/>
      <c r="CH19" s="180"/>
      <c r="CI19" s="24"/>
      <c r="CJ19" s="24"/>
    </row>
    <row r="20" spans="1:88" x14ac:dyDescent="0.25">
      <c r="A20" s="45" t="s">
        <v>32</v>
      </c>
      <c r="B20" s="46">
        <v>7.8</v>
      </c>
      <c r="C20" s="46">
        <v>7.8</v>
      </c>
      <c r="D20" s="46">
        <v>7.8</v>
      </c>
      <c r="E20" s="46">
        <v>7.8</v>
      </c>
      <c r="F20" s="46">
        <v>7.8</v>
      </c>
      <c r="G20" s="46">
        <v>7.8</v>
      </c>
      <c r="H20" s="46">
        <v>7.8</v>
      </c>
      <c r="I20" s="46">
        <v>7.8</v>
      </c>
      <c r="J20" s="46">
        <v>7.8</v>
      </c>
      <c r="K20" s="46">
        <v>7.8</v>
      </c>
      <c r="L20" s="46">
        <v>7.8</v>
      </c>
      <c r="M20" s="46">
        <v>7.8</v>
      </c>
      <c r="N20" s="46">
        <v>7.8</v>
      </c>
      <c r="O20" s="46">
        <v>7.8</v>
      </c>
      <c r="P20" s="46">
        <v>7.8</v>
      </c>
      <c r="Q20" s="46">
        <v>7.8</v>
      </c>
      <c r="R20" s="46">
        <v>7.8</v>
      </c>
      <c r="S20" s="46">
        <v>7.8</v>
      </c>
      <c r="T20" s="46">
        <v>7.8</v>
      </c>
      <c r="U20" s="46">
        <v>7.8</v>
      </c>
      <c r="V20" s="46">
        <v>7.8</v>
      </c>
      <c r="W20" s="46">
        <v>7.8</v>
      </c>
      <c r="X20" s="46">
        <v>7.8</v>
      </c>
      <c r="Y20" s="46">
        <v>7.8</v>
      </c>
      <c r="Z20" s="46">
        <v>7.8</v>
      </c>
      <c r="AA20" s="46">
        <v>7.8</v>
      </c>
      <c r="AB20" s="46">
        <v>7.8</v>
      </c>
      <c r="AC20" s="46">
        <v>7.8</v>
      </c>
      <c r="AD20" s="46">
        <v>7.8</v>
      </c>
      <c r="AE20" s="46">
        <v>7.8</v>
      </c>
      <c r="AF20" s="46">
        <v>7.8</v>
      </c>
      <c r="AG20" s="50">
        <v>38.46</v>
      </c>
      <c r="AH20" s="48">
        <f t="shared" si="8"/>
        <v>7.8</v>
      </c>
      <c r="AI20" s="49">
        <f t="shared" si="9"/>
        <v>7.8</v>
      </c>
      <c r="AK20" s="51"/>
      <c r="AL20" s="54" t="s">
        <v>33</v>
      </c>
      <c r="AM20" s="59">
        <f>B80</f>
        <v>0</v>
      </c>
      <c r="AN20" s="59">
        <f t="shared" ref="AN20:AR20" si="14">C80</f>
        <v>0</v>
      </c>
      <c r="AO20" s="59">
        <f t="shared" si="14"/>
        <v>0</v>
      </c>
      <c r="AP20" s="59">
        <f t="shared" si="14"/>
        <v>0</v>
      </c>
      <c r="AQ20" s="59">
        <f t="shared" si="14"/>
        <v>0</v>
      </c>
      <c r="AR20" s="59">
        <f t="shared" si="14"/>
        <v>0</v>
      </c>
      <c r="AS20" s="59">
        <f>I80</f>
        <v>0</v>
      </c>
      <c r="AT20" s="59">
        <f>K80</f>
        <v>0</v>
      </c>
      <c r="AU20" s="59">
        <f t="shared" ref="AU20:BN20" si="15">M80</f>
        <v>36.700000000000003</v>
      </c>
      <c r="AV20" s="59">
        <f t="shared" si="15"/>
        <v>0</v>
      </c>
      <c r="AW20" s="59">
        <f t="shared" si="15"/>
        <v>0</v>
      </c>
      <c r="AX20" s="59">
        <f t="shared" si="15"/>
        <v>0</v>
      </c>
      <c r="AY20" s="59">
        <f t="shared" si="15"/>
        <v>0</v>
      </c>
      <c r="AZ20" s="59">
        <f t="shared" si="15"/>
        <v>0</v>
      </c>
      <c r="BA20" s="59">
        <f t="shared" si="15"/>
        <v>0</v>
      </c>
      <c r="BB20" s="59">
        <f t="shared" si="15"/>
        <v>0</v>
      </c>
      <c r="BC20" s="59">
        <f t="shared" si="15"/>
        <v>42.2</v>
      </c>
      <c r="BD20" s="59">
        <f t="shared" si="15"/>
        <v>58</v>
      </c>
      <c r="BE20" s="59">
        <f t="shared" si="15"/>
        <v>55.9</v>
      </c>
      <c r="BF20" s="59">
        <f t="shared" si="15"/>
        <v>55.9</v>
      </c>
      <c r="BG20" s="59">
        <f t="shared" si="15"/>
        <v>63.1</v>
      </c>
      <c r="BH20" s="59">
        <f t="shared" si="15"/>
        <v>63.1</v>
      </c>
      <c r="BI20" s="59">
        <f t="shared" si="15"/>
        <v>56.300000000000004</v>
      </c>
      <c r="BJ20" s="59">
        <f t="shared" si="15"/>
        <v>0</v>
      </c>
      <c r="BK20" s="59">
        <f t="shared" si="15"/>
        <v>0</v>
      </c>
      <c r="BL20" s="59">
        <f t="shared" si="15"/>
        <v>0</v>
      </c>
      <c r="BM20" s="59">
        <f t="shared" si="15"/>
        <v>0</v>
      </c>
      <c r="BN20" s="59">
        <f t="shared" si="15"/>
        <v>0</v>
      </c>
      <c r="BO20" s="191"/>
      <c r="BP20" s="190"/>
      <c r="BQ20" s="190"/>
      <c r="BR20" s="24"/>
      <c r="BS20" s="24"/>
      <c r="BT20" s="24"/>
      <c r="BU20" s="24"/>
      <c r="BV20" s="24"/>
      <c r="BW20" s="24"/>
      <c r="BX20" s="24"/>
      <c r="BY20" s="24"/>
      <c r="BZ20" s="181">
        <v>10</v>
      </c>
      <c r="CA20" s="177">
        <v>9.375E-2</v>
      </c>
      <c r="CB20" s="178"/>
      <c r="CC20" s="178"/>
      <c r="CD20" s="178"/>
      <c r="CE20" s="178"/>
      <c r="CF20" s="178"/>
      <c r="CG20" s="180"/>
      <c r="CH20" s="180"/>
      <c r="CI20" s="24"/>
      <c r="CJ20" s="24"/>
    </row>
    <row r="21" spans="1:88" x14ac:dyDescent="0.25">
      <c r="A21" s="45" t="s">
        <v>34</v>
      </c>
      <c r="B21" s="46">
        <v>13</v>
      </c>
      <c r="C21" s="46">
        <v>13</v>
      </c>
      <c r="D21" s="46">
        <v>13</v>
      </c>
      <c r="E21" s="46">
        <v>13</v>
      </c>
      <c r="F21" s="46">
        <v>13</v>
      </c>
      <c r="G21" s="46">
        <v>13</v>
      </c>
      <c r="H21" s="46">
        <v>13</v>
      </c>
      <c r="I21" s="46">
        <v>13</v>
      </c>
      <c r="J21" s="46">
        <v>13</v>
      </c>
      <c r="K21" s="46">
        <v>13</v>
      </c>
      <c r="L21" s="46">
        <v>13</v>
      </c>
      <c r="M21" s="46">
        <v>13</v>
      </c>
      <c r="N21" s="46">
        <v>13</v>
      </c>
      <c r="O21" s="46">
        <v>13</v>
      </c>
      <c r="P21" s="46">
        <v>13</v>
      </c>
      <c r="Q21" s="46">
        <v>13</v>
      </c>
      <c r="R21" s="46">
        <v>13</v>
      </c>
      <c r="S21" s="46">
        <v>13</v>
      </c>
      <c r="T21" s="46">
        <v>13</v>
      </c>
      <c r="U21" s="46">
        <v>13</v>
      </c>
      <c r="V21" s="46">
        <v>13</v>
      </c>
      <c r="W21" s="46">
        <v>13</v>
      </c>
      <c r="X21" s="46">
        <v>13</v>
      </c>
      <c r="Y21" s="46">
        <v>13</v>
      </c>
      <c r="Z21" s="46">
        <v>13</v>
      </c>
      <c r="AA21" s="46">
        <v>13</v>
      </c>
      <c r="AB21" s="46">
        <v>13</v>
      </c>
      <c r="AC21" s="46">
        <v>13</v>
      </c>
      <c r="AD21" s="46">
        <v>13</v>
      </c>
      <c r="AE21" s="46">
        <v>13</v>
      </c>
      <c r="AF21" s="46">
        <v>13</v>
      </c>
      <c r="AG21" s="50">
        <v>36</v>
      </c>
      <c r="AH21" s="48">
        <f t="shared" si="8"/>
        <v>13</v>
      </c>
      <c r="AI21" s="49">
        <f t="shared" si="9"/>
        <v>13</v>
      </c>
      <c r="AK21" s="51"/>
      <c r="AL21" s="54" t="s">
        <v>35</v>
      </c>
      <c r="AM21" s="59">
        <f>B98</f>
        <v>50</v>
      </c>
      <c r="AN21" s="59">
        <f t="shared" ref="AN21:AR21" si="16">C98</f>
        <v>50</v>
      </c>
      <c r="AO21" s="59">
        <f t="shared" si="16"/>
        <v>50</v>
      </c>
      <c r="AP21" s="59">
        <f t="shared" si="16"/>
        <v>50</v>
      </c>
      <c r="AQ21" s="59">
        <f t="shared" si="16"/>
        <v>50</v>
      </c>
      <c r="AR21" s="59">
        <f t="shared" si="16"/>
        <v>50</v>
      </c>
      <c r="AS21" s="59">
        <f>I98</f>
        <v>50</v>
      </c>
      <c r="AT21" s="59">
        <f>K98</f>
        <v>50</v>
      </c>
      <c r="AU21" s="59">
        <f t="shared" ref="AU21:BN21" si="17">M98</f>
        <v>250</v>
      </c>
      <c r="AV21" s="59">
        <f t="shared" si="17"/>
        <v>250</v>
      </c>
      <c r="AW21" s="59">
        <f t="shared" si="17"/>
        <v>180</v>
      </c>
      <c r="AX21" s="59">
        <f t="shared" si="17"/>
        <v>0</v>
      </c>
      <c r="AY21" s="59">
        <f t="shared" si="17"/>
        <v>20</v>
      </c>
      <c r="AZ21" s="59">
        <f t="shared" si="17"/>
        <v>15</v>
      </c>
      <c r="BA21" s="59">
        <f t="shared" si="17"/>
        <v>15</v>
      </c>
      <c r="BB21" s="59">
        <f t="shared" si="17"/>
        <v>15</v>
      </c>
      <c r="BC21" s="59">
        <f t="shared" si="17"/>
        <v>15</v>
      </c>
      <c r="BD21" s="59">
        <f t="shared" si="17"/>
        <v>40</v>
      </c>
      <c r="BE21" s="59">
        <f t="shared" si="17"/>
        <v>40</v>
      </c>
      <c r="BF21" s="59">
        <f t="shared" si="17"/>
        <v>200</v>
      </c>
      <c r="BG21" s="59">
        <f t="shared" si="17"/>
        <v>200</v>
      </c>
      <c r="BH21" s="59">
        <f t="shared" si="17"/>
        <v>200</v>
      </c>
      <c r="BI21" s="59">
        <f t="shared" si="17"/>
        <v>200</v>
      </c>
      <c r="BJ21" s="59">
        <f t="shared" si="17"/>
        <v>200</v>
      </c>
      <c r="BK21" s="59">
        <f t="shared" si="17"/>
        <v>100</v>
      </c>
      <c r="BL21" s="59">
        <f t="shared" si="17"/>
        <v>30</v>
      </c>
      <c r="BM21" s="59">
        <f t="shared" si="17"/>
        <v>0</v>
      </c>
      <c r="BN21" s="59">
        <f t="shared" si="17"/>
        <v>0</v>
      </c>
      <c r="BO21" s="191"/>
      <c r="BP21" s="190"/>
      <c r="BQ21" s="190"/>
      <c r="BR21" s="24"/>
      <c r="BS21" s="24"/>
      <c r="BT21" s="24"/>
      <c r="BU21" s="24"/>
      <c r="BV21" s="24"/>
      <c r="BW21" s="24"/>
      <c r="BX21" s="24"/>
      <c r="BY21" s="24"/>
      <c r="BZ21" s="181">
        <v>11</v>
      </c>
      <c r="CA21" s="177">
        <v>0.104166666666667</v>
      </c>
      <c r="CB21" s="178"/>
      <c r="CC21" s="178"/>
      <c r="CD21" s="178"/>
      <c r="CE21" s="178"/>
      <c r="CF21" s="178"/>
      <c r="CG21" s="180"/>
      <c r="CH21" s="180"/>
      <c r="CI21" s="24"/>
      <c r="CJ21" s="24"/>
    </row>
    <row r="22" spans="1:88" x14ac:dyDescent="0.25">
      <c r="A22" s="45" t="s">
        <v>36</v>
      </c>
      <c r="B22" s="46">
        <v>6.9</v>
      </c>
      <c r="C22" s="46">
        <v>6.9</v>
      </c>
      <c r="D22" s="46">
        <v>6.9</v>
      </c>
      <c r="E22" s="46">
        <v>6.9</v>
      </c>
      <c r="F22" s="46">
        <v>6.9</v>
      </c>
      <c r="G22" s="46">
        <v>6.9</v>
      </c>
      <c r="H22" s="46">
        <v>6.9</v>
      </c>
      <c r="I22" s="46">
        <v>6.9</v>
      </c>
      <c r="J22" s="46">
        <v>6.9</v>
      </c>
      <c r="K22" s="46">
        <v>6.9</v>
      </c>
      <c r="L22" s="46">
        <v>6.9</v>
      </c>
      <c r="M22" s="46">
        <v>7.5</v>
      </c>
      <c r="N22" s="46">
        <v>7.5</v>
      </c>
      <c r="O22" s="46">
        <v>7.5</v>
      </c>
      <c r="P22" s="46">
        <v>7.5</v>
      </c>
      <c r="Q22" s="46">
        <v>7.5</v>
      </c>
      <c r="R22" s="46">
        <v>7.5</v>
      </c>
      <c r="S22" s="46">
        <v>7.5</v>
      </c>
      <c r="T22" s="46">
        <v>7.5</v>
      </c>
      <c r="U22" s="46">
        <v>7.5</v>
      </c>
      <c r="V22" s="46">
        <v>7.5</v>
      </c>
      <c r="W22" s="46">
        <v>7.5</v>
      </c>
      <c r="X22" s="46">
        <v>7.5</v>
      </c>
      <c r="Y22" s="46">
        <v>7.5</v>
      </c>
      <c r="Z22" s="46">
        <v>7.5</v>
      </c>
      <c r="AA22" s="46">
        <v>7.5</v>
      </c>
      <c r="AB22" s="46">
        <v>7.5</v>
      </c>
      <c r="AC22" s="46">
        <v>7.5</v>
      </c>
      <c r="AD22" s="46">
        <v>7.5</v>
      </c>
      <c r="AE22" s="46">
        <v>7.5</v>
      </c>
      <c r="AF22" s="46">
        <v>7.5</v>
      </c>
      <c r="AG22" s="60">
        <v>30</v>
      </c>
      <c r="AH22" s="48">
        <f t="shared" si="8"/>
        <v>7.5</v>
      </c>
      <c r="AI22" s="49">
        <f t="shared" si="9"/>
        <v>6.9</v>
      </c>
      <c r="AK22" s="51"/>
      <c r="AL22" s="61" t="s">
        <v>37</v>
      </c>
      <c r="AM22" s="62">
        <f>SUM(AM16:AM21)</f>
        <v>1295.79</v>
      </c>
      <c r="AN22" s="62">
        <f t="shared" ref="AN22:BO22" si="18">SUM(AN16:AN21)</f>
        <v>1244.29</v>
      </c>
      <c r="AO22" s="62">
        <f t="shared" si="18"/>
        <v>1238.29</v>
      </c>
      <c r="AP22" s="62">
        <f t="shared" si="18"/>
        <v>1242.19</v>
      </c>
      <c r="AQ22" s="62">
        <f t="shared" si="18"/>
        <v>1256.0899999999999</v>
      </c>
      <c r="AR22" s="62">
        <f t="shared" si="18"/>
        <v>1290.19</v>
      </c>
      <c r="AS22" s="62">
        <f t="shared" si="18"/>
        <v>1404.1899999999998</v>
      </c>
      <c r="AT22" s="62">
        <f t="shared" si="18"/>
        <v>1443.5899999999997</v>
      </c>
      <c r="AU22" s="62">
        <f t="shared" si="18"/>
        <v>1595.69</v>
      </c>
      <c r="AV22" s="62">
        <f t="shared" si="18"/>
        <v>1515.3899999999999</v>
      </c>
      <c r="AW22" s="62">
        <f t="shared" si="18"/>
        <v>1455.4899999999998</v>
      </c>
      <c r="AX22" s="62">
        <f t="shared" si="18"/>
        <v>1473.3899999999999</v>
      </c>
      <c r="AY22" s="62">
        <f t="shared" si="18"/>
        <v>1456.79</v>
      </c>
      <c r="AZ22" s="62">
        <f t="shared" si="18"/>
        <v>1441.3899999999999</v>
      </c>
      <c r="BA22" s="62">
        <f t="shared" si="18"/>
        <v>1492.49</v>
      </c>
      <c r="BB22" s="62">
        <f t="shared" si="18"/>
        <v>1537.8899999999999</v>
      </c>
      <c r="BC22" s="62">
        <f t="shared" si="18"/>
        <v>1556.59</v>
      </c>
      <c r="BD22" s="62">
        <f t="shared" si="18"/>
        <v>1484.3899999999999</v>
      </c>
      <c r="BE22" s="62">
        <f t="shared" si="18"/>
        <v>1536.1900000000003</v>
      </c>
      <c r="BF22" s="62">
        <f t="shared" si="18"/>
        <v>1596.99</v>
      </c>
      <c r="BG22" s="62">
        <f t="shared" si="18"/>
        <v>1712.35</v>
      </c>
      <c r="BH22" s="62">
        <f t="shared" si="18"/>
        <v>1692.7499999999998</v>
      </c>
      <c r="BI22" s="62">
        <f t="shared" si="18"/>
        <v>1738.59</v>
      </c>
      <c r="BJ22" s="62">
        <f t="shared" si="18"/>
        <v>1566.8899999999999</v>
      </c>
      <c r="BK22" s="62">
        <f t="shared" si="18"/>
        <v>1579.77</v>
      </c>
      <c r="BL22" s="62">
        <f t="shared" si="18"/>
        <v>1464.3899999999999</v>
      </c>
      <c r="BM22" s="62">
        <f t="shared" si="18"/>
        <v>1355.8899999999999</v>
      </c>
      <c r="BN22" s="62">
        <f t="shared" si="18"/>
        <v>1322.69</v>
      </c>
      <c r="BO22" s="192">
        <f t="shared" si="18"/>
        <v>0</v>
      </c>
      <c r="BP22" s="190"/>
      <c r="BQ22" s="190"/>
      <c r="BR22" s="24"/>
      <c r="BS22" s="24"/>
      <c r="BT22" s="24"/>
      <c r="BU22" s="24"/>
      <c r="BV22" s="24"/>
      <c r="BW22" s="24"/>
      <c r="BX22" s="24"/>
      <c r="BY22" s="24"/>
      <c r="BZ22" s="181">
        <v>12</v>
      </c>
      <c r="CA22" s="177">
        <v>0.114583333333333</v>
      </c>
      <c r="CB22" s="178"/>
      <c r="CC22" s="178"/>
      <c r="CD22" s="178"/>
      <c r="CE22" s="178"/>
      <c r="CF22" s="178"/>
      <c r="CG22" s="180"/>
      <c r="CH22" s="180"/>
      <c r="CI22" s="24"/>
      <c r="CJ22" s="24"/>
    </row>
    <row r="23" spans="1:88" x14ac:dyDescent="0.25">
      <c r="A23" s="45" t="s">
        <v>38</v>
      </c>
      <c r="B23" s="46">
        <v>5.5</v>
      </c>
      <c r="C23" s="46">
        <v>5.5</v>
      </c>
      <c r="D23" s="46">
        <v>5.5</v>
      </c>
      <c r="E23" s="46">
        <v>5.5</v>
      </c>
      <c r="F23" s="46">
        <v>5.5</v>
      </c>
      <c r="G23" s="46">
        <v>5.5</v>
      </c>
      <c r="H23" s="46">
        <v>5.5</v>
      </c>
      <c r="I23" s="46">
        <v>5.5</v>
      </c>
      <c r="J23" s="46">
        <v>5.5</v>
      </c>
      <c r="K23" s="46">
        <v>5.5</v>
      </c>
      <c r="L23" s="46">
        <v>5.5</v>
      </c>
      <c r="M23" s="46">
        <v>5.5</v>
      </c>
      <c r="N23" s="46">
        <v>5.5</v>
      </c>
      <c r="O23" s="46">
        <v>5.5</v>
      </c>
      <c r="P23" s="46">
        <v>5.5</v>
      </c>
      <c r="Q23" s="46">
        <v>5.5</v>
      </c>
      <c r="R23" s="46">
        <v>5.5</v>
      </c>
      <c r="S23" s="46">
        <v>5.5</v>
      </c>
      <c r="T23" s="46">
        <v>5.5</v>
      </c>
      <c r="U23" s="46">
        <v>5.5</v>
      </c>
      <c r="V23" s="46">
        <v>5.5</v>
      </c>
      <c r="W23" s="46">
        <v>5.5</v>
      </c>
      <c r="X23" s="46">
        <v>5.5</v>
      </c>
      <c r="Y23" s="46">
        <v>5.5</v>
      </c>
      <c r="Z23" s="46">
        <v>5.5</v>
      </c>
      <c r="AA23" s="46">
        <v>5.5</v>
      </c>
      <c r="AB23" s="46">
        <v>5.5</v>
      </c>
      <c r="AC23" s="46">
        <v>5.5</v>
      </c>
      <c r="AD23" s="46">
        <v>5.5</v>
      </c>
      <c r="AE23" s="46">
        <v>5.5</v>
      </c>
      <c r="AF23" s="46">
        <v>5.5</v>
      </c>
      <c r="AG23" s="50">
        <v>24.2</v>
      </c>
      <c r="AH23" s="48">
        <f t="shared" si="8"/>
        <v>5.5</v>
      </c>
      <c r="AI23" s="49">
        <f t="shared" si="9"/>
        <v>5.5</v>
      </c>
      <c r="AK23" s="51"/>
      <c r="AL23" s="61" t="s">
        <v>39</v>
      </c>
      <c r="AM23" s="62">
        <f>B107*-1</f>
        <v>0</v>
      </c>
      <c r="AN23" s="62">
        <f t="shared" ref="AN23:AR23" si="19">C107*-1</f>
        <v>0</v>
      </c>
      <c r="AO23" s="62">
        <f t="shared" si="19"/>
        <v>0</v>
      </c>
      <c r="AP23" s="62">
        <f t="shared" si="19"/>
        <v>0</v>
      </c>
      <c r="AQ23" s="62">
        <f t="shared" si="19"/>
        <v>0</v>
      </c>
      <c r="AR23" s="62">
        <f t="shared" si="19"/>
        <v>0</v>
      </c>
      <c r="AS23" s="62">
        <f>I107*-1</f>
        <v>0</v>
      </c>
      <c r="AT23" s="62">
        <f>K107*-1</f>
        <v>0</v>
      </c>
      <c r="AU23" s="62">
        <f t="shared" ref="AU23:BO23" si="20">M107*-1</f>
        <v>0</v>
      </c>
      <c r="AV23" s="62">
        <f t="shared" si="20"/>
        <v>0</v>
      </c>
      <c r="AW23" s="62">
        <f t="shared" si="20"/>
        <v>0</v>
      </c>
      <c r="AX23" s="62">
        <f t="shared" si="20"/>
        <v>0</v>
      </c>
      <c r="AY23" s="62">
        <f t="shared" si="20"/>
        <v>0</v>
      </c>
      <c r="AZ23" s="62">
        <f t="shared" si="20"/>
        <v>0</v>
      </c>
      <c r="BA23" s="62">
        <f t="shared" si="20"/>
        <v>-1</v>
      </c>
      <c r="BB23" s="62">
        <f t="shared" si="20"/>
        <v>0</v>
      </c>
      <c r="BC23" s="62">
        <f t="shared" si="20"/>
        <v>0</v>
      </c>
      <c r="BD23" s="62">
        <f t="shared" si="20"/>
        <v>0</v>
      </c>
      <c r="BE23" s="62">
        <f t="shared" si="20"/>
        <v>0</v>
      </c>
      <c r="BF23" s="62">
        <f t="shared" si="20"/>
        <v>0</v>
      </c>
      <c r="BG23" s="62">
        <f t="shared" si="20"/>
        <v>0</v>
      </c>
      <c r="BH23" s="62">
        <f t="shared" si="20"/>
        <v>0</v>
      </c>
      <c r="BI23" s="62">
        <f t="shared" si="20"/>
        <v>0</v>
      </c>
      <c r="BJ23" s="62">
        <f t="shared" si="20"/>
        <v>0</v>
      </c>
      <c r="BK23" s="62">
        <f t="shared" si="20"/>
        <v>0</v>
      </c>
      <c r="BL23" s="62">
        <f t="shared" si="20"/>
        <v>0</v>
      </c>
      <c r="BM23" s="62">
        <f t="shared" si="20"/>
        <v>0</v>
      </c>
      <c r="BN23" s="62">
        <f t="shared" si="20"/>
        <v>0</v>
      </c>
      <c r="BO23" s="192">
        <f t="shared" si="20"/>
        <v>0</v>
      </c>
      <c r="BP23" s="192"/>
      <c r="BQ23" s="192"/>
      <c r="BR23" s="24"/>
      <c r="BS23" s="24"/>
      <c r="BT23" s="24"/>
      <c r="BU23" s="24"/>
      <c r="BV23" s="24"/>
      <c r="BW23" s="24"/>
      <c r="BX23" s="24"/>
      <c r="BY23" s="24"/>
      <c r="BZ23" s="181">
        <v>13</v>
      </c>
      <c r="CA23" s="177">
        <v>0.125</v>
      </c>
      <c r="CB23" s="178"/>
      <c r="CC23" s="178"/>
      <c r="CD23" s="178"/>
      <c r="CE23" s="178"/>
      <c r="CF23" s="178"/>
      <c r="CG23" s="180"/>
      <c r="CH23" s="180"/>
      <c r="CI23" s="24"/>
      <c r="CJ23" s="24"/>
    </row>
    <row r="24" spans="1:88" x14ac:dyDescent="0.25">
      <c r="A24" s="45" t="s">
        <v>40</v>
      </c>
      <c r="B24" s="46">
        <v>6.3</v>
      </c>
      <c r="C24" s="46">
        <v>6.3</v>
      </c>
      <c r="D24" s="46">
        <v>6.3</v>
      </c>
      <c r="E24" s="46">
        <v>6.3</v>
      </c>
      <c r="F24" s="46">
        <v>6.3</v>
      </c>
      <c r="G24" s="46">
        <v>6.3</v>
      </c>
      <c r="H24" s="46">
        <v>6.3</v>
      </c>
      <c r="I24" s="46">
        <v>6.3</v>
      </c>
      <c r="J24" s="46">
        <v>6.3</v>
      </c>
      <c r="K24" s="46">
        <v>6.3</v>
      </c>
      <c r="L24" s="46">
        <v>6.3</v>
      </c>
      <c r="M24" s="46">
        <v>6.4</v>
      </c>
      <c r="N24" s="46">
        <v>6.4</v>
      </c>
      <c r="O24" s="46">
        <v>6.4</v>
      </c>
      <c r="P24" s="46">
        <v>6.4</v>
      </c>
      <c r="Q24" s="46">
        <v>6.4</v>
      </c>
      <c r="R24" s="46">
        <v>6.4</v>
      </c>
      <c r="S24" s="46">
        <v>6.4</v>
      </c>
      <c r="T24" s="46">
        <v>6.4</v>
      </c>
      <c r="U24" s="46">
        <v>6.4</v>
      </c>
      <c r="V24" s="46">
        <v>6.4</v>
      </c>
      <c r="W24" s="46">
        <v>6.4</v>
      </c>
      <c r="X24" s="46">
        <v>6.4</v>
      </c>
      <c r="Y24" s="46">
        <v>6.4</v>
      </c>
      <c r="Z24" s="46">
        <v>6.4</v>
      </c>
      <c r="AA24" s="46">
        <v>6.4</v>
      </c>
      <c r="AB24" s="46">
        <v>6.4</v>
      </c>
      <c r="AC24" s="46">
        <v>6.4</v>
      </c>
      <c r="AD24" s="46">
        <v>6.4</v>
      </c>
      <c r="AE24" s="46">
        <v>6.4</v>
      </c>
      <c r="AF24" s="46">
        <v>6.4</v>
      </c>
      <c r="AG24" s="50">
        <v>28</v>
      </c>
      <c r="AH24" s="48">
        <f t="shared" si="8"/>
        <v>6.4</v>
      </c>
      <c r="AI24" s="49">
        <f t="shared" si="9"/>
        <v>6.3</v>
      </c>
      <c r="AK24" s="51"/>
      <c r="AL24" s="61" t="s">
        <v>41</v>
      </c>
      <c r="AM24" s="62">
        <f>AM22+AM23</f>
        <v>1295.79</v>
      </c>
      <c r="AN24" s="62">
        <f t="shared" ref="AN24:BO24" si="21">AN22+AN23</f>
        <v>1244.29</v>
      </c>
      <c r="AO24" s="62">
        <f t="shared" si="21"/>
        <v>1238.29</v>
      </c>
      <c r="AP24" s="62">
        <f t="shared" si="21"/>
        <v>1242.19</v>
      </c>
      <c r="AQ24" s="62">
        <f t="shared" si="21"/>
        <v>1256.0899999999999</v>
      </c>
      <c r="AR24" s="62">
        <f t="shared" si="21"/>
        <v>1290.19</v>
      </c>
      <c r="AS24" s="62">
        <f t="shared" si="21"/>
        <v>1404.1899999999998</v>
      </c>
      <c r="AT24" s="62">
        <f t="shared" si="21"/>
        <v>1443.5899999999997</v>
      </c>
      <c r="AU24" s="62">
        <f t="shared" si="21"/>
        <v>1595.69</v>
      </c>
      <c r="AV24" s="62">
        <f t="shared" si="21"/>
        <v>1515.3899999999999</v>
      </c>
      <c r="AW24" s="62">
        <f t="shared" si="21"/>
        <v>1455.4899999999998</v>
      </c>
      <c r="AX24" s="62">
        <f t="shared" si="21"/>
        <v>1473.3899999999999</v>
      </c>
      <c r="AY24" s="62">
        <f t="shared" si="21"/>
        <v>1456.79</v>
      </c>
      <c r="AZ24" s="62">
        <f t="shared" si="21"/>
        <v>1441.3899999999999</v>
      </c>
      <c r="BA24" s="62">
        <f t="shared" si="21"/>
        <v>1491.49</v>
      </c>
      <c r="BB24" s="62">
        <f t="shared" si="21"/>
        <v>1537.8899999999999</v>
      </c>
      <c r="BC24" s="62">
        <f t="shared" si="21"/>
        <v>1556.59</v>
      </c>
      <c r="BD24" s="62">
        <f t="shared" si="21"/>
        <v>1484.3899999999999</v>
      </c>
      <c r="BE24" s="62">
        <f t="shared" si="21"/>
        <v>1536.1900000000003</v>
      </c>
      <c r="BF24" s="62">
        <f t="shared" si="21"/>
        <v>1596.99</v>
      </c>
      <c r="BG24" s="62">
        <f t="shared" si="21"/>
        <v>1712.35</v>
      </c>
      <c r="BH24" s="62">
        <f t="shared" si="21"/>
        <v>1692.7499999999998</v>
      </c>
      <c r="BI24" s="62">
        <f t="shared" si="21"/>
        <v>1738.59</v>
      </c>
      <c r="BJ24" s="62">
        <f t="shared" si="21"/>
        <v>1566.8899999999999</v>
      </c>
      <c r="BK24" s="62">
        <f t="shared" si="21"/>
        <v>1579.77</v>
      </c>
      <c r="BL24" s="62">
        <f t="shared" si="21"/>
        <v>1464.3899999999999</v>
      </c>
      <c r="BM24" s="62">
        <f t="shared" si="21"/>
        <v>1355.8899999999999</v>
      </c>
      <c r="BN24" s="62">
        <f t="shared" si="21"/>
        <v>1322.69</v>
      </c>
      <c r="BO24" s="192">
        <f t="shared" si="21"/>
        <v>0</v>
      </c>
      <c r="BP24" s="192"/>
      <c r="BQ24" s="192"/>
      <c r="BR24" s="24"/>
      <c r="BS24" s="24"/>
      <c r="BT24" s="24"/>
      <c r="BU24" s="24"/>
      <c r="BV24" s="24"/>
      <c r="BW24" s="24"/>
      <c r="BX24" s="24"/>
      <c r="BY24" s="24"/>
      <c r="BZ24" s="181">
        <v>14</v>
      </c>
      <c r="CA24" s="177">
        <v>0.13541666666666699</v>
      </c>
      <c r="CB24" s="178"/>
      <c r="CC24" s="178"/>
      <c r="CD24" s="178"/>
      <c r="CE24" s="178"/>
      <c r="CF24" s="178"/>
      <c r="CG24" s="180"/>
      <c r="CH24" s="180"/>
      <c r="CI24" s="24"/>
      <c r="CJ24" s="24"/>
    </row>
    <row r="25" spans="1:88" x14ac:dyDescent="0.25">
      <c r="A25" s="45" t="s">
        <v>42</v>
      </c>
      <c r="B25" s="46">
        <v>9.3000000000000007</v>
      </c>
      <c r="C25" s="46">
        <v>9.3000000000000007</v>
      </c>
      <c r="D25" s="46">
        <v>9.3000000000000007</v>
      </c>
      <c r="E25" s="46">
        <v>9.3000000000000007</v>
      </c>
      <c r="F25" s="46">
        <v>9.3000000000000007</v>
      </c>
      <c r="G25" s="46">
        <v>9.3000000000000007</v>
      </c>
      <c r="H25" s="46">
        <v>9.3000000000000007</v>
      </c>
      <c r="I25" s="46">
        <v>9.3000000000000007</v>
      </c>
      <c r="J25" s="46">
        <v>9.3000000000000007</v>
      </c>
      <c r="K25" s="46">
        <v>9.3000000000000007</v>
      </c>
      <c r="L25" s="46">
        <v>9.3000000000000007</v>
      </c>
      <c r="M25" s="46">
        <v>5.9</v>
      </c>
      <c r="N25" s="46">
        <v>5.9</v>
      </c>
      <c r="O25" s="46">
        <v>5.9</v>
      </c>
      <c r="P25" s="46">
        <v>5.9</v>
      </c>
      <c r="Q25" s="46">
        <v>5.9</v>
      </c>
      <c r="R25" s="46">
        <v>5.9</v>
      </c>
      <c r="S25" s="46">
        <v>5.9</v>
      </c>
      <c r="T25" s="46">
        <v>5.9</v>
      </c>
      <c r="U25" s="46">
        <v>5.9</v>
      </c>
      <c r="V25" s="46">
        <v>5.9</v>
      </c>
      <c r="W25" s="46">
        <v>5.9</v>
      </c>
      <c r="X25" s="46">
        <v>5.9</v>
      </c>
      <c r="Y25" s="46">
        <v>5.9</v>
      </c>
      <c r="Z25" s="46">
        <v>5.9</v>
      </c>
      <c r="AA25" s="46">
        <v>5.9</v>
      </c>
      <c r="AB25" s="46">
        <v>5.9</v>
      </c>
      <c r="AC25" s="46">
        <v>5.9</v>
      </c>
      <c r="AD25" s="46">
        <v>5.9</v>
      </c>
      <c r="AE25" s="46">
        <v>5.9</v>
      </c>
      <c r="AF25" s="46">
        <v>5.9</v>
      </c>
      <c r="AG25" s="60">
        <v>30</v>
      </c>
      <c r="AH25" s="48">
        <f t="shared" si="8"/>
        <v>9.3000000000000007</v>
      </c>
      <c r="AI25" s="49">
        <f t="shared" si="9"/>
        <v>5.9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181">
        <v>15</v>
      </c>
      <c r="CA25" s="177">
        <v>0.14583333333333301</v>
      </c>
      <c r="CB25" s="178"/>
      <c r="CC25" s="178"/>
      <c r="CD25" s="178"/>
      <c r="CE25" s="178"/>
      <c r="CF25" s="178"/>
      <c r="CG25" s="180"/>
      <c r="CH25" s="180"/>
      <c r="CI25" s="24"/>
      <c r="CJ25" s="24"/>
    </row>
    <row r="26" spans="1:88" x14ac:dyDescent="0.25">
      <c r="A26" s="45" t="s">
        <v>43</v>
      </c>
      <c r="B26" s="46">
        <v>8.6999999999999993</v>
      </c>
      <c r="C26" s="46">
        <v>8.6999999999999993</v>
      </c>
      <c r="D26" s="46">
        <v>8.6999999999999993</v>
      </c>
      <c r="E26" s="46">
        <v>8.6999999999999993</v>
      </c>
      <c r="F26" s="46">
        <v>8.6999999999999993</v>
      </c>
      <c r="G26" s="46">
        <v>8.6999999999999993</v>
      </c>
      <c r="H26" s="46">
        <v>8.6999999999999993</v>
      </c>
      <c r="I26" s="46">
        <v>8.6999999999999993</v>
      </c>
      <c r="J26" s="46">
        <v>8.6999999999999993</v>
      </c>
      <c r="K26" s="46">
        <v>8.6999999999999993</v>
      </c>
      <c r="L26" s="46">
        <v>8.6999999999999993</v>
      </c>
      <c r="M26" s="46">
        <v>6.7</v>
      </c>
      <c r="N26" s="46">
        <v>6.7</v>
      </c>
      <c r="O26" s="46">
        <v>6.7</v>
      </c>
      <c r="P26" s="46">
        <v>6.7</v>
      </c>
      <c r="Q26" s="46">
        <v>6.7</v>
      </c>
      <c r="R26" s="46">
        <v>6.7</v>
      </c>
      <c r="S26" s="46">
        <v>6.7</v>
      </c>
      <c r="T26" s="46">
        <v>6.7</v>
      </c>
      <c r="U26" s="46">
        <v>6.7</v>
      </c>
      <c r="V26" s="46">
        <v>6.7</v>
      </c>
      <c r="W26" s="46">
        <v>6.7</v>
      </c>
      <c r="X26" s="46">
        <v>6.7</v>
      </c>
      <c r="Y26" s="46">
        <v>6.7</v>
      </c>
      <c r="Z26" s="46">
        <v>6.7</v>
      </c>
      <c r="AA26" s="46">
        <v>6.7</v>
      </c>
      <c r="AB26" s="46">
        <v>6.7</v>
      </c>
      <c r="AC26" s="46">
        <v>6.7</v>
      </c>
      <c r="AD26" s="46">
        <v>6.7</v>
      </c>
      <c r="AE26" s="46">
        <v>6.7</v>
      </c>
      <c r="AF26" s="46">
        <v>6.7</v>
      </c>
      <c r="AG26" s="50">
        <v>25</v>
      </c>
      <c r="AH26" s="48">
        <f t="shared" si="8"/>
        <v>8.6999999999999993</v>
      </c>
      <c r="AI26" s="49">
        <f t="shared" si="9"/>
        <v>6.7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181">
        <v>16</v>
      </c>
      <c r="CA26" s="177">
        <v>0.15625</v>
      </c>
      <c r="CB26" s="178"/>
      <c r="CC26" s="178"/>
      <c r="CD26" s="178"/>
      <c r="CE26" s="178"/>
      <c r="CF26" s="178"/>
      <c r="CG26" s="180"/>
      <c r="CH26" s="180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5</v>
      </c>
      <c r="N27" s="46">
        <v>5</v>
      </c>
      <c r="O27" s="46">
        <v>5</v>
      </c>
      <c r="P27" s="46">
        <v>5</v>
      </c>
      <c r="Q27" s="46">
        <v>5</v>
      </c>
      <c r="R27" s="46">
        <v>5</v>
      </c>
      <c r="S27" s="46">
        <v>5</v>
      </c>
      <c r="T27" s="46">
        <v>5</v>
      </c>
      <c r="U27" s="46">
        <v>5</v>
      </c>
      <c r="V27" s="46">
        <v>5</v>
      </c>
      <c r="W27" s="46">
        <v>5</v>
      </c>
      <c r="X27" s="46">
        <v>5</v>
      </c>
      <c r="Y27" s="46">
        <v>5</v>
      </c>
      <c r="Z27" s="46">
        <v>5</v>
      </c>
      <c r="AA27" s="46">
        <v>5</v>
      </c>
      <c r="AB27" s="46">
        <v>5</v>
      </c>
      <c r="AC27" s="46">
        <v>5</v>
      </c>
      <c r="AD27" s="46">
        <v>5</v>
      </c>
      <c r="AE27" s="46">
        <v>5</v>
      </c>
      <c r="AF27" s="46">
        <v>5</v>
      </c>
      <c r="AG27" s="50">
        <v>25</v>
      </c>
      <c r="AH27" s="48">
        <f t="shared" si="8"/>
        <v>5</v>
      </c>
      <c r="AI27" s="49">
        <f t="shared" si="9"/>
        <v>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181">
        <v>17</v>
      </c>
      <c r="CA27" s="177">
        <v>0.16666666666666699</v>
      </c>
      <c r="CB27" s="178"/>
      <c r="CC27" s="178"/>
      <c r="CD27" s="178"/>
      <c r="CE27" s="178"/>
      <c r="CF27" s="178"/>
      <c r="CG27" s="180"/>
      <c r="CH27" s="180"/>
      <c r="CI27" s="24"/>
      <c r="CJ27" s="24"/>
    </row>
    <row r="28" spans="1:88" x14ac:dyDescent="0.25">
      <c r="A28" s="45" t="s">
        <v>45</v>
      </c>
      <c r="B28" s="46">
        <v>6</v>
      </c>
      <c r="C28" s="46">
        <v>6</v>
      </c>
      <c r="D28" s="46">
        <v>6</v>
      </c>
      <c r="E28" s="46">
        <v>6</v>
      </c>
      <c r="F28" s="46">
        <v>6</v>
      </c>
      <c r="G28" s="46">
        <v>6</v>
      </c>
      <c r="H28" s="46">
        <v>6</v>
      </c>
      <c r="I28" s="46">
        <v>6</v>
      </c>
      <c r="J28" s="46">
        <v>6</v>
      </c>
      <c r="K28" s="46">
        <v>6</v>
      </c>
      <c r="L28" s="46">
        <v>6</v>
      </c>
      <c r="M28" s="46">
        <v>6</v>
      </c>
      <c r="N28" s="46">
        <v>6</v>
      </c>
      <c r="O28" s="46">
        <v>6</v>
      </c>
      <c r="P28" s="46">
        <v>6</v>
      </c>
      <c r="Q28" s="46">
        <v>6</v>
      </c>
      <c r="R28" s="46">
        <v>6</v>
      </c>
      <c r="S28" s="46">
        <v>6</v>
      </c>
      <c r="T28" s="46">
        <v>6</v>
      </c>
      <c r="U28" s="46">
        <v>6</v>
      </c>
      <c r="V28" s="46">
        <v>6</v>
      </c>
      <c r="W28" s="46">
        <v>6</v>
      </c>
      <c r="X28" s="46">
        <v>6</v>
      </c>
      <c r="Y28" s="46">
        <v>6</v>
      </c>
      <c r="Z28" s="46">
        <v>6</v>
      </c>
      <c r="AA28" s="46">
        <v>6</v>
      </c>
      <c r="AB28" s="46">
        <v>6</v>
      </c>
      <c r="AC28" s="46">
        <v>6</v>
      </c>
      <c r="AD28" s="46">
        <v>6</v>
      </c>
      <c r="AE28" s="46">
        <v>6</v>
      </c>
      <c r="AF28" s="46">
        <v>6</v>
      </c>
      <c r="AG28" s="50">
        <v>25</v>
      </c>
      <c r="AH28" s="48">
        <f t="shared" si="8"/>
        <v>6</v>
      </c>
      <c r="AI28" s="49">
        <f t="shared" si="9"/>
        <v>6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181">
        <v>18</v>
      </c>
      <c r="CA28" s="177">
        <v>0.17708333333333301</v>
      </c>
      <c r="CB28" s="178"/>
      <c r="CC28" s="178"/>
      <c r="CD28" s="178"/>
      <c r="CE28" s="178"/>
      <c r="CF28" s="178"/>
      <c r="CG28" s="180"/>
      <c r="CH28" s="180"/>
      <c r="CI28" s="24"/>
      <c r="CJ28" s="24"/>
    </row>
    <row r="29" spans="1:88" x14ac:dyDescent="0.25">
      <c r="A29" s="45" t="s">
        <v>46</v>
      </c>
      <c r="B29" s="46">
        <v>6.6</v>
      </c>
      <c r="C29" s="46">
        <v>6.6</v>
      </c>
      <c r="D29" s="46">
        <v>6.6</v>
      </c>
      <c r="E29" s="46">
        <v>6.6</v>
      </c>
      <c r="F29" s="46">
        <v>6.6</v>
      </c>
      <c r="G29" s="46">
        <v>6.6</v>
      </c>
      <c r="H29" s="46">
        <v>6.6</v>
      </c>
      <c r="I29" s="46">
        <v>6.6</v>
      </c>
      <c r="J29" s="46">
        <v>6.6</v>
      </c>
      <c r="K29" s="46">
        <v>6.6</v>
      </c>
      <c r="L29" s="46">
        <v>6.6</v>
      </c>
      <c r="M29" s="46">
        <v>6.2</v>
      </c>
      <c r="N29" s="46">
        <v>6.2</v>
      </c>
      <c r="O29" s="46">
        <v>6.2</v>
      </c>
      <c r="P29" s="46">
        <v>6.2</v>
      </c>
      <c r="Q29" s="46">
        <v>6.2</v>
      </c>
      <c r="R29" s="46">
        <v>6.2</v>
      </c>
      <c r="S29" s="46">
        <v>6.2</v>
      </c>
      <c r="T29" s="46">
        <v>6.2</v>
      </c>
      <c r="U29" s="46">
        <v>6.2</v>
      </c>
      <c r="V29" s="46">
        <v>6.2</v>
      </c>
      <c r="W29" s="46">
        <v>6.2</v>
      </c>
      <c r="X29" s="46">
        <v>6.2</v>
      </c>
      <c r="Y29" s="46">
        <v>6.2</v>
      </c>
      <c r="Z29" s="46">
        <v>6.2</v>
      </c>
      <c r="AA29" s="46">
        <v>6.2</v>
      </c>
      <c r="AB29" s="46">
        <v>6.2</v>
      </c>
      <c r="AC29" s="46">
        <v>6.2</v>
      </c>
      <c r="AD29" s="46">
        <v>6.2</v>
      </c>
      <c r="AE29" s="46">
        <v>6.2</v>
      </c>
      <c r="AF29" s="46">
        <v>6.2</v>
      </c>
      <c r="AG29" s="50">
        <v>25</v>
      </c>
      <c r="AH29" s="48">
        <f t="shared" si="8"/>
        <v>6.6</v>
      </c>
      <c r="AI29" s="49">
        <f t="shared" si="9"/>
        <v>6.2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181">
        <v>19</v>
      </c>
      <c r="CA29" s="177">
        <v>0.1875</v>
      </c>
      <c r="CB29" s="178"/>
      <c r="CC29" s="178"/>
      <c r="CD29" s="178"/>
      <c r="CE29" s="178"/>
      <c r="CF29" s="178"/>
      <c r="CG29" s="180"/>
      <c r="CH29" s="180"/>
      <c r="CI29" s="24"/>
      <c r="CJ29" s="24"/>
    </row>
    <row r="30" spans="1:88" x14ac:dyDescent="0.25">
      <c r="A30" s="45" t="s">
        <v>47</v>
      </c>
      <c r="B30" s="46">
        <v>6.5</v>
      </c>
      <c r="C30" s="46">
        <v>6.5</v>
      </c>
      <c r="D30" s="46">
        <v>6.5</v>
      </c>
      <c r="E30" s="46">
        <v>6.5</v>
      </c>
      <c r="F30" s="46">
        <v>6.5</v>
      </c>
      <c r="G30" s="46">
        <v>6.5</v>
      </c>
      <c r="H30" s="46">
        <v>6.5</v>
      </c>
      <c r="I30" s="46">
        <v>6.5</v>
      </c>
      <c r="J30" s="46">
        <v>6.5</v>
      </c>
      <c r="K30" s="46">
        <v>6.5</v>
      </c>
      <c r="L30" s="46">
        <v>6.5</v>
      </c>
      <c r="M30" s="46">
        <v>5.6</v>
      </c>
      <c r="N30" s="46">
        <v>5.6</v>
      </c>
      <c r="O30" s="46">
        <v>5.6</v>
      </c>
      <c r="P30" s="46">
        <v>5.6</v>
      </c>
      <c r="Q30" s="46">
        <v>5.6</v>
      </c>
      <c r="R30" s="46">
        <v>5.6</v>
      </c>
      <c r="S30" s="46">
        <v>5.6</v>
      </c>
      <c r="T30" s="46">
        <v>5.6</v>
      </c>
      <c r="U30" s="46">
        <v>5.6</v>
      </c>
      <c r="V30" s="46">
        <v>5.6</v>
      </c>
      <c r="W30" s="46">
        <v>5.6</v>
      </c>
      <c r="X30" s="46">
        <v>5.6</v>
      </c>
      <c r="Y30" s="46">
        <v>5.6</v>
      </c>
      <c r="Z30" s="46">
        <v>5.6</v>
      </c>
      <c r="AA30" s="46">
        <v>5.6</v>
      </c>
      <c r="AB30" s="46">
        <v>5.6</v>
      </c>
      <c r="AC30" s="46">
        <v>5.6</v>
      </c>
      <c r="AD30" s="46">
        <v>5.6</v>
      </c>
      <c r="AE30" s="46">
        <v>5.6</v>
      </c>
      <c r="AF30" s="46">
        <v>5.6</v>
      </c>
      <c r="AG30" s="50">
        <v>23.5</v>
      </c>
      <c r="AH30" s="48">
        <f t="shared" si="8"/>
        <v>6.5</v>
      </c>
      <c r="AI30" s="49">
        <f t="shared" si="9"/>
        <v>5.6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181">
        <v>20</v>
      </c>
      <c r="CA30" s="177">
        <v>0.19791666666666699</v>
      </c>
      <c r="CB30" s="178"/>
      <c r="CC30" s="178"/>
      <c r="CD30" s="178"/>
      <c r="CE30" s="178"/>
      <c r="CF30" s="178"/>
      <c r="CG30" s="180"/>
      <c r="CH30" s="180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>
        <v>3</v>
      </c>
      <c r="V31" s="46">
        <v>3</v>
      </c>
      <c r="W31" s="46">
        <v>3</v>
      </c>
      <c r="X31" s="46">
        <v>3</v>
      </c>
      <c r="Y31" s="46">
        <v>3</v>
      </c>
      <c r="Z31" s="46">
        <v>3</v>
      </c>
      <c r="AA31" s="46">
        <v>3</v>
      </c>
      <c r="AB31" s="46">
        <v>3</v>
      </c>
      <c r="AC31" s="46">
        <v>3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8"/>
        <v>3</v>
      </c>
      <c r="AI31" s="49">
        <f t="shared" si="9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181">
        <v>21</v>
      </c>
      <c r="CA31" s="177">
        <v>0.20833333333333301</v>
      </c>
      <c r="CB31" s="178"/>
      <c r="CC31" s="178"/>
      <c r="CD31" s="178"/>
      <c r="CE31" s="178"/>
      <c r="CF31" s="178"/>
      <c r="CG31" s="180"/>
      <c r="CH31" s="180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5.5</v>
      </c>
      <c r="Q32" s="46">
        <v>5.5</v>
      </c>
      <c r="R32" s="46">
        <v>5.5</v>
      </c>
      <c r="S32" s="46">
        <v>5.5</v>
      </c>
      <c r="T32" s="46">
        <v>5.5</v>
      </c>
      <c r="U32" s="46">
        <v>5.5</v>
      </c>
      <c r="V32" s="46">
        <v>5.5</v>
      </c>
      <c r="W32" s="46">
        <v>5.5</v>
      </c>
      <c r="X32" s="46">
        <v>5.5</v>
      </c>
      <c r="Y32" s="46">
        <v>5.5</v>
      </c>
      <c r="Z32" s="46">
        <v>5.5</v>
      </c>
      <c r="AA32" s="46">
        <v>5.5</v>
      </c>
      <c r="AB32" s="46">
        <v>5.5</v>
      </c>
      <c r="AC32" s="46">
        <v>5.5</v>
      </c>
      <c r="AD32" s="46">
        <v>5.5</v>
      </c>
      <c r="AE32" s="46">
        <v>5.5</v>
      </c>
      <c r="AF32" s="46">
        <v>5.5</v>
      </c>
      <c r="AG32" s="50">
        <v>22.1</v>
      </c>
      <c r="AH32" s="48">
        <f t="shared" si="8"/>
        <v>5.5</v>
      </c>
      <c r="AI32" s="49">
        <f t="shared" si="9"/>
        <v>5.5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181">
        <v>22</v>
      </c>
      <c r="CA32" s="177">
        <v>0.21875</v>
      </c>
      <c r="CB32" s="178"/>
      <c r="CC32" s="178"/>
      <c r="CD32" s="178"/>
      <c r="CE32" s="178"/>
      <c r="CF32" s="178"/>
      <c r="CG32" s="180"/>
      <c r="CH32" s="180"/>
      <c r="CI32" s="24"/>
      <c r="CJ32" s="24"/>
    </row>
    <row r="33" spans="1:88" x14ac:dyDescent="0.25">
      <c r="A33" s="45" t="s">
        <v>50</v>
      </c>
      <c r="B33" s="46">
        <v>6</v>
      </c>
      <c r="C33" s="46">
        <v>6</v>
      </c>
      <c r="D33" s="46">
        <v>6</v>
      </c>
      <c r="E33" s="46">
        <v>6</v>
      </c>
      <c r="F33" s="46">
        <v>6</v>
      </c>
      <c r="G33" s="46">
        <v>6</v>
      </c>
      <c r="H33" s="46">
        <v>6</v>
      </c>
      <c r="I33" s="46">
        <v>6</v>
      </c>
      <c r="J33" s="46">
        <v>6</v>
      </c>
      <c r="K33" s="46">
        <v>6</v>
      </c>
      <c r="L33" s="46">
        <v>6</v>
      </c>
      <c r="M33" s="46">
        <v>6</v>
      </c>
      <c r="N33" s="46">
        <v>6</v>
      </c>
      <c r="O33" s="46">
        <v>6</v>
      </c>
      <c r="P33" s="46">
        <v>6</v>
      </c>
      <c r="Q33" s="46">
        <v>6</v>
      </c>
      <c r="R33" s="46">
        <v>6</v>
      </c>
      <c r="S33" s="46">
        <v>6</v>
      </c>
      <c r="T33" s="46">
        <v>6</v>
      </c>
      <c r="U33" s="46">
        <v>6</v>
      </c>
      <c r="V33" s="46">
        <v>6</v>
      </c>
      <c r="W33" s="46">
        <v>6</v>
      </c>
      <c r="X33" s="46">
        <v>6</v>
      </c>
      <c r="Y33" s="46">
        <v>6</v>
      </c>
      <c r="Z33" s="46">
        <v>6</v>
      </c>
      <c r="AA33" s="46">
        <v>6</v>
      </c>
      <c r="AB33" s="46">
        <v>6</v>
      </c>
      <c r="AC33" s="46">
        <v>6</v>
      </c>
      <c r="AD33" s="46">
        <v>6</v>
      </c>
      <c r="AE33" s="46">
        <v>6</v>
      </c>
      <c r="AF33" s="46">
        <v>6</v>
      </c>
      <c r="AG33" s="50">
        <v>22</v>
      </c>
      <c r="AH33" s="48">
        <f t="shared" si="8"/>
        <v>6</v>
      </c>
      <c r="AI33" s="49">
        <f t="shared" si="9"/>
        <v>6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181">
        <v>23</v>
      </c>
      <c r="CA33" s="177">
        <v>0.22916666666666699</v>
      </c>
      <c r="CB33" s="178"/>
      <c r="CC33" s="178"/>
      <c r="CD33" s="178"/>
      <c r="CE33" s="178"/>
      <c r="CF33" s="178"/>
      <c r="CG33" s="180"/>
      <c r="CH33" s="180"/>
      <c r="CI33" s="24"/>
      <c r="CJ33" s="24"/>
    </row>
    <row r="34" spans="1:88" x14ac:dyDescent="0.25">
      <c r="A34" s="45" t="s">
        <v>51</v>
      </c>
      <c r="B34" s="46">
        <v>6.1</v>
      </c>
      <c r="C34" s="46">
        <v>6.1</v>
      </c>
      <c r="D34" s="46">
        <v>6.1</v>
      </c>
      <c r="E34" s="46">
        <v>6.1</v>
      </c>
      <c r="F34" s="46">
        <v>6.1</v>
      </c>
      <c r="G34" s="46">
        <v>6.1</v>
      </c>
      <c r="H34" s="46">
        <v>6.1</v>
      </c>
      <c r="I34" s="46">
        <v>6.1</v>
      </c>
      <c r="J34" s="46">
        <v>6.1</v>
      </c>
      <c r="K34" s="46">
        <v>6.1</v>
      </c>
      <c r="L34" s="46">
        <v>6.1</v>
      </c>
      <c r="M34" s="46">
        <v>6.7</v>
      </c>
      <c r="N34" s="46">
        <v>6.7</v>
      </c>
      <c r="O34" s="46">
        <v>6.7</v>
      </c>
      <c r="P34" s="46">
        <v>6.7</v>
      </c>
      <c r="Q34" s="46">
        <v>6.7</v>
      </c>
      <c r="R34" s="46">
        <v>6.7</v>
      </c>
      <c r="S34" s="46">
        <v>6.7</v>
      </c>
      <c r="T34" s="46">
        <v>6.7</v>
      </c>
      <c r="U34" s="46">
        <v>6.7</v>
      </c>
      <c r="V34" s="46">
        <v>6.7</v>
      </c>
      <c r="W34" s="46">
        <v>6.7</v>
      </c>
      <c r="X34" s="46">
        <v>6.7</v>
      </c>
      <c r="Y34" s="46">
        <v>6.7</v>
      </c>
      <c r="Z34" s="46">
        <v>6.7</v>
      </c>
      <c r="AA34" s="46">
        <v>6.7</v>
      </c>
      <c r="AB34" s="46">
        <v>6.7</v>
      </c>
      <c r="AC34" s="46">
        <v>6.7</v>
      </c>
      <c r="AD34" s="46">
        <v>6.7</v>
      </c>
      <c r="AE34" s="46">
        <v>6.7</v>
      </c>
      <c r="AF34" s="46">
        <v>6.7</v>
      </c>
      <c r="AG34" s="50">
        <v>22</v>
      </c>
      <c r="AH34" s="48">
        <f t="shared" si="8"/>
        <v>6.7</v>
      </c>
      <c r="AI34" s="49">
        <f t="shared" si="9"/>
        <v>6.1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181">
        <v>24</v>
      </c>
      <c r="CA34" s="177">
        <v>0.23958333333333301</v>
      </c>
      <c r="CB34" s="178"/>
      <c r="CC34" s="178"/>
      <c r="CD34" s="178"/>
      <c r="CE34" s="178"/>
      <c r="CF34" s="178"/>
      <c r="CG34" s="180"/>
      <c r="CH34" s="180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8"/>
        <v>4</v>
      </c>
      <c r="AI35" s="49">
        <f t="shared" si="9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181">
        <v>25</v>
      </c>
      <c r="CA35" s="177">
        <v>0.25</v>
      </c>
      <c r="CB35" s="178"/>
      <c r="CC35" s="178"/>
      <c r="CD35" s="178"/>
      <c r="CE35" s="178"/>
      <c r="CF35" s="178"/>
      <c r="CG35" s="180"/>
      <c r="CH35" s="180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>
        <v>4</v>
      </c>
      <c r="V36" s="46">
        <v>4</v>
      </c>
      <c r="W36" s="46">
        <v>4</v>
      </c>
      <c r="X36" s="46">
        <v>4</v>
      </c>
      <c r="Y36" s="46">
        <v>4</v>
      </c>
      <c r="Z36" s="46">
        <v>4</v>
      </c>
      <c r="AA36" s="46">
        <v>4</v>
      </c>
      <c r="AB36" s="46">
        <v>4</v>
      </c>
      <c r="AC36" s="46">
        <v>4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8"/>
        <v>4</v>
      </c>
      <c r="AI36" s="49">
        <f t="shared" si="9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181">
        <v>26</v>
      </c>
      <c r="CA36" s="177">
        <v>0.26041666666666702</v>
      </c>
      <c r="CB36" s="178"/>
      <c r="CC36" s="178"/>
      <c r="CD36" s="178"/>
      <c r="CE36" s="178"/>
      <c r="CF36" s="178"/>
      <c r="CG36" s="180"/>
      <c r="CH36" s="180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>
        <v>5.7</v>
      </c>
      <c r="V37" s="46">
        <v>5.7</v>
      </c>
      <c r="W37" s="46">
        <v>5.7</v>
      </c>
      <c r="X37" s="46">
        <v>5.7</v>
      </c>
      <c r="Y37" s="46">
        <v>5.7</v>
      </c>
      <c r="Z37" s="46">
        <v>5.7</v>
      </c>
      <c r="AA37" s="46">
        <v>5.7</v>
      </c>
      <c r="AB37" s="46">
        <v>5.7</v>
      </c>
      <c r="AC37" s="46">
        <v>5.7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8"/>
        <v>5.7</v>
      </c>
      <c r="AI37" s="49">
        <f t="shared" si="9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181">
        <v>27</v>
      </c>
      <c r="CA37" s="177">
        <v>0.27083333333333298</v>
      </c>
      <c r="CB37" s="178"/>
      <c r="CC37" s="178"/>
      <c r="CD37" s="178"/>
      <c r="CE37" s="178"/>
      <c r="CF37" s="178"/>
      <c r="CG37" s="180"/>
      <c r="CH37" s="180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7.2</v>
      </c>
      <c r="Q38" s="46">
        <v>7.2</v>
      </c>
      <c r="R38" s="46">
        <v>7.2</v>
      </c>
      <c r="S38" s="46">
        <v>7.2</v>
      </c>
      <c r="T38" s="46">
        <v>7.2</v>
      </c>
      <c r="U38" s="46">
        <v>7.2</v>
      </c>
      <c r="V38" s="46">
        <v>7.2</v>
      </c>
      <c r="W38" s="46">
        <v>7.2</v>
      </c>
      <c r="X38" s="46">
        <v>7.2</v>
      </c>
      <c r="Y38" s="46">
        <v>7.2</v>
      </c>
      <c r="Z38" s="46">
        <v>7.2</v>
      </c>
      <c r="AA38" s="46">
        <v>7.2</v>
      </c>
      <c r="AB38" s="46">
        <v>7.2</v>
      </c>
      <c r="AC38" s="46">
        <v>7.2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8"/>
        <v>7.2</v>
      </c>
      <c r="AI38" s="49">
        <f t="shared" si="9"/>
        <v>7.2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181">
        <v>28</v>
      </c>
      <c r="CA38" s="177">
        <v>0.28125</v>
      </c>
      <c r="CB38" s="178"/>
      <c r="CC38" s="178"/>
      <c r="CD38" s="178"/>
      <c r="CE38" s="178"/>
      <c r="CF38" s="178"/>
      <c r="CG38" s="180"/>
      <c r="CH38" s="180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181">
        <v>29</v>
      </c>
      <c r="CA39" s="177">
        <v>0.29166666666666702</v>
      </c>
      <c r="CB39" s="178"/>
      <c r="CC39" s="178"/>
      <c r="CD39" s="178"/>
      <c r="CE39" s="178"/>
      <c r="CF39" s="178"/>
      <c r="CG39" s="180"/>
      <c r="CH39" s="180"/>
      <c r="CI39" s="24"/>
      <c r="CJ39" s="24"/>
    </row>
    <row r="40" spans="1:88" x14ac:dyDescent="0.25">
      <c r="A40" s="45" t="s">
        <v>57</v>
      </c>
      <c r="B40" s="46">
        <v>5</v>
      </c>
      <c r="C40" s="46">
        <v>5</v>
      </c>
      <c r="D40" s="46">
        <v>5</v>
      </c>
      <c r="E40" s="46">
        <v>5</v>
      </c>
      <c r="F40" s="46">
        <v>5</v>
      </c>
      <c r="G40" s="46">
        <v>5</v>
      </c>
      <c r="H40" s="46">
        <v>5</v>
      </c>
      <c r="I40" s="46">
        <v>5</v>
      </c>
      <c r="J40" s="46">
        <v>5</v>
      </c>
      <c r="K40" s="46">
        <v>5</v>
      </c>
      <c r="L40" s="46">
        <v>5</v>
      </c>
      <c r="M40" s="46">
        <v>5</v>
      </c>
      <c r="N40" s="46">
        <v>5</v>
      </c>
      <c r="O40" s="46">
        <v>5</v>
      </c>
      <c r="P40" s="46">
        <v>5</v>
      </c>
      <c r="Q40" s="46">
        <v>5</v>
      </c>
      <c r="R40" s="46">
        <v>5</v>
      </c>
      <c r="S40" s="46">
        <v>5</v>
      </c>
      <c r="T40" s="46">
        <v>5</v>
      </c>
      <c r="U40" s="46">
        <v>5</v>
      </c>
      <c r="V40" s="46">
        <v>5</v>
      </c>
      <c r="W40" s="46">
        <v>5</v>
      </c>
      <c r="X40" s="46">
        <v>5</v>
      </c>
      <c r="Y40" s="46">
        <v>5</v>
      </c>
      <c r="Z40" s="46">
        <v>5</v>
      </c>
      <c r="AA40" s="46">
        <v>5</v>
      </c>
      <c r="AB40" s="46">
        <v>5</v>
      </c>
      <c r="AC40" s="46">
        <v>5</v>
      </c>
      <c r="AD40" s="46">
        <v>5</v>
      </c>
      <c r="AE40" s="46">
        <v>5</v>
      </c>
      <c r="AF40" s="46">
        <v>5</v>
      </c>
      <c r="AG40" s="50">
        <v>14.9</v>
      </c>
      <c r="AH40" s="48">
        <f t="shared" si="8"/>
        <v>5</v>
      </c>
      <c r="AI40" s="49">
        <f t="shared" si="9"/>
        <v>5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181">
        <v>30</v>
      </c>
      <c r="CA40" s="177">
        <v>0.30208333333333298</v>
      </c>
      <c r="CB40" s="178"/>
      <c r="CC40" s="178"/>
      <c r="CD40" s="178"/>
      <c r="CE40" s="178"/>
      <c r="CF40" s="178"/>
      <c r="CG40" s="180"/>
      <c r="CH40" s="180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8"/>
        <v>4</v>
      </c>
      <c r="AI41" s="49">
        <f t="shared" si="9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181">
        <v>31</v>
      </c>
      <c r="CA41" s="177">
        <v>0.3125</v>
      </c>
      <c r="CB41" s="178"/>
      <c r="CC41" s="178"/>
      <c r="CD41" s="178"/>
      <c r="CE41" s="178"/>
      <c r="CF41" s="178"/>
      <c r="CG41" s="180"/>
      <c r="CH41" s="180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>
        <v>1.8</v>
      </c>
      <c r="V42" s="46">
        <v>1.8</v>
      </c>
      <c r="W42" s="46">
        <v>1.8</v>
      </c>
      <c r="X42" s="46">
        <v>1.8</v>
      </c>
      <c r="Y42" s="46">
        <v>1.8</v>
      </c>
      <c r="Z42" s="46">
        <v>1.8</v>
      </c>
      <c r="AA42" s="46">
        <v>1.8</v>
      </c>
      <c r="AB42" s="46">
        <v>1.8</v>
      </c>
      <c r="AC42" s="46">
        <v>1.8</v>
      </c>
      <c r="AD42" s="46">
        <v>1.8</v>
      </c>
      <c r="AE42" s="46">
        <v>1.8</v>
      </c>
      <c r="AF42" s="46">
        <v>1.8</v>
      </c>
      <c r="AG42" s="50">
        <v>13.6</v>
      </c>
      <c r="AH42" s="48">
        <f t="shared" si="8"/>
        <v>1.8</v>
      </c>
      <c r="AI42" s="49">
        <f t="shared" si="9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181">
        <v>32</v>
      </c>
      <c r="CA42" s="177">
        <v>0.32291666666666702</v>
      </c>
      <c r="CB42" s="178"/>
      <c r="CC42" s="178"/>
      <c r="CD42" s="178"/>
      <c r="CE42" s="178"/>
      <c r="CF42" s="178"/>
      <c r="CG42" s="180"/>
      <c r="CH42" s="180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>
        <v>3.8</v>
      </c>
      <c r="V43" s="46">
        <v>3.8</v>
      </c>
      <c r="W43" s="46">
        <v>3.8</v>
      </c>
      <c r="X43" s="46">
        <v>3.8</v>
      </c>
      <c r="Y43" s="46">
        <v>3.8</v>
      </c>
      <c r="Z43" s="46">
        <v>3.8</v>
      </c>
      <c r="AA43" s="46">
        <v>3.8</v>
      </c>
      <c r="AB43" s="46">
        <v>3.8</v>
      </c>
      <c r="AC43" s="46">
        <v>3.8</v>
      </c>
      <c r="AD43" s="46">
        <v>3.8</v>
      </c>
      <c r="AE43" s="46">
        <v>3.8</v>
      </c>
      <c r="AF43" s="46">
        <v>3.8</v>
      </c>
      <c r="AG43" s="50">
        <v>13</v>
      </c>
      <c r="AH43" s="48">
        <f t="shared" si="8"/>
        <v>3.8</v>
      </c>
      <c r="AI43" s="49">
        <f t="shared" si="9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181">
        <v>33</v>
      </c>
      <c r="CA43" s="177">
        <v>0.33333333333333298</v>
      </c>
      <c r="CB43" s="178"/>
      <c r="CC43" s="178"/>
      <c r="CD43" s="178"/>
      <c r="CE43" s="178"/>
      <c r="CF43" s="178"/>
      <c r="CG43" s="180"/>
      <c r="CH43" s="180"/>
      <c r="CI43" s="24"/>
      <c r="CJ43" s="24"/>
    </row>
    <row r="44" spans="1:88" x14ac:dyDescent="0.25">
      <c r="A44" s="45" t="s">
        <v>61</v>
      </c>
      <c r="B44" s="46">
        <v>7.5</v>
      </c>
      <c r="C44" s="46">
        <v>7.5</v>
      </c>
      <c r="D44" s="46">
        <v>7.5</v>
      </c>
      <c r="E44" s="46">
        <v>7.5</v>
      </c>
      <c r="F44" s="46">
        <v>7.5</v>
      </c>
      <c r="G44" s="46">
        <v>7.5</v>
      </c>
      <c r="H44" s="46">
        <v>7.5</v>
      </c>
      <c r="I44" s="46">
        <v>7.5</v>
      </c>
      <c r="J44" s="46">
        <v>7.5</v>
      </c>
      <c r="K44" s="46">
        <v>7.5</v>
      </c>
      <c r="L44" s="46">
        <v>7.5</v>
      </c>
      <c r="M44" s="46">
        <v>2.5</v>
      </c>
      <c r="N44" s="46">
        <v>2.5</v>
      </c>
      <c r="O44" s="46">
        <v>2.5</v>
      </c>
      <c r="P44" s="46">
        <v>2.5</v>
      </c>
      <c r="Q44" s="46">
        <v>2.5</v>
      </c>
      <c r="R44" s="46">
        <v>2.5</v>
      </c>
      <c r="S44" s="46">
        <v>2.5</v>
      </c>
      <c r="T44" s="46">
        <v>2.5</v>
      </c>
      <c r="U44" s="46">
        <v>2.5</v>
      </c>
      <c r="V44" s="46">
        <v>2.5</v>
      </c>
      <c r="W44" s="46">
        <v>2.5</v>
      </c>
      <c r="X44" s="46">
        <v>2.5</v>
      </c>
      <c r="Y44" s="46">
        <v>2.5</v>
      </c>
      <c r="Z44" s="46">
        <v>2.5</v>
      </c>
      <c r="AA44" s="46">
        <v>2.5</v>
      </c>
      <c r="AB44" s="46">
        <v>2.5</v>
      </c>
      <c r="AC44" s="46">
        <v>2.5</v>
      </c>
      <c r="AD44" s="46">
        <v>2.5</v>
      </c>
      <c r="AE44" s="46">
        <v>2.5</v>
      </c>
      <c r="AF44" s="46">
        <v>2.5</v>
      </c>
      <c r="AG44" s="50">
        <v>12</v>
      </c>
      <c r="AH44" s="48">
        <f t="shared" si="8"/>
        <v>7.5</v>
      </c>
      <c r="AI44" s="49">
        <f t="shared" si="9"/>
        <v>2.5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181">
        <v>34</v>
      </c>
      <c r="CA44" s="177">
        <v>0.34375</v>
      </c>
      <c r="CB44" s="178"/>
      <c r="CC44" s="178"/>
      <c r="CD44" s="178"/>
      <c r="CE44" s="178"/>
      <c r="CF44" s="178"/>
      <c r="CG44" s="180"/>
      <c r="CH44" s="180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>
        <v>9</v>
      </c>
      <c r="V45" s="46">
        <v>9</v>
      </c>
      <c r="W45" s="46">
        <v>9</v>
      </c>
      <c r="X45" s="46">
        <v>9</v>
      </c>
      <c r="Y45" s="46">
        <v>9</v>
      </c>
      <c r="Z45" s="46">
        <v>9</v>
      </c>
      <c r="AA45" s="46">
        <v>9</v>
      </c>
      <c r="AB45" s="46">
        <v>9</v>
      </c>
      <c r="AC45" s="46">
        <v>9</v>
      </c>
      <c r="AD45" s="46">
        <v>9</v>
      </c>
      <c r="AE45" s="46">
        <v>9</v>
      </c>
      <c r="AF45" s="46">
        <v>9</v>
      </c>
      <c r="AG45" s="50">
        <v>12</v>
      </c>
      <c r="AH45" s="48">
        <f t="shared" si="8"/>
        <v>9</v>
      </c>
      <c r="AI45" s="49">
        <f t="shared" si="9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181">
        <v>35</v>
      </c>
      <c r="CA45" s="177">
        <v>0.35416666666666702</v>
      </c>
      <c r="CB45" s="178"/>
      <c r="CC45" s="178"/>
      <c r="CD45" s="178"/>
      <c r="CE45" s="178"/>
      <c r="CF45" s="178"/>
      <c r="CG45" s="180"/>
      <c r="CH45" s="180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181">
        <v>36</v>
      </c>
      <c r="CA46" s="177">
        <v>0.36458333333333298</v>
      </c>
      <c r="CB46" s="178"/>
      <c r="CC46" s="178"/>
      <c r="CD46" s="178"/>
      <c r="CE46" s="178"/>
      <c r="CF46" s="178"/>
      <c r="CG46" s="180"/>
      <c r="CH46" s="180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>
        <v>3.5</v>
      </c>
      <c r="V47" s="46">
        <v>3.5</v>
      </c>
      <c r="W47" s="46">
        <v>3.5</v>
      </c>
      <c r="X47" s="46">
        <v>3.5</v>
      </c>
      <c r="Y47" s="46">
        <v>3.5</v>
      </c>
      <c r="Z47" s="46">
        <v>3.5</v>
      </c>
      <c r="AA47" s="46">
        <v>3.5</v>
      </c>
      <c r="AB47" s="46">
        <v>3.5</v>
      </c>
      <c r="AC47" s="46">
        <v>3.5</v>
      </c>
      <c r="AD47" s="46">
        <v>3.5</v>
      </c>
      <c r="AE47" s="46">
        <v>3.5</v>
      </c>
      <c r="AF47" s="46">
        <v>3.5</v>
      </c>
      <c r="AG47" s="63">
        <v>22</v>
      </c>
      <c r="AH47" s="48">
        <f t="shared" si="8"/>
        <v>3.5</v>
      </c>
      <c r="AI47" s="49">
        <f t="shared" si="9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181">
        <v>37</v>
      </c>
      <c r="CA47" s="177">
        <v>0.375</v>
      </c>
      <c r="CB47" s="178"/>
      <c r="CC47" s="178"/>
      <c r="CD47" s="178"/>
      <c r="CE47" s="178"/>
      <c r="CF47" s="178"/>
      <c r="CG47" s="180"/>
      <c r="CH47" s="180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>
        <v>5</v>
      </c>
      <c r="V48" s="46">
        <v>5</v>
      </c>
      <c r="W48" s="46">
        <v>5</v>
      </c>
      <c r="X48" s="46">
        <v>5</v>
      </c>
      <c r="Y48" s="46">
        <v>5</v>
      </c>
      <c r="Z48" s="46">
        <v>5</v>
      </c>
      <c r="AA48" s="46">
        <v>5</v>
      </c>
      <c r="AB48" s="46">
        <v>5</v>
      </c>
      <c r="AC48" s="46">
        <v>5</v>
      </c>
      <c r="AD48" s="46">
        <v>5</v>
      </c>
      <c r="AE48" s="46">
        <v>5</v>
      </c>
      <c r="AF48" s="46">
        <v>5</v>
      </c>
      <c r="AG48" s="60">
        <v>11.88</v>
      </c>
      <c r="AH48" s="48">
        <f t="shared" si="8"/>
        <v>5</v>
      </c>
      <c r="AI48" s="49">
        <f t="shared" si="9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181">
        <v>38</v>
      </c>
      <c r="CA48" s="177">
        <v>0.38541666666666702</v>
      </c>
      <c r="CB48" s="178"/>
      <c r="CC48" s="178"/>
      <c r="CD48" s="178"/>
      <c r="CE48" s="178"/>
      <c r="CF48" s="178"/>
      <c r="CG48" s="180"/>
      <c r="CH48" s="180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5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181">
        <v>39</v>
      </c>
      <c r="CA49" s="177">
        <v>0.39583333333333298</v>
      </c>
      <c r="CB49" s="178"/>
      <c r="CC49" s="178"/>
      <c r="CD49" s="178"/>
      <c r="CE49" s="178"/>
      <c r="CF49" s="178"/>
      <c r="CG49" s="180"/>
      <c r="CH49" s="180"/>
      <c r="CI49" s="24"/>
      <c r="CJ49" s="24"/>
    </row>
    <row r="50" spans="1:88" ht="14.25" customHeight="1" x14ac:dyDescent="0.25">
      <c r="A50" s="64" t="s">
        <v>67</v>
      </c>
      <c r="B50" s="46">
        <v>2.4500000000000002</v>
      </c>
      <c r="C50" s="46">
        <v>2.4500000000000002</v>
      </c>
      <c r="D50" s="46">
        <v>2.4500000000000002</v>
      </c>
      <c r="E50" s="46">
        <v>2.4500000000000002</v>
      </c>
      <c r="F50" s="46">
        <v>2.4500000000000002</v>
      </c>
      <c r="G50" s="46">
        <v>2.4500000000000002</v>
      </c>
      <c r="H50" s="46">
        <v>2.4500000000000002</v>
      </c>
      <c r="I50" s="46">
        <v>2.4500000000000002</v>
      </c>
      <c r="J50" s="46">
        <v>2.4500000000000002</v>
      </c>
      <c r="K50" s="46">
        <v>2.4500000000000002</v>
      </c>
      <c r="L50" s="46">
        <v>2.4500000000000002</v>
      </c>
      <c r="M50" s="46">
        <v>2.4500000000000002</v>
      </c>
      <c r="N50" s="46">
        <v>2.4500000000000002</v>
      </c>
      <c r="O50" s="46">
        <v>2.4500000000000002</v>
      </c>
      <c r="P50" s="46">
        <v>2.4500000000000002</v>
      </c>
      <c r="Q50" s="46">
        <v>2.4500000000000002</v>
      </c>
      <c r="R50" s="46">
        <v>2.4500000000000002</v>
      </c>
      <c r="S50" s="46">
        <v>2.4500000000000002</v>
      </c>
      <c r="T50" s="46">
        <v>2.4500000000000002</v>
      </c>
      <c r="U50" s="46">
        <v>2.4500000000000002</v>
      </c>
      <c r="V50" s="46">
        <v>2.4500000000000002</v>
      </c>
      <c r="W50" s="46">
        <v>2.4500000000000002</v>
      </c>
      <c r="X50" s="46">
        <v>2.4500000000000002</v>
      </c>
      <c r="Y50" s="46">
        <v>2.4500000000000002</v>
      </c>
      <c r="Z50" s="46">
        <v>2.4500000000000002</v>
      </c>
      <c r="AA50" s="46">
        <v>2.4500000000000002</v>
      </c>
      <c r="AB50" s="46">
        <v>2.4500000000000002</v>
      </c>
      <c r="AC50" s="46">
        <v>2.4500000000000002</v>
      </c>
      <c r="AD50" s="46">
        <v>2.4500000000000002</v>
      </c>
      <c r="AE50" s="46">
        <v>2.4500000000000002</v>
      </c>
      <c r="AF50" s="46">
        <v>2.4500000000000002</v>
      </c>
      <c r="AG50" s="65">
        <v>11</v>
      </c>
      <c r="AH50" s="48">
        <f t="shared" si="8"/>
        <v>2.4500000000000002</v>
      </c>
      <c r="AI50" s="49">
        <f t="shared" si="9"/>
        <v>2.4500000000000002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181">
        <v>40</v>
      </c>
      <c r="CA50" s="177">
        <v>0.40625</v>
      </c>
      <c r="CB50" s="178"/>
      <c r="CC50" s="178"/>
      <c r="CD50" s="178"/>
      <c r="CE50" s="178"/>
      <c r="CF50" s="178"/>
      <c r="CG50" s="180"/>
      <c r="CH50" s="180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65">
        <v>11</v>
      </c>
      <c r="AH51" s="48">
        <f t="shared" si="8"/>
        <v>3</v>
      </c>
      <c r="AI51" s="49">
        <f t="shared" si="9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181">
        <v>41</v>
      </c>
      <c r="CA51" s="177">
        <v>0.41666666666666702</v>
      </c>
      <c r="CB51" s="178"/>
      <c r="CC51" s="178"/>
      <c r="CD51" s="178"/>
      <c r="CE51" s="178"/>
      <c r="CF51" s="178"/>
      <c r="CG51" s="180"/>
      <c r="CH51" s="180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5">
        <v>10</v>
      </c>
      <c r="AH52" s="48">
        <f t="shared" si="8"/>
        <v>4</v>
      </c>
      <c r="AI52" s="49">
        <f t="shared" si="9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181">
        <v>42</v>
      </c>
      <c r="CA52" s="177">
        <v>0.42708333333333298</v>
      </c>
      <c r="CB52" s="178"/>
      <c r="CC52" s="178"/>
      <c r="CD52" s="178"/>
      <c r="CE52" s="178"/>
      <c r="CF52" s="178"/>
      <c r="CG52" s="180"/>
      <c r="CH52" s="180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>
        <v>4.5</v>
      </c>
      <c r="V53" s="46">
        <v>4.5</v>
      </c>
      <c r="W53" s="46">
        <v>4.5</v>
      </c>
      <c r="X53" s="46">
        <v>4.5</v>
      </c>
      <c r="Y53" s="46">
        <v>4.5</v>
      </c>
      <c r="Z53" s="46">
        <v>4.5</v>
      </c>
      <c r="AA53" s="46">
        <v>4.5</v>
      </c>
      <c r="AB53" s="46">
        <v>4.5</v>
      </c>
      <c r="AC53" s="46">
        <v>4.5</v>
      </c>
      <c r="AD53" s="46">
        <v>4.5</v>
      </c>
      <c r="AE53" s="46">
        <v>4.5</v>
      </c>
      <c r="AF53" s="46">
        <v>4.5</v>
      </c>
      <c r="AG53" s="65">
        <v>10</v>
      </c>
      <c r="AH53" s="48">
        <f t="shared" si="8"/>
        <v>4.5</v>
      </c>
      <c r="AI53" s="49">
        <f t="shared" si="9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181">
        <v>43</v>
      </c>
      <c r="CA53" s="177">
        <v>0.4375</v>
      </c>
      <c r="CB53" s="178"/>
      <c r="CC53" s="178"/>
      <c r="CD53" s="178"/>
      <c r="CE53" s="178"/>
      <c r="CF53" s="178"/>
      <c r="CG53" s="180"/>
      <c r="CH53" s="180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5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181">
        <v>44</v>
      </c>
      <c r="CA54" s="177">
        <v>0.44791666666666702</v>
      </c>
      <c r="CB54" s="178"/>
      <c r="CC54" s="178"/>
      <c r="CD54" s="178"/>
      <c r="CE54" s="178"/>
      <c r="CF54" s="178"/>
      <c r="CG54" s="180"/>
      <c r="CH54" s="180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5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181">
        <v>45</v>
      </c>
      <c r="CA55" s="177">
        <v>0.45833333333333298</v>
      </c>
      <c r="CB55" s="178"/>
      <c r="CC55" s="178"/>
      <c r="CD55" s="178"/>
      <c r="CE55" s="178"/>
      <c r="CF55" s="178"/>
      <c r="CG55" s="180"/>
      <c r="CH55" s="180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>
        <v>150</v>
      </c>
      <c r="W56" s="67">
        <v>150</v>
      </c>
      <c r="X56" s="67">
        <v>150</v>
      </c>
      <c r="Y56" s="67">
        <v>150</v>
      </c>
      <c r="Z56" s="67">
        <v>150</v>
      </c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8"/>
        <v>150</v>
      </c>
      <c r="AI56" s="49">
        <f t="shared" si="9"/>
        <v>150</v>
      </c>
      <c r="AK56" s="51"/>
      <c r="BZ56" s="181">
        <v>46</v>
      </c>
      <c r="CA56" s="177">
        <v>0.46875</v>
      </c>
      <c r="CB56" s="182"/>
      <c r="CC56" s="182"/>
      <c r="CD56" s="182"/>
      <c r="CE56" s="182"/>
      <c r="CF56" s="182"/>
      <c r="CG56" s="183"/>
      <c r="CH56" s="183"/>
    </row>
    <row r="57" spans="1:88" ht="15.75" thickBot="1" x14ac:dyDescent="0.3">
      <c r="A57" s="68" t="s">
        <v>74</v>
      </c>
      <c r="B57" s="67">
        <v>14.3</v>
      </c>
      <c r="C57" s="67">
        <v>14.3</v>
      </c>
      <c r="D57" s="67">
        <v>14.3</v>
      </c>
      <c r="E57" s="67">
        <v>21.4</v>
      </c>
      <c r="F57" s="67">
        <v>21.4</v>
      </c>
      <c r="G57" s="67">
        <v>21.4</v>
      </c>
      <c r="H57" s="67">
        <v>18.7</v>
      </c>
      <c r="I57" s="67">
        <v>18.3</v>
      </c>
      <c r="J57" s="67">
        <v>18.399999999999999</v>
      </c>
      <c r="K57" s="67">
        <v>18.2</v>
      </c>
      <c r="L57" s="67">
        <v>18.2</v>
      </c>
      <c r="M57" s="67">
        <f>4.8+11.2</f>
        <v>16</v>
      </c>
      <c r="N57" s="53">
        <f>12.3+5.4</f>
        <v>17.700000000000003</v>
      </c>
      <c r="O57" s="53">
        <f>12.3+5.5</f>
        <v>17.8</v>
      </c>
      <c r="P57" s="53">
        <f>11.6+6</f>
        <v>17.600000000000001</v>
      </c>
      <c r="Q57" s="53">
        <f>14.1+6.8</f>
        <v>20.9</v>
      </c>
      <c r="R57" s="53">
        <f>13.1+6.2</f>
        <v>19.3</v>
      </c>
      <c r="S57" s="53">
        <f>13.1+6.2</f>
        <v>19.3</v>
      </c>
      <c r="T57" s="53">
        <f>13.1+6.2</f>
        <v>19.3</v>
      </c>
      <c r="U57" s="53">
        <v>20.8</v>
      </c>
      <c r="V57" s="53">
        <v>20.8</v>
      </c>
      <c r="W57" s="53">
        <v>16.3</v>
      </c>
      <c r="X57" s="53">
        <v>16.3</v>
      </c>
      <c r="Y57" s="53">
        <v>7</v>
      </c>
      <c r="Z57" s="67">
        <v>10.199999999999999</v>
      </c>
      <c r="AA57" s="67">
        <v>12.4</v>
      </c>
      <c r="AB57" s="67">
        <v>12.4</v>
      </c>
      <c r="AC57" s="67">
        <v>12.4</v>
      </c>
      <c r="AD57" s="67">
        <v>12.4</v>
      </c>
      <c r="AE57" s="67">
        <v>12.4</v>
      </c>
      <c r="AF57" s="67">
        <v>12.4</v>
      </c>
      <c r="AG57" s="65">
        <v>240</v>
      </c>
      <c r="AH57" s="48">
        <f t="shared" si="8"/>
        <v>21.4</v>
      </c>
      <c r="AI57" s="49">
        <f t="shared" si="9"/>
        <v>7</v>
      </c>
      <c r="AK57" s="51"/>
      <c r="BZ57" s="181">
        <v>47</v>
      </c>
      <c r="CA57" s="177">
        <v>0.47916666666666702</v>
      </c>
      <c r="CB57" s="182"/>
      <c r="CC57" s="182"/>
      <c r="CD57" s="182"/>
      <c r="CE57" s="182"/>
      <c r="CF57" s="182"/>
      <c r="CG57" s="183"/>
      <c r="CH57" s="183"/>
    </row>
    <row r="58" spans="1:88" ht="15.75" thickBot="1" x14ac:dyDescent="0.3">
      <c r="A58" s="69" t="s">
        <v>75</v>
      </c>
      <c r="B58" s="70">
        <f t="shared" ref="B58:AA58" si="22">SUM(B11:B56)</f>
        <v>461.34999999999997</v>
      </c>
      <c r="C58" s="70">
        <f t="shared" si="22"/>
        <v>461.34999999999997</v>
      </c>
      <c r="D58" s="70">
        <f t="shared" si="22"/>
        <v>461.34999999999997</v>
      </c>
      <c r="E58" s="70">
        <f t="shared" si="22"/>
        <v>462.34999999999997</v>
      </c>
      <c r="F58" s="70">
        <f t="shared" si="22"/>
        <v>462.34999999999997</v>
      </c>
      <c r="G58" s="70">
        <f t="shared" si="22"/>
        <v>462.34999999999997</v>
      </c>
      <c r="H58" s="70">
        <f t="shared" si="22"/>
        <v>461.84999999999997</v>
      </c>
      <c r="I58" s="70">
        <f t="shared" si="22"/>
        <v>461.84999999999997</v>
      </c>
      <c r="J58" s="70">
        <f t="shared" si="22"/>
        <v>459.84999999999997</v>
      </c>
      <c r="K58" s="70">
        <f t="shared" si="22"/>
        <v>459.34999999999997</v>
      </c>
      <c r="L58" s="70">
        <f t="shared" si="22"/>
        <v>459.34999999999997</v>
      </c>
      <c r="M58" s="70">
        <f t="shared" si="22"/>
        <v>451.74999999999994</v>
      </c>
      <c r="N58" s="70">
        <f t="shared" si="22"/>
        <v>450.94999999999993</v>
      </c>
      <c r="O58" s="70">
        <f t="shared" si="22"/>
        <v>450.65</v>
      </c>
      <c r="P58" s="70">
        <f t="shared" si="22"/>
        <v>450.65</v>
      </c>
      <c r="Q58" s="70">
        <f t="shared" si="22"/>
        <v>450.65</v>
      </c>
      <c r="R58" s="70">
        <f t="shared" si="22"/>
        <v>450.65</v>
      </c>
      <c r="S58" s="70">
        <f t="shared" ref="S58" si="23">SUM(S11:S56)</f>
        <v>450.65</v>
      </c>
      <c r="T58" s="70">
        <f t="shared" si="22"/>
        <v>450.65</v>
      </c>
      <c r="U58" s="70">
        <f t="shared" si="22"/>
        <v>450.65</v>
      </c>
      <c r="V58" s="70">
        <f t="shared" ref="V58" si="24">SUM(V11:V56)</f>
        <v>450.65</v>
      </c>
      <c r="W58" s="70">
        <f t="shared" si="22"/>
        <v>450.65</v>
      </c>
      <c r="X58" s="70">
        <f t="shared" si="22"/>
        <v>450.65</v>
      </c>
      <c r="Y58" s="70">
        <f t="shared" si="22"/>
        <v>450.65</v>
      </c>
      <c r="Z58" s="70">
        <f t="shared" si="22"/>
        <v>450.65</v>
      </c>
      <c r="AA58" s="70">
        <f t="shared" si="22"/>
        <v>450.65</v>
      </c>
      <c r="AB58" s="70">
        <f t="shared" ref="AB58:AC58" si="25">SUM(AB11:AB56)</f>
        <v>450.65</v>
      </c>
      <c r="AC58" s="70">
        <f t="shared" si="25"/>
        <v>450.65</v>
      </c>
      <c r="AD58" s="70">
        <f t="shared" ref="AD58:AE58" si="26">SUM(AD11:AD56)</f>
        <v>450.65</v>
      </c>
      <c r="AE58" s="70">
        <f t="shared" si="26"/>
        <v>450.65</v>
      </c>
      <c r="AF58" s="70">
        <f t="shared" ref="AF58" si="27">SUM(AF11:AF56)</f>
        <v>450.65</v>
      </c>
      <c r="AG58" s="71">
        <f>SUM(AG14:AG56)</f>
        <v>1042.4000000000001</v>
      </c>
      <c r="AH58" s="48">
        <f t="shared" si="8"/>
        <v>462.34999999999997</v>
      </c>
      <c r="AI58" s="49">
        <f t="shared" si="9"/>
        <v>450.65</v>
      </c>
      <c r="AK58" s="51"/>
      <c r="BZ58" s="181">
        <v>48</v>
      </c>
      <c r="CA58" s="177">
        <v>0.48958333333333298</v>
      </c>
      <c r="CB58" s="182"/>
      <c r="CC58" s="182"/>
      <c r="CD58" s="182"/>
      <c r="CE58" s="182"/>
      <c r="CF58" s="182"/>
      <c r="CG58" s="183"/>
      <c r="CH58" s="183"/>
    </row>
    <row r="59" spans="1:88" x14ac:dyDescent="0.25">
      <c r="A59" s="72" t="s">
        <v>76</v>
      </c>
      <c r="B59" s="46">
        <v>25</v>
      </c>
      <c r="C59" s="46">
        <v>40</v>
      </c>
      <c r="D59" s="46">
        <v>40</v>
      </c>
      <c r="E59" s="46">
        <v>50</v>
      </c>
      <c r="F59" s="46">
        <v>50</v>
      </c>
      <c r="G59" s="46">
        <v>50</v>
      </c>
      <c r="H59" s="46">
        <v>35</v>
      </c>
      <c r="I59" s="46">
        <v>30</v>
      </c>
      <c r="J59" s="46">
        <v>110</v>
      </c>
      <c r="K59" s="46">
        <v>200</v>
      </c>
      <c r="L59" s="46">
        <v>305</v>
      </c>
      <c r="M59" s="46">
        <v>350</v>
      </c>
      <c r="N59" s="73">
        <v>280</v>
      </c>
      <c r="O59" s="73">
        <v>15</v>
      </c>
      <c r="P59" s="73">
        <v>76</v>
      </c>
      <c r="Q59" s="73">
        <v>15</v>
      </c>
      <c r="R59" s="73">
        <v>15</v>
      </c>
      <c r="S59" s="73">
        <v>15</v>
      </c>
      <c r="T59" s="73">
        <v>0</v>
      </c>
      <c r="U59" s="73">
        <v>15</v>
      </c>
      <c r="V59" s="73">
        <v>15</v>
      </c>
      <c r="W59" s="73">
        <v>35</v>
      </c>
      <c r="X59" s="73">
        <v>35</v>
      </c>
      <c r="Y59" s="46">
        <v>100</v>
      </c>
      <c r="Z59" s="46">
        <v>331</v>
      </c>
      <c r="AA59" s="46">
        <v>410</v>
      </c>
      <c r="AB59" s="46">
        <v>280</v>
      </c>
      <c r="AC59" s="46">
        <v>130</v>
      </c>
      <c r="AD59" s="46">
        <v>132.5</v>
      </c>
      <c r="AE59" s="46">
        <v>30</v>
      </c>
      <c r="AF59" s="46">
        <v>20</v>
      </c>
      <c r="AG59" s="60">
        <v>456</v>
      </c>
      <c r="AH59" s="48">
        <f t="shared" si="8"/>
        <v>410</v>
      </c>
      <c r="AI59" s="49">
        <f t="shared" si="9"/>
        <v>0</v>
      </c>
      <c r="AK59" s="51"/>
      <c r="BZ59" s="181">
        <v>49</v>
      </c>
      <c r="CA59" s="177">
        <v>0.5</v>
      </c>
      <c r="CB59" s="182"/>
      <c r="CC59" s="182"/>
      <c r="CD59" s="182"/>
      <c r="CE59" s="182"/>
      <c r="CF59" s="182"/>
      <c r="CG59" s="183"/>
      <c r="CH59" s="183"/>
    </row>
    <row r="60" spans="1:88" x14ac:dyDescent="0.25">
      <c r="A60" s="74" t="s">
        <v>77</v>
      </c>
      <c r="B60" s="75">
        <v>27</v>
      </c>
      <c r="C60" s="75">
        <v>27</v>
      </c>
      <c r="D60" s="75">
        <v>27</v>
      </c>
      <c r="E60" s="75">
        <v>27</v>
      </c>
      <c r="F60" s="75">
        <v>27</v>
      </c>
      <c r="G60" s="75">
        <v>27</v>
      </c>
      <c r="H60" s="75">
        <v>27</v>
      </c>
      <c r="I60" s="75">
        <v>27</v>
      </c>
      <c r="J60" s="75">
        <v>27</v>
      </c>
      <c r="K60" s="75">
        <v>27</v>
      </c>
      <c r="L60" s="75">
        <v>27</v>
      </c>
      <c r="M60" s="75">
        <v>27</v>
      </c>
      <c r="N60" s="75">
        <v>27</v>
      </c>
      <c r="O60" s="75">
        <v>27</v>
      </c>
      <c r="P60" s="75">
        <v>27</v>
      </c>
      <c r="Q60" s="75">
        <v>27</v>
      </c>
      <c r="R60" s="75">
        <v>27</v>
      </c>
      <c r="S60" s="75">
        <v>27</v>
      </c>
      <c r="T60" s="75">
        <v>27</v>
      </c>
      <c r="U60" s="75">
        <v>27</v>
      </c>
      <c r="V60" s="75">
        <v>27</v>
      </c>
      <c r="W60" s="75">
        <v>27</v>
      </c>
      <c r="X60" s="75">
        <v>27</v>
      </c>
      <c r="Y60" s="75">
        <v>27</v>
      </c>
      <c r="Z60" s="75">
        <v>27</v>
      </c>
      <c r="AA60" s="75">
        <v>27</v>
      </c>
      <c r="AB60" s="75">
        <v>27</v>
      </c>
      <c r="AC60" s="75">
        <v>27</v>
      </c>
      <c r="AD60" s="75">
        <v>27</v>
      </c>
      <c r="AE60" s="75">
        <v>27</v>
      </c>
      <c r="AF60" s="75">
        <v>27</v>
      </c>
      <c r="AG60" s="65">
        <v>60</v>
      </c>
      <c r="AH60" s="48">
        <f t="shared" si="8"/>
        <v>27</v>
      </c>
      <c r="AI60" s="49">
        <f t="shared" si="9"/>
        <v>27</v>
      </c>
      <c r="AK60" s="51"/>
      <c r="BZ60" s="181">
        <v>50</v>
      </c>
      <c r="CA60" s="177">
        <v>0.51041666666666696</v>
      </c>
      <c r="CB60" s="182"/>
      <c r="CC60" s="182"/>
      <c r="CD60" s="182"/>
      <c r="CE60" s="182"/>
      <c r="CF60" s="182"/>
      <c r="CG60" s="183"/>
      <c r="CH60" s="183"/>
    </row>
    <row r="61" spans="1:88" ht="15.75" thickBot="1" x14ac:dyDescent="0.3">
      <c r="A61" s="76" t="s">
        <v>78</v>
      </c>
      <c r="B61" s="77">
        <v>10.1</v>
      </c>
      <c r="C61" s="77">
        <v>10.1</v>
      </c>
      <c r="D61" s="77">
        <v>10.1</v>
      </c>
      <c r="E61" s="77">
        <v>10.1</v>
      </c>
      <c r="F61" s="77">
        <v>10.1</v>
      </c>
      <c r="G61" s="77">
        <v>10.1</v>
      </c>
      <c r="H61" s="77">
        <v>10.1</v>
      </c>
      <c r="I61" s="77">
        <v>10.1</v>
      </c>
      <c r="J61" s="77">
        <v>10.1</v>
      </c>
      <c r="K61" s="77">
        <v>10.1</v>
      </c>
      <c r="L61" s="77">
        <v>10.1</v>
      </c>
      <c r="M61" s="77">
        <v>10.1</v>
      </c>
      <c r="N61" s="77">
        <v>14.2</v>
      </c>
      <c r="O61" s="77">
        <v>10</v>
      </c>
      <c r="P61" s="77">
        <v>10</v>
      </c>
      <c r="Q61" s="77">
        <v>9.1</v>
      </c>
      <c r="R61" s="77">
        <v>9.1</v>
      </c>
      <c r="S61" s="77">
        <v>9.1</v>
      </c>
      <c r="T61" s="77">
        <v>9.1</v>
      </c>
      <c r="U61" s="77">
        <v>9.1</v>
      </c>
      <c r="V61" s="77">
        <v>9.1</v>
      </c>
      <c r="W61" s="77">
        <v>9.1</v>
      </c>
      <c r="X61" s="77">
        <v>9.1</v>
      </c>
      <c r="Y61" s="77">
        <v>9.1</v>
      </c>
      <c r="Z61" s="77">
        <v>10.5</v>
      </c>
      <c r="AA61" s="77">
        <v>10.5</v>
      </c>
      <c r="AB61" s="77">
        <v>10.5</v>
      </c>
      <c r="AC61" s="77">
        <v>10.5</v>
      </c>
      <c r="AD61" s="77">
        <v>10.5</v>
      </c>
      <c r="AE61" s="77">
        <v>10.5</v>
      </c>
      <c r="AF61" s="77">
        <v>10.5</v>
      </c>
      <c r="AG61" s="78">
        <v>22.1</v>
      </c>
      <c r="AH61" s="48">
        <f t="shared" si="8"/>
        <v>14.2</v>
      </c>
      <c r="AI61" s="49">
        <f t="shared" si="9"/>
        <v>9.1</v>
      </c>
      <c r="AK61" s="51"/>
      <c r="BZ61" s="181">
        <v>51</v>
      </c>
      <c r="CA61" s="177">
        <v>0.52083333333333304</v>
      </c>
      <c r="CB61" s="182"/>
      <c r="CC61" s="182"/>
      <c r="CD61" s="182"/>
      <c r="CE61" s="182"/>
      <c r="CF61" s="182"/>
      <c r="CG61" s="183"/>
      <c r="CH61" s="183"/>
    </row>
    <row r="62" spans="1:88" ht="15.75" thickBot="1" x14ac:dyDescent="0.3">
      <c r="A62" s="79" t="s">
        <v>79</v>
      </c>
      <c r="B62" s="70">
        <f t="shared" ref="B62:AG62" si="28">SUM(B59:B61)</f>
        <v>62.1</v>
      </c>
      <c r="C62" s="70">
        <f t="shared" si="28"/>
        <v>77.099999999999994</v>
      </c>
      <c r="D62" s="70">
        <f t="shared" si="28"/>
        <v>77.099999999999994</v>
      </c>
      <c r="E62" s="70">
        <f t="shared" si="28"/>
        <v>87.1</v>
      </c>
      <c r="F62" s="70">
        <f t="shared" si="28"/>
        <v>87.1</v>
      </c>
      <c r="G62" s="70">
        <f t="shared" si="28"/>
        <v>87.1</v>
      </c>
      <c r="H62" s="70">
        <f t="shared" si="28"/>
        <v>72.099999999999994</v>
      </c>
      <c r="I62" s="70">
        <f t="shared" si="28"/>
        <v>67.099999999999994</v>
      </c>
      <c r="J62" s="70">
        <f t="shared" si="28"/>
        <v>147.1</v>
      </c>
      <c r="K62" s="70">
        <f t="shared" si="28"/>
        <v>237.1</v>
      </c>
      <c r="L62" s="70">
        <f t="shared" si="28"/>
        <v>342.1</v>
      </c>
      <c r="M62" s="70">
        <f t="shared" si="28"/>
        <v>387.1</v>
      </c>
      <c r="N62" s="70">
        <f t="shared" si="28"/>
        <v>321.2</v>
      </c>
      <c r="O62" s="70">
        <f t="shared" si="28"/>
        <v>52</v>
      </c>
      <c r="P62" s="70">
        <f t="shared" si="28"/>
        <v>113</v>
      </c>
      <c r="Q62" s="70">
        <f t="shared" si="28"/>
        <v>51.1</v>
      </c>
      <c r="R62" s="70">
        <f t="shared" si="28"/>
        <v>51.1</v>
      </c>
      <c r="S62" s="70">
        <f t="shared" ref="S62" si="29">SUM(S59:S61)</f>
        <v>51.1</v>
      </c>
      <c r="T62" s="70">
        <f t="shared" si="28"/>
        <v>36.1</v>
      </c>
      <c r="U62" s="70">
        <f t="shared" si="28"/>
        <v>51.1</v>
      </c>
      <c r="V62" s="70">
        <f t="shared" ref="V62" si="30">SUM(V59:V61)</f>
        <v>51.1</v>
      </c>
      <c r="W62" s="70">
        <f t="shared" si="28"/>
        <v>71.099999999999994</v>
      </c>
      <c r="X62" s="70">
        <f t="shared" si="28"/>
        <v>71.099999999999994</v>
      </c>
      <c r="Y62" s="70">
        <f t="shared" si="28"/>
        <v>136.1</v>
      </c>
      <c r="Z62" s="70">
        <f t="shared" si="28"/>
        <v>368.5</v>
      </c>
      <c r="AA62" s="70">
        <f t="shared" si="28"/>
        <v>447.5</v>
      </c>
      <c r="AB62" s="70">
        <f t="shared" ref="AB62:AC62" si="31">SUM(AB59:AB61)</f>
        <v>317.5</v>
      </c>
      <c r="AC62" s="70">
        <f t="shared" si="31"/>
        <v>167.5</v>
      </c>
      <c r="AD62" s="70">
        <f t="shared" ref="AD62:AE62" si="32">SUM(AD59:AD61)</f>
        <v>170</v>
      </c>
      <c r="AE62" s="70">
        <f t="shared" si="32"/>
        <v>67.5</v>
      </c>
      <c r="AF62" s="70">
        <f t="shared" ref="AF62" si="33">SUM(AF59:AF61)</f>
        <v>57.5</v>
      </c>
      <c r="AG62" s="71">
        <f t="shared" si="28"/>
        <v>538.1</v>
      </c>
      <c r="AH62" s="48">
        <f t="shared" si="8"/>
        <v>447.5</v>
      </c>
      <c r="AI62" s="49">
        <f t="shared" si="9"/>
        <v>36.1</v>
      </c>
      <c r="AK62" s="51"/>
      <c r="BZ62" s="181">
        <v>52</v>
      </c>
      <c r="CA62" s="177">
        <v>0.53125</v>
      </c>
      <c r="CB62" s="182"/>
      <c r="CC62" s="182"/>
      <c r="CD62" s="182"/>
      <c r="CE62" s="182"/>
      <c r="CF62" s="182"/>
      <c r="CG62" s="183"/>
      <c r="CH62" s="183"/>
    </row>
    <row r="63" spans="1:88" x14ac:dyDescent="0.25">
      <c r="A63" s="45" t="s">
        <v>80</v>
      </c>
      <c r="B63" s="46">
        <v>35.5</v>
      </c>
      <c r="C63" s="46">
        <v>0</v>
      </c>
      <c r="D63" s="46">
        <v>0</v>
      </c>
      <c r="E63" s="46">
        <v>0</v>
      </c>
      <c r="F63" s="46">
        <v>0</v>
      </c>
      <c r="G63" s="46">
        <v>0</v>
      </c>
      <c r="H63" s="46">
        <v>0</v>
      </c>
      <c r="I63" s="46">
        <v>30.3</v>
      </c>
      <c r="J63" s="46">
        <v>98.4</v>
      </c>
      <c r="K63" s="46">
        <v>121</v>
      </c>
      <c r="L63" s="46">
        <v>121</v>
      </c>
      <c r="M63" s="46">
        <v>142.19999999999999</v>
      </c>
      <c r="N63" s="46">
        <v>81.3</v>
      </c>
      <c r="O63" s="46">
        <v>51.5</v>
      </c>
      <c r="P63" s="46">
        <v>48</v>
      </c>
      <c r="Q63" s="46">
        <v>38</v>
      </c>
      <c r="R63" s="46">
        <v>38.9</v>
      </c>
      <c r="S63" s="46">
        <v>49</v>
      </c>
      <c r="T63" s="46">
        <v>49</v>
      </c>
      <c r="U63" s="46">
        <v>47</v>
      </c>
      <c r="V63" s="46">
        <v>47</v>
      </c>
      <c r="W63" s="46">
        <v>40</v>
      </c>
      <c r="X63" s="46">
        <v>65.2</v>
      </c>
      <c r="Y63" s="46">
        <v>110.3</v>
      </c>
      <c r="Z63" s="46">
        <v>142</v>
      </c>
      <c r="AA63" s="46">
        <v>142</v>
      </c>
      <c r="AB63" s="46">
        <v>80</v>
      </c>
      <c r="AC63" s="46">
        <v>80</v>
      </c>
      <c r="AD63" s="46">
        <v>60.3</v>
      </c>
      <c r="AE63" s="46">
        <v>60.3</v>
      </c>
      <c r="AF63" s="46">
        <v>30.4</v>
      </c>
      <c r="AG63" s="60">
        <v>144</v>
      </c>
      <c r="AH63" s="48">
        <f t="shared" si="8"/>
        <v>142.19999999999999</v>
      </c>
      <c r="AI63" s="49">
        <f t="shared" si="9"/>
        <v>0</v>
      </c>
      <c r="AK63" s="51"/>
      <c r="BZ63" s="181">
        <v>53</v>
      </c>
      <c r="CA63" s="177">
        <v>0.54166666666666696</v>
      </c>
      <c r="CB63" s="182"/>
      <c r="CC63" s="182"/>
      <c r="CD63" s="182"/>
      <c r="CE63" s="182"/>
      <c r="CF63" s="182"/>
      <c r="CG63" s="183"/>
      <c r="CH63" s="183"/>
    </row>
    <row r="64" spans="1:88" x14ac:dyDescent="0.25">
      <c r="A64" s="64" t="s">
        <v>81</v>
      </c>
      <c r="B64" s="75">
        <v>0</v>
      </c>
      <c r="C64" s="75">
        <v>0</v>
      </c>
      <c r="D64" s="75">
        <v>0</v>
      </c>
      <c r="E64" s="75">
        <v>0</v>
      </c>
      <c r="F64" s="75">
        <v>0</v>
      </c>
      <c r="G64" s="75">
        <v>0</v>
      </c>
      <c r="H64" s="75">
        <v>0</v>
      </c>
      <c r="I64" s="75">
        <v>24.8</v>
      </c>
      <c r="J64" s="75">
        <v>48.3</v>
      </c>
      <c r="K64" s="75">
        <v>69</v>
      </c>
      <c r="L64" s="75">
        <v>69</v>
      </c>
      <c r="M64" s="75">
        <v>53.7</v>
      </c>
      <c r="N64" s="75">
        <v>45.5</v>
      </c>
      <c r="O64" s="75">
        <v>46</v>
      </c>
      <c r="P64" s="75">
        <v>56.7</v>
      </c>
      <c r="Q64" s="75">
        <v>56</v>
      </c>
      <c r="R64" s="75">
        <v>46.1</v>
      </c>
      <c r="S64" s="75">
        <v>46.1</v>
      </c>
      <c r="T64" s="75">
        <v>46.1</v>
      </c>
      <c r="U64" s="75">
        <v>24.1</v>
      </c>
      <c r="V64" s="75">
        <v>0</v>
      </c>
      <c r="W64" s="75">
        <v>0</v>
      </c>
      <c r="X64" s="75">
        <v>0</v>
      </c>
      <c r="Y64" s="75">
        <v>25.5</v>
      </c>
      <c r="Z64" s="46">
        <v>47.2</v>
      </c>
      <c r="AA64" s="46">
        <v>47.2</v>
      </c>
      <c r="AB64" s="46">
        <v>24.2</v>
      </c>
      <c r="AC64" s="46">
        <v>0</v>
      </c>
      <c r="AD64" s="46">
        <v>25.1</v>
      </c>
      <c r="AE64" s="46">
        <v>24.9</v>
      </c>
      <c r="AF64" s="46">
        <v>34.799999999999997</v>
      </c>
      <c r="AG64" s="65">
        <v>70</v>
      </c>
      <c r="AH64" s="48">
        <f t="shared" si="8"/>
        <v>69</v>
      </c>
      <c r="AI64" s="49">
        <f t="shared" si="9"/>
        <v>0</v>
      </c>
      <c r="AK64" s="51"/>
      <c r="BZ64" s="181">
        <v>54</v>
      </c>
      <c r="CA64" s="177">
        <v>0.55208333333333304</v>
      </c>
      <c r="CB64" s="182"/>
      <c r="CC64" s="182"/>
      <c r="CD64" s="182"/>
      <c r="CE64" s="182"/>
      <c r="CF64" s="182"/>
      <c r="CG64" s="183"/>
      <c r="CH64" s="183"/>
    </row>
    <row r="65" spans="1:86" x14ac:dyDescent="0.25">
      <c r="A65" s="64" t="s">
        <v>82</v>
      </c>
      <c r="B65" s="75">
        <v>18</v>
      </c>
      <c r="C65" s="75">
        <v>0</v>
      </c>
      <c r="D65" s="75">
        <v>0</v>
      </c>
      <c r="E65" s="75">
        <v>0</v>
      </c>
      <c r="F65" s="75">
        <v>0</v>
      </c>
      <c r="G65" s="75">
        <v>0</v>
      </c>
      <c r="H65" s="75">
        <v>0</v>
      </c>
      <c r="I65" s="75">
        <v>14.9</v>
      </c>
      <c r="J65" s="75">
        <v>58.39</v>
      </c>
      <c r="K65" s="75">
        <v>69</v>
      </c>
      <c r="L65" s="75">
        <v>69</v>
      </c>
      <c r="M65" s="75">
        <v>50.9</v>
      </c>
      <c r="N65" s="75">
        <v>51.6</v>
      </c>
      <c r="O65" s="75">
        <v>32.5</v>
      </c>
      <c r="P65" s="75">
        <v>45.4</v>
      </c>
      <c r="Q65" s="75">
        <v>45.6</v>
      </c>
      <c r="R65" s="75">
        <v>18.3</v>
      </c>
      <c r="S65" s="75">
        <v>18.3</v>
      </c>
      <c r="T65" s="75">
        <v>18.3</v>
      </c>
      <c r="U65" s="75">
        <v>24</v>
      </c>
      <c r="V65" s="75">
        <v>16</v>
      </c>
      <c r="W65" s="75">
        <v>16</v>
      </c>
      <c r="X65" s="75">
        <v>34.299999999999997</v>
      </c>
      <c r="Y65" s="75">
        <v>56</v>
      </c>
      <c r="Z65" s="46">
        <v>68</v>
      </c>
      <c r="AA65" s="46">
        <v>68</v>
      </c>
      <c r="AB65" s="46">
        <v>54.1</v>
      </c>
      <c r="AC65" s="46">
        <v>46.9</v>
      </c>
      <c r="AD65" s="46">
        <v>46.9</v>
      </c>
      <c r="AE65" s="46">
        <v>21.3</v>
      </c>
      <c r="AF65" s="46">
        <v>0</v>
      </c>
      <c r="AG65" s="65">
        <v>69</v>
      </c>
      <c r="AH65" s="48">
        <f t="shared" si="8"/>
        <v>69</v>
      </c>
      <c r="AI65" s="49">
        <f t="shared" si="9"/>
        <v>0</v>
      </c>
      <c r="AK65" s="51"/>
      <c r="BZ65" s="181">
        <v>55</v>
      </c>
      <c r="CA65" s="177">
        <v>0.5625</v>
      </c>
      <c r="CB65" s="182"/>
      <c r="CC65" s="182"/>
      <c r="CD65" s="182"/>
      <c r="CE65" s="182"/>
      <c r="CF65" s="182"/>
      <c r="CG65" s="183"/>
      <c r="CH65" s="183"/>
    </row>
    <row r="66" spans="1:86" x14ac:dyDescent="0.25">
      <c r="A66" s="64" t="s">
        <v>83</v>
      </c>
      <c r="B66" s="75">
        <v>34</v>
      </c>
      <c r="C66" s="75">
        <v>34</v>
      </c>
      <c r="D66" s="75">
        <v>34</v>
      </c>
      <c r="E66" s="75">
        <v>35.299999999999997</v>
      </c>
      <c r="F66" s="75">
        <v>35.299999999999997</v>
      </c>
      <c r="G66" s="75">
        <v>35.299999999999997</v>
      </c>
      <c r="H66" s="75">
        <v>35.299999999999997</v>
      </c>
      <c r="I66" s="75">
        <v>35.299999999999997</v>
      </c>
      <c r="J66" s="75">
        <v>35.200000000000003</v>
      </c>
      <c r="K66" s="75">
        <v>35.200000000000003</v>
      </c>
      <c r="L66" s="75">
        <v>35.200000000000003</v>
      </c>
      <c r="M66" s="75">
        <v>36</v>
      </c>
      <c r="N66" s="75">
        <v>36</v>
      </c>
      <c r="O66" s="75">
        <v>34</v>
      </c>
      <c r="P66" s="75">
        <v>33.700000000000003</v>
      </c>
      <c r="Q66" s="75">
        <v>34</v>
      </c>
      <c r="R66" s="75">
        <v>34</v>
      </c>
      <c r="S66" s="75">
        <v>34</v>
      </c>
      <c r="T66" s="75">
        <v>34</v>
      </c>
      <c r="U66" s="75">
        <v>34</v>
      </c>
      <c r="V66" s="75">
        <v>34</v>
      </c>
      <c r="W66" s="75">
        <v>34</v>
      </c>
      <c r="X66" s="75">
        <v>30.2</v>
      </c>
      <c r="Y66" s="75">
        <v>30.2</v>
      </c>
      <c r="Z66" s="46">
        <v>30.2</v>
      </c>
      <c r="AA66" s="46">
        <v>30.2</v>
      </c>
      <c r="AB66" s="46">
        <v>33</v>
      </c>
      <c r="AC66" s="46">
        <v>33</v>
      </c>
      <c r="AD66" s="46">
        <v>33</v>
      </c>
      <c r="AE66" s="46">
        <v>33</v>
      </c>
      <c r="AF66" s="46">
        <v>33</v>
      </c>
      <c r="AG66" s="65">
        <v>60</v>
      </c>
      <c r="AH66" s="48">
        <f t="shared" si="8"/>
        <v>36</v>
      </c>
      <c r="AI66" s="49">
        <f t="shared" si="9"/>
        <v>30.2</v>
      </c>
      <c r="AK66" s="51"/>
      <c r="BZ66" s="181">
        <v>56</v>
      </c>
      <c r="CA66" s="177">
        <v>0.57291666666666696</v>
      </c>
      <c r="CB66" s="182"/>
      <c r="CC66" s="182"/>
      <c r="CD66" s="182"/>
      <c r="CE66" s="182"/>
      <c r="CF66" s="182"/>
      <c r="CG66" s="183"/>
      <c r="CH66" s="183"/>
    </row>
    <row r="67" spans="1:86" x14ac:dyDescent="0.25">
      <c r="A67" s="64" t="s">
        <v>84</v>
      </c>
      <c r="B67" s="46">
        <v>0</v>
      </c>
      <c r="C67" s="46">
        <v>0</v>
      </c>
      <c r="D67" s="46">
        <v>0</v>
      </c>
      <c r="E67" s="75">
        <v>0</v>
      </c>
      <c r="F67" s="75">
        <v>0</v>
      </c>
      <c r="G67" s="75">
        <v>0</v>
      </c>
      <c r="H67" s="75">
        <v>14.9</v>
      </c>
      <c r="I67" s="75">
        <v>24.7</v>
      </c>
      <c r="J67" s="75">
        <v>26.3</v>
      </c>
      <c r="K67" s="75">
        <v>23</v>
      </c>
      <c r="L67" s="75">
        <v>23</v>
      </c>
      <c r="M67" s="75">
        <v>23.4</v>
      </c>
      <c r="N67" s="75">
        <v>15</v>
      </c>
      <c r="O67" s="75">
        <v>10</v>
      </c>
      <c r="P67" s="75">
        <v>0</v>
      </c>
      <c r="Q67" s="75">
        <v>0</v>
      </c>
      <c r="R67" s="75">
        <v>0</v>
      </c>
      <c r="S67" s="75">
        <v>0</v>
      </c>
      <c r="T67" s="75">
        <v>0</v>
      </c>
      <c r="U67" s="75">
        <v>0</v>
      </c>
      <c r="V67" s="75">
        <v>10</v>
      </c>
      <c r="W67" s="75">
        <v>10</v>
      </c>
      <c r="X67" s="75">
        <v>10</v>
      </c>
      <c r="Y67" s="75">
        <v>24.6</v>
      </c>
      <c r="Z67" s="46">
        <v>28.4</v>
      </c>
      <c r="AA67" s="46">
        <v>28.4</v>
      </c>
      <c r="AB67" s="46">
        <v>28.1</v>
      </c>
      <c r="AC67" s="46">
        <v>28.1</v>
      </c>
      <c r="AD67" s="46">
        <v>23.4</v>
      </c>
      <c r="AE67" s="46">
        <v>27.2</v>
      </c>
      <c r="AF67" s="46">
        <v>9.9</v>
      </c>
      <c r="AG67" s="65">
        <v>30</v>
      </c>
      <c r="AH67" s="48">
        <f t="shared" si="8"/>
        <v>28.4</v>
      </c>
      <c r="AI67" s="49">
        <f t="shared" si="9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  <c r="BZ67" s="181">
        <v>57</v>
      </c>
      <c r="CA67" s="177">
        <v>0.58333333333333304</v>
      </c>
      <c r="CB67" s="182"/>
      <c r="CC67" s="182"/>
      <c r="CD67" s="182"/>
      <c r="CE67" s="182"/>
      <c r="CF67" s="182"/>
      <c r="CG67" s="183"/>
      <c r="CH67" s="183"/>
    </row>
    <row r="68" spans="1:86" x14ac:dyDescent="0.25">
      <c r="A68" s="64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0.4</v>
      </c>
      <c r="K68" s="46">
        <v>0.4</v>
      </c>
      <c r="L68" s="46">
        <v>0.4</v>
      </c>
      <c r="M68" s="75">
        <v>6.4</v>
      </c>
      <c r="N68" s="75">
        <v>11.4</v>
      </c>
      <c r="O68" s="75">
        <v>14.7</v>
      </c>
      <c r="P68" s="75">
        <v>16</v>
      </c>
      <c r="Q68" s="75">
        <v>18</v>
      </c>
      <c r="R68" s="75">
        <v>18</v>
      </c>
      <c r="S68" s="75">
        <v>18</v>
      </c>
      <c r="T68" s="75">
        <v>12.3</v>
      </c>
      <c r="U68" s="75">
        <v>8.6999999999999993</v>
      </c>
      <c r="V68" s="75">
        <v>2</v>
      </c>
      <c r="W68" s="75">
        <v>0.6</v>
      </c>
      <c r="X68" s="75">
        <v>0</v>
      </c>
      <c r="Y68" s="75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5">
        <v>25</v>
      </c>
      <c r="AH68" s="48">
        <f t="shared" si="8"/>
        <v>18</v>
      </c>
      <c r="AI68" s="49">
        <f t="shared" si="9"/>
        <v>0</v>
      </c>
      <c r="AK68" s="51"/>
      <c r="AY68" s="1" t="s">
        <v>86</v>
      </c>
      <c r="AZ68" s="81">
        <f>ROUND(C81,0)</f>
        <v>60</v>
      </c>
      <c r="BA68" s="80">
        <f t="shared" ref="BA68:BD72" si="34">D81</f>
        <v>58</v>
      </c>
      <c r="BB68" s="80">
        <f t="shared" si="34"/>
        <v>61</v>
      </c>
      <c r="BC68" s="80">
        <f t="shared" si="34"/>
        <v>51.2</v>
      </c>
      <c r="BD68" s="80">
        <f t="shared" si="34"/>
        <v>48</v>
      </c>
      <c r="BE68" s="81">
        <f>I81</f>
        <v>58</v>
      </c>
      <c r="BF68" s="81">
        <f>K81</f>
        <v>65.7</v>
      </c>
      <c r="BG68" s="81">
        <f t="shared" ref="BG68:BP72" si="35">M81</f>
        <v>50.3</v>
      </c>
      <c r="BH68" s="81">
        <f t="shared" si="35"/>
        <v>53.1</v>
      </c>
      <c r="BI68" s="81">
        <f t="shared" si="35"/>
        <v>58.8</v>
      </c>
      <c r="BJ68" s="81">
        <f t="shared" si="35"/>
        <v>55.6</v>
      </c>
      <c r="BK68" s="81">
        <f t="shared" si="35"/>
        <v>59.4</v>
      </c>
      <c r="BL68" s="81">
        <f t="shared" si="35"/>
        <v>54</v>
      </c>
      <c r="BM68" s="81">
        <f t="shared" si="35"/>
        <v>59</v>
      </c>
      <c r="BN68" s="81">
        <f t="shared" si="35"/>
        <v>57</v>
      </c>
      <c r="BO68" s="81">
        <f t="shared" si="35"/>
        <v>62.1</v>
      </c>
      <c r="BP68" s="81">
        <f t="shared" si="35"/>
        <v>48</v>
      </c>
      <c r="BQ68" s="81">
        <f>X81</f>
        <v>53.9</v>
      </c>
      <c r="BR68" s="81">
        <f>Z81</f>
        <v>66</v>
      </c>
      <c r="BS68" s="80">
        <f>AB81</f>
        <v>42</v>
      </c>
      <c r="BT68" s="80">
        <f>AD81</f>
        <v>65.099999999999994</v>
      </c>
      <c r="BU68" s="80">
        <f>AE81</f>
        <v>59.1</v>
      </c>
      <c r="BV68" s="80">
        <f>AF81</f>
        <v>61.2</v>
      </c>
      <c r="BW68" s="80">
        <f>B81</f>
        <v>65</v>
      </c>
      <c r="BZ68" s="181">
        <v>58</v>
      </c>
      <c r="CA68" s="177">
        <v>0.59375</v>
      </c>
      <c r="CB68" s="182"/>
      <c r="CC68" s="182"/>
      <c r="CD68" s="182"/>
      <c r="CE68" s="182"/>
      <c r="CF68" s="182"/>
      <c r="CG68" s="183"/>
      <c r="CH68" s="183"/>
    </row>
    <row r="69" spans="1:86" x14ac:dyDescent="0.25">
      <c r="A69" s="64" t="s">
        <v>87</v>
      </c>
      <c r="B69" s="75">
        <v>16</v>
      </c>
      <c r="C69" s="75">
        <v>16</v>
      </c>
      <c r="D69" s="75">
        <v>16</v>
      </c>
      <c r="E69" s="75">
        <v>15</v>
      </c>
      <c r="F69" s="75">
        <v>15</v>
      </c>
      <c r="G69" s="75">
        <v>15</v>
      </c>
      <c r="H69" s="75">
        <v>15</v>
      </c>
      <c r="I69" s="75">
        <v>15</v>
      </c>
      <c r="J69" s="75">
        <v>15</v>
      </c>
      <c r="K69" s="75">
        <v>15</v>
      </c>
      <c r="L69" s="75">
        <v>15</v>
      </c>
      <c r="M69" s="75">
        <v>15</v>
      </c>
      <c r="N69" s="75">
        <v>15</v>
      </c>
      <c r="O69" s="75">
        <v>15</v>
      </c>
      <c r="P69" s="75">
        <v>15</v>
      </c>
      <c r="Q69" s="75">
        <v>15</v>
      </c>
      <c r="R69" s="75">
        <v>15</v>
      </c>
      <c r="S69" s="75">
        <v>15</v>
      </c>
      <c r="T69" s="75">
        <v>15</v>
      </c>
      <c r="U69" s="75">
        <v>15</v>
      </c>
      <c r="V69" s="75">
        <v>15</v>
      </c>
      <c r="W69" s="75">
        <v>15</v>
      </c>
      <c r="X69" s="75">
        <v>15</v>
      </c>
      <c r="Y69" s="75">
        <v>15</v>
      </c>
      <c r="Z69" s="75">
        <v>15</v>
      </c>
      <c r="AA69" s="75">
        <v>15</v>
      </c>
      <c r="AB69" s="75">
        <v>15</v>
      </c>
      <c r="AC69" s="75">
        <v>15</v>
      </c>
      <c r="AD69" s="75">
        <v>15</v>
      </c>
      <c r="AE69" s="75">
        <v>15</v>
      </c>
      <c r="AF69" s="75">
        <v>15</v>
      </c>
      <c r="AG69" s="65">
        <v>24</v>
      </c>
      <c r="AH69" s="48">
        <f t="shared" si="8"/>
        <v>16</v>
      </c>
      <c r="AI69" s="49">
        <f t="shared" si="9"/>
        <v>15</v>
      </c>
      <c r="AK69" s="51"/>
      <c r="AY69" s="1" t="s">
        <v>88</v>
      </c>
      <c r="AZ69" s="81">
        <f>ROUND(C82,0)</f>
        <v>0</v>
      </c>
      <c r="BA69" s="80">
        <f t="shared" si="34"/>
        <v>0</v>
      </c>
      <c r="BB69" s="80">
        <f t="shared" si="34"/>
        <v>0</v>
      </c>
      <c r="BC69" s="80">
        <f t="shared" si="34"/>
        <v>0</v>
      </c>
      <c r="BD69" s="80">
        <f t="shared" si="34"/>
        <v>0</v>
      </c>
      <c r="BE69" s="81">
        <f t="shared" ref="BE69:BE72" si="36">I82</f>
        <v>0</v>
      </c>
      <c r="BF69" s="81">
        <f t="shared" ref="BF69:BF72" si="37">K82</f>
        <v>0</v>
      </c>
      <c r="BG69" s="81">
        <f t="shared" si="35"/>
        <v>0</v>
      </c>
      <c r="BH69" s="81">
        <f t="shared" si="35"/>
        <v>0</v>
      </c>
      <c r="BI69" s="81">
        <f t="shared" si="35"/>
        <v>0</v>
      </c>
      <c r="BJ69" s="81">
        <f t="shared" si="35"/>
        <v>0</v>
      </c>
      <c r="BK69" s="81">
        <f t="shared" si="35"/>
        <v>0</v>
      </c>
      <c r="BL69" s="81">
        <f t="shared" si="35"/>
        <v>0</v>
      </c>
      <c r="BM69" s="81">
        <f t="shared" si="35"/>
        <v>0</v>
      </c>
      <c r="BN69" s="81">
        <f t="shared" si="35"/>
        <v>0</v>
      </c>
      <c r="BO69" s="81">
        <f t="shared" si="35"/>
        <v>0</v>
      </c>
      <c r="BP69" s="81">
        <f t="shared" si="35"/>
        <v>0</v>
      </c>
      <c r="BQ69" s="81">
        <f t="shared" ref="BQ69:BQ72" si="38">X82</f>
        <v>0</v>
      </c>
      <c r="BR69" s="81">
        <f t="shared" ref="BR69:BR72" si="39">Z82</f>
        <v>0</v>
      </c>
      <c r="BS69" s="80">
        <f t="shared" ref="BS69:BS72" si="40">AB82</f>
        <v>0</v>
      </c>
      <c r="BT69" s="80">
        <f t="shared" ref="BT69:BV72" si="41">AD82</f>
        <v>0</v>
      </c>
      <c r="BU69" s="80">
        <f t="shared" si="41"/>
        <v>0</v>
      </c>
      <c r="BV69" s="80">
        <f t="shared" si="41"/>
        <v>0</v>
      </c>
      <c r="BW69" s="80">
        <f t="shared" ref="BW69:BW72" si="42">B82</f>
        <v>0</v>
      </c>
      <c r="BZ69" s="181">
        <v>59</v>
      </c>
      <c r="CA69" s="177">
        <v>0.60416666666666696</v>
      </c>
      <c r="CB69" s="182"/>
      <c r="CC69" s="182"/>
      <c r="CD69" s="182"/>
      <c r="CE69" s="182"/>
      <c r="CF69" s="182"/>
      <c r="CG69" s="183"/>
      <c r="CH69" s="183"/>
    </row>
    <row r="70" spans="1:86" x14ac:dyDescent="0.25">
      <c r="A70" s="64" t="s">
        <v>89</v>
      </c>
      <c r="B70" s="75">
        <v>4</v>
      </c>
      <c r="C70" s="75">
        <v>4</v>
      </c>
      <c r="D70" s="75">
        <v>4</v>
      </c>
      <c r="E70" s="75">
        <v>4</v>
      </c>
      <c r="F70" s="75">
        <v>4</v>
      </c>
      <c r="G70" s="75">
        <v>4</v>
      </c>
      <c r="H70" s="75">
        <v>4</v>
      </c>
      <c r="I70" s="75">
        <v>4</v>
      </c>
      <c r="J70" s="75">
        <v>4</v>
      </c>
      <c r="K70" s="75">
        <v>4</v>
      </c>
      <c r="L70" s="75">
        <v>4</v>
      </c>
      <c r="M70" s="75">
        <v>4</v>
      </c>
      <c r="N70" s="75">
        <v>4</v>
      </c>
      <c r="O70" s="75">
        <v>4</v>
      </c>
      <c r="P70" s="75">
        <v>4</v>
      </c>
      <c r="Q70" s="75">
        <v>4</v>
      </c>
      <c r="R70" s="75">
        <v>4</v>
      </c>
      <c r="S70" s="75">
        <v>4</v>
      </c>
      <c r="T70" s="75">
        <v>4</v>
      </c>
      <c r="U70" s="75">
        <v>4</v>
      </c>
      <c r="V70" s="75">
        <v>4</v>
      </c>
      <c r="W70" s="75">
        <v>4</v>
      </c>
      <c r="X70" s="75">
        <v>4</v>
      </c>
      <c r="Y70" s="75">
        <v>4</v>
      </c>
      <c r="Z70" s="75">
        <v>4</v>
      </c>
      <c r="AA70" s="75">
        <v>4</v>
      </c>
      <c r="AB70" s="75">
        <v>4</v>
      </c>
      <c r="AC70" s="75">
        <v>4</v>
      </c>
      <c r="AD70" s="75">
        <v>4</v>
      </c>
      <c r="AE70" s="75">
        <v>4</v>
      </c>
      <c r="AF70" s="75">
        <v>4</v>
      </c>
      <c r="AG70" s="65">
        <v>15</v>
      </c>
      <c r="AH70" s="48">
        <f t="shared" si="8"/>
        <v>4</v>
      </c>
      <c r="AI70" s="49">
        <f t="shared" si="9"/>
        <v>4</v>
      </c>
      <c r="AK70" s="51"/>
      <c r="AL70" s="82"/>
      <c r="AO70" s="82"/>
      <c r="AY70" s="1" t="s">
        <v>90</v>
      </c>
      <c r="AZ70" s="81">
        <f>ROUND(C83,0)</f>
        <v>411</v>
      </c>
      <c r="BA70" s="80">
        <f t="shared" si="34"/>
        <v>401</v>
      </c>
      <c r="BB70" s="80">
        <f t="shared" si="34"/>
        <v>392</v>
      </c>
      <c r="BC70" s="80">
        <f t="shared" si="34"/>
        <v>411</v>
      </c>
      <c r="BD70" s="80">
        <f t="shared" si="34"/>
        <v>446</v>
      </c>
      <c r="BE70" s="81">
        <f t="shared" si="36"/>
        <v>471</v>
      </c>
      <c r="BF70" s="81">
        <f t="shared" si="37"/>
        <v>204</v>
      </c>
      <c r="BG70" s="81">
        <f t="shared" si="35"/>
        <v>2</v>
      </c>
      <c r="BH70" s="81">
        <f t="shared" si="35"/>
        <v>98</v>
      </c>
      <c r="BI70" s="81">
        <f t="shared" si="35"/>
        <v>385</v>
      </c>
      <c r="BJ70" s="81">
        <f t="shared" si="35"/>
        <v>440</v>
      </c>
      <c r="BK70" s="81">
        <f t="shared" si="35"/>
        <v>443.4</v>
      </c>
      <c r="BL70" s="81">
        <f t="shared" si="35"/>
        <v>463</v>
      </c>
      <c r="BM70" s="81">
        <f t="shared" si="35"/>
        <v>490</v>
      </c>
      <c r="BN70" s="81">
        <f t="shared" si="35"/>
        <v>538</v>
      </c>
      <c r="BO70" s="81">
        <f t="shared" si="35"/>
        <v>520.20000000000005</v>
      </c>
      <c r="BP70" s="81">
        <f t="shared" si="35"/>
        <v>462</v>
      </c>
      <c r="BQ70" s="81">
        <f t="shared" si="38"/>
        <v>408</v>
      </c>
      <c r="BR70" s="81">
        <f t="shared" si="39"/>
        <v>89</v>
      </c>
      <c r="BS70" s="80">
        <f t="shared" si="40"/>
        <v>188.3</v>
      </c>
      <c r="BT70" s="80">
        <f t="shared" si="41"/>
        <v>346.2</v>
      </c>
      <c r="BU70" s="80">
        <f t="shared" si="41"/>
        <v>372.5</v>
      </c>
      <c r="BV70" s="80">
        <f t="shared" si="41"/>
        <v>408.7</v>
      </c>
      <c r="BW70" s="80">
        <f t="shared" si="42"/>
        <v>402</v>
      </c>
      <c r="BZ70" s="181">
        <v>60</v>
      </c>
      <c r="CA70" s="177">
        <v>0.61458333333333304</v>
      </c>
      <c r="CB70" s="182"/>
      <c r="CC70" s="182"/>
      <c r="CD70" s="182"/>
      <c r="CE70" s="182"/>
      <c r="CF70" s="182"/>
      <c r="CG70" s="183"/>
      <c r="CH70" s="183"/>
    </row>
    <row r="71" spans="1:86" s="82" customFormat="1" x14ac:dyDescent="0.25">
      <c r="A71" s="64" t="s">
        <v>91</v>
      </c>
      <c r="B71" s="75">
        <v>8.3000000000000007</v>
      </c>
      <c r="C71" s="75">
        <v>8.3000000000000007</v>
      </c>
      <c r="D71" s="75">
        <v>8.3000000000000007</v>
      </c>
      <c r="E71" s="75">
        <v>10.199999999999999</v>
      </c>
      <c r="F71" s="75">
        <v>10.199999999999999</v>
      </c>
      <c r="G71" s="75">
        <v>10.199999999999999</v>
      </c>
      <c r="H71" s="75">
        <v>9.6999999999999993</v>
      </c>
      <c r="I71" s="75">
        <v>9.6999999999999993</v>
      </c>
      <c r="J71" s="75">
        <v>9.1999999999999993</v>
      </c>
      <c r="K71" s="75">
        <v>9.1999999999999993</v>
      </c>
      <c r="L71" s="75">
        <v>9.1999999999999993</v>
      </c>
      <c r="M71" s="75">
        <v>9.5</v>
      </c>
      <c r="N71" s="75">
        <v>9.5</v>
      </c>
      <c r="O71" s="75">
        <v>9.5</v>
      </c>
      <c r="P71" s="75">
        <v>9.5</v>
      </c>
      <c r="Q71" s="75">
        <v>9.5</v>
      </c>
      <c r="R71" s="75">
        <v>9.5</v>
      </c>
      <c r="S71" s="75">
        <v>9.5</v>
      </c>
      <c r="T71" s="75">
        <v>9.5</v>
      </c>
      <c r="U71" s="75">
        <v>9.5</v>
      </c>
      <c r="V71" s="75">
        <v>9.5</v>
      </c>
      <c r="W71" s="75">
        <v>9.5</v>
      </c>
      <c r="X71" s="75">
        <v>9.5</v>
      </c>
      <c r="Y71" s="75">
        <v>9.5</v>
      </c>
      <c r="Z71" s="75">
        <v>9.5</v>
      </c>
      <c r="AA71" s="75">
        <v>9.5</v>
      </c>
      <c r="AB71" s="75">
        <v>9.5</v>
      </c>
      <c r="AC71" s="75">
        <v>9.5</v>
      </c>
      <c r="AD71" s="75">
        <v>9.5</v>
      </c>
      <c r="AE71" s="75">
        <v>9.5</v>
      </c>
      <c r="AF71" s="75">
        <v>9.5</v>
      </c>
      <c r="AG71" s="65">
        <v>14.1</v>
      </c>
      <c r="AH71" s="48">
        <f t="shared" si="8"/>
        <v>10.199999999999999</v>
      </c>
      <c r="AI71" s="49">
        <f t="shared" si="9"/>
        <v>8.3000000000000007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50</v>
      </c>
      <c r="BA71" s="80">
        <f t="shared" si="34"/>
        <v>54</v>
      </c>
      <c r="BB71" s="80">
        <f t="shared" si="34"/>
        <v>52.3</v>
      </c>
      <c r="BC71" s="80">
        <f t="shared" si="34"/>
        <v>54.8</v>
      </c>
      <c r="BD71" s="80">
        <f t="shared" si="34"/>
        <v>58.4</v>
      </c>
      <c r="BE71" s="81">
        <f t="shared" si="36"/>
        <v>59.3</v>
      </c>
      <c r="BF71" s="81">
        <f t="shared" si="37"/>
        <v>8.4</v>
      </c>
      <c r="BG71" s="81">
        <f t="shared" si="35"/>
        <v>5.9</v>
      </c>
      <c r="BH71" s="81">
        <f t="shared" si="35"/>
        <v>5</v>
      </c>
      <c r="BI71" s="81">
        <f t="shared" si="35"/>
        <v>1</v>
      </c>
      <c r="BJ71" s="81">
        <f t="shared" si="35"/>
        <v>29</v>
      </c>
      <c r="BK71" s="81">
        <f t="shared" si="35"/>
        <v>42.3</v>
      </c>
      <c r="BL71" s="81">
        <f t="shared" si="35"/>
        <v>42</v>
      </c>
      <c r="BM71" s="81">
        <f t="shared" si="35"/>
        <v>40</v>
      </c>
      <c r="BN71" s="81">
        <f t="shared" si="35"/>
        <v>46.1</v>
      </c>
      <c r="BO71" s="81">
        <f t="shared" si="35"/>
        <v>47.1</v>
      </c>
      <c r="BP71" s="81">
        <f t="shared" si="35"/>
        <v>48</v>
      </c>
      <c r="BQ71" s="81">
        <f t="shared" si="38"/>
        <v>34.200000000000003</v>
      </c>
      <c r="BR71" s="81">
        <f t="shared" si="39"/>
        <v>30.5</v>
      </c>
      <c r="BS71" s="80">
        <f t="shared" si="40"/>
        <v>46.8</v>
      </c>
      <c r="BT71" s="80">
        <f t="shared" si="41"/>
        <v>0</v>
      </c>
      <c r="BU71" s="80">
        <f t="shared" si="41"/>
        <v>35.299999999999997</v>
      </c>
      <c r="BV71" s="80">
        <f t="shared" si="41"/>
        <v>5.6</v>
      </c>
      <c r="BW71" s="80">
        <f t="shared" si="42"/>
        <v>49</v>
      </c>
      <c r="BZ71" s="181">
        <v>61</v>
      </c>
      <c r="CA71" s="177">
        <v>0.625</v>
      </c>
      <c r="CB71" s="184"/>
      <c r="CC71" s="184"/>
      <c r="CD71" s="184"/>
      <c r="CE71" s="184"/>
      <c r="CF71" s="184"/>
      <c r="CG71" s="183"/>
      <c r="CH71" s="183"/>
    </row>
    <row r="72" spans="1:86" x14ac:dyDescent="0.25">
      <c r="A72" s="83" t="s">
        <v>93</v>
      </c>
      <c r="B72" s="75">
        <v>4</v>
      </c>
      <c r="C72" s="75">
        <v>4</v>
      </c>
      <c r="D72" s="75">
        <v>4</v>
      </c>
      <c r="E72" s="75">
        <v>4.3</v>
      </c>
      <c r="F72" s="75">
        <v>4.3</v>
      </c>
      <c r="G72" s="75">
        <v>4.3</v>
      </c>
      <c r="H72" s="75">
        <v>2.7</v>
      </c>
      <c r="I72" s="75">
        <v>2.7</v>
      </c>
      <c r="J72" s="75">
        <v>2.7</v>
      </c>
      <c r="K72" s="75">
        <v>2.7</v>
      </c>
      <c r="L72" s="75">
        <v>2.7</v>
      </c>
      <c r="M72" s="75">
        <v>2.2999999999999998</v>
      </c>
      <c r="N72" s="75">
        <v>2.2999999999999998</v>
      </c>
      <c r="O72" s="75">
        <v>2.2999999999999998</v>
      </c>
      <c r="P72" s="75">
        <v>2.2999999999999998</v>
      </c>
      <c r="Q72" s="75">
        <v>2.2999999999999998</v>
      </c>
      <c r="R72" s="75">
        <v>2.2999999999999998</v>
      </c>
      <c r="S72" s="75">
        <v>2.2999999999999998</v>
      </c>
      <c r="T72" s="75">
        <v>2.2999999999999998</v>
      </c>
      <c r="U72" s="75">
        <v>2.2999999999999998</v>
      </c>
      <c r="V72" s="75">
        <v>2.2999999999999998</v>
      </c>
      <c r="W72" s="75">
        <v>2.2999999999999998</v>
      </c>
      <c r="X72" s="75">
        <v>3.2</v>
      </c>
      <c r="Y72" s="75">
        <v>3.2</v>
      </c>
      <c r="Z72" s="75">
        <v>3.2</v>
      </c>
      <c r="AA72" s="75">
        <v>3.2</v>
      </c>
      <c r="AB72" s="75">
        <v>3.2</v>
      </c>
      <c r="AC72" s="75">
        <v>3.2</v>
      </c>
      <c r="AD72" s="75">
        <v>3.2</v>
      </c>
      <c r="AE72" s="75">
        <v>3.2</v>
      </c>
      <c r="AF72" s="75">
        <v>3.2</v>
      </c>
      <c r="AG72" s="65">
        <v>14</v>
      </c>
      <c r="AH72" s="48">
        <f t="shared" si="8"/>
        <v>4.3</v>
      </c>
      <c r="AI72" s="49">
        <f t="shared" si="9"/>
        <v>2.2999999999999998</v>
      </c>
      <c r="AK72" s="51"/>
      <c r="AY72" s="1" t="s">
        <v>94</v>
      </c>
      <c r="AZ72" s="81">
        <f>ROUND(C85,0)</f>
        <v>0</v>
      </c>
      <c r="BA72" s="80">
        <f t="shared" si="34"/>
        <v>0</v>
      </c>
      <c r="BB72" s="80">
        <f t="shared" si="34"/>
        <v>0</v>
      </c>
      <c r="BC72" s="80">
        <f t="shared" si="34"/>
        <v>0</v>
      </c>
      <c r="BD72" s="80">
        <f t="shared" si="34"/>
        <v>0</v>
      </c>
      <c r="BE72" s="81">
        <f t="shared" si="36"/>
        <v>0</v>
      </c>
      <c r="BF72" s="81">
        <f t="shared" si="37"/>
        <v>0</v>
      </c>
      <c r="BG72" s="81">
        <f t="shared" si="35"/>
        <v>0</v>
      </c>
      <c r="BH72" s="81">
        <f t="shared" si="35"/>
        <v>0</v>
      </c>
      <c r="BI72" s="81">
        <f t="shared" si="35"/>
        <v>38</v>
      </c>
      <c r="BJ72" s="81">
        <f t="shared" si="35"/>
        <v>78</v>
      </c>
      <c r="BK72" s="81">
        <f t="shared" si="35"/>
        <v>104</v>
      </c>
      <c r="BL72" s="81">
        <f t="shared" si="35"/>
        <v>110</v>
      </c>
      <c r="BM72" s="81">
        <f t="shared" si="35"/>
        <v>130</v>
      </c>
      <c r="BN72" s="81">
        <f t="shared" si="35"/>
        <v>124</v>
      </c>
      <c r="BO72" s="81">
        <f t="shared" si="35"/>
        <v>120.3</v>
      </c>
      <c r="BP72" s="81">
        <f t="shared" si="35"/>
        <v>120.3</v>
      </c>
      <c r="BQ72" s="81">
        <f t="shared" si="38"/>
        <v>80.400000000000006</v>
      </c>
      <c r="BR72" s="81">
        <f t="shared" si="39"/>
        <v>0</v>
      </c>
      <c r="BS72" s="80">
        <f t="shared" si="40"/>
        <v>0</v>
      </c>
      <c r="BT72" s="80">
        <f t="shared" si="41"/>
        <v>105.6</v>
      </c>
      <c r="BU72" s="80">
        <f t="shared" si="41"/>
        <v>99</v>
      </c>
      <c r="BV72" s="80">
        <f t="shared" si="41"/>
        <v>122.4</v>
      </c>
      <c r="BW72" s="80">
        <f t="shared" si="42"/>
        <v>0</v>
      </c>
      <c r="BZ72" s="181">
        <v>62</v>
      </c>
      <c r="CA72" s="177">
        <v>0.63541666666666696</v>
      </c>
      <c r="CB72" s="182"/>
      <c r="CC72" s="182"/>
      <c r="CD72" s="182"/>
      <c r="CE72" s="182"/>
      <c r="CF72" s="182"/>
      <c r="CG72" s="183"/>
      <c r="CH72" s="183"/>
    </row>
    <row r="73" spans="1:86" x14ac:dyDescent="0.25">
      <c r="A73" s="64" t="s">
        <v>95</v>
      </c>
      <c r="B73" s="75">
        <v>3</v>
      </c>
      <c r="C73" s="75">
        <v>3</v>
      </c>
      <c r="D73" s="75">
        <v>3</v>
      </c>
      <c r="E73" s="75">
        <v>3</v>
      </c>
      <c r="F73" s="75">
        <v>3</v>
      </c>
      <c r="G73" s="75">
        <v>3</v>
      </c>
      <c r="H73" s="75">
        <v>3</v>
      </c>
      <c r="I73" s="75">
        <v>3</v>
      </c>
      <c r="J73" s="75">
        <v>3</v>
      </c>
      <c r="K73" s="75">
        <v>3</v>
      </c>
      <c r="L73" s="75">
        <v>3</v>
      </c>
      <c r="M73" s="75">
        <v>3</v>
      </c>
      <c r="N73" s="75">
        <v>3</v>
      </c>
      <c r="O73" s="75">
        <v>3</v>
      </c>
      <c r="P73" s="75">
        <v>3</v>
      </c>
      <c r="Q73" s="75">
        <v>3</v>
      </c>
      <c r="R73" s="75">
        <v>3</v>
      </c>
      <c r="S73" s="75">
        <v>3</v>
      </c>
      <c r="T73" s="75">
        <v>3</v>
      </c>
      <c r="U73" s="75">
        <v>3</v>
      </c>
      <c r="V73" s="75">
        <v>3</v>
      </c>
      <c r="W73" s="75">
        <v>3</v>
      </c>
      <c r="X73" s="75">
        <v>3</v>
      </c>
      <c r="Y73" s="75">
        <v>3</v>
      </c>
      <c r="Z73" s="75">
        <v>3</v>
      </c>
      <c r="AA73" s="75">
        <v>3</v>
      </c>
      <c r="AB73" s="75">
        <v>3</v>
      </c>
      <c r="AC73" s="75">
        <v>3</v>
      </c>
      <c r="AD73" s="75">
        <v>3</v>
      </c>
      <c r="AE73" s="75">
        <v>3</v>
      </c>
      <c r="AF73" s="75">
        <v>3</v>
      </c>
      <c r="AG73" s="65">
        <v>10.050000000000001</v>
      </c>
      <c r="AH73" s="48">
        <f t="shared" si="8"/>
        <v>3</v>
      </c>
      <c r="AI73" s="49">
        <f t="shared" si="9"/>
        <v>3</v>
      </c>
      <c r="AK73" s="51"/>
      <c r="AY73" s="1" t="s">
        <v>96</v>
      </c>
      <c r="AZ73" s="81">
        <f>ROUND(C91,0)</f>
        <v>60</v>
      </c>
      <c r="BA73" s="81">
        <f>D91</f>
        <v>62</v>
      </c>
      <c r="BB73" s="81">
        <f>E91</f>
        <v>60.1</v>
      </c>
      <c r="BC73" s="81">
        <f>F91</f>
        <v>62.3</v>
      </c>
      <c r="BD73" s="81">
        <f>G91</f>
        <v>61</v>
      </c>
      <c r="BE73" s="81">
        <f>I91</f>
        <v>67</v>
      </c>
      <c r="BF73" s="81">
        <f>K91</f>
        <v>62</v>
      </c>
      <c r="BG73" s="81">
        <f t="shared" ref="BG73:BP73" si="43">M91</f>
        <v>60</v>
      </c>
      <c r="BH73" s="81">
        <f t="shared" si="43"/>
        <v>57</v>
      </c>
      <c r="BI73" s="81">
        <f t="shared" si="43"/>
        <v>62</v>
      </c>
      <c r="BJ73" s="81">
        <f t="shared" si="43"/>
        <v>68</v>
      </c>
      <c r="BK73" s="81">
        <f t="shared" si="43"/>
        <v>55</v>
      </c>
      <c r="BL73" s="81">
        <f t="shared" si="43"/>
        <v>61</v>
      </c>
      <c r="BM73" s="81">
        <f t="shared" si="43"/>
        <v>52</v>
      </c>
      <c r="BN73" s="81">
        <f t="shared" si="43"/>
        <v>72</v>
      </c>
      <c r="BO73" s="81">
        <f t="shared" si="43"/>
        <v>70.8</v>
      </c>
      <c r="BP73" s="81">
        <f t="shared" si="43"/>
        <v>58</v>
      </c>
      <c r="BQ73" s="81">
        <f>X91</f>
        <v>62.9</v>
      </c>
      <c r="BR73" s="81">
        <f>Z91</f>
        <v>69</v>
      </c>
      <c r="BS73" s="81">
        <f>AB91</f>
        <v>62</v>
      </c>
      <c r="BT73" s="81">
        <f>AD91</f>
        <v>67.900000000000006</v>
      </c>
      <c r="BU73" s="81">
        <f>AE91</f>
        <v>64.900000000000006</v>
      </c>
      <c r="BV73" s="81">
        <f>AF91</f>
        <v>68.3</v>
      </c>
      <c r="BW73" s="81">
        <f>B91</f>
        <v>78</v>
      </c>
      <c r="BZ73" s="181">
        <v>63</v>
      </c>
      <c r="CA73" s="177">
        <v>0.64583333333333304</v>
      </c>
      <c r="CB73" s="182"/>
      <c r="CC73" s="182"/>
      <c r="CD73" s="182"/>
      <c r="CE73" s="182"/>
      <c r="CF73" s="182"/>
      <c r="CG73" s="183"/>
      <c r="CH73" s="183"/>
    </row>
    <row r="74" spans="1:86" x14ac:dyDescent="0.25">
      <c r="A74" s="64" t="s">
        <v>97</v>
      </c>
      <c r="B74" s="75">
        <v>2</v>
      </c>
      <c r="C74" s="75">
        <v>2</v>
      </c>
      <c r="D74" s="75">
        <v>2</v>
      </c>
      <c r="E74" s="75">
        <v>2</v>
      </c>
      <c r="F74" s="75">
        <v>2</v>
      </c>
      <c r="G74" s="75">
        <v>2</v>
      </c>
      <c r="H74" s="75">
        <v>2</v>
      </c>
      <c r="I74" s="75">
        <v>2</v>
      </c>
      <c r="J74" s="75">
        <v>2</v>
      </c>
      <c r="K74" s="75">
        <v>2</v>
      </c>
      <c r="L74" s="75">
        <v>2</v>
      </c>
      <c r="M74" s="75">
        <v>2</v>
      </c>
      <c r="N74" s="75">
        <v>2</v>
      </c>
      <c r="O74" s="75">
        <v>2</v>
      </c>
      <c r="P74" s="75">
        <v>2</v>
      </c>
      <c r="Q74" s="75">
        <v>2</v>
      </c>
      <c r="R74" s="75">
        <v>2</v>
      </c>
      <c r="S74" s="75">
        <v>2</v>
      </c>
      <c r="T74" s="75">
        <v>2</v>
      </c>
      <c r="U74" s="75">
        <v>2</v>
      </c>
      <c r="V74" s="75">
        <v>2</v>
      </c>
      <c r="W74" s="75">
        <v>2</v>
      </c>
      <c r="X74" s="75">
        <v>2</v>
      </c>
      <c r="Y74" s="75">
        <v>2</v>
      </c>
      <c r="Z74" s="75">
        <v>2</v>
      </c>
      <c r="AA74" s="75">
        <v>2</v>
      </c>
      <c r="AB74" s="75">
        <v>2</v>
      </c>
      <c r="AC74" s="75">
        <v>2</v>
      </c>
      <c r="AD74" s="75">
        <v>2</v>
      </c>
      <c r="AE74" s="75">
        <v>2</v>
      </c>
      <c r="AF74" s="75">
        <v>2</v>
      </c>
      <c r="AG74" s="65">
        <v>6.2</v>
      </c>
      <c r="AH74" s="48">
        <f t="shared" si="8"/>
        <v>2</v>
      </c>
      <c r="AI74" s="49">
        <f t="shared" si="9"/>
        <v>2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  <c r="BZ74" s="181">
        <v>64</v>
      </c>
      <c r="CA74" s="177">
        <v>0.65625</v>
      </c>
      <c r="CB74" s="182"/>
      <c r="CC74" s="182"/>
      <c r="CD74" s="182"/>
      <c r="CE74" s="182"/>
      <c r="CF74" s="182"/>
      <c r="CG74" s="183"/>
      <c r="CH74" s="183"/>
    </row>
    <row r="75" spans="1:86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>
        <v>3.54</v>
      </c>
      <c r="W75" s="84">
        <v>3.54</v>
      </c>
      <c r="X75" s="84">
        <v>3.54</v>
      </c>
      <c r="Y75" s="84">
        <v>3.5</v>
      </c>
      <c r="Z75" s="84">
        <v>3.5</v>
      </c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8"/>
        <v>3.54</v>
      </c>
      <c r="AI75" s="49">
        <f t="shared" si="9"/>
        <v>3.5</v>
      </c>
      <c r="AK75" s="51"/>
      <c r="AZ75" s="81">
        <f>VALUE(AZ68)</f>
        <v>60</v>
      </c>
      <c r="BA75" s="81">
        <f t="shared" ref="BA75:BW75" si="44">VALUE(BA68)</f>
        <v>58</v>
      </c>
      <c r="BB75" s="81">
        <f t="shared" si="44"/>
        <v>61</v>
      </c>
      <c r="BC75" s="81">
        <f t="shared" si="44"/>
        <v>51.2</v>
      </c>
      <c r="BD75" s="81">
        <f t="shared" si="44"/>
        <v>48</v>
      </c>
      <c r="BE75" s="81">
        <f t="shared" si="44"/>
        <v>58</v>
      </c>
      <c r="BF75" s="81">
        <f t="shared" si="44"/>
        <v>65.7</v>
      </c>
      <c r="BG75" s="81">
        <f t="shared" si="44"/>
        <v>50.3</v>
      </c>
      <c r="BH75" s="81">
        <f t="shared" si="44"/>
        <v>53.1</v>
      </c>
      <c r="BI75" s="81">
        <f t="shared" si="44"/>
        <v>58.8</v>
      </c>
      <c r="BJ75" s="81">
        <f t="shared" si="44"/>
        <v>55.6</v>
      </c>
      <c r="BK75" s="81">
        <f t="shared" si="44"/>
        <v>59.4</v>
      </c>
      <c r="BL75" s="81">
        <f t="shared" si="44"/>
        <v>54</v>
      </c>
      <c r="BM75" s="81">
        <f t="shared" si="44"/>
        <v>59</v>
      </c>
      <c r="BN75" s="81">
        <f t="shared" si="44"/>
        <v>57</v>
      </c>
      <c r="BO75" s="81">
        <f t="shared" si="44"/>
        <v>62.1</v>
      </c>
      <c r="BP75" s="81">
        <f t="shared" si="44"/>
        <v>48</v>
      </c>
      <c r="BQ75" s="81">
        <f t="shared" si="44"/>
        <v>53.9</v>
      </c>
      <c r="BR75" s="81">
        <f t="shared" si="44"/>
        <v>66</v>
      </c>
      <c r="BS75" s="81">
        <f t="shared" si="44"/>
        <v>42</v>
      </c>
      <c r="BT75" s="81">
        <f t="shared" si="44"/>
        <v>65.099999999999994</v>
      </c>
      <c r="BU75" s="81">
        <f t="shared" si="44"/>
        <v>59.1</v>
      </c>
      <c r="BV75" s="81">
        <f t="shared" si="44"/>
        <v>61.2</v>
      </c>
      <c r="BW75" s="81">
        <f t="shared" si="44"/>
        <v>65</v>
      </c>
      <c r="BZ75" s="185">
        <v>65</v>
      </c>
      <c r="CA75" s="186">
        <v>0.66666666666666696</v>
      </c>
      <c r="CB75" s="187"/>
      <c r="CC75" s="187"/>
      <c r="CD75" s="187"/>
      <c r="CE75" s="187"/>
      <c r="CF75" s="187"/>
      <c r="CG75" s="172"/>
      <c r="CH75" s="172"/>
    </row>
    <row r="76" spans="1:86" ht="15.75" thickBot="1" x14ac:dyDescent="0.3">
      <c r="A76" s="86" t="s">
        <v>99</v>
      </c>
      <c r="B76" s="70">
        <f t="shared" ref="B76:AG76" si="45">SUM(B63:B75)</f>
        <v>128.34</v>
      </c>
      <c r="C76" s="70">
        <f t="shared" si="45"/>
        <v>74.84</v>
      </c>
      <c r="D76" s="70">
        <f t="shared" si="45"/>
        <v>74.84</v>
      </c>
      <c r="E76" s="70">
        <f t="shared" si="45"/>
        <v>77.34</v>
      </c>
      <c r="F76" s="70">
        <f t="shared" si="45"/>
        <v>77.34</v>
      </c>
      <c r="G76" s="70">
        <f t="shared" si="45"/>
        <v>77.34</v>
      </c>
      <c r="H76" s="70">
        <f t="shared" si="45"/>
        <v>90.14</v>
      </c>
      <c r="I76" s="70">
        <f t="shared" si="45"/>
        <v>169.93999999999997</v>
      </c>
      <c r="J76" s="70">
        <f t="shared" si="45"/>
        <v>306.42999999999995</v>
      </c>
      <c r="K76" s="70">
        <f t="shared" si="45"/>
        <v>357.03999999999996</v>
      </c>
      <c r="L76" s="70">
        <f t="shared" si="45"/>
        <v>357.03999999999996</v>
      </c>
      <c r="M76" s="70">
        <f t="shared" si="45"/>
        <v>351.93999999999994</v>
      </c>
      <c r="N76" s="70">
        <f t="shared" si="45"/>
        <v>280.14000000000004</v>
      </c>
      <c r="O76" s="70">
        <f t="shared" si="45"/>
        <v>228.04</v>
      </c>
      <c r="P76" s="70">
        <f t="shared" si="45"/>
        <v>239.14000000000001</v>
      </c>
      <c r="Q76" s="70">
        <f t="shared" si="45"/>
        <v>230.94</v>
      </c>
      <c r="R76" s="70">
        <f t="shared" si="45"/>
        <v>194.64000000000001</v>
      </c>
      <c r="S76" s="70">
        <f t="shared" ref="S76" si="46">SUM(S63:S75)</f>
        <v>204.73999999999998</v>
      </c>
      <c r="T76" s="70">
        <f t="shared" si="45"/>
        <v>199.04</v>
      </c>
      <c r="U76" s="70">
        <f t="shared" si="45"/>
        <v>177.14</v>
      </c>
      <c r="V76" s="70">
        <f t="shared" ref="V76" si="47">SUM(V63:V75)</f>
        <v>148.34</v>
      </c>
      <c r="W76" s="70">
        <f t="shared" si="45"/>
        <v>139.94</v>
      </c>
      <c r="X76" s="70">
        <f t="shared" si="45"/>
        <v>179.93999999999997</v>
      </c>
      <c r="Y76" s="70">
        <f>SUM(Y63:Y75)</f>
        <v>286.8</v>
      </c>
      <c r="Z76" s="70">
        <f>SUM(Z63:Z75)</f>
        <v>355.99999999999994</v>
      </c>
      <c r="AA76" s="70">
        <f t="shared" si="45"/>
        <v>356.03999999999996</v>
      </c>
      <c r="AB76" s="70">
        <f t="shared" ref="AB76:AC76" si="48">SUM(AB63:AB75)</f>
        <v>259.64000000000004</v>
      </c>
      <c r="AC76" s="70">
        <f t="shared" si="48"/>
        <v>228.23999999999998</v>
      </c>
      <c r="AD76" s="70">
        <f t="shared" ref="AD76:AE76" si="49">SUM(AD63:AD75)</f>
        <v>228.94</v>
      </c>
      <c r="AE76" s="70">
        <f t="shared" si="49"/>
        <v>206.93999999999997</v>
      </c>
      <c r="AF76" s="70">
        <f t="shared" ref="AF76" si="50">SUM(AF63:AF75)</f>
        <v>148.33999999999997</v>
      </c>
      <c r="AG76" s="71">
        <f t="shared" si="45"/>
        <v>489.91</v>
      </c>
      <c r="AH76" s="48">
        <f t="shared" si="8"/>
        <v>357.03999999999996</v>
      </c>
      <c r="AI76" s="49">
        <f t="shared" si="9"/>
        <v>74.84</v>
      </c>
      <c r="AK76" s="51"/>
      <c r="AZ76" s="81">
        <f t="shared" ref="AZ76:BW80" si="51">VALUE(AZ69)</f>
        <v>0</v>
      </c>
      <c r="BA76" s="81">
        <f t="shared" si="51"/>
        <v>0</v>
      </c>
      <c r="BB76" s="81">
        <f t="shared" si="51"/>
        <v>0</v>
      </c>
      <c r="BC76" s="81">
        <f t="shared" si="51"/>
        <v>0</v>
      </c>
      <c r="BD76" s="81">
        <f t="shared" si="51"/>
        <v>0</v>
      </c>
      <c r="BE76" s="81">
        <f t="shared" si="51"/>
        <v>0</v>
      </c>
      <c r="BF76" s="81">
        <f t="shared" si="51"/>
        <v>0</v>
      </c>
      <c r="BG76" s="81">
        <f t="shared" si="51"/>
        <v>0</v>
      </c>
      <c r="BH76" s="81">
        <f t="shared" si="51"/>
        <v>0</v>
      </c>
      <c r="BI76" s="81">
        <f t="shared" si="51"/>
        <v>0</v>
      </c>
      <c r="BJ76" s="81">
        <f t="shared" si="51"/>
        <v>0</v>
      </c>
      <c r="BK76" s="81">
        <f t="shared" si="51"/>
        <v>0</v>
      </c>
      <c r="BL76" s="81">
        <f t="shared" si="51"/>
        <v>0</v>
      </c>
      <c r="BM76" s="81">
        <f t="shared" si="51"/>
        <v>0</v>
      </c>
      <c r="BN76" s="81">
        <f t="shared" si="51"/>
        <v>0</v>
      </c>
      <c r="BO76" s="81">
        <f t="shared" si="51"/>
        <v>0</v>
      </c>
      <c r="BP76" s="81">
        <f t="shared" si="51"/>
        <v>0</v>
      </c>
      <c r="BQ76" s="81">
        <f t="shared" si="51"/>
        <v>0</v>
      </c>
      <c r="BR76" s="81">
        <f t="shared" si="51"/>
        <v>0</v>
      </c>
      <c r="BS76" s="81">
        <f t="shared" si="51"/>
        <v>0</v>
      </c>
      <c r="BT76" s="81">
        <f t="shared" si="51"/>
        <v>0</v>
      </c>
      <c r="BU76" s="81">
        <f t="shared" si="51"/>
        <v>0</v>
      </c>
      <c r="BV76" s="81">
        <f t="shared" si="51"/>
        <v>0</v>
      </c>
      <c r="BW76" s="81">
        <f t="shared" si="51"/>
        <v>0</v>
      </c>
      <c r="BZ76" s="181">
        <v>66</v>
      </c>
      <c r="CA76" s="177">
        <v>0.67708333333333304</v>
      </c>
      <c r="CB76" s="182"/>
      <c r="CC76" s="182"/>
      <c r="CD76" s="182"/>
      <c r="CE76" s="182"/>
      <c r="CF76" s="182"/>
      <c r="CG76" s="183"/>
      <c r="CH76" s="183"/>
    </row>
    <row r="77" spans="1:86" x14ac:dyDescent="0.25">
      <c r="A77" s="45" t="s">
        <v>100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>
        <v>20</v>
      </c>
      <c r="N77" s="46"/>
      <c r="O77" s="46"/>
      <c r="P77" s="46"/>
      <c r="Q77" s="46"/>
      <c r="R77" s="46"/>
      <c r="S77" s="46"/>
      <c r="T77" s="46"/>
      <c r="U77" s="46">
        <v>25</v>
      </c>
      <c r="V77" s="46">
        <v>35</v>
      </c>
      <c r="W77" s="46">
        <v>35</v>
      </c>
      <c r="X77" s="46">
        <v>35</v>
      </c>
      <c r="Y77" s="46">
        <v>40</v>
      </c>
      <c r="Z77" s="46">
        <v>40</v>
      </c>
      <c r="AA77" s="46">
        <v>35</v>
      </c>
      <c r="AB77" s="46">
        <v>0</v>
      </c>
      <c r="AC77" s="46">
        <v>0</v>
      </c>
      <c r="AD77" s="46">
        <v>0</v>
      </c>
      <c r="AE77" s="46">
        <v>0</v>
      </c>
      <c r="AF77" s="46">
        <v>0</v>
      </c>
      <c r="AG77" s="60">
        <v>60</v>
      </c>
      <c r="AH77" s="48">
        <f t="shared" si="8"/>
        <v>40</v>
      </c>
      <c r="AI77" s="49">
        <f t="shared" si="9"/>
        <v>0</v>
      </c>
      <c r="AK77" s="51"/>
      <c r="AZ77" s="81">
        <f t="shared" si="51"/>
        <v>411</v>
      </c>
      <c r="BA77" s="81">
        <f t="shared" si="51"/>
        <v>401</v>
      </c>
      <c r="BB77" s="81">
        <f t="shared" si="51"/>
        <v>392</v>
      </c>
      <c r="BC77" s="81">
        <f t="shared" si="51"/>
        <v>411</v>
      </c>
      <c r="BD77" s="81">
        <f t="shared" si="51"/>
        <v>446</v>
      </c>
      <c r="BE77" s="81">
        <f t="shared" si="51"/>
        <v>471</v>
      </c>
      <c r="BF77" s="81">
        <f t="shared" si="51"/>
        <v>204</v>
      </c>
      <c r="BG77" s="81">
        <f t="shared" si="51"/>
        <v>2</v>
      </c>
      <c r="BH77" s="81">
        <f t="shared" si="51"/>
        <v>98</v>
      </c>
      <c r="BI77" s="81">
        <f t="shared" si="51"/>
        <v>385</v>
      </c>
      <c r="BJ77" s="81">
        <f t="shared" si="51"/>
        <v>440</v>
      </c>
      <c r="BK77" s="81">
        <f t="shared" si="51"/>
        <v>443.4</v>
      </c>
      <c r="BL77" s="81">
        <f t="shared" si="51"/>
        <v>463</v>
      </c>
      <c r="BM77" s="81">
        <f t="shared" si="51"/>
        <v>490</v>
      </c>
      <c r="BN77" s="81">
        <f t="shared" si="51"/>
        <v>538</v>
      </c>
      <c r="BO77" s="81">
        <f t="shared" si="51"/>
        <v>520.20000000000005</v>
      </c>
      <c r="BP77" s="81">
        <f t="shared" si="51"/>
        <v>462</v>
      </c>
      <c r="BQ77" s="81">
        <f t="shared" si="51"/>
        <v>408</v>
      </c>
      <c r="BR77" s="81">
        <f t="shared" si="51"/>
        <v>89</v>
      </c>
      <c r="BS77" s="81">
        <f t="shared" si="51"/>
        <v>188.3</v>
      </c>
      <c r="BT77" s="81">
        <f t="shared" si="51"/>
        <v>346.2</v>
      </c>
      <c r="BU77" s="81">
        <f t="shared" si="51"/>
        <v>372.5</v>
      </c>
      <c r="BV77" s="81">
        <f t="shared" si="51"/>
        <v>408.7</v>
      </c>
      <c r="BW77" s="81">
        <f t="shared" si="51"/>
        <v>402</v>
      </c>
      <c r="BZ77" s="185">
        <v>67</v>
      </c>
      <c r="CA77" s="186">
        <v>0.6875</v>
      </c>
      <c r="CB77" s="187"/>
      <c r="CC77" s="187"/>
      <c r="CD77" s="187"/>
      <c r="CE77" s="187"/>
      <c r="CF77" s="187"/>
      <c r="CG77" s="172"/>
      <c r="CH77" s="172"/>
    </row>
    <row r="78" spans="1:86" x14ac:dyDescent="0.25">
      <c r="A78" s="64" t="s">
        <v>101</v>
      </c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>
        <v>12.2</v>
      </c>
      <c r="N78" s="75"/>
      <c r="O78" s="75"/>
      <c r="P78" s="75"/>
      <c r="Q78" s="75"/>
      <c r="R78" s="75"/>
      <c r="S78" s="75"/>
      <c r="T78" s="75"/>
      <c r="U78" s="75">
        <v>12.6</v>
      </c>
      <c r="V78" s="75">
        <v>17</v>
      </c>
      <c r="W78" s="75">
        <v>15.3</v>
      </c>
      <c r="X78" s="75">
        <v>15.3</v>
      </c>
      <c r="Y78" s="75">
        <v>16.899999999999999</v>
      </c>
      <c r="Z78" s="75">
        <v>16.899999999999999</v>
      </c>
      <c r="AA78" s="75">
        <v>15.6</v>
      </c>
      <c r="AB78" s="75">
        <v>0</v>
      </c>
      <c r="AC78" s="75">
        <v>0</v>
      </c>
      <c r="AD78" s="75">
        <v>0</v>
      </c>
      <c r="AE78" s="75">
        <v>0</v>
      </c>
      <c r="AF78" s="75">
        <v>0</v>
      </c>
      <c r="AG78" s="65">
        <v>32</v>
      </c>
      <c r="AH78" s="48">
        <f t="shared" si="8"/>
        <v>17</v>
      </c>
      <c r="AI78" s="49">
        <f t="shared" si="9"/>
        <v>0</v>
      </c>
      <c r="AK78" s="51"/>
      <c r="AZ78" s="81">
        <f t="shared" si="51"/>
        <v>50</v>
      </c>
      <c r="BA78" s="81">
        <f t="shared" si="51"/>
        <v>54</v>
      </c>
      <c r="BB78" s="81">
        <f t="shared" si="51"/>
        <v>52.3</v>
      </c>
      <c r="BC78" s="81">
        <f t="shared" si="51"/>
        <v>54.8</v>
      </c>
      <c r="BD78" s="81">
        <f t="shared" si="51"/>
        <v>58.4</v>
      </c>
      <c r="BE78" s="81">
        <f t="shared" si="51"/>
        <v>59.3</v>
      </c>
      <c r="BF78" s="81">
        <f t="shared" si="51"/>
        <v>8.4</v>
      </c>
      <c r="BG78" s="81">
        <f t="shared" si="51"/>
        <v>5.9</v>
      </c>
      <c r="BH78" s="81">
        <f t="shared" si="51"/>
        <v>5</v>
      </c>
      <c r="BI78" s="81">
        <f t="shared" si="51"/>
        <v>1</v>
      </c>
      <c r="BJ78" s="81">
        <f t="shared" si="51"/>
        <v>29</v>
      </c>
      <c r="BK78" s="81">
        <f t="shared" si="51"/>
        <v>42.3</v>
      </c>
      <c r="BL78" s="81">
        <f t="shared" si="51"/>
        <v>42</v>
      </c>
      <c r="BM78" s="81">
        <f t="shared" si="51"/>
        <v>40</v>
      </c>
      <c r="BN78" s="81">
        <f t="shared" si="51"/>
        <v>46.1</v>
      </c>
      <c r="BO78" s="81">
        <f t="shared" si="51"/>
        <v>47.1</v>
      </c>
      <c r="BP78" s="81">
        <f t="shared" si="51"/>
        <v>48</v>
      </c>
      <c r="BQ78" s="81">
        <f t="shared" si="51"/>
        <v>34.200000000000003</v>
      </c>
      <c r="BR78" s="81">
        <f t="shared" si="51"/>
        <v>30.5</v>
      </c>
      <c r="BS78" s="81">
        <f t="shared" si="51"/>
        <v>46.8</v>
      </c>
      <c r="BT78" s="81">
        <f t="shared" si="51"/>
        <v>0</v>
      </c>
      <c r="BU78" s="81">
        <f t="shared" si="51"/>
        <v>35.299999999999997</v>
      </c>
      <c r="BV78" s="81">
        <f t="shared" si="51"/>
        <v>5.6</v>
      </c>
      <c r="BW78" s="81">
        <f t="shared" si="51"/>
        <v>49</v>
      </c>
      <c r="BZ78" s="181">
        <v>68</v>
      </c>
      <c r="CA78" s="177">
        <v>0.69791666666666696</v>
      </c>
      <c r="CB78" s="182"/>
      <c r="CC78" s="182"/>
      <c r="CD78" s="182"/>
      <c r="CE78" s="182"/>
      <c r="CF78" s="182"/>
      <c r="CG78" s="172"/>
      <c r="CH78" s="183"/>
    </row>
    <row r="79" spans="1:86" ht="15.75" thickBot="1" x14ac:dyDescent="0.3">
      <c r="A79" s="83" t="s">
        <v>102</v>
      </c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>
        <v>4.5</v>
      </c>
      <c r="N79" s="77"/>
      <c r="O79" s="77"/>
      <c r="P79" s="77"/>
      <c r="Q79" s="77"/>
      <c r="R79" s="77"/>
      <c r="S79" s="77"/>
      <c r="T79" s="77"/>
      <c r="U79" s="77">
        <v>4.5999999999999996</v>
      </c>
      <c r="V79" s="77">
        <v>6</v>
      </c>
      <c r="W79" s="77">
        <v>5.6</v>
      </c>
      <c r="X79" s="77">
        <v>5.6</v>
      </c>
      <c r="Y79" s="77">
        <v>6.2</v>
      </c>
      <c r="Z79" s="77">
        <v>6.2</v>
      </c>
      <c r="AA79" s="77">
        <v>5.7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8">
        <v>14</v>
      </c>
      <c r="AH79" s="48">
        <f t="shared" si="8"/>
        <v>6.2</v>
      </c>
      <c r="AI79" s="49">
        <f t="shared" si="9"/>
        <v>0</v>
      </c>
      <c r="AK79" s="51"/>
      <c r="AZ79" s="81">
        <f t="shared" si="51"/>
        <v>0</v>
      </c>
      <c r="BA79" s="81">
        <f t="shared" si="51"/>
        <v>0</v>
      </c>
      <c r="BB79" s="81">
        <f t="shared" si="51"/>
        <v>0</v>
      </c>
      <c r="BC79" s="81">
        <f t="shared" si="51"/>
        <v>0</v>
      </c>
      <c r="BD79" s="81">
        <f t="shared" si="51"/>
        <v>0</v>
      </c>
      <c r="BE79" s="81">
        <f t="shared" si="51"/>
        <v>0</v>
      </c>
      <c r="BF79" s="81">
        <f t="shared" si="51"/>
        <v>0</v>
      </c>
      <c r="BG79" s="81">
        <f t="shared" si="51"/>
        <v>0</v>
      </c>
      <c r="BH79" s="81">
        <f t="shared" si="51"/>
        <v>0</v>
      </c>
      <c r="BI79" s="81">
        <f t="shared" si="51"/>
        <v>38</v>
      </c>
      <c r="BJ79" s="81">
        <f t="shared" si="51"/>
        <v>78</v>
      </c>
      <c r="BK79" s="81">
        <f t="shared" si="51"/>
        <v>104</v>
      </c>
      <c r="BL79" s="81">
        <f t="shared" si="51"/>
        <v>110</v>
      </c>
      <c r="BM79" s="81">
        <f t="shared" si="51"/>
        <v>130</v>
      </c>
      <c r="BN79" s="81">
        <f t="shared" si="51"/>
        <v>124</v>
      </c>
      <c r="BO79" s="81">
        <f t="shared" si="51"/>
        <v>120.3</v>
      </c>
      <c r="BP79" s="81">
        <f t="shared" si="51"/>
        <v>120.3</v>
      </c>
      <c r="BQ79" s="81">
        <f t="shared" si="51"/>
        <v>80.400000000000006</v>
      </c>
      <c r="BR79" s="81">
        <f t="shared" si="51"/>
        <v>0</v>
      </c>
      <c r="BS79" s="81">
        <f t="shared" si="51"/>
        <v>0</v>
      </c>
      <c r="BT79" s="81">
        <f t="shared" si="51"/>
        <v>105.6</v>
      </c>
      <c r="BU79" s="81">
        <f t="shared" si="51"/>
        <v>99</v>
      </c>
      <c r="BV79" s="81">
        <f t="shared" si="51"/>
        <v>122.4</v>
      </c>
      <c r="BW79" s="81">
        <f t="shared" si="51"/>
        <v>0</v>
      </c>
      <c r="BZ79" s="185">
        <v>69</v>
      </c>
      <c r="CA79" s="186">
        <v>0.70833333333333304</v>
      </c>
      <c r="CB79" s="187"/>
      <c r="CC79" s="187"/>
      <c r="CD79" s="187"/>
      <c r="CE79" s="187"/>
      <c r="CF79" s="187"/>
      <c r="CG79" s="172"/>
      <c r="CH79" s="172"/>
    </row>
    <row r="80" spans="1:86" ht="15.75" thickBot="1" x14ac:dyDescent="0.3">
      <c r="A80" s="86" t="s">
        <v>103</v>
      </c>
      <c r="B80" s="70">
        <f t="shared" ref="B80:AA80" si="52">B77+B78+B79</f>
        <v>0</v>
      </c>
      <c r="C80" s="70">
        <f t="shared" si="52"/>
        <v>0</v>
      </c>
      <c r="D80" s="70">
        <f t="shared" si="52"/>
        <v>0</v>
      </c>
      <c r="E80" s="70">
        <f t="shared" si="52"/>
        <v>0</v>
      </c>
      <c r="F80" s="70">
        <f t="shared" si="52"/>
        <v>0</v>
      </c>
      <c r="G80" s="70">
        <f t="shared" si="52"/>
        <v>0</v>
      </c>
      <c r="H80" s="70">
        <f t="shared" si="52"/>
        <v>0</v>
      </c>
      <c r="I80" s="70">
        <f t="shared" si="52"/>
        <v>0</v>
      </c>
      <c r="J80" s="70">
        <f t="shared" si="52"/>
        <v>0</v>
      </c>
      <c r="K80" s="70">
        <f t="shared" si="52"/>
        <v>0</v>
      </c>
      <c r="L80" s="70">
        <f t="shared" si="52"/>
        <v>0</v>
      </c>
      <c r="M80" s="70">
        <f t="shared" si="52"/>
        <v>36.700000000000003</v>
      </c>
      <c r="N80" s="70">
        <f t="shared" si="52"/>
        <v>0</v>
      </c>
      <c r="O80" s="70">
        <f t="shared" si="52"/>
        <v>0</v>
      </c>
      <c r="P80" s="70">
        <f t="shared" si="52"/>
        <v>0</v>
      </c>
      <c r="Q80" s="70">
        <f t="shared" si="52"/>
        <v>0</v>
      </c>
      <c r="R80" s="70">
        <f t="shared" si="52"/>
        <v>0</v>
      </c>
      <c r="S80" s="70">
        <f t="shared" ref="S80" si="53">S77+S78+S79</f>
        <v>0</v>
      </c>
      <c r="T80" s="70">
        <f t="shared" si="52"/>
        <v>0</v>
      </c>
      <c r="U80" s="70">
        <f t="shared" si="52"/>
        <v>42.2</v>
      </c>
      <c r="V80" s="70">
        <f t="shared" ref="V80" si="54">V77+V78+V79</f>
        <v>58</v>
      </c>
      <c r="W80" s="70">
        <f t="shared" si="52"/>
        <v>55.9</v>
      </c>
      <c r="X80" s="70">
        <f t="shared" si="52"/>
        <v>55.9</v>
      </c>
      <c r="Y80" s="70">
        <f>Y77+Y78+Y79</f>
        <v>63.1</v>
      </c>
      <c r="Z80" s="70">
        <f>Z77+Z78+Z79</f>
        <v>63.1</v>
      </c>
      <c r="AA80" s="70">
        <f t="shared" si="52"/>
        <v>56.300000000000004</v>
      </c>
      <c r="AB80" s="70">
        <f t="shared" ref="AB80:AC80" si="55">AB77+AB78+AB79</f>
        <v>0</v>
      </c>
      <c r="AC80" s="70">
        <f t="shared" si="55"/>
        <v>0</v>
      </c>
      <c r="AD80" s="70">
        <f t="shared" ref="AD80:AE80" si="56">AD77+AD78+AD79</f>
        <v>0</v>
      </c>
      <c r="AE80" s="70">
        <f t="shared" si="56"/>
        <v>0</v>
      </c>
      <c r="AF80" s="70">
        <f t="shared" ref="AF80" si="57">AF77+AF78+AF79</f>
        <v>0</v>
      </c>
      <c r="AG80" s="71">
        <f>SUM(AG77:AG79)</f>
        <v>106</v>
      </c>
      <c r="AH80" s="48">
        <f t="shared" si="8"/>
        <v>63.1</v>
      </c>
      <c r="AI80" s="49">
        <f t="shared" si="9"/>
        <v>0</v>
      </c>
      <c r="AK80" s="51"/>
      <c r="AZ80" s="81">
        <f t="shared" si="51"/>
        <v>60</v>
      </c>
      <c r="BA80" s="81">
        <f t="shared" si="51"/>
        <v>62</v>
      </c>
      <c r="BB80" s="81">
        <f t="shared" si="51"/>
        <v>60.1</v>
      </c>
      <c r="BC80" s="81">
        <f t="shared" si="51"/>
        <v>62.3</v>
      </c>
      <c r="BD80" s="81">
        <f t="shared" si="51"/>
        <v>61</v>
      </c>
      <c r="BE80" s="81">
        <f t="shared" si="51"/>
        <v>67</v>
      </c>
      <c r="BF80" s="81">
        <f t="shared" si="51"/>
        <v>62</v>
      </c>
      <c r="BG80" s="81">
        <f t="shared" si="51"/>
        <v>60</v>
      </c>
      <c r="BH80" s="81">
        <f t="shared" si="51"/>
        <v>57</v>
      </c>
      <c r="BI80" s="81">
        <f t="shared" si="51"/>
        <v>62</v>
      </c>
      <c r="BJ80" s="81">
        <f t="shared" si="51"/>
        <v>68</v>
      </c>
      <c r="BK80" s="81">
        <f t="shared" si="51"/>
        <v>55</v>
      </c>
      <c r="BL80" s="81">
        <f t="shared" si="51"/>
        <v>61</v>
      </c>
      <c r="BM80" s="81">
        <f t="shared" si="51"/>
        <v>52</v>
      </c>
      <c r="BN80" s="81">
        <f t="shared" si="51"/>
        <v>72</v>
      </c>
      <c r="BO80" s="81">
        <f t="shared" si="51"/>
        <v>70.8</v>
      </c>
      <c r="BP80" s="81">
        <f t="shared" si="51"/>
        <v>58</v>
      </c>
      <c r="BQ80" s="81">
        <f t="shared" si="51"/>
        <v>62.9</v>
      </c>
      <c r="BR80" s="81">
        <f t="shared" si="51"/>
        <v>69</v>
      </c>
      <c r="BS80" s="81">
        <f t="shared" si="51"/>
        <v>62</v>
      </c>
      <c r="BT80" s="81">
        <f t="shared" si="51"/>
        <v>67.900000000000006</v>
      </c>
      <c r="BU80" s="81">
        <f t="shared" si="51"/>
        <v>64.900000000000006</v>
      </c>
      <c r="BV80" s="81">
        <f t="shared" si="51"/>
        <v>68.3</v>
      </c>
      <c r="BW80" s="81">
        <f t="shared" si="51"/>
        <v>78</v>
      </c>
      <c r="BZ80" s="181">
        <v>70</v>
      </c>
      <c r="CA80" s="177">
        <v>0.71875</v>
      </c>
      <c r="CB80" s="182"/>
      <c r="CC80" s="182"/>
      <c r="CD80" s="182"/>
      <c r="CE80" s="182"/>
      <c r="CF80" s="182"/>
      <c r="CG80" s="172"/>
      <c r="CH80" s="183"/>
    </row>
    <row r="81" spans="1:86" x14ac:dyDescent="0.25">
      <c r="A81" s="45" t="s">
        <v>104</v>
      </c>
      <c r="B81" s="46">
        <v>65</v>
      </c>
      <c r="C81" s="46">
        <v>60</v>
      </c>
      <c r="D81" s="46">
        <v>58</v>
      </c>
      <c r="E81" s="46">
        <v>61</v>
      </c>
      <c r="F81" s="46">
        <v>51.2</v>
      </c>
      <c r="G81" s="46">
        <v>48</v>
      </c>
      <c r="H81" s="46">
        <v>62</v>
      </c>
      <c r="I81" s="46">
        <v>58</v>
      </c>
      <c r="J81" s="46">
        <v>65</v>
      </c>
      <c r="K81" s="46">
        <v>65.7</v>
      </c>
      <c r="L81" s="46">
        <v>57</v>
      </c>
      <c r="M81" s="46">
        <v>50.3</v>
      </c>
      <c r="N81" s="46">
        <v>53.1</v>
      </c>
      <c r="O81" s="46">
        <v>58.8</v>
      </c>
      <c r="P81" s="46">
        <v>55.6</v>
      </c>
      <c r="Q81" s="46">
        <v>59.4</v>
      </c>
      <c r="R81" s="46">
        <v>54</v>
      </c>
      <c r="S81" s="46">
        <v>59</v>
      </c>
      <c r="T81" s="46">
        <v>57</v>
      </c>
      <c r="U81" s="46">
        <v>62.1</v>
      </c>
      <c r="V81" s="46">
        <v>48</v>
      </c>
      <c r="W81" s="46">
        <v>43.2</v>
      </c>
      <c r="X81" s="46">
        <v>53.9</v>
      </c>
      <c r="Y81" s="46">
        <v>49.7</v>
      </c>
      <c r="Z81" s="46">
        <v>66</v>
      </c>
      <c r="AA81" s="46">
        <v>52.8</v>
      </c>
      <c r="AB81" s="46">
        <v>42</v>
      </c>
      <c r="AC81" s="46">
        <v>66.599999999999994</v>
      </c>
      <c r="AD81" s="46">
        <v>65.099999999999994</v>
      </c>
      <c r="AE81" s="46">
        <v>59.1</v>
      </c>
      <c r="AF81" s="46">
        <v>61.2</v>
      </c>
      <c r="AG81" s="60"/>
      <c r="AH81" s="48">
        <f t="shared" si="8"/>
        <v>66.599999999999994</v>
      </c>
      <c r="AI81" s="49">
        <f t="shared" si="9"/>
        <v>42</v>
      </c>
      <c r="AK81" s="51"/>
      <c r="AY81" s="81"/>
      <c r="BZ81" s="185">
        <v>71</v>
      </c>
      <c r="CA81" s="186">
        <v>0.72916666666666696</v>
      </c>
      <c r="CB81" s="187"/>
      <c r="CC81" s="187"/>
      <c r="CD81" s="187"/>
      <c r="CE81" s="187"/>
      <c r="CF81" s="187"/>
      <c r="CG81" s="172"/>
      <c r="CH81" s="172"/>
    </row>
    <row r="82" spans="1:86" x14ac:dyDescent="0.25">
      <c r="A82" s="64" t="s">
        <v>105</v>
      </c>
      <c r="B82" s="75">
        <v>0</v>
      </c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65"/>
      <c r="AH82" s="48">
        <f t="shared" ref="AH82:AH125" si="58">MAX(B82:AF82)</f>
        <v>0</v>
      </c>
      <c r="AI82" s="49">
        <f t="shared" ref="AI82:AI125" si="59">MIN(B82:AF82)</f>
        <v>0</v>
      </c>
      <c r="AK82" s="51"/>
      <c r="AY82" s="81"/>
      <c r="BF82" s="81"/>
      <c r="BG82" s="81"/>
      <c r="BH82" s="81"/>
      <c r="BI82" s="81"/>
      <c r="BJ82" s="81"/>
      <c r="BK82" s="81"/>
      <c r="BZ82" s="181">
        <v>72</v>
      </c>
      <c r="CA82" s="177">
        <v>0.73958333333333304</v>
      </c>
      <c r="CB82" s="182"/>
      <c r="CC82" s="182"/>
      <c r="CD82" s="182"/>
      <c r="CE82" s="182"/>
      <c r="CF82" s="182"/>
      <c r="CG82" s="172"/>
      <c r="CH82" s="183"/>
    </row>
    <row r="83" spans="1:86" x14ac:dyDescent="0.25">
      <c r="A83" s="64" t="s">
        <v>106</v>
      </c>
      <c r="B83" s="75">
        <v>402</v>
      </c>
      <c r="C83" s="75">
        <v>411</v>
      </c>
      <c r="D83" s="75">
        <v>401</v>
      </c>
      <c r="E83" s="75">
        <v>392</v>
      </c>
      <c r="F83" s="75">
        <v>411</v>
      </c>
      <c r="G83" s="75">
        <v>446</v>
      </c>
      <c r="H83" s="75">
        <v>465</v>
      </c>
      <c r="I83" s="75">
        <v>471</v>
      </c>
      <c r="J83" s="75">
        <v>412</v>
      </c>
      <c r="K83" s="75">
        <v>204</v>
      </c>
      <c r="L83" s="75">
        <v>91</v>
      </c>
      <c r="M83" s="75">
        <v>2</v>
      </c>
      <c r="N83" s="75">
        <v>98</v>
      </c>
      <c r="O83" s="75">
        <v>385</v>
      </c>
      <c r="P83" s="75">
        <v>440</v>
      </c>
      <c r="Q83" s="75">
        <v>443.4</v>
      </c>
      <c r="R83" s="75">
        <v>463</v>
      </c>
      <c r="S83" s="75">
        <v>490</v>
      </c>
      <c r="T83" s="75">
        <v>538</v>
      </c>
      <c r="U83" s="75">
        <v>520.20000000000005</v>
      </c>
      <c r="V83" s="75">
        <v>462</v>
      </c>
      <c r="W83" s="75">
        <v>508</v>
      </c>
      <c r="X83" s="75">
        <v>408</v>
      </c>
      <c r="Y83" s="75">
        <v>428</v>
      </c>
      <c r="Z83" s="75">
        <v>89</v>
      </c>
      <c r="AA83" s="75">
        <v>74.400000000000006</v>
      </c>
      <c r="AB83" s="75">
        <v>188.3</v>
      </c>
      <c r="AC83" s="75">
        <v>351.4</v>
      </c>
      <c r="AD83" s="75">
        <v>346.2</v>
      </c>
      <c r="AE83" s="75">
        <v>372.5</v>
      </c>
      <c r="AF83" s="75">
        <v>408.7</v>
      </c>
      <c r="AG83" s="87"/>
      <c r="AH83" s="48">
        <f t="shared" si="58"/>
        <v>538</v>
      </c>
      <c r="AI83" s="49">
        <f t="shared" si="59"/>
        <v>2</v>
      </c>
      <c r="AK83" s="51"/>
      <c r="AY83" s="81"/>
      <c r="BF83" s="80"/>
      <c r="BG83" s="80"/>
      <c r="BH83" s="80"/>
      <c r="BI83" s="80"/>
      <c r="BJ83" s="80"/>
      <c r="BK83" s="81"/>
      <c r="BZ83" s="185">
        <v>73</v>
      </c>
      <c r="CA83" s="186">
        <v>0.75</v>
      </c>
      <c r="CB83" s="187"/>
      <c r="CC83" s="187"/>
      <c r="CD83" s="187"/>
      <c r="CE83" s="187"/>
      <c r="CF83" s="187"/>
      <c r="CG83" s="172"/>
      <c r="CH83" s="172"/>
    </row>
    <row r="84" spans="1:86" x14ac:dyDescent="0.25">
      <c r="A84" s="64" t="s">
        <v>107</v>
      </c>
      <c r="B84" s="75">
        <v>49</v>
      </c>
      <c r="C84" s="75">
        <v>50</v>
      </c>
      <c r="D84" s="75">
        <v>54</v>
      </c>
      <c r="E84" s="88">
        <v>52.3</v>
      </c>
      <c r="F84" s="88">
        <v>54.8</v>
      </c>
      <c r="G84" s="88">
        <v>58.4</v>
      </c>
      <c r="H84" s="88">
        <v>54.3</v>
      </c>
      <c r="I84" s="88">
        <v>59.3</v>
      </c>
      <c r="J84" s="88">
        <v>54.2</v>
      </c>
      <c r="K84" s="88">
        <v>8.4</v>
      </c>
      <c r="L84" s="88">
        <v>7</v>
      </c>
      <c r="M84" s="88">
        <v>5.9</v>
      </c>
      <c r="N84" s="88">
        <v>5</v>
      </c>
      <c r="O84" s="88">
        <v>1</v>
      </c>
      <c r="P84" s="88">
        <v>29</v>
      </c>
      <c r="Q84" s="88">
        <v>42.3</v>
      </c>
      <c r="R84" s="88">
        <v>42</v>
      </c>
      <c r="S84" s="88">
        <v>40</v>
      </c>
      <c r="T84" s="88">
        <v>46.1</v>
      </c>
      <c r="U84" s="88">
        <v>47.1</v>
      </c>
      <c r="V84" s="88">
        <v>48</v>
      </c>
      <c r="W84" s="88">
        <v>49.7</v>
      </c>
      <c r="X84" s="88">
        <v>34.200000000000003</v>
      </c>
      <c r="Y84" s="88">
        <v>28</v>
      </c>
      <c r="Z84" s="88">
        <v>30.5</v>
      </c>
      <c r="AA84" s="88">
        <v>34.799999999999997</v>
      </c>
      <c r="AB84" s="88">
        <v>46.8</v>
      </c>
      <c r="AC84" s="88">
        <v>48.1</v>
      </c>
      <c r="AD84" s="88">
        <v>0</v>
      </c>
      <c r="AE84" s="88">
        <v>35.299999999999997</v>
      </c>
      <c r="AF84" s="88">
        <v>5.6</v>
      </c>
      <c r="AG84" s="87"/>
      <c r="AH84" s="48">
        <f t="shared" si="58"/>
        <v>59.3</v>
      </c>
      <c r="AI84" s="49">
        <f t="shared" si="59"/>
        <v>0</v>
      </c>
      <c r="AK84" s="51"/>
      <c r="AY84" s="81"/>
      <c r="BF84" s="80"/>
      <c r="BG84" s="81">
        <f t="array" ref="BG84:BL107">TRANSPOSE(AZ68:BW73)</f>
        <v>60</v>
      </c>
      <c r="BH84" s="81">
        <v>0</v>
      </c>
      <c r="BI84" s="81">
        <v>411</v>
      </c>
      <c r="BJ84" s="81">
        <v>50</v>
      </c>
      <c r="BK84" s="81">
        <v>0</v>
      </c>
      <c r="BL84" s="81">
        <v>60</v>
      </c>
      <c r="BZ84" s="181">
        <v>74</v>
      </c>
      <c r="CA84" s="177">
        <v>0.76041666666666696</v>
      </c>
      <c r="CB84" s="182"/>
      <c r="CC84" s="182"/>
      <c r="CD84" s="182"/>
      <c r="CE84" s="182"/>
      <c r="CF84" s="182"/>
      <c r="CG84" s="172"/>
      <c r="CH84" s="183"/>
    </row>
    <row r="85" spans="1:86" x14ac:dyDescent="0.25">
      <c r="A85" s="64" t="s">
        <v>108</v>
      </c>
      <c r="B85" s="46">
        <v>0</v>
      </c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>
        <v>38</v>
      </c>
      <c r="P85" s="46">
        <v>78</v>
      </c>
      <c r="Q85" s="46">
        <v>104</v>
      </c>
      <c r="R85" s="46">
        <v>110</v>
      </c>
      <c r="S85" s="46">
        <v>130</v>
      </c>
      <c r="T85" s="46">
        <v>124</v>
      </c>
      <c r="U85" s="46">
        <v>120.3</v>
      </c>
      <c r="V85" s="46">
        <v>120.3</v>
      </c>
      <c r="W85" s="46">
        <v>112</v>
      </c>
      <c r="X85" s="46">
        <v>80.400000000000006</v>
      </c>
      <c r="Y85" s="46">
        <v>0</v>
      </c>
      <c r="Z85" s="46">
        <v>0</v>
      </c>
      <c r="AA85" s="46">
        <v>0</v>
      </c>
      <c r="AB85" s="46">
        <v>0</v>
      </c>
      <c r="AC85" s="46">
        <f>52.59*2</f>
        <v>105.18</v>
      </c>
      <c r="AD85" s="46">
        <v>105.6</v>
      </c>
      <c r="AE85" s="46">
        <v>99</v>
      </c>
      <c r="AF85" s="46">
        <v>122.4</v>
      </c>
      <c r="AG85" s="87"/>
      <c r="AH85" s="48">
        <f t="shared" si="58"/>
        <v>130</v>
      </c>
      <c r="AI85" s="49">
        <f t="shared" si="59"/>
        <v>0</v>
      </c>
      <c r="AK85" s="51"/>
      <c r="AY85" s="81"/>
      <c r="BF85" s="80"/>
      <c r="BG85" s="81">
        <v>58</v>
      </c>
      <c r="BH85" s="81">
        <v>0</v>
      </c>
      <c r="BI85" s="81">
        <v>401</v>
      </c>
      <c r="BJ85" s="81">
        <v>54</v>
      </c>
      <c r="BK85" s="81">
        <v>0</v>
      </c>
      <c r="BL85" s="81">
        <v>62</v>
      </c>
      <c r="BZ85" s="185">
        <v>75</v>
      </c>
      <c r="CA85" s="186">
        <v>0.77083333333333304</v>
      </c>
      <c r="CB85" s="187"/>
      <c r="CC85" s="187"/>
      <c r="CD85" s="187"/>
      <c r="CE85" s="187"/>
      <c r="CF85" s="187"/>
      <c r="CG85" s="172"/>
      <c r="CH85" s="172"/>
    </row>
    <row r="86" spans="1:86" x14ac:dyDescent="0.25">
      <c r="A86" s="64" t="s">
        <v>109</v>
      </c>
      <c r="B86" s="46">
        <v>0</v>
      </c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7"/>
      <c r="AH86" s="48">
        <f t="shared" si="58"/>
        <v>0</v>
      </c>
      <c r="AI86" s="49">
        <f t="shared" si="59"/>
        <v>0</v>
      </c>
      <c r="AK86" s="51"/>
      <c r="AY86" s="81"/>
      <c r="BF86" s="80"/>
      <c r="BG86" s="81">
        <v>61</v>
      </c>
      <c r="BH86" s="81">
        <v>0</v>
      </c>
      <c r="BI86" s="81">
        <v>392</v>
      </c>
      <c r="BJ86" s="81">
        <v>52.3</v>
      </c>
      <c r="BK86" s="81">
        <v>0</v>
      </c>
      <c r="BL86" s="81">
        <v>60.1</v>
      </c>
      <c r="BZ86" s="181">
        <v>76</v>
      </c>
      <c r="CA86" s="177">
        <v>0.78125</v>
      </c>
      <c r="CB86" s="182"/>
      <c r="CC86" s="182"/>
      <c r="CD86" s="182"/>
      <c r="CE86" s="182"/>
      <c r="CF86" s="182"/>
      <c r="CG86" s="172"/>
      <c r="CH86" s="183"/>
    </row>
    <row r="87" spans="1:86" ht="15.75" thickBot="1" x14ac:dyDescent="0.3">
      <c r="A87" s="64" t="s">
        <v>110</v>
      </c>
      <c r="B87" s="46">
        <v>0</v>
      </c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7"/>
      <c r="AH87" s="48">
        <f t="shared" si="58"/>
        <v>0</v>
      </c>
      <c r="AI87" s="49">
        <f t="shared" si="59"/>
        <v>0</v>
      </c>
      <c r="AK87" s="51"/>
      <c r="AL87" s="90" t="s">
        <v>111</v>
      </c>
      <c r="AM87" s="90"/>
      <c r="AY87" s="81"/>
      <c r="BF87" s="81"/>
      <c r="BG87" s="81">
        <v>51.2</v>
      </c>
      <c r="BH87" s="81">
        <v>0</v>
      </c>
      <c r="BI87" s="81">
        <v>411</v>
      </c>
      <c r="BJ87" s="81">
        <v>54.8</v>
      </c>
      <c r="BK87" s="81">
        <v>0</v>
      </c>
      <c r="BL87" s="81">
        <v>62.3</v>
      </c>
      <c r="BZ87" s="185">
        <v>77</v>
      </c>
      <c r="CA87" s="186">
        <v>0.79166666666666696</v>
      </c>
      <c r="CB87" s="187"/>
      <c r="CC87" s="187"/>
      <c r="CD87" s="187"/>
      <c r="CE87" s="187"/>
      <c r="CF87" s="187"/>
      <c r="CG87" s="172"/>
      <c r="CH87" s="172"/>
    </row>
    <row r="88" spans="1:86" x14ac:dyDescent="0.25">
      <c r="A88" s="64" t="s">
        <v>112</v>
      </c>
      <c r="B88" s="46">
        <v>0</v>
      </c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7"/>
      <c r="AH88" s="48">
        <f t="shared" si="58"/>
        <v>0</v>
      </c>
      <c r="AI88" s="49">
        <f t="shared" si="59"/>
        <v>0</v>
      </c>
      <c r="AK88" s="91"/>
      <c r="AL88" s="92"/>
      <c r="AM88" s="92"/>
      <c r="AN88" s="93"/>
      <c r="AY88" s="81"/>
      <c r="BF88" s="81"/>
      <c r="BG88" s="81">
        <v>48</v>
      </c>
      <c r="BH88" s="81">
        <v>0</v>
      </c>
      <c r="BI88" s="81">
        <v>446</v>
      </c>
      <c r="BJ88" s="81">
        <v>58.4</v>
      </c>
      <c r="BK88" s="81">
        <v>0</v>
      </c>
      <c r="BL88" s="81">
        <v>61</v>
      </c>
      <c r="BZ88" s="181">
        <v>78</v>
      </c>
      <c r="CA88" s="177">
        <v>0.80208333333333304</v>
      </c>
      <c r="CB88" s="182"/>
      <c r="CC88" s="182"/>
      <c r="CD88" s="182"/>
      <c r="CE88" s="182"/>
      <c r="CF88" s="182"/>
      <c r="CG88" s="172"/>
      <c r="CH88" s="183"/>
    </row>
    <row r="89" spans="1:86" x14ac:dyDescent="0.25">
      <c r="A89" s="64" t="s">
        <v>113</v>
      </c>
      <c r="B89" s="46">
        <v>0</v>
      </c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7"/>
      <c r="AH89" s="48">
        <f t="shared" si="58"/>
        <v>0</v>
      </c>
      <c r="AI89" s="49">
        <f t="shared" si="59"/>
        <v>0</v>
      </c>
      <c r="AK89" s="94" t="s">
        <v>114</v>
      </c>
      <c r="AL89" s="75"/>
      <c r="AM89" s="88"/>
      <c r="AN89" s="95"/>
      <c r="AY89" s="81"/>
      <c r="BF89" s="81"/>
      <c r="BG89" s="81">
        <v>58</v>
      </c>
      <c r="BH89" s="81">
        <v>0</v>
      </c>
      <c r="BI89" s="81">
        <v>471</v>
      </c>
      <c r="BJ89" s="81">
        <v>59.3</v>
      </c>
      <c r="BK89" s="81">
        <v>0</v>
      </c>
      <c r="BL89" s="81">
        <v>67</v>
      </c>
      <c r="BZ89" s="185">
        <v>79</v>
      </c>
      <c r="CA89" s="186">
        <v>0.8125</v>
      </c>
      <c r="CB89" s="187"/>
      <c r="CC89" s="187"/>
      <c r="CD89" s="187"/>
      <c r="CE89" s="187"/>
      <c r="CF89" s="187"/>
      <c r="CG89" s="172"/>
      <c r="CH89" s="172"/>
    </row>
    <row r="90" spans="1:86" x14ac:dyDescent="0.25">
      <c r="A90" s="96" t="s">
        <v>115</v>
      </c>
      <c r="B90" s="46">
        <v>0</v>
      </c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97"/>
      <c r="AH90" s="48">
        <f t="shared" si="58"/>
        <v>0</v>
      </c>
      <c r="AI90" s="49">
        <f t="shared" si="59"/>
        <v>0</v>
      </c>
      <c r="AK90" s="94" t="s">
        <v>116</v>
      </c>
      <c r="AL90" s="88"/>
      <c r="AM90" s="88"/>
      <c r="AN90" s="95"/>
      <c r="AY90" s="81"/>
      <c r="BF90" s="81"/>
      <c r="BG90" s="81">
        <v>65.7</v>
      </c>
      <c r="BH90" s="81">
        <v>0</v>
      </c>
      <c r="BI90" s="81">
        <v>204</v>
      </c>
      <c r="BJ90" s="81">
        <v>8.4</v>
      </c>
      <c r="BK90" s="81">
        <v>0</v>
      </c>
      <c r="BL90" s="81">
        <v>62</v>
      </c>
      <c r="BZ90" s="181">
        <v>80</v>
      </c>
      <c r="CA90" s="177">
        <v>0.82291666666666696</v>
      </c>
      <c r="CB90" s="182"/>
      <c r="CC90" s="182"/>
      <c r="CD90" s="182"/>
      <c r="CE90" s="182"/>
      <c r="CF90" s="182"/>
      <c r="CG90" s="172"/>
      <c r="CH90" s="183"/>
    </row>
    <row r="91" spans="1:86" ht="15.75" thickBot="1" x14ac:dyDescent="0.3">
      <c r="A91" s="96" t="s">
        <v>117</v>
      </c>
      <c r="B91" s="89">
        <v>78</v>
      </c>
      <c r="C91" s="89">
        <v>60</v>
      </c>
      <c r="D91" s="89">
        <v>62</v>
      </c>
      <c r="E91" s="89">
        <v>60.1</v>
      </c>
      <c r="F91" s="89">
        <v>62.3</v>
      </c>
      <c r="G91" s="89">
        <v>61</v>
      </c>
      <c r="H91" s="89">
        <v>72</v>
      </c>
      <c r="I91" s="89">
        <v>67</v>
      </c>
      <c r="J91" s="89">
        <v>62</v>
      </c>
      <c r="K91" s="89">
        <v>62</v>
      </c>
      <c r="L91" s="89">
        <v>62</v>
      </c>
      <c r="M91" s="89">
        <v>60</v>
      </c>
      <c r="N91" s="89">
        <v>57</v>
      </c>
      <c r="O91" s="89">
        <v>62</v>
      </c>
      <c r="P91" s="89">
        <v>68</v>
      </c>
      <c r="Q91" s="89">
        <v>55</v>
      </c>
      <c r="R91" s="89">
        <v>61</v>
      </c>
      <c r="S91" s="89">
        <v>52</v>
      </c>
      <c r="T91" s="89">
        <v>72</v>
      </c>
      <c r="U91" s="89">
        <v>70.8</v>
      </c>
      <c r="V91" s="89">
        <v>58</v>
      </c>
      <c r="W91" s="89">
        <v>65.7</v>
      </c>
      <c r="X91" s="89">
        <v>62.9</v>
      </c>
      <c r="Y91" s="89">
        <v>70</v>
      </c>
      <c r="Z91" s="89">
        <v>69</v>
      </c>
      <c r="AA91" s="89">
        <v>66.099999999999994</v>
      </c>
      <c r="AB91" s="89">
        <v>62</v>
      </c>
      <c r="AC91" s="89">
        <v>62.1</v>
      </c>
      <c r="AD91" s="89">
        <v>67.900000000000006</v>
      </c>
      <c r="AE91" s="89">
        <v>64.900000000000006</v>
      </c>
      <c r="AF91" s="89">
        <v>68.3</v>
      </c>
      <c r="AG91" s="97"/>
      <c r="AH91" s="48">
        <f t="shared" si="58"/>
        <v>78</v>
      </c>
      <c r="AI91" s="49">
        <f t="shared" si="59"/>
        <v>52</v>
      </c>
      <c r="AK91" s="98"/>
      <c r="AL91" s="46"/>
      <c r="AM91" s="46"/>
      <c r="AN91" s="99"/>
      <c r="AY91" s="81"/>
      <c r="BF91" s="81"/>
      <c r="BG91" s="81">
        <v>50.3</v>
      </c>
      <c r="BH91" s="81">
        <v>0</v>
      </c>
      <c r="BI91" s="81">
        <v>2</v>
      </c>
      <c r="BJ91" s="81">
        <v>5.9</v>
      </c>
      <c r="BK91" s="81">
        <v>0</v>
      </c>
      <c r="BL91" s="81">
        <v>60</v>
      </c>
      <c r="BZ91" s="181">
        <v>81</v>
      </c>
      <c r="CA91" s="177">
        <v>0.83333333333333304</v>
      </c>
      <c r="CB91" s="182"/>
      <c r="CC91" s="182"/>
      <c r="CD91" s="182"/>
      <c r="CE91" s="182"/>
      <c r="CF91" s="182"/>
      <c r="CG91" s="172"/>
      <c r="CH91" s="183"/>
    </row>
    <row r="92" spans="1:86" ht="15.75" thickBot="1" x14ac:dyDescent="0.3">
      <c r="A92" s="86" t="s">
        <v>118</v>
      </c>
      <c r="B92" s="70">
        <f t="shared" ref="B92:AA92" si="60">SUMIF(B81:B91,"&gt;0")</f>
        <v>594</v>
      </c>
      <c r="C92" s="70">
        <f t="shared" si="60"/>
        <v>581</v>
      </c>
      <c r="D92" s="70">
        <f t="shared" si="60"/>
        <v>575</v>
      </c>
      <c r="E92" s="70">
        <f t="shared" si="60"/>
        <v>565.4</v>
      </c>
      <c r="F92" s="70">
        <f t="shared" si="60"/>
        <v>579.29999999999995</v>
      </c>
      <c r="G92" s="70">
        <f t="shared" si="60"/>
        <v>613.4</v>
      </c>
      <c r="H92" s="70">
        <f t="shared" si="60"/>
        <v>653.29999999999995</v>
      </c>
      <c r="I92" s="70">
        <f t="shared" si="60"/>
        <v>655.29999999999995</v>
      </c>
      <c r="J92" s="70">
        <f t="shared" si="60"/>
        <v>593.20000000000005</v>
      </c>
      <c r="K92" s="70">
        <f t="shared" si="60"/>
        <v>340.09999999999997</v>
      </c>
      <c r="L92" s="70">
        <f t="shared" si="60"/>
        <v>217</v>
      </c>
      <c r="M92" s="70">
        <f t="shared" si="60"/>
        <v>118.19999999999999</v>
      </c>
      <c r="N92" s="70">
        <f t="shared" si="60"/>
        <v>213.1</v>
      </c>
      <c r="O92" s="70">
        <f t="shared" si="60"/>
        <v>544.79999999999995</v>
      </c>
      <c r="P92" s="70">
        <f t="shared" si="60"/>
        <v>670.6</v>
      </c>
      <c r="Q92" s="70">
        <f t="shared" si="60"/>
        <v>704.09999999999991</v>
      </c>
      <c r="R92" s="70">
        <f t="shared" si="60"/>
        <v>730</v>
      </c>
      <c r="S92" s="70">
        <f t="shared" ref="S92" si="61">SUMIF(S81:S91,"&gt;0")</f>
        <v>771</v>
      </c>
      <c r="T92" s="70">
        <f t="shared" si="60"/>
        <v>837.1</v>
      </c>
      <c r="U92" s="70">
        <f t="shared" si="60"/>
        <v>820.5</v>
      </c>
      <c r="V92" s="70">
        <f t="shared" ref="V92" si="62">SUMIF(V81:V91,"&gt;0")</f>
        <v>736.3</v>
      </c>
      <c r="W92" s="70">
        <f t="shared" si="60"/>
        <v>778.60000000000014</v>
      </c>
      <c r="X92" s="70">
        <f t="shared" si="60"/>
        <v>639.4</v>
      </c>
      <c r="Y92" s="70">
        <f>SUMIF(Y81:Y91,"&gt;0")</f>
        <v>575.70000000000005</v>
      </c>
      <c r="Z92" s="70">
        <f>SUMIF(Z81:Z91,"&gt;0")</f>
        <v>254.5</v>
      </c>
      <c r="AA92" s="70">
        <f t="shared" si="60"/>
        <v>228.1</v>
      </c>
      <c r="AB92" s="70">
        <f t="shared" ref="AB92:AC92" si="63">SUMIF(AB81:AB91,"&gt;0")</f>
        <v>339.1</v>
      </c>
      <c r="AC92" s="70">
        <f t="shared" si="63"/>
        <v>633.38</v>
      </c>
      <c r="AD92" s="70">
        <f t="shared" ref="AD92:AE92" si="64">SUMIF(AD81:AD91,"&gt;0")</f>
        <v>584.79999999999995</v>
      </c>
      <c r="AE92" s="70">
        <f t="shared" si="64"/>
        <v>630.80000000000007</v>
      </c>
      <c r="AF92" s="70">
        <f t="shared" ref="AF92" si="65">SUMIF(AF81:AF91,"&gt;0")</f>
        <v>666.19999999999993</v>
      </c>
      <c r="AG92" s="100">
        <f>SUM(AG81:AG91)</f>
        <v>0</v>
      </c>
      <c r="AH92" s="48">
        <f t="shared" si="58"/>
        <v>837.1</v>
      </c>
      <c r="AI92" s="49">
        <f t="shared" si="59"/>
        <v>118.19999999999999</v>
      </c>
      <c r="AK92" s="98"/>
      <c r="AL92" s="89"/>
      <c r="AM92" s="101"/>
      <c r="AN92" s="202"/>
      <c r="AY92" s="81"/>
      <c r="BF92" s="81"/>
      <c r="BG92" s="81">
        <v>53.1</v>
      </c>
      <c r="BH92" s="81">
        <v>0</v>
      </c>
      <c r="BI92" s="81">
        <v>98</v>
      </c>
      <c r="BJ92" s="81">
        <v>5</v>
      </c>
      <c r="BK92" s="81">
        <v>0</v>
      </c>
      <c r="BL92" s="81">
        <v>57</v>
      </c>
      <c r="BZ92" s="181">
        <v>82</v>
      </c>
      <c r="CA92" s="177">
        <v>0.84375</v>
      </c>
      <c r="CB92" s="182"/>
      <c r="CC92" s="182"/>
      <c r="CD92" s="182"/>
      <c r="CE92" s="182"/>
      <c r="CF92" s="182"/>
      <c r="CG92" s="172"/>
      <c r="CH92" s="183"/>
    </row>
    <row r="93" spans="1:86" x14ac:dyDescent="0.25">
      <c r="A93" s="45" t="s">
        <v>119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58"/>
        <v>0</v>
      </c>
      <c r="AI93" s="49">
        <f t="shared" si="59"/>
        <v>0</v>
      </c>
      <c r="AK93" s="98"/>
      <c r="AL93" s="89"/>
      <c r="AM93" s="89"/>
      <c r="AN93" s="203"/>
      <c r="BF93" s="81"/>
      <c r="BG93" s="81">
        <v>58.8</v>
      </c>
      <c r="BH93" s="81">
        <v>0</v>
      </c>
      <c r="BI93" s="81">
        <v>385</v>
      </c>
      <c r="BJ93" s="81">
        <v>1</v>
      </c>
      <c r="BK93" s="81">
        <v>38</v>
      </c>
      <c r="BL93" s="81">
        <v>62</v>
      </c>
      <c r="BZ93" s="181">
        <v>83</v>
      </c>
      <c r="CA93" s="177">
        <v>0.85416666666666696</v>
      </c>
      <c r="CB93" s="182"/>
      <c r="CC93" s="182"/>
      <c r="CD93" s="182"/>
      <c r="CE93" s="182"/>
      <c r="CF93" s="182"/>
      <c r="CG93" s="172"/>
      <c r="CH93" s="183"/>
    </row>
    <row r="94" spans="1:86" ht="15.75" thickBot="1" x14ac:dyDescent="0.3">
      <c r="A94" s="64" t="s">
        <v>120</v>
      </c>
      <c r="B94" s="89">
        <v>0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58"/>
        <v>0</v>
      </c>
      <c r="AI94" s="49">
        <f t="shared" si="59"/>
        <v>0</v>
      </c>
      <c r="AK94" s="103"/>
      <c r="AL94" s="104"/>
      <c r="AM94" s="104"/>
      <c r="AN94" s="105"/>
      <c r="BF94" s="81"/>
      <c r="BG94" s="81">
        <v>55.6</v>
      </c>
      <c r="BH94" s="81">
        <v>0</v>
      </c>
      <c r="BI94" s="81">
        <v>440</v>
      </c>
      <c r="BJ94" s="81">
        <v>29</v>
      </c>
      <c r="BK94" s="81">
        <v>78</v>
      </c>
      <c r="BL94" s="81">
        <v>68</v>
      </c>
      <c r="BZ94" s="181">
        <v>84</v>
      </c>
      <c r="CA94" s="177">
        <v>0.86458333333333304</v>
      </c>
      <c r="CB94" s="182"/>
      <c r="CC94" s="182"/>
      <c r="CD94" s="182"/>
      <c r="CE94" s="182"/>
      <c r="CF94" s="182"/>
      <c r="CG94" s="172"/>
      <c r="CH94" s="183"/>
    </row>
    <row r="95" spans="1:86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0</v>
      </c>
      <c r="Y95" s="106">
        <v>0</v>
      </c>
      <c r="Z95" s="106">
        <v>0</v>
      </c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58"/>
        <v>0</v>
      </c>
      <c r="AI95" s="49">
        <f t="shared" si="59"/>
        <v>0</v>
      </c>
      <c r="BF95" s="81"/>
      <c r="BG95" s="81">
        <v>59.4</v>
      </c>
      <c r="BH95" s="81">
        <v>0</v>
      </c>
      <c r="BI95" s="81">
        <v>443.4</v>
      </c>
      <c r="BJ95" s="81">
        <v>42.3</v>
      </c>
      <c r="BK95" s="81">
        <v>104</v>
      </c>
      <c r="BL95" s="81">
        <v>55</v>
      </c>
      <c r="BZ95" s="181">
        <v>85</v>
      </c>
      <c r="CA95" s="177">
        <v>0.875</v>
      </c>
      <c r="CB95" s="182"/>
      <c r="CC95" s="182"/>
      <c r="CD95" s="182"/>
      <c r="CE95" s="182"/>
      <c r="CF95" s="182"/>
      <c r="CG95" s="183"/>
      <c r="CH95" s="183"/>
    </row>
    <row r="96" spans="1:86" ht="15.75" thickBot="1" x14ac:dyDescent="0.3">
      <c r="A96" s="86" t="s">
        <v>122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100">
        <f>SUM(AG93:AG95)</f>
        <v>55.4</v>
      </c>
      <c r="AH96" s="48">
        <f t="shared" si="58"/>
        <v>0</v>
      </c>
      <c r="AI96" s="49">
        <f t="shared" si="59"/>
        <v>0</v>
      </c>
      <c r="BF96" s="81"/>
      <c r="BG96" s="81">
        <v>54</v>
      </c>
      <c r="BH96" s="81">
        <v>0</v>
      </c>
      <c r="BI96" s="81">
        <v>463</v>
      </c>
      <c r="BJ96" s="81">
        <v>42</v>
      </c>
      <c r="BK96" s="81">
        <v>110</v>
      </c>
      <c r="BL96" s="81">
        <v>61</v>
      </c>
      <c r="BZ96" s="181">
        <v>86</v>
      </c>
      <c r="CA96" s="177">
        <v>0.88541666666666696</v>
      </c>
      <c r="CB96" s="182"/>
      <c r="CC96" s="182"/>
      <c r="CD96" s="182"/>
      <c r="CE96" s="182"/>
      <c r="CF96" s="182"/>
      <c r="CG96" s="183"/>
      <c r="CH96" s="183"/>
    </row>
    <row r="97" spans="1:86" ht="15.75" thickBot="1" x14ac:dyDescent="0.3">
      <c r="A97" s="86" t="s">
        <v>123</v>
      </c>
      <c r="B97" s="107">
        <f t="shared" ref="B97:AG97" si="66">B58+B62+B80+B76+B92+B96</f>
        <v>1245.79</v>
      </c>
      <c r="C97" s="107">
        <f t="shared" si="66"/>
        <v>1194.29</v>
      </c>
      <c r="D97" s="107">
        <f t="shared" si="66"/>
        <v>1188.29</v>
      </c>
      <c r="E97" s="107">
        <f t="shared" si="66"/>
        <v>1192.19</v>
      </c>
      <c r="F97" s="107">
        <f t="shared" si="66"/>
        <v>1206.0899999999999</v>
      </c>
      <c r="G97" s="107">
        <f t="shared" si="66"/>
        <v>1240.19</v>
      </c>
      <c r="H97" s="107">
        <f t="shared" si="66"/>
        <v>1277.3899999999999</v>
      </c>
      <c r="I97" s="107">
        <f t="shared" si="66"/>
        <v>1354.1899999999998</v>
      </c>
      <c r="J97" s="107">
        <f t="shared" si="66"/>
        <v>1506.58</v>
      </c>
      <c r="K97" s="107">
        <f t="shared" si="66"/>
        <v>1393.5899999999997</v>
      </c>
      <c r="L97" s="107">
        <f t="shared" si="66"/>
        <v>1375.49</v>
      </c>
      <c r="M97" s="107">
        <f t="shared" si="66"/>
        <v>1345.6899999999998</v>
      </c>
      <c r="N97" s="107">
        <f t="shared" si="66"/>
        <v>1265.3899999999999</v>
      </c>
      <c r="O97" s="107">
        <f t="shared" si="66"/>
        <v>1275.4899999999998</v>
      </c>
      <c r="P97" s="107">
        <f t="shared" si="66"/>
        <v>1473.3899999999999</v>
      </c>
      <c r="Q97" s="107">
        <f t="shared" si="66"/>
        <v>1436.79</v>
      </c>
      <c r="R97" s="107">
        <f t="shared" si="66"/>
        <v>1426.3899999999999</v>
      </c>
      <c r="S97" s="107">
        <f t="shared" ref="S97" si="67">S58+S62+S80+S76+S92+S96</f>
        <v>1477.49</v>
      </c>
      <c r="T97" s="107">
        <f t="shared" si="66"/>
        <v>1522.8899999999999</v>
      </c>
      <c r="U97" s="107">
        <f t="shared" si="66"/>
        <v>1541.5900000000001</v>
      </c>
      <c r="V97" s="107">
        <f t="shared" ref="V97" si="68">V58+V62+V80+V76+V92+V96</f>
        <v>1444.3899999999999</v>
      </c>
      <c r="W97" s="107">
        <f t="shared" si="66"/>
        <v>1496.19</v>
      </c>
      <c r="X97" s="107">
        <f t="shared" si="66"/>
        <v>1396.9899999999998</v>
      </c>
      <c r="Y97" s="107">
        <f>Y58+Y62+Y80+Y76+Y92+Y96</f>
        <v>1512.3500000000001</v>
      </c>
      <c r="Z97" s="107">
        <f>Z58+Z62+Z80+Z76+Z92+Z96</f>
        <v>1492.75</v>
      </c>
      <c r="AA97" s="107">
        <f t="shared" si="66"/>
        <v>1538.5899999999997</v>
      </c>
      <c r="AB97" s="107">
        <f t="shared" ref="AB97:AC97" si="69">AB58+AB62+AB80+AB76+AB92+AB96</f>
        <v>1366.8899999999999</v>
      </c>
      <c r="AC97" s="107">
        <f t="shared" si="69"/>
        <v>1479.77</v>
      </c>
      <c r="AD97" s="107">
        <f t="shared" ref="AD97:AE97" si="70">AD58+AD62+AD80+AD76+AD92+AD96</f>
        <v>1434.3899999999999</v>
      </c>
      <c r="AE97" s="107">
        <f t="shared" si="70"/>
        <v>1355.8899999999999</v>
      </c>
      <c r="AF97" s="107">
        <f t="shared" ref="AF97" si="71">AF58+AF62+AF80+AF76+AF92+AF96</f>
        <v>1322.69</v>
      </c>
      <c r="AG97" s="71">
        <f t="shared" si="66"/>
        <v>2231.81</v>
      </c>
      <c r="AH97" s="48">
        <f t="shared" si="58"/>
        <v>1541.5900000000001</v>
      </c>
      <c r="AI97" s="49">
        <f t="shared" si="59"/>
        <v>1188.29</v>
      </c>
      <c r="BF97" s="81"/>
      <c r="BG97" s="81">
        <v>59</v>
      </c>
      <c r="BH97" s="81">
        <v>0</v>
      </c>
      <c r="BI97" s="81">
        <v>490</v>
      </c>
      <c r="BJ97" s="81">
        <v>40</v>
      </c>
      <c r="BK97" s="81">
        <v>130</v>
      </c>
      <c r="BL97" s="81">
        <v>52</v>
      </c>
      <c r="BZ97" s="181">
        <v>87</v>
      </c>
      <c r="CA97" s="177">
        <v>0.89583333333333304</v>
      </c>
      <c r="CB97" s="182"/>
      <c r="CC97" s="182"/>
      <c r="CD97" s="182"/>
      <c r="CE97" s="182"/>
      <c r="CF97" s="182"/>
      <c r="CG97" s="183"/>
      <c r="CH97" s="183"/>
    </row>
    <row r="98" spans="1:86" ht="15.75" thickBot="1" x14ac:dyDescent="0.3">
      <c r="A98" s="108" t="s">
        <v>124</v>
      </c>
      <c r="B98" s="109">
        <v>50</v>
      </c>
      <c r="C98" s="109">
        <v>50</v>
      </c>
      <c r="D98" s="109">
        <v>50</v>
      </c>
      <c r="E98" s="109">
        <v>50</v>
      </c>
      <c r="F98" s="109">
        <v>50</v>
      </c>
      <c r="G98" s="109">
        <v>50</v>
      </c>
      <c r="H98" s="109">
        <v>50</v>
      </c>
      <c r="I98" s="109">
        <v>50</v>
      </c>
      <c r="J98" s="109">
        <v>50</v>
      </c>
      <c r="K98" s="109">
        <v>50</v>
      </c>
      <c r="L98" s="109">
        <v>250</v>
      </c>
      <c r="M98" s="109">
        <v>250</v>
      </c>
      <c r="N98" s="109">
        <v>250</v>
      </c>
      <c r="O98" s="109">
        <v>180</v>
      </c>
      <c r="P98" s="109"/>
      <c r="Q98" s="109">
        <v>20</v>
      </c>
      <c r="R98" s="109">
        <v>15</v>
      </c>
      <c r="S98" s="109">
        <v>15</v>
      </c>
      <c r="T98" s="109">
        <v>15</v>
      </c>
      <c r="U98" s="109">
        <v>15</v>
      </c>
      <c r="V98" s="109">
        <v>40</v>
      </c>
      <c r="W98" s="109">
        <v>40</v>
      </c>
      <c r="X98" s="109">
        <v>200</v>
      </c>
      <c r="Y98" s="109">
        <v>200</v>
      </c>
      <c r="Z98" s="109">
        <v>200</v>
      </c>
      <c r="AA98" s="109">
        <v>200</v>
      </c>
      <c r="AB98" s="109">
        <v>200</v>
      </c>
      <c r="AC98" s="109">
        <v>100</v>
      </c>
      <c r="AD98" s="109">
        <v>30</v>
      </c>
      <c r="AE98" s="109">
        <v>0</v>
      </c>
      <c r="AF98" s="109">
        <v>0</v>
      </c>
      <c r="AG98" s="100"/>
      <c r="AH98" s="48">
        <f t="shared" si="58"/>
        <v>250</v>
      </c>
      <c r="AI98" s="49">
        <f t="shared" si="59"/>
        <v>0</v>
      </c>
      <c r="BF98" s="81"/>
      <c r="BG98" s="81">
        <v>57</v>
      </c>
      <c r="BH98" s="81">
        <v>0</v>
      </c>
      <c r="BI98" s="81">
        <v>538</v>
      </c>
      <c r="BJ98" s="81">
        <v>46.1</v>
      </c>
      <c r="BK98" s="81">
        <v>124</v>
      </c>
      <c r="BL98" s="81">
        <v>72</v>
      </c>
      <c r="BZ98" s="181">
        <v>88</v>
      </c>
      <c r="CA98" s="177">
        <v>0.90625</v>
      </c>
      <c r="CB98" s="182"/>
      <c r="CC98" s="182"/>
      <c r="CD98" s="182"/>
      <c r="CE98" s="182"/>
      <c r="CF98" s="182"/>
      <c r="CG98" s="183"/>
      <c r="CH98" s="183"/>
    </row>
    <row r="99" spans="1:86" ht="15.75" thickBot="1" x14ac:dyDescent="0.3">
      <c r="A99" s="86" t="s">
        <v>125</v>
      </c>
      <c r="B99" s="107">
        <f t="shared" ref="B99:AA99" si="72">B97+B98</f>
        <v>1295.79</v>
      </c>
      <c r="C99" s="107">
        <f t="shared" si="72"/>
        <v>1244.29</v>
      </c>
      <c r="D99" s="107">
        <f t="shared" si="72"/>
        <v>1238.29</v>
      </c>
      <c r="E99" s="107">
        <f t="shared" si="72"/>
        <v>1242.19</v>
      </c>
      <c r="F99" s="107">
        <f t="shared" si="72"/>
        <v>1256.0899999999999</v>
      </c>
      <c r="G99" s="107">
        <f t="shared" si="72"/>
        <v>1290.19</v>
      </c>
      <c r="H99" s="107">
        <f t="shared" si="72"/>
        <v>1327.3899999999999</v>
      </c>
      <c r="I99" s="107">
        <f t="shared" si="72"/>
        <v>1404.1899999999998</v>
      </c>
      <c r="J99" s="107">
        <f t="shared" si="72"/>
        <v>1556.58</v>
      </c>
      <c r="K99" s="107">
        <f t="shared" si="72"/>
        <v>1443.5899999999997</v>
      </c>
      <c r="L99" s="107">
        <f t="shared" si="72"/>
        <v>1625.49</v>
      </c>
      <c r="M99" s="107">
        <f t="shared" si="72"/>
        <v>1595.6899999999998</v>
      </c>
      <c r="N99" s="107">
        <f t="shared" si="72"/>
        <v>1515.3899999999999</v>
      </c>
      <c r="O99" s="107">
        <f t="shared" si="72"/>
        <v>1455.4899999999998</v>
      </c>
      <c r="P99" s="107">
        <f t="shared" si="72"/>
        <v>1473.3899999999999</v>
      </c>
      <c r="Q99" s="107">
        <f t="shared" si="72"/>
        <v>1456.79</v>
      </c>
      <c r="R99" s="107">
        <f t="shared" si="72"/>
        <v>1441.3899999999999</v>
      </c>
      <c r="S99" s="107">
        <f t="shared" ref="S99" si="73">S97+S98</f>
        <v>1492.49</v>
      </c>
      <c r="T99" s="107">
        <f t="shared" si="72"/>
        <v>1537.8899999999999</v>
      </c>
      <c r="U99" s="107">
        <f t="shared" si="72"/>
        <v>1556.5900000000001</v>
      </c>
      <c r="V99" s="107">
        <f t="shared" ref="V99" si="74">V97+V98</f>
        <v>1484.3899999999999</v>
      </c>
      <c r="W99" s="107">
        <f t="shared" si="72"/>
        <v>1536.19</v>
      </c>
      <c r="X99" s="107">
        <f t="shared" si="72"/>
        <v>1596.9899999999998</v>
      </c>
      <c r="Y99" s="107">
        <f>Y97+Y98</f>
        <v>1712.3500000000001</v>
      </c>
      <c r="Z99" s="107">
        <f>Z97+Z98</f>
        <v>1692.75</v>
      </c>
      <c r="AA99" s="107">
        <f t="shared" si="72"/>
        <v>1738.5899999999997</v>
      </c>
      <c r="AB99" s="107">
        <f t="shared" ref="AB99:AC99" si="75">AB97+AB98</f>
        <v>1566.8899999999999</v>
      </c>
      <c r="AC99" s="107">
        <f t="shared" si="75"/>
        <v>1579.77</v>
      </c>
      <c r="AD99" s="107">
        <f t="shared" ref="AD99:AE99" si="76">AD97+AD98</f>
        <v>1464.3899999999999</v>
      </c>
      <c r="AE99" s="107">
        <f t="shared" si="76"/>
        <v>1355.8899999999999</v>
      </c>
      <c r="AF99" s="107">
        <f t="shared" ref="AF99" si="77">AF97+AF98</f>
        <v>1322.69</v>
      </c>
      <c r="AG99" s="100">
        <f>AG96+AG92+AG80+AG76+AG58+AG98</f>
        <v>1693.71</v>
      </c>
      <c r="AH99" s="48">
        <f t="shared" si="58"/>
        <v>1738.5899999999997</v>
      </c>
      <c r="AI99" s="49">
        <f t="shared" si="59"/>
        <v>1238.29</v>
      </c>
      <c r="BF99" s="81"/>
      <c r="BG99" s="81">
        <v>62.1</v>
      </c>
      <c r="BH99" s="81">
        <v>0</v>
      </c>
      <c r="BI99" s="81">
        <v>520.20000000000005</v>
      </c>
      <c r="BJ99" s="81">
        <v>47.1</v>
      </c>
      <c r="BK99" s="81">
        <v>120.3</v>
      </c>
      <c r="BL99" s="81">
        <v>70.8</v>
      </c>
      <c r="BZ99" s="181">
        <v>89</v>
      </c>
      <c r="CA99" s="177">
        <v>0.91666666666666696</v>
      </c>
      <c r="CB99" s="182"/>
      <c r="CC99" s="182"/>
      <c r="CD99" s="182"/>
      <c r="CE99" s="182"/>
      <c r="CF99" s="182"/>
      <c r="CG99" s="183"/>
      <c r="CH99" s="183"/>
    </row>
    <row r="100" spans="1:86" ht="15.75" thickBot="1" x14ac:dyDescent="0.3">
      <c r="A100" s="86" t="s">
        <v>126</v>
      </c>
      <c r="B100" s="107">
        <f t="shared" ref="B100:M100" si="78">B99-(B107)</f>
        <v>1295.79</v>
      </c>
      <c r="C100" s="107">
        <f t="shared" si="78"/>
        <v>1244.29</v>
      </c>
      <c r="D100" s="107">
        <f t="shared" si="78"/>
        <v>1238.29</v>
      </c>
      <c r="E100" s="107">
        <f t="shared" si="78"/>
        <v>1242.19</v>
      </c>
      <c r="F100" s="107">
        <f t="shared" si="78"/>
        <v>1256.0899999999999</v>
      </c>
      <c r="G100" s="107">
        <f t="shared" si="78"/>
        <v>1290.19</v>
      </c>
      <c r="H100" s="107">
        <f t="shared" si="78"/>
        <v>1327.3899999999999</v>
      </c>
      <c r="I100" s="107">
        <f t="shared" si="78"/>
        <v>1404.1899999999998</v>
      </c>
      <c r="J100" s="107">
        <f t="shared" si="78"/>
        <v>1556.58</v>
      </c>
      <c r="K100" s="107">
        <f t="shared" si="78"/>
        <v>1443.5899999999997</v>
      </c>
      <c r="L100" s="107">
        <f t="shared" si="78"/>
        <v>1625.49</v>
      </c>
      <c r="M100" s="107">
        <f t="shared" si="78"/>
        <v>1595.6899999999998</v>
      </c>
      <c r="N100" s="107">
        <f>N99-(N107)</f>
        <v>1515.3899999999999</v>
      </c>
      <c r="O100" s="107">
        <f t="shared" ref="O100:AA100" si="79">O99-(O107)</f>
        <v>1455.4899999999998</v>
      </c>
      <c r="P100" s="107">
        <f t="shared" si="79"/>
        <v>1473.3899999999999</v>
      </c>
      <c r="Q100" s="107">
        <f t="shared" si="79"/>
        <v>1456.79</v>
      </c>
      <c r="R100" s="107">
        <f t="shared" si="79"/>
        <v>1441.3899999999999</v>
      </c>
      <c r="S100" s="107">
        <f t="shared" ref="S100" si="80">S99-(S107)</f>
        <v>1491.49</v>
      </c>
      <c r="T100" s="107">
        <f t="shared" si="79"/>
        <v>1537.8899999999999</v>
      </c>
      <c r="U100" s="107">
        <f t="shared" si="79"/>
        <v>1556.5900000000001</v>
      </c>
      <c r="V100" s="107">
        <f t="shared" ref="V100" si="81">V99-(V107)</f>
        <v>1484.3899999999999</v>
      </c>
      <c r="W100" s="107">
        <f t="shared" si="79"/>
        <v>1536.19</v>
      </c>
      <c r="X100" s="107">
        <f t="shared" si="79"/>
        <v>1596.9899999999998</v>
      </c>
      <c r="Y100" s="107">
        <f t="shared" si="79"/>
        <v>1712.3500000000001</v>
      </c>
      <c r="Z100" s="107">
        <f t="shared" si="79"/>
        <v>1692.75</v>
      </c>
      <c r="AA100" s="107">
        <f t="shared" si="79"/>
        <v>1738.5899999999997</v>
      </c>
      <c r="AB100" s="107">
        <f t="shared" ref="AB100:AC100" si="82">AB99-(AB107)</f>
        <v>1566.8899999999999</v>
      </c>
      <c r="AC100" s="107">
        <f t="shared" si="82"/>
        <v>1579.77</v>
      </c>
      <c r="AD100" s="107">
        <f t="shared" ref="AD100:AE100" si="83">AD99-(AD107)</f>
        <v>1464.3899999999999</v>
      </c>
      <c r="AE100" s="107">
        <f t="shared" si="83"/>
        <v>1355.8899999999999</v>
      </c>
      <c r="AF100" s="107">
        <f t="shared" ref="AF100" si="84">AF99-(AF107)</f>
        <v>1322.69</v>
      </c>
      <c r="AG100" s="100"/>
      <c r="AH100" s="48">
        <f t="shared" si="58"/>
        <v>1738.5899999999997</v>
      </c>
      <c r="AI100" s="49">
        <f t="shared" si="59"/>
        <v>1238.29</v>
      </c>
      <c r="BF100" s="81"/>
      <c r="BG100" s="81">
        <v>48</v>
      </c>
      <c r="BH100" s="81">
        <v>0</v>
      </c>
      <c r="BI100" s="81">
        <v>462</v>
      </c>
      <c r="BJ100" s="81">
        <v>48</v>
      </c>
      <c r="BK100" s="81">
        <v>120.3</v>
      </c>
      <c r="BL100" s="81">
        <v>58</v>
      </c>
      <c r="BZ100" s="181">
        <v>90</v>
      </c>
      <c r="CA100" s="177">
        <v>0.92708333333333304</v>
      </c>
      <c r="CB100" s="182"/>
      <c r="CC100" s="182"/>
      <c r="CD100" s="182"/>
      <c r="CE100" s="182"/>
      <c r="CF100" s="182"/>
      <c r="CG100" s="183"/>
      <c r="CH100" s="183"/>
    </row>
    <row r="101" spans="1:86" x14ac:dyDescent="0.25">
      <c r="A101" s="45" t="s">
        <v>107</v>
      </c>
      <c r="B101" s="88">
        <f t="shared" ref="B101:AA101" si="85">IF(B84&lt;0,B84*-1,0)</f>
        <v>0</v>
      </c>
      <c r="C101" s="88">
        <f t="shared" si="85"/>
        <v>0</v>
      </c>
      <c r="D101" s="88">
        <f t="shared" si="85"/>
        <v>0</v>
      </c>
      <c r="E101" s="88">
        <f t="shared" si="85"/>
        <v>0</v>
      </c>
      <c r="F101" s="88">
        <f t="shared" si="85"/>
        <v>0</v>
      </c>
      <c r="G101" s="88">
        <f t="shared" si="85"/>
        <v>0</v>
      </c>
      <c r="H101" s="88">
        <f t="shared" si="85"/>
        <v>0</v>
      </c>
      <c r="I101" s="88">
        <f t="shared" si="85"/>
        <v>0</v>
      </c>
      <c r="J101" s="88">
        <f t="shared" si="85"/>
        <v>0</v>
      </c>
      <c r="K101" s="88">
        <f t="shared" si="85"/>
        <v>0</v>
      </c>
      <c r="L101" s="88">
        <f t="shared" si="85"/>
        <v>0</v>
      </c>
      <c r="M101" s="88">
        <f t="shared" si="85"/>
        <v>0</v>
      </c>
      <c r="N101" s="88">
        <f t="shared" si="85"/>
        <v>0</v>
      </c>
      <c r="O101" s="88">
        <f t="shared" si="85"/>
        <v>0</v>
      </c>
      <c r="P101" s="88">
        <f t="shared" si="85"/>
        <v>0</v>
      </c>
      <c r="Q101" s="88">
        <f t="shared" si="85"/>
        <v>0</v>
      </c>
      <c r="R101" s="88">
        <f t="shared" si="85"/>
        <v>0</v>
      </c>
      <c r="S101" s="88">
        <f t="shared" ref="S101" si="86">IF(S84&lt;0,S84*-1,0)</f>
        <v>0</v>
      </c>
      <c r="T101" s="88">
        <f t="shared" si="85"/>
        <v>0</v>
      </c>
      <c r="U101" s="88">
        <f t="shared" si="85"/>
        <v>0</v>
      </c>
      <c r="V101" s="88">
        <f t="shared" ref="V101" si="87">IF(V84&lt;0,V84*-1,0)</f>
        <v>0</v>
      </c>
      <c r="W101" s="88">
        <f t="shared" si="85"/>
        <v>0</v>
      </c>
      <c r="X101" s="88">
        <f t="shared" si="85"/>
        <v>0</v>
      </c>
      <c r="Y101" s="88">
        <f t="shared" si="85"/>
        <v>0</v>
      </c>
      <c r="Z101" s="88">
        <f t="shared" si="85"/>
        <v>0</v>
      </c>
      <c r="AA101" s="88">
        <f t="shared" si="85"/>
        <v>0</v>
      </c>
      <c r="AB101" s="88">
        <f t="shared" ref="AB101:AC101" si="88">IF(AB84&lt;0,AB84*-1,0)</f>
        <v>0</v>
      </c>
      <c r="AC101" s="88">
        <f t="shared" si="88"/>
        <v>0</v>
      </c>
      <c r="AD101" s="88">
        <f t="shared" ref="AD101:AE101" si="89">IF(AD84&lt;0,AD84*-1,0)</f>
        <v>0</v>
      </c>
      <c r="AE101" s="88">
        <f t="shared" si="89"/>
        <v>0</v>
      </c>
      <c r="AF101" s="88">
        <f t="shared" ref="AF101" si="90">IF(AF84&lt;0,AF84*-1,0)</f>
        <v>0</v>
      </c>
      <c r="AG101" s="60"/>
      <c r="AH101" s="48">
        <f t="shared" si="58"/>
        <v>0</v>
      </c>
      <c r="AI101" s="49">
        <f t="shared" si="59"/>
        <v>0</v>
      </c>
      <c r="BF101" s="80"/>
      <c r="BG101" s="81">
        <v>53.9</v>
      </c>
      <c r="BH101" s="81">
        <v>0</v>
      </c>
      <c r="BI101" s="81">
        <v>408</v>
      </c>
      <c r="BJ101" s="81">
        <v>34.200000000000003</v>
      </c>
      <c r="BK101" s="81">
        <v>80.400000000000006</v>
      </c>
      <c r="BL101" s="81">
        <v>62.9</v>
      </c>
      <c r="BZ101" s="181">
        <v>91</v>
      </c>
      <c r="CA101" s="177">
        <v>0.9375</v>
      </c>
      <c r="CB101" s="182"/>
      <c r="CC101" s="182"/>
      <c r="CD101" s="182"/>
      <c r="CE101" s="182"/>
      <c r="CF101" s="182"/>
      <c r="CG101" s="183"/>
      <c r="CH101" s="183"/>
    </row>
    <row r="102" spans="1:86" x14ac:dyDescent="0.25">
      <c r="A102" s="64" t="s">
        <v>105</v>
      </c>
      <c r="B102" s="88">
        <f t="shared" ref="B102:AA102" si="91">IF(B82&lt;0,B82*-1,0)</f>
        <v>0</v>
      </c>
      <c r="C102" s="88">
        <f t="shared" si="91"/>
        <v>0</v>
      </c>
      <c r="D102" s="88">
        <f t="shared" si="91"/>
        <v>0</v>
      </c>
      <c r="E102" s="88">
        <f t="shared" si="91"/>
        <v>0</v>
      </c>
      <c r="F102" s="88">
        <f t="shared" si="91"/>
        <v>0</v>
      </c>
      <c r="G102" s="88">
        <f t="shared" si="91"/>
        <v>0</v>
      </c>
      <c r="H102" s="88">
        <f t="shared" si="91"/>
        <v>0</v>
      </c>
      <c r="I102" s="88">
        <f t="shared" si="91"/>
        <v>0</v>
      </c>
      <c r="J102" s="88">
        <f t="shared" si="91"/>
        <v>0</v>
      </c>
      <c r="K102" s="88">
        <f t="shared" si="91"/>
        <v>0</v>
      </c>
      <c r="L102" s="88">
        <f t="shared" si="91"/>
        <v>0</v>
      </c>
      <c r="M102" s="88">
        <f t="shared" si="91"/>
        <v>0</v>
      </c>
      <c r="N102" s="88">
        <f t="shared" si="91"/>
        <v>0</v>
      </c>
      <c r="O102" s="88">
        <f t="shared" si="91"/>
        <v>0</v>
      </c>
      <c r="P102" s="88">
        <f t="shared" si="91"/>
        <v>0</v>
      </c>
      <c r="Q102" s="88">
        <f t="shared" si="91"/>
        <v>0</v>
      </c>
      <c r="R102" s="88">
        <f t="shared" si="91"/>
        <v>0</v>
      </c>
      <c r="S102" s="88">
        <f t="shared" ref="S102" si="92">IF(S82&lt;0,S82*-1,0)</f>
        <v>0</v>
      </c>
      <c r="T102" s="88">
        <f t="shared" si="91"/>
        <v>0</v>
      </c>
      <c r="U102" s="88">
        <f t="shared" si="91"/>
        <v>0</v>
      </c>
      <c r="V102" s="88">
        <f t="shared" ref="V102" si="93">IF(V82&lt;0,V82*-1,0)</f>
        <v>0</v>
      </c>
      <c r="W102" s="88">
        <f t="shared" si="91"/>
        <v>0</v>
      </c>
      <c r="X102" s="88">
        <f t="shared" si="91"/>
        <v>0</v>
      </c>
      <c r="Y102" s="88">
        <f t="shared" si="91"/>
        <v>0</v>
      </c>
      <c r="Z102" s="88">
        <f t="shared" si="91"/>
        <v>0</v>
      </c>
      <c r="AA102" s="88">
        <f t="shared" si="91"/>
        <v>0</v>
      </c>
      <c r="AB102" s="88">
        <f t="shared" ref="AB102:AC102" si="94">IF(AB82&lt;0,AB82*-1,0)</f>
        <v>0</v>
      </c>
      <c r="AC102" s="88">
        <f t="shared" si="94"/>
        <v>0</v>
      </c>
      <c r="AD102" s="88">
        <f t="shared" ref="AD102:AE102" si="95">IF(AD82&lt;0,AD82*-1,0)</f>
        <v>0</v>
      </c>
      <c r="AE102" s="88">
        <f t="shared" si="95"/>
        <v>0</v>
      </c>
      <c r="AF102" s="88">
        <f t="shared" ref="AF102" si="96">IF(AF82&lt;0,AF82*-1,0)</f>
        <v>0</v>
      </c>
      <c r="AG102" s="65"/>
      <c r="AH102" s="48">
        <f t="shared" si="58"/>
        <v>0</v>
      </c>
      <c r="AI102" s="49">
        <f t="shared" si="59"/>
        <v>0</v>
      </c>
      <c r="BF102" s="80"/>
      <c r="BG102" s="81">
        <v>66</v>
      </c>
      <c r="BH102" s="81">
        <v>0</v>
      </c>
      <c r="BI102" s="81">
        <v>89</v>
      </c>
      <c r="BJ102" s="81">
        <v>30.5</v>
      </c>
      <c r="BK102" s="81">
        <v>0</v>
      </c>
      <c r="BL102" s="81">
        <v>69</v>
      </c>
      <c r="BZ102" s="181">
        <v>92</v>
      </c>
      <c r="CA102" s="177">
        <v>0.94791666666666696</v>
      </c>
      <c r="CB102" s="182"/>
      <c r="CC102" s="182"/>
      <c r="CD102" s="182"/>
      <c r="CE102" s="182"/>
      <c r="CF102" s="182"/>
      <c r="CG102" s="183"/>
      <c r="CH102" s="183"/>
    </row>
    <row r="103" spans="1:86" x14ac:dyDescent="0.25">
      <c r="A103" s="96" t="s">
        <v>127</v>
      </c>
      <c r="B103" s="88">
        <f t="shared" ref="B103:AA103" si="97">IF(B85&lt;0,B85*-1,0)</f>
        <v>0</v>
      </c>
      <c r="C103" s="88">
        <f t="shared" si="97"/>
        <v>0</v>
      </c>
      <c r="D103" s="88">
        <f t="shared" si="97"/>
        <v>0</v>
      </c>
      <c r="E103" s="88">
        <f t="shared" si="97"/>
        <v>0</v>
      </c>
      <c r="F103" s="88">
        <f t="shared" si="97"/>
        <v>0</v>
      </c>
      <c r="G103" s="88">
        <f t="shared" si="97"/>
        <v>0</v>
      </c>
      <c r="H103" s="88">
        <f t="shared" si="97"/>
        <v>0</v>
      </c>
      <c r="I103" s="88">
        <f t="shared" si="97"/>
        <v>0</v>
      </c>
      <c r="J103" s="88">
        <f t="shared" si="97"/>
        <v>0</v>
      </c>
      <c r="K103" s="88">
        <f t="shared" si="97"/>
        <v>0</v>
      </c>
      <c r="L103" s="88">
        <f t="shared" si="97"/>
        <v>0</v>
      </c>
      <c r="M103" s="88">
        <f t="shared" si="97"/>
        <v>0</v>
      </c>
      <c r="N103" s="88">
        <f t="shared" si="97"/>
        <v>0</v>
      </c>
      <c r="O103" s="88">
        <f t="shared" si="97"/>
        <v>0</v>
      </c>
      <c r="P103" s="88">
        <f t="shared" si="97"/>
        <v>0</v>
      </c>
      <c r="Q103" s="88">
        <f t="shared" si="97"/>
        <v>0</v>
      </c>
      <c r="R103" s="88">
        <f t="shared" si="97"/>
        <v>0</v>
      </c>
      <c r="S103" s="88">
        <f t="shared" ref="S103" si="98">IF(S85&lt;0,S85*-1,0)</f>
        <v>0</v>
      </c>
      <c r="T103" s="88">
        <f t="shared" si="97"/>
        <v>0</v>
      </c>
      <c r="U103" s="88">
        <f t="shared" si="97"/>
        <v>0</v>
      </c>
      <c r="V103" s="88">
        <f t="shared" ref="V103" si="99">IF(V85&lt;0,V85*-1,0)</f>
        <v>0</v>
      </c>
      <c r="W103" s="88">
        <f t="shared" si="97"/>
        <v>0</v>
      </c>
      <c r="X103" s="88">
        <f t="shared" si="97"/>
        <v>0</v>
      </c>
      <c r="Y103" s="88">
        <f t="shared" si="97"/>
        <v>0</v>
      </c>
      <c r="Z103" s="88">
        <f t="shared" si="97"/>
        <v>0</v>
      </c>
      <c r="AA103" s="88">
        <f t="shared" si="97"/>
        <v>0</v>
      </c>
      <c r="AB103" s="88">
        <f t="shared" ref="AB103:AC103" si="100">IF(AB85&lt;0,AB85*-1,0)</f>
        <v>0</v>
      </c>
      <c r="AC103" s="88">
        <f t="shared" si="100"/>
        <v>0</v>
      </c>
      <c r="AD103" s="88">
        <f t="shared" ref="AD103:AE103" si="101">IF(AD85&lt;0,AD85*-1,0)</f>
        <v>0</v>
      </c>
      <c r="AE103" s="88">
        <f t="shared" si="101"/>
        <v>0</v>
      </c>
      <c r="AF103" s="88">
        <f t="shared" ref="AF103" si="102">IF(AF85&lt;0,AF85*-1,0)</f>
        <v>0</v>
      </c>
      <c r="AG103" s="110"/>
      <c r="AH103" s="48">
        <f t="shared" si="58"/>
        <v>0</v>
      </c>
      <c r="AI103" s="49">
        <f t="shared" si="59"/>
        <v>0</v>
      </c>
      <c r="BF103" s="80"/>
      <c r="BG103" s="81">
        <v>42</v>
      </c>
      <c r="BH103" s="81">
        <v>0</v>
      </c>
      <c r="BI103" s="81">
        <v>188.3</v>
      </c>
      <c r="BJ103" s="81">
        <v>46.8</v>
      </c>
      <c r="BK103" s="81">
        <v>0</v>
      </c>
      <c r="BL103" s="81">
        <v>62</v>
      </c>
      <c r="BZ103" s="181">
        <v>93</v>
      </c>
      <c r="CA103" s="177">
        <v>0.95833333333333304</v>
      </c>
      <c r="CB103" s="182"/>
      <c r="CC103" s="182"/>
      <c r="CD103" s="182"/>
      <c r="CE103" s="182"/>
      <c r="CF103" s="182"/>
      <c r="CG103" s="183"/>
      <c r="CH103" s="183"/>
    </row>
    <row r="104" spans="1:86" x14ac:dyDescent="0.25">
      <c r="A104" s="96" t="s">
        <v>128</v>
      </c>
      <c r="B104" s="88">
        <f t="shared" ref="B104:AA104" si="103">IF(B83&lt;0,B83*-1,0)</f>
        <v>0</v>
      </c>
      <c r="C104" s="88">
        <f t="shared" si="103"/>
        <v>0</v>
      </c>
      <c r="D104" s="88">
        <f t="shared" si="103"/>
        <v>0</v>
      </c>
      <c r="E104" s="88">
        <f t="shared" si="103"/>
        <v>0</v>
      </c>
      <c r="F104" s="88">
        <f t="shared" si="103"/>
        <v>0</v>
      </c>
      <c r="G104" s="88">
        <f t="shared" si="103"/>
        <v>0</v>
      </c>
      <c r="H104" s="88">
        <f t="shared" si="103"/>
        <v>0</v>
      </c>
      <c r="I104" s="88">
        <f t="shared" si="103"/>
        <v>0</v>
      </c>
      <c r="J104" s="88">
        <f t="shared" si="103"/>
        <v>0</v>
      </c>
      <c r="K104" s="88">
        <f t="shared" si="103"/>
        <v>0</v>
      </c>
      <c r="L104" s="88">
        <f t="shared" si="103"/>
        <v>0</v>
      </c>
      <c r="M104" s="88">
        <f t="shared" si="103"/>
        <v>0</v>
      </c>
      <c r="N104" s="88">
        <f t="shared" si="103"/>
        <v>0</v>
      </c>
      <c r="O104" s="88">
        <f t="shared" si="103"/>
        <v>0</v>
      </c>
      <c r="P104" s="88">
        <f t="shared" si="103"/>
        <v>0</v>
      </c>
      <c r="Q104" s="88">
        <f t="shared" si="103"/>
        <v>0</v>
      </c>
      <c r="R104" s="88">
        <f t="shared" si="103"/>
        <v>0</v>
      </c>
      <c r="S104" s="88">
        <f t="shared" ref="S104" si="104">IF(S83&lt;0,S83*-1,0)</f>
        <v>0</v>
      </c>
      <c r="T104" s="88">
        <f t="shared" si="103"/>
        <v>0</v>
      </c>
      <c r="U104" s="88">
        <f t="shared" si="103"/>
        <v>0</v>
      </c>
      <c r="V104" s="88">
        <f t="shared" ref="V104" si="105">IF(V83&lt;0,V83*-1,0)</f>
        <v>0</v>
      </c>
      <c r="W104" s="88">
        <f t="shared" si="103"/>
        <v>0</v>
      </c>
      <c r="X104" s="88">
        <f t="shared" si="103"/>
        <v>0</v>
      </c>
      <c r="Y104" s="88">
        <f t="shared" si="103"/>
        <v>0</v>
      </c>
      <c r="Z104" s="88">
        <f t="shared" si="103"/>
        <v>0</v>
      </c>
      <c r="AA104" s="88">
        <f t="shared" si="103"/>
        <v>0</v>
      </c>
      <c r="AB104" s="88">
        <f t="shared" ref="AB104:AC104" si="106">IF(AB83&lt;0,AB83*-1,0)</f>
        <v>0</v>
      </c>
      <c r="AC104" s="88">
        <f t="shared" si="106"/>
        <v>0</v>
      </c>
      <c r="AD104" s="88">
        <f t="shared" ref="AD104:AE104" si="107">IF(AD83&lt;0,AD83*-1,0)</f>
        <v>0</v>
      </c>
      <c r="AE104" s="88">
        <f t="shared" si="107"/>
        <v>0</v>
      </c>
      <c r="AF104" s="88">
        <f t="shared" ref="AF104" si="108">IF(AF83&lt;0,AF83*-1,0)</f>
        <v>0</v>
      </c>
      <c r="AG104" s="110"/>
      <c r="AH104" s="48">
        <f t="shared" si="58"/>
        <v>0</v>
      </c>
      <c r="AI104" s="49">
        <f t="shared" si="59"/>
        <v>0</v>
      </c>
      <c r="BF104" s="80"/>
      <c r="BG104" s="81">
        <v>65.099999999999994</v>
      </c>
      <c r="BH104" s="81">
        <v>0</v>
      </c>
      <c r="BI104" s="81">
        <v>346.2</v>
      </c>
      <c r="BJ104" s="81">
        <v>0</v>
      </c>
      <c r="BK104" s="81">
        <v>105.6</v>
      </c>
      <c r="BL104" s="81">
        <v>67.900000000000006</v>
      </c>
      <c r="BZ104" s="181">
        <v>94</v>
      </c>
      <c r="CA104" s="177">
        <v>0.96875</v>
      </c>
      <c r="CB104" s="182"/>
      <c r="CC104" s="182"/>
      <c r="CD104" s="182"/>
      <c r="CE104" s="182"/>
      <c r="CF104" s="182"/>
      <c r="CG104" s="183"/>
      <c r="CH104" s="183"/>
    </row>
    <row r="105" spans="1:86" x14ac:dyDescent="0.25">
      <c r="A105" s="96" t="s">
        <v>104</v>
      </c>
      <c r="B105" s="88">
        <f t="shared" ref="B105:AA105" si="109">IF(B81&lt;0,B81*-1,0)</f>
        <v>0</v>
      </c>
      <c r="C105" s="88">
        <f t="shared" si="109"/>
        <v>0</v>
      </c>
      <c r="D105" s="88">
        <f t="shared" si="109"/>
        <v>0</v>
      </c>
      <c r="E105" s="88">
        <f t="shared" si="109"/>
        <v>0</v>
      </c>
      <c r="F105" s="88">
        <f t="shared" si="109"/>
        <v>0</v>
      </c>
      <c r="G105" s="88">
        <f t="shared" si="109"/>
        <v>0</v>
      </c>
      <c r="H105" s="88">
        <f t="shared" si="109"/>
        <v>0</v>
      </c>
      <c r="I105" s="88">
        <f t="shared" si="109"/>
        <v>0</v>
      </c>
      <c r="J105" s="88">
        <f t="shared" si="109"/>
        <v>0</v>
      </c>
      <c r="K105" s="88">
        <f t="shared" si="109"/>
        <v>0</v>
      </c>
      <c r="L105" s="88">
        <f t="shared" si="109"/>
        <v>0</v>
      </c>
      <c r="M105" s="88">
        <f t="shared" si="109"/>
        <v>0</v>
      </c>
      <c r="N105" s="88">
        <f t="shared" si="109"/>
        <v>0</v>
      </c>
      <c r="O105" s="88">
        <f t="shared" si="109"/>
        <v>0</v>
      </c>
      <c r="P105" s="88">
        <f t="shared" si="109"/>
        <v>0</v>
      </c>
      <c r="Q105" s="88">
        <f t="shared" si="109"/>
        <v>0</v>
      </c>
      <c r="R105" s="88">
        <f t="shared" si="109"/>
        <v>0</v>
      </c>
      <c r="S105" s="88">
        <f t="shared" ref="S105" si="110">IF(S81&lt;0,S81*-1,0)</f>
        <v>0</v>
      </c>
      <c r="T105" s="88">
        <f t="shared" si="109"/>
        <v>0</v>
      </c>
      <c r="U105" s="88">
        <f t="shared" si="109"/>
        <v>0</v>
      </c>
      <c r="V105" s="88">
        <f t="shared" ref="V105" si="111">IF(V81&lt;0,V81*-1,0)</f>
        <v>0</v>
      </c>
      <c r="W105" s="88">
        <f t="shared" si="109"/>
        <v>0</v>
      </c>
      <c r="X105" s="88">
        <f t="shared" si="109"/>
        <v>0</v>
      </c>
      <c r="Y105" s="88">
        <f t="shared" si="109"/>
        <v>0</v>
      </c>
      <c r="Z105" s="88">
        <f t="shared" si="109"/>
        <v>0</v>
      </c>
      <c r="AA105" s="88">
        <f t="shared" si="109"/>
        <v>0</v>
      </c>
      <c r="AB105" s="88">
        <f t="shared" ref="AB105:AC105" si="112">IF(AB81&lt;0,AB81*-1,0)</f>
        <v>0</v>
      </c>
      <c r="AC105" s="88">
        <f t="shared" si="112"/>
        <v>0</v>
      </c>
      <c r="AD105" s="88">
        <f t="shared" ref="AD105:AE105" si="113">IF(AD81&lt;0,AD81*-1,0)</f>
        <v>0</v>
      </c>
      <c r="AE105" s="88">
        <f t="shared" si="113"/>
        <v>0</v>
      </c>
      <c r="AF105" s="88">
        <f t="shared" ref="AF105" si="114">IF(AF81&lt;0,AF81*-1,0)</f>
        <v>0</v>
      </c>
      <c r="AG105" s="110"/>
      <c r="AH105" s="48">
        <f t="shared" si="58"/>
        <v>0</v>
      </c>
      <c r="AI105" s="49">
        <f t="shared" si="59"/>
        <v>0</v>
      </c>
      <c r="BF105" s="80"/>
      <c r="BG105" s="81">
        <v>59.1</v>
      </c>
      <c r="BH105" s="81">
        <v>0</v>
      </c>
      <c r="BI105" s="81">
        <v>372.5</v>
      </c>
      <c r="BJ105" s="81">
        <v>35.299999999999997</v>
      </c>
      <c r="BK105" s="81">
        <v>99</v>
      </c>
      <c r="BL105" s="81">
        <v>64.900000000000006</v>
      </c>
      <c r="BZ105" s="181">
        <v>95</v>
      </c>
      <c r="CA105" s="177">
        <v>0.97916666666666696</v>
      </c>
      <c r="CB105" s="182"/>
      <c r="CC105" s="182"/>
      <c r="CD105" s="182"/>
      <c r="CE105" s="182"/>
      <c r="CF105" s="182"/>
      <c r="CG105" s="183"/>
      <c r="CH105" s="183"/>
    </row>
    <row r="106" spans="1:86" ht="15.75" thickBot="1" x14ac:dyDescent="0.3">
      <c r="A106" s="96" t="s">
        <v>129</v>
      </c>
      <c r="B106" s="106">
        <v>0</v>
      </c>
      <c r="C106" s="106">
        <v>0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0</v>
      </c>
      <c r="S106" s="106">
        <v>1</v>
      </c>
      <c r="T106" s="106">
        <v>0</v>
      </c>
      <c r="U106" s="106">
        <v>0</v>
      </c>
      <c r="V106" s="106">
        <v>1</v>
      </c>
      <c r="W106" s="106">
        <v>0</v>
      </c>
      <c r="X106" s="106">
        <v>0</v>
      </c>
      <c r="Y106" s="106">
        <v>0</v>
      </c>
      <c r="Z106" s="106">
        <v>0</v>
      </c>
      <c r="AA106" s="106">
        <v>0</v>
      </c>
      <c r="AB106" s="106">
        <v>0</v>
      </c>
      <c r="AC106" s="106">
        <v>0</v>
      </c>
      <c r="AD106" s="106">
        <v>0</v>
      </c>
      <c r="AE106" s="106">
        <v>0</v>
      </c>
      <c r="AF106" s="106">
        <v>0</v>
      </c>
      <c r="AG106" s="97"/>
      <c r="AH106" s="48">
        <f t="shared" si="58"/>
        <v>1</v>
      </c>
      <c r="AI106" s="49">
        <f t="shared" si="59"/>
        <v>0</v>
      </c>
      <c r="BG106" s="81">
        <v>61.2</v>
      </c>
      <c r="BH106" s="81">
        <v>0</v>
      </c>
      <c r="BI106" s="81">
        <v>408.7</v>
      </c>
      <c r="BJ106" s="81">
        <v>5.6</v>
      </c>
      <c r="BK106" s="81">
        <v>122.4</v>
      </c>
      <c r="BL106" s="81">
        <v>68.3</v>
      </c>
      <c r="BZ106" s="181">
        <v>96</v>
      </c>
      <c r="CA106" s="177">
        <v>0.98958333333333304</v>
      </c>
      <c r="CB106" s="182"/>
      <c r="CC106" s="182"/>
      <c r="CD106" s="182"/>
      <c r="CE106" s="182"/>
      <c r="CF106" s="182"/>
      <c r="CG106" s="183"/>
      <c r="CH106" s="183"/>
    </row>
    <row r="107" spans="1:86" ht="15.75" thickBot="1" x14ac:dyDescent="0.3">
      <c r="A107" s="111" t="s">
        <v>130</v>
      </c>
      <c r="B107" s="70">
        <f t="shared" ref="B107:C107" si="115">SUM(B101:B106)</f>
        <v>0</v>
      </c>
      <c r="C107" s="70">
        <f t="shared" si="115"/>
        <v>0</v>
      </c>
      <c r="D107" s="70">
        <f t="shared" ref="D107:AA107" si="116">SUM(D101:D106)</f>
        <v>0</v>
      </c>
      <c r="E107" s="70">
        <f t="shared" si="116"/>
        <v>0</v>
      </c>
      <c r="F107" s="70">
        <f t="shared" si="116"/>
        <v>0</v>
      </c>
      <c r="G107" s="70">
        <f t="shared" si="116"/>
        <v>0</v>
      </c>
      <c r="H107" s="70">
        <f t="shared" si="116"/>
        <v>0</v>
      </c>
      <c r="I107" s="70">
        <f t="shared" si="116"/>
        <v>0</v>
      </c>
      <c r="J107" s="70">
        <f t="shared" si="116"/>
        <v>0</v>
      </c>
      <c r="K107" s="70">
        <f t="shared" si="116"/>
        <v>0</v>
      </c>
      <c r="L107" s="70">
        <f t="shared" si="116"/>
        <v>0</v>
      </c>
      <c r="M107" s="70">
        <f t="shared" si="116"/>
        <v>0</v>
      </c>
      <c r="N107" s="70">
        <f t="shared" si="116"/>
        <v>0</v>
      </c>
      <c r="O107" s="70">
        <f t="shared" si="116"/>
        <v>0</v>
      </c>
      <c r="P107" s="70">
        <f t="shared" si="116"/>
        <v>0</v>
      </c>
      <c r="Q107" s="70">
        <f t="shared" si="116"/>
        <v>0</v>
      </c>
      <c r="R107" s="70">
        <f t="shared" si="116"/>
        <v>0</v>
      </c>
      <c r="S107" s="70">
        <f t="shared" ref="S107" si="117">SUM(S101:S106)</f>
        <v>1</v>
      </c>
      <c r="T107" s="70">
        <f t="shared" si="116"/>
        <v>0</v>
      </c>
      <c r="U107" s="70">
        <f t="shared" si="116"/>
        <v>0</v>
      </c>
      <c r="V107" s="70">
        <v>0</v>
      </c>
      <c r="W107" s="70">
        <f t="shared" si="116"/>
        <v>0</v>
      </c>
      <c r="X107" s="70">
        <f t="shared" si="116"/>
        <v>0</v>
      </c>
      <c r="Y107" s="70">
        <f t="shared" si="116"/>
        <v>0</v>
      </c>
      <c r="Z107" s="70">
        <f t="shared" si="116"/>
        <v>0</v>
      </c>
      <c r="AA107" s="70">
        <f t="shared" si="116"/>
        <v>0</v>
      </c>
      <c r="AB107" s="70">
        <f t="shared" ref="AB107:AC107" si="118">SUM(AB101:AB106)</f>
        <v>0</v>
      </c>
      <c r="AC107" s="70">
        <f t="shared" si="118"/>
        <v>0</v>
      </c>
      <c r="AD107" s="70">
        <f t="shared" ref="AD107:AE107" si="119">SUM(AD101:AD106)</f>
        <v>0</v>
      </c>
      <c r="AE107" s="70">
        <f t="shared" si="119"/>
        <v>0</v>
      </c>
      <c r="AF107" s="70">
        <f t="shared" ref="AF107" si="120">SUM(AF101:AF106)</f>
        <v>0</v>
      </c>
      <c r="AG107" s="100"/>
      <c r="AH107" s="48">
        <f t="shared" si="58"/>
        <v>1</v>
      </c>
      <c r="AI107" s="49">
        <f t="shared" si="59"/>
        <v>0</v>
      </c>
      <c r="AK107" s="51"/>
      <c r="BG107" s="81">
        <v>65</v>
      </c>
      <c r="BH107" s="81">
        <v>0</v>
      </c>
      <c r="BI107" s="81">
        <v>402</v>
      </c>
      <c r="BJ107" s="81">
        <v>49</v>
      </c>
      <c r="BK107" s="81">
        <v>0</v>
      </c>
      <c r="BL107" s="81">
        <v>78</v>
      </c>
    </row>
    <row r="108" spans="1:86" ht="15.75" thickBot="1" x14ac:dyDescent="0.3">
      <c r="A108" s="86" t="s">
        <v>131</v>
      </c>
      <c r="B108" s="70">
        <f t="shared" ref="B108:AA108" si="121">B92-B107</f>
        <v>594</v>
      </c>
      <c r="C108" s="70">
        <f t="shared" si="121"/>
        <v>581</v>
      </c>
      <c r="D108" s="70">
        <f t="shared" si="121"/>
        <v>575</v>
      </c>
      <c r="E108" s="70">
        <f t="shared" si="121"/>
        <v>565.4</v>
      </c>
      <c r="F108" s="70">
        <f t="shared" si="121"/>
        <v>579.29999999999995</v>
      </c>
      <c r="G108" s="70">
        <f t="shared" si="121"/>
        <v>613.4</v>
      </c>
      <c r="H108" s="70">
        <f t="shared" si="121"/>
        <v>653.29999999999995</v>
      </c>
      <c r="I108" s="70">
        <f t="shared" si="121"/>
        <v>655.29999999999995</v>
      </c>
      <c r="J108" s="70">
        <f t="shared" si="121"/>
        <v>593.20000000000005</v>
      </c>
      <c r="K108" s="70">
        <f t="shared" si="121"/>
        <v>340.09999999999997</v>
      </c>
      <c r="L108" s="70">
        <f t="shared" si="121"/>
        <v>217</v>
      </c>
      <c r="M108" s="70">
        <f t="shared" si="121"/>
        <v>118.19999999999999</v>
      </c>
      <c r="N108" s="70">
        <f t="shared" si="121"/>
        <v>213.1</v>
      </c>
      <c r="O108" s="70">
        <f t="shared" si="121"/>
        <v>544.79999999999995</v>
      </c>
      <c r="P108" s="70">
        <f t="shared" si="121"/>
        <v>670.6</v>
      </c>
      <c r="Q108" s="70">
        <f t="shared" si="121"/>
        <v>704.09999999999991</v>
      </c>
      <c r="R108" s="70">
        <f t="shared" si="121"/>
        <v>730</v>
      </c>
      <c r="S108" s="70">
        <f t="shared" ref="S108" si="122">S92-S107</f>
        <v>770</v>
      </c>
      <c r="T108" s="70">
        <f t="shared" si="121"/>
        <v>837.1</v>
      </c>
      <c r="U108" s="70">
        <f t="shared" si="121"/>
        <v>820.5</v>
      </c>
      <c r="V108" s="70">
        <f t="shared" ref="V108" si="123">V92-V107</f>
        <v>736.3</v>
      </c>
      <c r="W108" s="70">
        <f t="shared" si="121"/>
        <v>778.60000000000014</v>
      </c>
      <c r="X108" s="70">
        <f t="shared" si="121"/>
        <v>639.4</v>
      </c>
      <c r="Y108" s="70">
        <f>Y92-Y107</f>
        <v>575.70000000000005</v>
      </c>
      <c r="Z108" s="70">
        <f>Z92-Z107</f>
        <v>254.5</v>
      </c>
      <c r="AA108" s="70">
        <f t="shared" si="121"/>
        <v>228.1</v>
      </c>
      <c r="AB108" s="70">
        <f t="shared" ref="AB108:AC108" si="124">AB92-AB107</f>
        <v>339.1</v>
      </c>
      <c r="AC108" s="70">
        <f t="shared" si="124"/>
        <v>633.38</v>
      </c>
      <c r="AD108" s="70">
        <f t="shared" ref="AD108:AE108" si="125">AD92-AD107</f>
        <v>584.79999999999995</v>
      </c>
      <c r="AE108" s="70">
        <f t="shared" si="125"/>
        <v>630.80000000000007</v>
      </c>
      <c r="AF108" s="70">
        <f t="shared" ref="AF108" si="126">AF92-AF107</f>
        <v>666.19999999999993</v>
      </c>
      <c r="AG108" s="100"/>
      <c r="AH108" s="48">
        <f t="shared" si="58"/>
        <v>837.1</v>
      </c>
      <c r="AI108" s="49">
        <f t="shared" si="59"/>
        <v>118.19999999999999</v>
      </c>
    </row>
    <row r="109" spans="1:86" x14ac:dyDescent="0.25">
      <c r="A109" s="112" t="s">
        <v>132</v>
      </c>
      <c r="B109" s="113">
        <v>50.005000000000003</v>
      </c>
      <c r="C109" s="113">
        <v>49.942999999999998</v>
      </c>
      <c r="D109" s="113">
        <v>49.942999999999998</v>
      </c>
      <c r="E109" s="113">
        <v>50.015999999999998</v>
      </c>
      <c r="F109" s="113">
        <v>49.985100000000003</v>
      </c>
      <c r="G109" s="113">
        <v>49.981999999999999</v>
      </c>
      <c r="H109" s="113">
        <v>49.9</v>
      </c>
      <c r="I109" s="113">
        <v>49.965000000000003</v>
      </c>
      <c r="J109" s="113">
        <v>49.95</v>
      </c>
      <c r="K109" s="113">
        <v>50.005000000000003</v>
      </c>
      <c r="L109" s="113">
        <v>50.005000000000003</v>
      </c>
      <c r="M109" s="113">
        <v>50.07</v>
      </c>
      <c r="N109" s="113">
        <v>50.04</v>
      </c>
      <c r="O109" s="113">
        <v>50.012999999999998</v>
      </c>
      <c r="P109" s="113">
        <v>49.945999999999998</v>
      </c>
      <c r="Q109" s="113">
        <v>49.969000000000001</v>
      </c>
      <c r="R109" s="113">
        <v>49.963000000000001</v>
      </c>
      <c r="S109" s="113">
        <v>50.02</v>
      </c>
      <c r="T109" s="113">
        <v>50.037999999999997</v>
      </c>
      <c r="U109" s="113">
        <v>49.899000000000001</v>
      </c>
      <c r="V109" s="113">
        <v>49.88</v>
      </c>
      <c r="W109" s="113">
        <v>49.920999999999999</v>
      </c>
      <c r="X109" s="113">
        <v>50.048000000000002</v>
      </c>
      <c r="Y109" s="113">
        <v>49.889000000000003</v>
      </c>
      <c r="Z109" s="113">
        <v>49.942</v>
      </c>
      <c r="AA109" s="113">
        <v>50</v>
      </c>
      <c r="AB109" s="113">
        <v>50.01</v>
      </c>
      <c r="AC109" s="113">
        <v>50.05</v>
      </c>
      <c r="AD109" s="113">
        <v>49.96</v>
      </c>
      <c r="AE109" s="113">
        <v>49.96</v>
      </c>
      <c r="AF109" s="113">
        <v>49.93</v>
      </c>
      <c r="AG109" s="114"/>
      <c r="AH109" s="48">
        <f t="shared" si="58"/>
        <v>50.07</v>
      </c>
      <c r="AI109" s="49">
        <f t="shared" si="59"/>
        <v>49.88</v>
      </c>
    </row>
    <row r="110" spans="1:86" x14ac:dyDescent="0.25">
      <c r="A110" s="115" t="s">
        <v>133</v>
      </c>
      <c r="B110" s="75">
        <v>128.6</v>
      </c>
      <c r="C110" s="75">
        <v>127.2</v>
      </c>
      <c r="D110" s="75">
        <v>128.6</v>
      </c>
      <c r="E110" s="75">
        <v>129</v>
      </c>
      <c r="F110" s="75">
        <v>127.9</v>
      </c>
      <c r="G110" s="75">
        <v>126.3</v>
      </c>
      <c r="H110" s="75">
        <v>125.2</v>
      </c>
      <c r="I110" s="75">
        <v>126</v>
      </c>
      <c r="J110" s="75">
        <v>125.3</v>
      </c>
      <c r="K110" s="75">
        <v>126</v>
      </c>
      <c r="L110" s="75">
        <v>126</v>
      </c>
      <c r="M110" s="75">
        <v>128</v>
      </c>
      <c r="N110" s="75">
        <v>127.7</v>
      </c>
      <c r="O110" s="75">
        <v>128.30000000000001</v>
      </c>
      <c r="P110" s="75">
        <v>125.9</v>
      </c>
      <c r="Q110" s="75">
        <v>124.7</v>
      </c>
      <c r="R110" s="75">
        <v>123.4</v>
      </c>
      <c r="S110" s="75">
        <v>122</v>
      </c>
      <c r="T110" s="75">
        <v>122.1</v>
      </c>
      <c r="U110" s="75">
        <v>124.2</v>
      </c>
      <c r="V110" s="75">
        <v>127</v>
      </c>
      <c r="W110" s="75">
        <v>126</v>
      </c>
      <c r="X110" s="75">
        <v>129.69999999999999</v>
      </c>
      <c r="Y110" s="75">
        <v>127.2</v>
      </c>
      <c r="Z110" s="75">
        <v>127</v>
      </c>
      <c r="AA110" s="75">
        <v>129.19999999999999</v>
      </c>
      <c r="AB110" s="75">
        <v>129.19999999999999</v>
      </c>
      <c r="AC110" s="75">
        <v>129.19999999999999</v>
      </c>
      <c r="AD110" s="75">
        <v>129.19999999999999</v>
      </c>
      <c r="AE110" s="75">
        <v>129.80000000000001</v>
      </c>
      <c r="AF110" s="75">
        <v>129.80000000000001</v>
      </c>
      <c r="AG110" s="116"/>
      <c r="AH110" s="48">
        <f t="shared" si="58"/>
        <v>129.80000000000001</v>
      </c>
      <c r="AI110" s="49">
        <f t="shared" si="59"/>
        <v>122</v>
      </c>
    </row>
    <row r="111" spans="1:86" x14ac:dyDescent="0.25">
      <c r="A111" s="115" t="s">
        <v>134</v>
      </c>
      <c r="B111" s="75">
        <v>132.80000000000001</v>
      </c>
      <c r="C111" s="75">
        <v>131.6</v>
      </c>
      <c r="D111" s="75">
        <v>132.9</v>
      </c>
      <c r="E111" s="75">
        <v>133.1</v>
      </c>
      <c r="F111" s="75">
        <v>132.30000000000001</v>
      </c>
      <c r="G111" s="75">
        <v>131</v>
      </c>
      <c r="H111" s="75">
        <v>129.6</v>
      </c>
      <c r="I111" s="75">
        <v>129.80000000000001</v>
      </c>
      <c r="J111" s="75">
        <v>128.69999999999999</v>
      </c>
      <c r="K111" s="75">
        <v>128.1</v>
      </c>
      <c r="L111" s="75">
        <v>128.1</v>
      </c>
      <c r="M111" s="75">
        <v>129.5</v>
      </c>
      <c r="N111" s="75">
        <v>129.5</v>
      </c>
      <c r="O111" s="75">
        <v>130</v>
      </c>
      <c r="P111" s="75">
        <v>128.5</v>
      </c>
      <c r="Q111" s="75">
        <v>127.7</v>
      </c>
      <c r="R111" s="75">
        <v>126.9</v>
      </c>
      <c r="S111" s="75">
        <v>127</v>
      </c>
      <c r="T111" s="75">
        <v>126.6</v>
      </c>
      <c r="U111" s="75">
        <v>127.7</v>
      </c>
      <c r="V111" s="75">
        <v>129</v>
      </c>
      <c r="W111" s="75">
        <v>128.9</v>
      </c>
      <c r="X111" s="75">
        <v>131.80000000000001</v>
      </c>
      <c r="Y111" s="75">
        <v>129.6</v>
      </c>
      <c r="Z111" s="75">
        <v>128.69999999999999</v>
      </c>
      <c r="AA111" s="75">
        <v>131.1</v>
      </c>
      <c r="AB111" s="75">
        <v>131.1</v>
      </c>
      <c r="AC111" s="75">
        <v>131.1</v>
      </c>
      <c r="AD111" s="75">
        <v>132.19999999999999</v>
      </c>
      <c r="AE111" s="75">
        <v>132.9</v>
      </c>
      <c r="AF111" s="75">
        <v>132.9</v>
      </c>
      <c r="AG111" s="116"/>
      <c r="AH111" s="48">
        <f t="shared" si="58"/>
        <v>133.1</v>
      </c>
      <c r="AI111" s="49">
        <f t="shared" si="59"/>
        <v>126.6</v>
      </c>
    </row>
    <row r="112" spans="1:86" x14ac:dyDescent="0.25">
      <c r="A112" s="115" t="s">
        <v>135</v>
      </c>
      <c r="B112" s="75">
        <v>130.9</v>
      </c>
      <c r="C112" s="75">
        <v>127.9</v>
      </c>
      <c r="D112" s="75">
        <v>129.69999999999999</v>
      </c>
      <c r="E112" s="75">
        <v>126.3</v>
      </c>
      <c r="F112" s="75">
        <v>126.8</v>
      </c>
      <c r="G112" s="75">
        <v>126.5</v>
      </c>
      <c r="H112" s="75">
        <v>126</v>
      </c>
      <c r="I112" s="75">
        <v>120.8</v>
      </c>
      <c r="J112" s="75">
        <v>126.1</v>
      </c>
      <c r="K112" s="75">
        <v>125.1</v>
      </c>
      <c r="L112" s="75">
        <v>125.1</v>
      </c>
      <c r="M112" s="75">
        <v>128.5</v>
      </c>
      <c r="N112" s="75">
        <v>127.2</v>
      </c>
      <c r="O112" s="75">
        <v>126</v>
      </c>
      <c r="P112" s="75">
        <v>124.8</v>
      </c>
      <c r="Q112" s="75">
        <v>126.3</v>
      </c>
      <c r="R112" s="75">
        <v>127.34</v>
      </c>
      <c r="S112" s="75">
        <v>123</v>
      </c>
      <c r="T112" s="75">
        <v>126</v>
      </c>
      <c r="U112" s="75">
        <v>127.8</v>
      </c>
      <c r="V112" s="75">
        <v>128</v>
      </c>
      <c r="W112" s="75">
        <v>126</v>
      </c>
      <c r="X112" s="75">
        <v>128.30000000000001</v>
      </c>
      <c r="Y112" s="75">
        <v>123.4</v>
      </c>
      <c r="Z112" s="75">
        <v>130</v>
      </c>
      <c r="AA112" s="75">
        <v>132.1</v>
      </c>
      <c r="AB112" s="75">
        <v>132.1</v>
      </c>
      <c r="AC112" s="75">
        <v>132.1</v>
      </c>
      <c r="AD112" s="75">
        <v>127.7</v>
      </c>
      <c r="AE112" s="75">
        <v>126.8</v>
      </c>
      <c r="AF112" s="75">
        <v>126.8</v>
      </c>
      <c r="AG112" s="116"/>
      <c r="AH112" s="48">
        <f t="shared" si="58"/>
        <v>132.1</v>
      </c>
      <c r="AI112" s="49">
        <f t="shared" si="59"/>
        <v>120.8</v>
      </c>
    </row>
    <row r="113" spans="1:35" x14ac:dyDescent="0.25">
      <c r="A113" s="117" t="s">
        <v>136</v>
      </c>
      <c r="B113" s="75">
        <v>133.30000000000001</v>
      </c>
      <c r="C113" s="75">
        <v>131.9</v>
      </c>
      <c r="D113" s="75">
        <v>132.1</v>
      </c>
      <c r="E113" s="75">
        <v>130.19999999999999</v>
      </c>
      <c r="F113" s="75">
        <v>130.80000000000001</v>
      </c>
      <c r="G113" s="75">
        <v>129.9</v>
      </c>
      <c r="H113" s="75">
        <v>127.7</v>
      </c>
      <c r="I113" s="75">
        <v>123</v>
      </c>
      <c r="J113" s="75">
        <v>126.1</v>
      </c>
      <c r="K113" s="75">
        <v>122.2</v>
      </c>
      <c r="L113" s="75">
        <v>122.2</v>
      </c>
      <c r="M113" s="75">
        <v>125.4</v>
      </c>
      <c r="N113" s="75">
        <v>125.8</v>
      </c>
      <c r="O113" s="75">
        <v>126.5</v>
      </c>
      <c r="P113" s="75">
        <v>124.2</v>
      </c>
      <c r="Q113" s="75">
        <v>126.5</v>
      </c>
      <c r="R113" s="75">
        <v>127.8</v>
      </c>
      <c r="S113" s="75">
        <v>124</v>
      </c>
      <c r="T113" s="75">
        <v>125.5</v>
      </c>
      <c r="U113" s="75">
        <v>127.5</v>
      </c>
      <c r="V113" s="75">
        <v>127.5</v>
      </c>
      <c r="W113" s="75">
        <v>125.1</v>
      </c>
      <c r="X113" s="75">
        <v>125.9</v>
      </c>
      <c r="Y113" s="75">
        <v>120.9</v>
      </c>
      <c r="Z113" s="75">
        <v>129</v>
      </c>
      <c r="AA113" s="75">
        <v>129.69999999999999</v>
      </c>
      <c r="AB113" s="75">
        <v>129.69999999999999</v>
      </c>
      <c r="AC113" s="75">
        <v>129.69999999999999</v>
      </c>
      <c r="AD113" s="75">
        <v>127.7</v>
      </c>
      <c r="AE113" s="75">
        <v>128.69999999999999</v>
      </c>
      <c r="AF113" s="75">
        <v>128.69999999999999</v>
      </c>
      <c r="AG113" s="116"/>
      <c r="AH113" s="48">
        <f t="shared" si="58"/>
        <v>133.30000000000001</v>
      </c>
      <c r="AI113" s="49">
        <f t="shared" si="59"/>
        <v>120.9</v>
      </c>
    </row>
    <row r="114" spans="1:35" x14ac:dyDescent="0.25">
      <c r="A114" s="117" t="s">
        <v>137</v>
      </c>
      <c r="B114" s="118">
        <v>135.69999999999999</v>
      </c>
      <c r="C114" s="118">
        <v>134.1</v>
      </c>
      <c r="D114" s="118">
        <v>135.1</v>
      </c>
      <c r="E114" s="118">
        <v>13.1</v>
      </c>
      <c r="F114" s="118">
        <v>135</v>
      </c>
      <c r="G114" s="118">
        <v>136.19999999999999</v>
      </c>
      <c r="H114" s="118">
        <v>134.9</v>
      </c>
      <c r="I114" s="118">
        <v>134.9</v>
      </c>
      <c r="J114" s="118">
        <v>132.30000000000001</v>
      </c>
      <c r="K114" s="118">
        <v>131.19999999999999</v>
      </c>
      <c r="L114" s="118">
        <v>131.19999999999999</v>
      </c>
      <c r="M114" s="118">
        <v>134.4</v>
      </c>
      <c r="N114" s="118">
        <v>133.4</v>
      </c>
      <c r="O114" s="118">
        <v>132.6</v>
      </c>
      <c r="P114" s="118">
        <v>132.30000000000001</v>
      </c>
      <c r="Q114" s="118">
        <v>129.9</v>
      </c>
      <c r="R114" s="118">
        <v>129.30000000000001</v>
      </c>
      <c r="S114" s="118">
        <v>129.30000000000001</v>
      </c>
      <c r="T114" s="118">
        <v>132.1</v>
      </c>
      <c r="U114" s="118">
        <v>132.4</v>
      </c>
      <c r="V114" s="118">
        <v>135</v>
      </c>
      <c r="W114" s="118">
        <v>134.5</v>
      </c>
      <c r="X114" s="118">
        <v>137.19999999999999</v>
      </c>
      <c r="Y114" s="118">
        <v>135.6</v>
      </c>
      <c r="Z114" s="118">
        <v>132.80000000000001</v>
      </c>
      <c r="AA114" s="118">
        <v>136</v>
      </c>
      <c r="AB114" s="118">
        <v>136</v>
      </c>
      <c r="AC114" s="118">
        <v>136</v>
      </c>
      <c r="AD114" s="118">
        <v>136.80000000000001</v>
      </c>
      <c r="AE114" s="118">
        <v>137.4</v>
      </c>
      <c r="AF114" s="118">
        <v>137.4</v>
      </c>
      <c r="AG114" s="119"/>
      <c r="AH114" s="48">
        <f t="shared" si="58"/>
        <v>137.4</v>
      </c>
      <c r="AI114" s="49">
        <f t="shared" si="59"/>
        <v>13.1</v>
      </c>
    </row>
    <row r="115" spans="1:35" x14ac:dyDescent="0.25">
      <c r="A115" s="115" t="s">
        <v>138</v>
      </c>
      <c r="B115" s="75">
        <v>129.1</v>
      </c>
      <c r="C115" s="75">
        <v>129.4</v>
      </c>
      <c r="D115" s="75">
        <v>134.19999999999999</v>
      </c>
      <c r="E115" s="75">
        <v>128.80000000000001</v>
      </c>
      <c r="F115" s="75">
        <v>132.19999999999999</v>
      </c>
      <c r="G115" s="75">
        <v>125</v>
      </c>
      <c r="H115" s="75">
        <v>125.1</v>
      </c>
      <c r="I115" s="75">
        <v>128.6</v>
      </c>
      <c r="J115" s="75">
        <v>124.5</v>
      </c>
      <c r="K115" s="75">
        <v>131.30000000000001</v>
      </c>
      <c r="L115" s="75">
        <v>131.30000000000001</v>
      </c>
      <c r="M115" s="75">
        <v>128.9</v>
      </c>
      <c r="N115" s="75">
        <v>132.30000000000001</v>
      </c>
      <c r="O115" s="75">
        <v>128.5</v>
      </c>
      <c r="P115" s="75">
        <v>131.4</v>
      </c>
      <c r="Q115" s="75">
        <v>133.80000000000001</v>
      </c>
      <c r="R115" s="75">
        <v>132.69999999999999</v>
      </c>
      <c r="S115" s="75">
        <v>132.69999999999999</v>
      </c>
      <c r="T115" s="75">
        <v>129.30000000000001</v>
      </c>
      <c r="U115" s="75">
        <v>129.5</v>
      </c>
      <c r="V115" s="75">
        <v>135</v>
      </c>
      <c r="W115" s="75">
        <v>132</v>
      </c>
      <c r="X115" s="75">
        <v>129.69999999999999</v>
      </c>
      <c r="Y115" s="75">
        <v>131.19999999999999</v>
      </c>
      <c r="Z115" s="75">
        <v>129.69999999999999</v>
      </c>
      <c r="AA115" s="75">
        <v>131</v>
      </c>
      <c r="AB115" s="75">
        <v>131</v>
      </c>
      <c r="AC115" s="75">
        <v>131</v>
      </c>
      <c r="AD115" s="75">
        <v>128</v>
      </c>
      <c r="AE115" s="75">
        <v>128</v>
      </c>
      <c r="AF115" s="75">
        <v>128</v>
      </c>
      <c r="AG115" s="116"/>
      <c r="AH115" s="48">
        <f t="shared" si="58"/>
        <v>135</v>
      </c>
      <c r="AI115" s="49">
        <f t="shared" si="59"/>
        <v>124.5</v>
      </c>
    </row>
    <row r="116" spans="1:35" ht="15.75" thickBot="1" x14ac:dyDescent="0.3">
      <c r="A116" s="115" t="s">
        <v>139</v>
      </c>
      <c r="B116" s="104">
        <v>66.8</v>
      </c>
      <c r="C116" s="104">
        <v>66</v>
      </c>
      <c r="D116" s="104">
        <v>66.8</v>
      </c>
      <c r="E116" s="104">
        <v>66.900000000000006</v>
      </c>
      <c r="F116" s="104">
        <v>66.599999999999994</v>
      </c>
      <c r="G116" s="104">
        <v>65.7</v>
      </c>
      <c r="H116" s="104">
        <v>65</v>
      </c>
      <c r="I116" s="104">
        <v>65</v>
      </c>
      <c r="J116" s="104">
        <v>64.599999999999994</v>
      </c>
      <c r="K116" s="104">
        <v>64.3</v>
      </c>
      <c r="L116" s="104">
        <v>64.3</v>
      </c>
      <c r="M116" s="104">
        <v>65.099999999999994</v>
      </c>
      <c r="N116" s="104">
        <v>64.900000000000006</v>
      </c>
      <c r="O116" s="104">
        <v>65.2</v>
      </c>
      <c r="P116" s="104">
        <v>64.400000000000006</v>
      </c>
      <c r="Q116" s="104">
        <v>64</v>
      </c>
      <c r="R116" s="104">
        <v>63.5</v>
      </c>
      <c r="S116" s="104">
        <v>63.7</v>
      </c>
      <c r="T116" s="104">
        <v>63.4</v>
      </c>
      <c r="U116" s="104">
        <v>64.2</v>
      </c>
      <c r="V116" s="104">
        <v>65.2</v>
      </c>
      <c r="W116" s="104">
        <v>64.5</v>
      </c>
      <c r="X116" s="104">
        <v>66</v>
      </c>
      <c r="Y116" s="104">
        <v>65</v>
      </c>
      <c r="Z116" s="104">
        <v>64.7</v>
      </c>
      <c r="AA116" s="104">
        <v>65.7</v>
      </c>
      <c r="AB116" s="104">
        <v>65.7</v>
      </c>
      <c r="AC116" s="104">
        <v>65.7</v>
      </c>
      <c r="AD116" s="104">
        <v>66.2</v>
      </c>
      <c r="AE116" s="104">
        <v>66.2</v>
      </c>
      <c r="AF116" s="104">
        <v>66.2</v>
      </c>
      <c r="AG116" s="120"/>
      <c r="AH116" s="48">
        <f t="shared" si="58"/>
        <v>66.900000000000006</v>
      </c>
      <c r="AI116" s="49">
        <f t="shared" si="59"/>
        <v>63.4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 t="s">
        <v>140</v>
      </c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58"/>
        <v>0</v>
      </c>
      <c r="AI117" s="49">
        <f t="shared" si="59"/>
        <v>0</v>
      </c>
    </row>
    <row r="118" spans="1:35" ht="15.75" thickBot="1" x14ac:dyDescent="0.3">
      <c r="A118" s="122" t="s">
        <v>141</v>
      </c>
      <c r="B118" s="123">
        <f>SUM(B22,B28,B31:B32,B66,B68:B69,B71,B73,B119:B123,B155,B161,B167,B176,B178,B190,B197,B200:B201,B208,B210,B212,B216:B218,B220:B222,B227,B233:B234,B236:B238,B246,B251)</f>
        <v>133.94</v>
      </c>
      <c r="C118" s="123">
        <f>SUM(C22,C28,C31:C32,C66,C68:C69,C71,C73,C119:C123,C155,C161,C167,C176,C178,C190,C197,C200:C201,C208,C210,C212,C216:C218,C220:C222,C227,C233:C234,C236:C238,C246,C251)</f>
        <v>106.54</v>
      </c>
      <c r="D118" s="123">
        <f t="shared" ref="D118:O118" si="127">SUM(D22,D28,D31:D32,D66,D68:D69,D71,D73,D119:D123,D155,D161,D167,D176,D178,D190,D197,D200:D201,D208,D210,D212,D216:D218,D220:D222,D227,D233:D234,D236:D238,D246,D251)</f>
        <v>114.84</v>
      </c>
      <c r="E118" s="123">
        <f t="shared" si="127"/>
        <v>127.21199999999999</v>
      </c>
      <c r="F118" s="123">
        <f t="shared" si="127"/>
        <v>129.65199999999999</v>
      </c>
      <c r="G118" s="123">
        <f t="shared" si="127"/>
        <v>169.50399999999999</v>
      </c>
      <c r="H118" s="123">
        <f t="shared" si="127"/>
        <v>181.2</v>
      </c>
      <c r="I118" s="123">
        <f t="shared" si="127"/>
        <v>225.75199999999998</v>
      </c>
      <c r="J118" s="123">
        <f t="shared" si="127"/>
        <v>283.27999999999997</v>
      </c>
      <c r="K118" s="123">
        <f t="shared" si="127"/>
        <v>333.82</v>
      </c>
      <c r="L118" s="123">
        <f t="shared" si="127"/>
        <v>333.82</v>
      </c>
      <c r="M118" s="123">
        <f t="shared" si="127"/>
        <v>292.83999999999997</v>
      </c>
      <c r="N118" s="123">
        <f t="shared" si="127"/>
        <v>303.5</v>
      </c>
      <c r="O118" s="123">
        <f t="shared" si="127"/>
        <v>305.06</v>
      </c>
      <c r="P118" s="123">
        <v>42</v>
      </c>
      <c r="Q118" s="123">
        <f t="shared" ref="Q118:AA118" si="128">SUM(Q22,Q28,Q31:Q32,Q66,Q68:Q69,Q71,Q73,Q119:Q123,Q155,Q161,Q167,Q176,Q178,Q190,Q197,Q200:Q201,Q208,Q210,Q212,Q216:Q218,Q220:Q222,Q227,Q233:Q234,Q236:Q238,Q246,Q251)</f>
        <v>289.10000000000002</v>
      </c>
      <c r="R118" s="123">
        <f t="shared" si="128"/>
        <v>282.76099999999997</v>
      </c>
      <c r="S118" s="123">
        <f t="shared" ref="S118" si="129">SUM(S22,S28,S31:S32,S66,S68:S69,S71,S73,S119:S123,S155,S161,S167,S176,S178,S190,S197,S200:S201,S208,S210,S212,S216:S218,S220:S222,S227,S233:S234,S236:S238,S246,S251)</f>
        <v>282.36099999999999</v>
      </c>
      <c r="T118" s="123">
        <f t="shared" si="128"/>
        <v>284.44</v>
      </c>
      <c r="U118" s="123">
        <f t="shared" si="128"/>
        <v>297.14000000000004</v>
      </c>
      <c r="V118" s="123">
        <f t="shared" ref="V118" si="130">SUM(V22,V28,V31:V32,V66,V68:V69,V71,V73,V119:V123,V155,V161,V167,V176,V178,V190,V197,V200:V201,V208,V210,V212,V216:V218,V220:V222,V227,V233:V234,V236:V238,V246,V251)</f>
        <v>258.44</v>
      </c>
      <c r="W118" s="123">
        <f t="shared" si="128"/>
        <v>287.64</v>
      </c>
      <c r="X118" s="123">
        <f t="shared" si="128"/>
        <v>307.68</v>
      </c>
      <c r="Y118" s="123">
        <f t="shared" ref="Y118:Z118" si="131">SUM(Y20,Y26,Y37:Y38,Y66,Y68:Y69,Y71,Y73,Y119:Y123,Y148,Y154,Y160,Y169,Y171,Y183,Y190,Y193:Y194,Y201,Y203,Y205,Y209:Y211,Y213:Y215,Y220,Y226:Y227,Y229:Y231,Y239,Y244)</f>
        <v>362.8</v>
      </c>
      <c r="Z118" s="123">
        <f t="shared" si="131"/>
        <v>387.5</v>
      </c>
      <c r="AA118" s="123">
        <f t="shared" si="128"/>
        <v>364.54</v>
      </c>
      <c r="AB118" s="123">
        <f t="shared" ref="AB118:AC118" si="132">SUM(AB22,AB28,AB31:AB32,AB66,AB68:AB69,AB71,AB73,AB119:AB123,AB155,AB161,AB167,AB176,AB178,AB190,AB197,AB200:AB201,AB208,AB210,AB212,AB216:AB218,AB220:AB222,AB227,AB233:AB234,AB236:AB238,AB246,AB251)</f>
        <v>323.92</v>
      </c>
      <c r="AC118" s="123">
        <f t="shared" si="132"/>
        <v>293.3</v>
      </c>
      <c r="AD118" s="123">
        <f t="shared" ref="AD118:AE118" si="133">SUM(AD22,AD28,AD31:AD32,AD66,AD68:AD69,AD71,AD73,AD119:AD123,AD155,AD161,AD167,AD176,AD178,AD190,AD197,AD200:AD201,AD208,AD210,AD212,AD216:AD218,AD220:AD222,AD227,AD233:AD234,AD236:AD238,AD246,AD251)</f>
        <v>273.74</v>
      </c>
      <c r="AE118" s="123">
        <f t="shared" si="133"/>
        <v>208.84</v>
      </c>
      <c r="AF118" s="123">
        <f t="shared" ref="AF118" si="134">SUM(AF22,AF28,AF31:AF32,AF66,AF68:AF69,AF71,AF73,AF119:AF123,AF155,AF161,AF167,AF176,AF178,AF190,AF197,AF200:AF201,AF208,AF210,AF212,AF216:AF218,AF220:AF222,AF227,AF233:AF234,AF236:AF238,AF246,AF251)</f>
        <v>166.66000000000003</v>
      </c>
      <c r="AG118" s="124"/>
      <c r="AH118" s="48">
        <f t="shared" si="58"/>
        <v>387.5</v>
      </c>
      <c r="AI118" s="49">
        <f t="shared" si="59"/>
        <v>42</v>
      </c>
    </row>
    <row r="119" spans="1:35" x14ac:dyDescent="0.25">
      <c r="A119" s="125" t="s">
        <v>142</v>
      </c>
      <c r="B119" s="126">
        <v>7.6</v>
      </c>
      <c r="C119" s="126">
        <v>-0.6</v>
      </c>
      <c r="D119" s="126">
        <v>-0.8</v>
      </c>
      <c r="E119" s="126">
        <v>0.3</v>
      </c>
      <c r="F119" s="126">
        <v>-0.6</v>
      </c>
      <c r="G119" s="126">
        <v>1.4</v>
      </c>
      <c r="H119" s="126">
        <v>0.8</v>
      </c>
      <c r="I119" s="126">
        <v>14</v>
      </c>
      <c r="J119" s="126">
        <v>39.299999999999997</v>
      </c>
      <c r="K119" s="126">
        <v>50</v>
      </c>
      <c r="L119" s="126">
        <v>50</v>
      </c>
      <c r="M119" s="126">
        <v>42.5</v>
      </c>
      <c r="N119" s="126">
        <v>30.9</v>
      </c>
      <c r="O119" s="126">
        <v>21.1</v>
      </c>
      <c r="P119" s="126">
        <v>28.2</v>
      </c>
      <c r="Q119" s="126">
        <v>22.2</v>
      </c>
      <c r="R119" s="126">
        <v>12.8</v>
      </c>
      <c r="S119" s="126">
        <v>14</v>
      </c>
      <c r="T119" s="126">
        <v>15.4</v>
      </c>
      <c r="U119" s="126">
        <v>7.3</v>
      </c>
      <c r="V119" s="126">
        <v>-2</v>
      </c>
      <c r="W119" s="126">
        <v>-3.6</v>
      </c>
      <c r="X119" s="126">
        <v>11.6</v>
      </c>
      <c r="Y119" s="126">
        <v>28.2</v>
      </c>
      <c r="Z119" s="126">
        <v>40</v>
      </c>
      <c r="AA119" s="126">
        <v>40</v>
      </c>
      <c r="AB119" s="126">
        <v>28.4</v>
      </c>
      <c r="AC119" s="126">
        <v>26.9</v>
      </c>
      <c r="AD119" s="126">
        <v>27.3</v>
      </c>
      <c r="AE119" s="126">
        <v>24.9</v>
      </c>
      <c r="AF119" s="126">
        <v>5.8</v>
      </c>
      <c r="AG119" s="127">
        <v>75</v>
      </c>
      <c r="AH119" s="48">
        <f t="shared" si="58"/>
        <v>50</v>
      </c>
      <c r="AI119" s="49">
        <f t="shared" si="59"/>
        <v>-3.6</v>
      </c>
    </row>
    <row r="120" spans="1:35" x14ac:dyDescent="0.25">
      <c r="A120" s="128" t="s">
        <v>143</v>
      </c>
      <c r="B120" s="129">
        <v>5.7</v>
      </c>
      <c r="C120" s="129">
        <v>-4.5</v>
      </c>
      <c r="D120" s="129">
        <v>-4.8</v>
      </c>
      <c r="E120" s="129">
        <v>-3.3</v>
      </c>
      <c r="F120" s="129">
        <v>-3.5</v>
      </c>
      <c r="G120" s="129">
        <v>-2.1</v>
      </c>
      <c r="H120" s="129">
        <v>-3.7</v>
      </c>
      <c r="I120" s="129">
        <v>13.7</v>
      </c>
      <c r="J120" s="129">
        <v>48.2</v>
      </c>
      <c r="K120" s="129">
        <v>72</v>
      </c>
      <c r="L120" s="129">
        <v>72</v>
      </c>
      <c r="M120" s="129">
        <v>61.3</v>
      </c>
      <c r="N120" s="129">
        <v>45.3</v>
      </c>
      <c r="O120" s="129">
        <v>31.7</v>
      </c>
      <c r="P120" s="129">
        <v>34.5</v>
      </c>
      <c r="Q120" s="129">
        <v>25.4</v>
      </c>
      <c r="R120" s="129">
        <v>13.6</v>
      </c>
      <c r="S120" s="129">
        <v>16.5</v>
      </c>
      <c r="T120" s="129">
        <v>16.100000000000001</v>
      </c>
      <c r="U120" s="129">
        <v>5.3</v>
      </c>
      <c r="V120" s="129">
        <v>-2</v>
      </c>
      <c r="W120" s="129">
        <v>-5.3</v>
      </c>
      <c r="X120" s="129">
        <v>15.1</v>
      </c>
      <c r="Y120" s="129">
        <v>38</v>
      </c>
      <c r="Z120" s="129">
        <v>55</v>
      </c>
      <c r="AA120" s="129">
        <v>53.1</v>
      </c>
      <c r="AB120" s="129">
        <v>38.200000000000003</v>
      </c>
      <c r="AC120" s="129">
        <v>35.700000000000003</v>
      </c>
      <c r="AD120" s="129">
        <v>34.799999999999997</v>
      </c>
      <c r="AE120" s="129">
        <v>29.74</v>
      </c>
      <c r="AF120" s="129">
        <v>6.6</v>
      </c>
      <c r="AG120" s="127">
        <v>240</v>
      </c>
      <c r="AH120" s="48">
        <f t="shared" si="58"/>
        <v>72</v>
      </c>
      <c r="AI120" s="49">
        <f t="shared" si="59"/>
        <v>-5.3</v>
      </c>
    </row>
    <row r="121" spans="1:35" x14ac:dyDescent="0.25">
      <c r="A121" s="128" t="s">
        <v>144</v>
      </c>
      <c r="B121" s="129">
        <v>-38</v>
      </c>
      <c r="C121" s="129">
        <v>-42</v>
      </c>
      <c r="D121" s="129">
        <v>-36</v>
      </c>
      <c r="E121" s="129">
        <v>-40</v>
      </c>
      <c r="F121" s="129">
        <v>-42.5</v>
      </c>
      <c r="G121" s="129">
        <v>-25.8</v>
      </c>
      <c r="H121" s="129">
        <v>-21.2</v>
      </c>
      <c r="I121" s="129">
        <v>-13.1</v>
      </c>
      <c r="J121" s="129">
        <v>-10.6</v>
      </c>
      <c r="K121" s="129">
        <v>9</v>
      </c>
      <c r="L121" s="129">
        <v>9</v>
      </c>
      <c r="M121" s="129">
        <f>8.3+5.9</f>
        <v>14.200000000000001</v>
      </c>
      <c r="N121" s="129">
        <f>5.7+6</f>
        <v>11.7</v>
      </c>
      <c r="O121" s="129">
        <f>16.4+17.8</f>
        <v>34.200000000000003</v>
      </c>
      <c r="P121" s="129">
        <f>8.6+9.4</f>
        <v>18</v>
      </c>
      <c r="Q121" s="129">
        <f>7.6+8.3</f>
        <v>15.9</v>
      </c>
      <c r="R121" s="129">
        <f>9.8+11.2</f>
        <v>21</v>
      </c>
      <c r="S121" s="129">
        <v>16.5</v>
      </c>
      <c r="T121" s="129">
        <v>21</v>
      </c>
      <c r="U121" s="129">
        <v>33</v>
      </c>
      <c r="V121" s="129">
        <v>24</v>
      </c>
      <c r="W121" s="129">
        <v>44</v>
      </c>
      <c r="X121" s="129">
        <v>47</v>
      </c>
      <c r="Y121" s="129">
        <v>39</v>
      </c>
      <c r="Z121" s="129">
        <v>25</v>
      </c>
      <c r="AA121" s="129">
        <v>20</v>
      </c>
      <c r="AB121" s="129">
        <v>32</v>
      </c>
      <c r="AC121" s="129">
        <v>22</v>
      </c>
      <c r="AD121" s="129">
        <v>13.5</v>
      </c>
      <c r="AE121" s="129">
        <v>-4.5</v>
      </c>
      <c r="AF121" s="129">
        <v>-11</v>
      </c>
      <c r="AG121" s="127">
        <v>240</v>
      </c>
      <c r="AH121" s="48">
        <f t="shared" si="58"/>
        <v>47</v>
      </c>
      <c r="AI121" s="49">
        <f t="shared" si="59"/>
        <v>-42.5</v>
      </c>
    </row>
    <row r="122" spans="1:35" ht="15.75" thickBot="1" x14ac:dyDescent="0.3">
      <c r="A122" s="128" t="s">
        <v>145</v>
      </c>
      <c r="B122" s="129">
        <v>-5</v>
      </c>
      <c r="C122" s="129">
        <v>-10</v>
      </c>
      <c r="D122" s="129">
        <v>-9.1999999999999993</v>
      </c>
      <c r="E122" s="129">
        <v>-9.6</v>
      </c>
      <c r="F122" s="129">
        <v>-9.3000000000000007</v>
      </c>
      <c r="G122" s="129">
        <v>-4.8</v>
      </c>
      <c r="H122" s="129">
        <v>-5.5</v>
      </c>
      <c r="I122" s="129">
        <v>1.5</v>
      </c>
      <c r="J122" s="129">
        <v>8.9</v>
      </c>
      <c r="K122" s="129">
        <v>16</v>
      </c>
      <c r="L122" s="129">
        <v>16</v>
      </c>
      <c r="M122" s="129">
        <v>26.1</v>
      </c>
      <c r="N122" s="129">
        <v>12.8</v>
      </c>
      <c r="O122" s="129">
        <v>15.6</v>
      </c>
      <c r="P122" s="129">
        <v>4.5999999999999996</v>
      </c>
      <c r="Q122" s="129">
        <v>1.8</v>
      </c>
      <c r="R122" s="129">
        <v>0</v>
      </c>
      <c r="S122" s="129">
        <v>0</v>
      </c>
      <c r="T122" s="129">
        <v>-4</v>
      </c>
      <c r="U122" s="129">
        <v>16</v>
      </c>
      <c r="V122" s="129">
        <v>22</v>
      </c>
      <c r="W122" s="129">
        <v>23.5</v>
      </c>
      <c r="X122" s="129">
        <v>34.299999999999997</v>
      </c>
      <c r="Y122" s="129">
        <v>38.1</v>
      </c>
      <c r="Z122" s="129">
        <v>40</v>
      </c>
      <c r="AA122" s="129">
        <v>38</v>
      </c>
      <c r="AB122" s="129">
        <v>13.4</v>
      </c>
      <c r="AC122" s="129">
        <v>7.5</v>
      </c>
      <c r="AD122" s="129">
        <v>3.5</v>
      </c>
      <c r="AE122" s="129">
        <v>-3.3</v>
      </c>
      <c r="AF122" s="129">
        <v>-8.1</v>
      </c>
      <c r="AG122" s="127">
        <v>60</v>
      </c>
      <c r="AH122" s="48">
        <f t="shared" si="58"/>
        <v>40</v>
      </c>
      <c r="AI122" s="49">
        <f t="shared" si="59"/>
        <v>-10</v>
      </c>
    </row>
    <row r="123" spans="1:35" x14ac:dyDescent="0.25">
      <c r="A123" s="125" t="s">
        <v>146</v>
      </c>
      <c r="B123" s="130">
        <v>80</v>
      </c>
      <c r="C123" s="130">
        <v>80</v>
      </c>
      <c r="D123" s="130">
        <v>82</v>
      </c>
      <c r="E123" s="130">
        <f>1.64*57.3</f>
        <v>93.971999999999994</v>
      </c>
      <c r="F123" s="130">
        <f>1.64*60.8</f>
        <v>99.711999999999989</v>
      </c>
      <c r="G123" s="130">
        <f>1.64*70.1</f>
        <v>114.96399999999998</v>
      </c>
      <c r="H123" s="130">
        <f>1.64*76.5</f>
        <v>125.46</v>
      </c>
      <c r="I123" s="130">
        <f>1.64*75.8</f>
        <v>124.31199999999998</v>
      </c>
      <c r="J123" s="130">
        <f>1.64*68.5</f>
        <v>112.33999999999999</v>
      </c>
      <c r="K123" s="130">
        <f>62*1.64</f>
        <v>101.67999999999999</v>
      </c>
      <c r="L123" s="130">
        <f>62*1.64</f>
        <v>101.67999999999999</v>
      </c>
      <c r="M123" s="130">
        <v>55.9</v>
      </c>
      <c r="N123" s="130">
        <f>64*1.64</f>
        <v>104.96</v>
      </c>
      <c r="O123" s="130">
        <f>63*1.64</f>
        <v>103.32</v>
      </c>
      <c r="P123" s="130">
        <f>70*1.64</f>
        <v>114.8</v>
      </c>
      <c r="Q123" s="130">
        <f>74*1.64</f>
        <v>121.36</v>
      </c>
      <c r="R123" s="130">
        <f>81*1.641</f>
        <v>132.92099999999999</v>
      </c>
      <c r="S123" s="130">
        <f>81*1.641</f>
        <v>132.92099999999999</v>
      </c>
      <c r="T123" s="130">
        <f>87*1.6</f>
        <v>139.20000000000002</v>
      </c>
      <c r="U123" s="130">
        <f>89*1.6</f>
        <v>142.4</v>
      </c>
      <c r="V123" s="130">
        <v>130</v>
      </c>
      <c r="W123" s="130">
        <f>90*1.6</f>
        <v>144</v>
      </c>
      <c r="X123" s="130">
        <f>74.4*1.6</f>
        <v>119.04000000000002</v>
      </c>
      <c r="Y123" s="130">
        <f>84*1.6</f>
        <v>134.4</v>
      </c>
      <c r="Z123" s="130">
        <f>89*1.6</f>
        <v>142.4</v>
      </c>
      <c r="AA123" s="130">
        <f>83*1.6</f>
        <v>132.80000000000001</v>
      </c>
      <c r="AB123" s="130">
        <f>80.3*1.6</f>
        <v>128.47999999999999</v>
      </c>
      <c r="AC123" s="130">
        <f>73.6*1.6</f>
        <v>117.75999999999999</v>
      </c>
      <c r="AD123" s="130">
        <f>69.5*1.6</f>
        <v>111.2</v>
      </c>
      <c r="AE123" s="130">
        <f>49.1*1.6</f>
        <v>78.56</v>
      </c>
      <c r="AF123" s="130">
        <f>56.2*1.6</f>
        <v>89.920000000000016</v>
      </c>
      <c r="AG123" s="131">
        <v>120</v>
      </c>
      <c r="AH123" s="48">
        <f t="shared" si="58"/>
        <v>144</v>
      </c>
      <c r="AI123" s="49">
        <f t="shared" si="59"/>
        <v>55.9</v>
      </c>
    </row>
    <row r="124" spans="1:35" x14ac:dyDescent="0.25">
      <c r="A124" s="128" t="s">
        <v>147</v>
      </c>
      <c r="B124" s="130">
        <v>66.900000000000006</v>
      </c>
      <c r="C124" s="130">
        <v>75</v>
      </c>
      <c r="D124" s="130">
        <v>70</v>
      </c>
      <c r="E124" s="130">
        <v>69.2</v>
      </c>
      <c r="F124" s="130">
        <v>71.7</v>
      </c>
      <c r="G124" s="130">
        <v>78.8</v>
      </c>
      <c r="H124" s="130">
        <v>83.5</v>
      </c>
      <c r="I124" s="130">
        <v>83.2</v>
      </c>
      <c r="J124" s="130">
        <v>76.2</v>
      </c>
      <c r="K124" s="130">
        <v>71</v>
      </c>
      <c r="L124" s="130">
        <v>71</v>
      </c>
      <c r="M124" s="130">
        <v>65.599999999999994</v>
      </c>
      <c r="N124" s="130">
        <v>72</v>
      </c>
      <c r="O124" s="130">
        <v>71</v>
      </c>
      <c r="P124" s="130">
        <v>74.2</v>
      </c>
      <c r="Q124" s="130">
        <v>79.5</v>
      </c>
      <c r="R124" s="130">
        <v>84.1</v>
      </c>
      <c r="S124" s="130">
        <v>84.1</v>
      </c>
      <c r="T124" s="130">
        <v>91</v>
      </c>
      <c r="U124" s="130">
        <v>92</v>
      </c>
      <c r="V124" s="130">
        <v>87</v>
      </c>
      <c r="W124" s="130">
        <v>95</v>
      </c>
      <c r="X124" s="130">
        <v>81.2</v>
      </c>
      <c r="Y124" s="130">
        <v>89</v>
      </c>
      <c r="Z124" s="130">
        <v>91</v>
      </c>
      <c r="AA124" s="130">
        <v>85</v>
      </c>
      <c r="AB124" s="130">
        <v>83.9</v>
      </c>
      <c r="AC124" s="130">
        <v>79.099999999999994</v>
      </c>
      <c r="AD124" s="130">
        <v>75.599999999999994</v>
      </c>
      <c r="AE124" s="130">
        <v>60.1</v>
      </c>
      <c r="AF124" s="130">
        <v>67.2</v>
      </c>
      <c r="AG124" s="131"/>
      <c r="AH124" s="48">
        <f t="shared" si="58"/>
        <v>95</v>
      </c>
      <c r="AI124" s="49">
        <f t="shared" si="59"/>
        <v>60.1</v>
      </c>
    </row>
    <row r="125" spans="1:35" x14ac:dyDescent="0.25">
      <c r="A125" s="128" t="s">
        <v>148</v>
      </c>
      <c r="B125" s="130">
        <v>50</v>
      </c>
      <c r="C125" s="130">
        <v>67</v>
      </c>
      <c r="D125" s="130">
        <v>60</v>
      </c>
      <c r="E125" s="130">
        <v>59.1</v>
      </c>
      <c r="F125" s="130">
        <v>63.9</v>
      </c>
      <c r="G125" s="130">
        <v>55.5</v>
      </c>
      <c r="H125" s="130">
        <v>57.3</v>
      </c>
      <c r="I125" s="130">
        <v>36.5</v>
      </c>
      <c r="J125" s="130">
        <v>-3.3</v>
      </c>
      <c r="K125" s="130">
        <v>-40</v>
      </c>
      <c r="L125" s="130">
        <v>-40</v>
      </c>
      <c r="M125" s="130">
        <v>-39.6</v>
      </c>
      <c r="N125" s="130">
        <v>-17.399999999999999</v>
      </c>
      <c r="O125" s="130">
        <v>-10.5</v>
      </c>
      <c r="P125" s="130">
        <v>1.5</v>
      </c>
      <c r="Q125" s="130">
        <v>14.8</v>
      </c>
      <c r="R125" s="130">
        <v>25.7</v>
      </c>
      <c r="S125" s="130">
        <v>25.7</v>
      </c>
      <c r="T125" s="130">
        <v>31</v>
      </c>
      <c r="U125" s="130">
        <v>29</v>
      </c>
      <c r="V125" s="130">
        <v>23</v>
      </c>
      <c r="W125" s="130">
        <v>31</v>
      </c>
      <c r="X125" s="130">
        <v>0.7</v>
      </c>
      <c r="Y125" s="130">
        <v>-12.3</v>
      </c>
      <c r="Z125" s="130">
        <v>-21</v>
      </c>
      <c r="AA125" s="130">
        <v>-23</v>
      </c>
      <c r="AB125" s="130">
        <v>-10.9</v>
      </c>
      <c r="AC125" s="130">
        <v>-6.3</v>
      </c>
      <c r="AD125" s="130">
        <v>0.6</v>
      </c>
      <c r="AE125" s="130">
        <v>8.5</v>
      </c>
      <c r="AF125" s="130">
        <v>37</v>
      </c>
      <c r="AG125" s="131"/>
      <c r="AH125" s="48">
        <f t="shared" si="58"/>
        <v>67</v>
      </c>
      <c r="AI125" s="49">
        <f t="shared" si="59"/>
        <v>-40</v>
      </c>
    </row>
    <row r="126" spans="1:35" ht="15.75" thickBot="1" x14ac:dyDescent="0.3">
      <c r="A126" s="128" t="s">
        <v>149</v>
      </c>
      <c r="B126" s="130">
        <v>88.9</v>
      </c>
      <c r="C126" s="130">
        <v>101</v>
      </c>
      <c r="D126" s="130">
        <v>84</v>
      </c>
      <c r="E126" s="130">
        <v>91</v>
      </c>
      <c r="F126" s="130">
        <v>97.7</v>
      </c>
      <c r="G126" s="130">
        <v>103.5</v>
      </c>
      <c r="H126" s="130">
        <v>111.2</v>
      </c>
      <c r="I126" s="130">
        <v>101.2</v>
      </c>
      <c r="J126" s="130">
        <v>89</v>
      </c>
      <c r="K126" s="130">
        <v>60</v>
      </c>
      <c r="L126" s="130">
        <v>60</v>
      </c>
      <c r="M126" s="130">
        <v>45</v>
      </c>
      <c r="N126" s="130">
        <v>56.5</v>
      </c>
      <c r="O126" s="130">
        <v>67.7</v>
      </c>
      <c r="P126" s="130">
        <v>77</v>
      </c>
      <c r="Q126" s="130">
        <v>81.7</v>
      </c>
      <c r="R126" s="130">
        <v>91.2</v>
      </c>
      <c r="S126" s="130">
        <v>91.2</v>
      </c>
      <c r="T126" s="130">
        <v>104</v>
      </c>
      <c r="U126" s="130">
        <v>103</v>
      </c>
      <c r="V126" s="130">
        <v>98</v>
      </c>
      <c r="W126" s="130">
        <v>108</v>
      </c>
      <c r="X126" s="130">
        <v>82</v>
      </c>
      <c r="Y126" s="130">
        <v>97</v>
      </c>
      <c r="Z126" s="130">
        <v>88</v>
      </c>
      <c r="AA126" s="130">
        <v>84</v>
      </c>
      <c r="AB126" s="130">
        <v>72.400000000000006</v>
      </c>
      <c r="AC126" s="130">
        <v>73.8</v>
      </c>
      <c r="AD126" s="130">
        <v>72.099999999999994</v>
      </c>
      <c r="AE126" s="130">
        <v>55.7</v>
      </c>
      <c r="AF126" s="130">
        <v>70.099999999999994</v>
      </c>
      <c r="AG126" s="127"/>
      <c r="AH126" s="48">
        <f>MAX(B126:AF126)</f>
        <v>111.2</v>
      </c>
      <c r="AI126" s="49">
        <f>MIN(B126:AF126)</f>
        <v>45</v>
      </c>
    </row>
    <row r="127" spans="1:35" x14ac:dyDescent="0.25">
      <c r="A127" s="125" t="s">
        <v>150</v>
      </c>
      <c r="B127" s="130">
        <v>1.3</v>
      </c>
      <c r="C127" s="130">
        <v>3.7</v>
      </c>
      <c r="D127" s="130">
        <v>5.3</v>
      </c>
      <c r="E127" s="130">
        <v>3.5</v>
      </c>
      <c r="F127" s="130">
        <v>3.7</v>
      </c>
      <c r="G127" s="130">
        <v>0</v>
      </c>
      <c r="H127" s="130">
        <v>0</v>
      </c>
      <c r="I127" s="130">
        <v>-3.9</v>
      </c>
      <c r="J127" s="130">
        <v>-16.899999999999999</v>
      </c>
      <c r="K127" s="130">
        <v>-13</v>
      </c>
      <c r="L127" s="130">
        <v>-13</v>
      </c>
      <c r="M127" s="130">
        <v>-14.1</v>
      </c>
      <c r="N127" s="130">
        <v>-1.5</v>
      </c>
      <c r="O127" s="130">
        <v>9</v>
      </c>
      <c r="P127" s="130">
        <v>-3.4</v>
      </c>
      <c r="Q127" s="130">
        <v>-2</v>
      </c>
      <c r="R127" s="130">
        <v>2.1</v>
      </c>
      <c r="S127" s="130">
        <v>2.1</v>
      </c>
      <c r="T127" s="130">
        <v>2</v>
      </c>
      <c r="U127" s="130">
        <v>3</v>
      </c>
      <c r="V127" s="130">
        <v>1</v>
      </c>
      <c r="W127" s="130">
        <v>3.2</v>
      </c>
      <c r="X127" s="130">
        <v>-2</v>
      </c>
      <c r="Y127" s="130">
        <v>-12</v>
      </c>
      <c r="Z127" s="130">
        <v>-18</v>
      </c>
      <c r="AA127" s="130">
        <v>-17</v>
      </c>
      <c r="AB127" s="130">
        <v>-10</v>
      </c>
      <c r="AC127" s="130">
        <v>-20.3</v>
      </c>
      <c r="AD127" s="130">
        <v>-12.5</v>
      </c>
      <c r="AE127" s="130">
        <v>-11.7</v>
      </c>
      <c r="AF127" s="130">
        <v>6.9</v>
      </c>
      <c r="AG127" s="127"/>
      <c r="AH127" s="48">
        <f>MAX(B127:AF127)</f>
        <v>9</v>
      </c>
      <c r="AI127" s="49">
        <f>MIN(B127:AF127)</f>
        <v>-20.3</v>
      </c>
    </row>
    <row r="128" spans="1:35" x14ac:dyDescent="0.25">
      <c r="A128" s="128" t="s">
        <v>151</v>
      </c>
      <c r="B128" s="118">
        <v>-19</v>
      </c>
      <c r="C128" s="118">
        <v>-16</v>
      </c>
      <c r="D128" s="118">
        <v>-16</v>
      </c>
      <c r="E128" s="118">
        <v>-13.6</v>
      </c>
      <c r="F128" s="118">
        <v>-15.2</v>
      </c>
      <c r="G128" s="118">
        <v>-23</v>
      </c>
      <c r="H128" s="118">
        <v>-25.7</v>
      </c>
      <c r="I128" s="118">
        <v>-35.1</v>
      </c>
      <c r="J128" s="118">
        <v>-47.5</v>
      </c>
      <c r="K128" s="118">
        <v>-57</v>
      </c>
      <c r="L128" s="118">
        <v>-57</v>
      </c>
      <c r="M128" s="118">
        <v>-52.1</v>
      </c>
      <c r="N128" s="118">
        <v>-48.6</v>
      </c>
      <c r="O128" s="118">
        <v>-42.5</v>
      </c>
      <c r="P128" s="118">
        <v>-42.9</v>
      </c>
      <c r="Q128" s="118">
        <v>-37</v>
      </c>
      <c r="R128" s="118">
        <v>-34</v>
      </c>
      <c r="S128" s="118">
        <v>-34</v>
      </c>
      <c r="T128" s="118">
        <v>-36.1</v>
      </c>
      <c r="U128" s="118">
        <v>-35</v>
      </c>
      <c r="V128" s="118">
        <v>-44</v>
      </c>
      <c r="W128" s="118">
        <v>-52</v>
      </c>
      <c r="X128" s="118">
        <v>-63</v>
      </c>
      <c r="Y128" s="118"/>
      <c r="Z128" s="118">
        <v>-52.3</v>
      </c>
      <c r="AA128" s="118">
        <v>-60</v>
      </c>
      <c r="AB128" s="118">
        <v>-49.7</v>
      </c>
      <c r="AC128" s="118">
        <v>-43.6</v>
      </c>
      <c r="AD128" s="118">
        <v>-38.6</v>
      </c>
      <c r="AE128" s="118">
        <v>-26.3</v>
      </c>
      <c r="AF128" s="118">
        <v>-21.6</v>
      </c>
      <c r="AG128" s="127"/>
      <c r="AH128" s="48">
        <f>MAX(B128:AF128)</f>
        <v>-13.6</v>
      </c>
      <c r="AI128" s="49">
        <f>MIN(B128:AF128)</f>
        <v>-63</v>
      </c>
    </row>
    <row r="129" spans="1:37" x14ac:dyDescent="0.25">
      <c r="A129" s="128" t="s">
        <v>152</v>
      </c>
      <c r="B129" s="118">
        <v>18.100000000000001</v>
      </c>
      <c r="C129" s="118">
        <v>16</v>
      </c>
      <c r="D129" s="118">
        <v>12</v>
      </c>
      <c r="E129" s="118">
        <v>17.600000000000001</v>
      </c>
      <c r="F129" s="118">
        <v>16.3</v>
      </c>
      <c r="G129" s="118">
        <v>6.8</v>
      </c>
      <c r="H129" s="118">
        <v>0</v>
      </c>
      <c r="I129" s="118">
        <v>3.5</v>
      </c>
      <c r="J129" s="118">
        <v>20.6</v>
      </c>
      <c r="K129" s="118">
        <v>14</v>
      </c>
      <c r="L129" s="118">
        <v>14</v>
      </c>
      <c r="M129" s="118">
        <v>16.100000000000001</v>
      </c>
      <c r="N129" s="118">
        <v>-4.5999999999999996</v>
      </c>
      <c r="O129" s="118">
        <v>-30.2</v>
      </c>
      <c r="P129" s="118">
        <v>-22.1</v>
      </c>
      <c r="Q129" s="118">
        <v>-21.5</v>
      </c>
      <c r="R129" s="118">
        <v>-32.5</v>
      </c>
      <c r="S129" s="118">
        <v>-32.5</v>
      </c>
      <c r="T129" s="118">
        <v>-36</v>
      </c>
      <c r="U129" s="118">
        <v>-30</v>
      </c>
      <c r="V129" s="118">
        <v>-38</v>
      </c>
      <c r="W129" s="118">
        <v>-44.3</v>
      </c>
      <c r="X129" s="118">
        <v>-28</v>
      </c>
      <c r="Y129" s="118">
        <v>-10</v>
      </c>
      <c r="Z129" s="118">
        <v>10</v>
      </c>
      <c r="AA129" s="118">
        <v>12.6</v>
      </c>
      <c r="AB129" s="118">
        <v>-23.8</v>
      </c>
      <c r="AC129" s="118">
        <v>-19.3</v>
      </c>
      <c r="AD129" s="118">
        <v>-16.5</v>
      </c>
      <c r="AE129" s="118">
        <v>0</v>
      </c>
      <c r="AF129" s="118">
        <v>-11.4</v>
      </c>
      <c r="AG129" s="127"/>
      <c r="AH129" s="48">
        <f>MAX(B129:AF129)</f>
        <v>20.6</v>
      </c>
      <c r="AI129" s="49">
        <f>MIN(B129:AF129)</f>
        <v>-44.3</v>
      </c>
    </row>
    <row r="130" spans="1:37" ht="15.75" thickBot="1" x14ac:dyDescent="0.3">
      <c r="A130" s="128" t="s">
        <v>153</v>
      </c>
      <c r="B130" s="118">
        <v>95.6</v>
      </c>
      <c r="C130" s="118">
        <v>100</v>
      </c>
      <c r="D130" s="118">
        <v>100</v>
      </c>
      <c r="E130" s="118">
        <v>103.4</v>
      </c>
      <c r="F130" s="118">
        <v>101.3</v>
      </c>
      <c r="G130" s="118">
        <v>99.3</v>
      </c>
      <c r="H130" s="118">
        <v>101</v>
      </c>
      <c r="I130" s="118">
        <v>112</v>
      </c>
      <c r="J130" s="118">
        <v>125</v>
      </c>
      <c r="K130" s="118">
        <v>110</v>
      </c>
      <c r="L130" s="118">
        <v>110</v>
      </c>
      <c r="M130" s="118">
        <v>93.2</v>
      </c>
      <c r="N130" s="118">
        <v>98.6</v>
      </c>
      <c r="O130" s="118">
        <v>97.9</v>
      </c>
      <c r="P130" s="118">
        <v>122</v>
      </c>
      <c r="Q130" s="118">
        <v>105.9</v>
      </c>
      <c r="R130" s="118">
        <v>104</v>
      </c>
      <c r="S130" s="118">
        <v>104</v>
      </c>
      <c r="T130" s="118">
        <v>129</v>
      </c>
      <c r="U130" s="118">
        <v>117</v>
      </c>
      <c r="V130" s="118">
        <v>90</v>
      </c>
      <c r="W130" s="118">
        <v>107</v>
      </c>
      <c r="X130" s="118">
        <v>109</v>
      </c>
      <c r="Y130" s="118">
        <v>128</v>
      </c>
      <c r="Z130" s="118">
        <v>102</v>
      </c>
      <c r="AA130" s="118">
        <v>104</v>
      </c>
      <c r="AB130" s="118">
        <v>98.2</v>
      </c>
      <c r="AC130" s="118">
        <v>113.5</v>
      </c>
      <c r="AD130" s="118">
        <v>123.63</v>
      </c>
      <c r="AE130" s="118">
        <v>117.5</v>
      </c>
      <c r="AF130" s="118">
        <v>111.8</v>
      </c>
      <c r="AG130" s="127"/>
      <c r="AH130" s="48">
        <f>MAX(B130:AF130)</f>
        <v>129</v>
      </c>
      <c r="AI130" s="49">
        <f>MIN(B130:AF130)</f>
        <v>90</v>
      </c>
    </row>
    <row r="131" spans="1:37" x14ac:dyDescent="0.25">
      <c r="A131" s="132" t="s">
        <v>154</v>
      </c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4"/>
      <c r="AG131" s="44"/>
      <c r="AH131" s="48"/>
      <c r="AI131" s="49"/>
    </row>
    <row r="132" spans="1:37" x14ac:dyDescent="0.25">
      <c r="A132" s="135" t="s">
        <v>155</v>
      </c>
      <c r="B132" s="136">
        <v>1985.65</v>
      </c>
      <c r="C132" s="136">
        <v>1985.75</v>
      </c>
      <c r="D132" s="136">
        <v>1985.8</v>
      </c>
      <c r="E132" s="136">
        <v>1985.9</v>
      </c>
      <c r="F132" s="136">
        <v>1986</v>
      </c>
      <c r="G132" s="136">
        <v>1986.1</v>
      </c>
      <c r="H132" s="136"/>
      <c r="I132" s="136">
        <v>1986.2</v>
      </c>
      <c r="J132" s="136"/>
      <c r="K132" s="136">
        <v>1986.14</v>
      </c>
      <c r="L132" s="136"/>
      <c r="M132" s="130">
        <v>1985.75</v>
      </c>
      <c r="N132" s="130">
        <v>1984.89</v>
      </c>
      <c r="O132" s="130">
        <v>1984.53</v>
      </c>
      <c r="P132" s="130">
        <v>1984.63</v>
      </c>
      <c r="Q132" s="130">
        <v>1984.63</v>
      </c>
      <c r="R132" s="136">
        <v>1984.8</v>
      </c>
      <c r="S132" s="136">
        <v>1984.92</v>
      </c>
      <c r="T132" s="136">
        <v>1985.08</v>
      </c>
      <c r="U132" s="136">
        <v>1985.2</v>
      </c>
      <c r="V132" s="136">
        <v>1985.33</v>
      </c>
      <c r="W132" s="136">
        <v>1985.38</v>
      </c>
      <c r="X132" s="136">
        <v>1985.44</v>
      </c>
      <c r="Y132" s="136"/>
      <c r="Z132" s="136">
        <v>1985.1</v>
      </c>
      <c r="AA132" s="136"/>
      <c r="AB132" s="136">
        <v>1984.11</v>
      </c>
      <c r="AC132" s="136"/>
      <c r="AD132" s="136">
        <v>1983.76</v>
      </c>
      <c r="AE132" s="136">
        <v>1983.62</v>
      </c>
      <c r="AF132" s="137">
        <v>1983.8</v>
      </c>
      <c r="AG132" s="138"/>
      <c r="AH132" s="48"/>
      <c r="AI132" s="49"/>
    </row>
    <row r="133" spans="1:37" x14ac:dyDescent="0.25">
      <c r="A133" s="135" t="s">
        <v>156</v>
      </c>
      <c r="B133" s="139">
        <v>519.87</v>
      </c>
      <c r="C133" s="139">
        <v>520.23</v>
      </c>
      <c r="D133" s="139">
        <v>520.58000000000004</v>
      </c>
      <c r="E133" s="139">
        <v>520.92999999999995</v>
      </c>
      <c r="F133" s="139">
        <v>521.24</v>
      </c>
      <c r="G133" s="139">
        <v>521.54</v>
      </c>
      <c r="H133" s="139"/>
      <c r="I133" s="139">
        <v>521.78</v>
      </c>
      <c r="J133" s="139"/>
      <c r="K133" s="139">
        <v>521.62</v>
      </c>
      <c r="L133" s="139"/>
      <c r="M133" s="130" t="s">
        <v>157</v>
      </c>
      <c r="N133" s="130">
        <v>520.53</v>
      </c>
      <c r="O133" s="130">
        <v>520.38</v>
      </c>
      <c r="P133" s="130">
        <v>520.52</v>
      </c>
      <c r="Q133" s="130">
        <v>520.61</v>
      </c>
      <c r="R133" s="139">
        <v>520.72</v>
      </c>
      <c r="S133" s="139">
        <v>520.76</v>
      </c>
      <c r="T133" s="139">
        <v>520.79999999999995</v>
      </c>
      <c r="U133" s="139">
        <v>520.82000000000005</v>
      </c>
      <c r="V133" s="139">
        <v>520.86</v>
      </c>
      <c r="W133" s="139"/>
      <c r="X133" s="139">
        <v>520.89</v>
      </c>
      <c r="Y133" s="139"/>
      <c r="Z133" s="139">
        <v>520.5</v>
      </c>
      <c r="AA133" s="139"/>
      <c r="AB133" s="139">
        <v>519.84</v>
      </c>
      <c r="AC133" s="139"/>
      <c r="AD133" s="139">
        <v>519.5</v>
      </c>
      <c r="AE133" s="139">
        <v>519.41999999999996</v>
      </c>
      <c r="AF133" s="140">
        <v>519.46</v>
      </c>
      <c r="AG133" s="138"/>
      <c r="AH133" s="48"/>
      <c r="AI133" s="49"/>
    </row>
    <row r="134" spans="1:37" x14ac:dyDescent="0.25">
      <c r="A134" s="135" t="s">
        <v>158</v>
      </c>
      <c r="B134" s="139">
        <v>623.27</v>
      </c>
      <c r="C134" s="139">
        <v>623.65</v>
      </c>
      <c r="D134" s="139">
        <v>623.95000000000005</v>
      </c>
      <c r="E134" s="139">
        <v>624.22</v>
      </c>
      <c r="F134" s="139">
        <v>624.51</v>
      </c>
      <c r="G134" s="139">
        <v>624.92999999999995</v>
      </c>
      <c r="H134" s="139"/>
      <c r="I134" s="139">
        <v>625.1</v>
      </c>
      <c r="J134" s="139"/>
      <c r="K134" s="139">
        <v>624.91999999999996</v>
      </c>
      <c r="L134" s="139"/>
      <c r="M134" s="130">
        <v>624.4</v>
      </c>
      <c r="N134" s="130">
        <v>624.07000000000005</v>
      </c>
      <c r="O134" s="130">
        <v>623.85</v>
      </c>
      <c r="P134" s="130">
        <v>623.52</v>
      </c>
      <c r="Q134" s="130">
        <v>623.22</v>
      </c>
      <c r="R134" s="139">
        <v>622.79</v>
      </c>
      <c r="S134" s="139">
        <v>622.41</v>
      </c>
      <c r="T134" s="139">
        <v>621.96</v>
      </c>
      <c r="U134" s="139">
        <v>621.75</v>
      </c>
      <c r="V134" s="139">
        <v>621.84</v>
      </c>
      <c r="W134" s="139"/>
      <c r="X134" s="139">
        <v>622.4</v>
      </c>
      <c r="Y134" s="139"/>
      <c r="Z134" s="139">
        <v>622.12</v>
      </c>
      <c r="AA134" s="139"/>
      <c r="AB134" s="139">
        <v>621.94000000000005</v>
      </c>
      <c r="AC134" s="139"/>
      <c r="AD134" s="139">
        <v>622.21</v>
      </c>
      <c r="AE134" s="139">
        <v>622.23</v>
      </c>
      <c r="AF134" s="140">
        <v>622.08000000000004</v>
      </c>
      <c r="AG134" s="138"/>
      <c r="AH134" s="48"/>
      <c r="AI134" s="49"/>
    </row>
    <row r="135" spans="1:37" x14ac:dyDescent="0.25">
      <c r="A135" s="135" t="s">
        <v>159</v>
      </c>
      <c r="B135" s="139">
        <v>335.08</v>
      </c>
      <c r="C135" s="139">
        <v>335.23</v>
      </c>
      <c r="D135" s="139">
        <v>335.57</v>
      </c>
      <c r="E135" s="139">
        <v>335.88</v>
      </c>
      <c r="F135" s="139">
        <v>336.14</v>
      </c>
      <c r="G135" s="139">
        <v>336.4</v>
      </c>
      <c r="H135" s="139"/>
      <c r="I135" s="139">
        <v>336.45</v>
      </c>
      <c r="J135" s="139"/>
      <c r="K135" s="139">
        <v>336.3</v>
      </c>
      <c r="L135" s="139"/>
      <c r="M135" s="130">
        <v>335.7</v>
      </c>
      <c r="N135" s="130">
        <v>335.26</v>
      </c>
      <c r="O135" s="130">
        <v>334.84</v>
      </c>
      <c r="P135" s="130">
        <v>334.56</v>
      </c>
      <c r="Q135" s="130">
        <v>334.18</v>
      </c>
      <c r="R135" s="139">
        <v>334.02</v>
      </c>
      <c r="S135" s="139">
        <v>334.56</v>
      </c>
      <c r="T135" s="139">
        <v>334.9</v>
      </c>
      <c r="U135" s="139">
        <v>335.2</v>
      </c>
      <c r="V135" s="139">
        <v>335.5</v>
      </c>
      <c r="W135" s="139"/>
      <c r="X135" s="139">
        <v>335.82</v>
      </c>
      <c r="Y135" s="139"/>
      <c r="Z135" s="139">
        <v>335.76</v>
      </c>
      <c r="AA135" s="139"/>
      <c r="AB135" s="139">
        <v>335.53</v>
      </c>
      <c r="AC135" s="139"/>
      <c r="AD135" s="139">
        <v>335.45</v>
      </c>
      <c r="AE135" s="139">
        <v>335.37</v>
      </c>
      <c r="AF135" s="140">
        <v>335.51</v>
      </c>
      <c r="AG135" s="138"/>
      <c r="AH135" s="48"/>
      <c r="AI135" s="49"/>
    </row>
    <row r="136" spans="1:37" x14ac:dyDescent="0.25">
      <c r="A136" s="135" t="s">
        <v>160</v>
      </c>
      <c r="B136" s="139">
        <v>885.4</v>
      </c>
      <c r="C136" s="139">
        <v>885.8</v>
      </c>
      <c r="D136" s="139">
        <v>886.3</v>
      </c>
      <c r="E136" s="139">
        <v>886.8</v>
      </c>
      <c r="F136" s="139">
        <v>887.3</v>
      </c>
      <c r="G136" s="139">
        <v>887.5</v>
      </c>
      <c r="H136" s="139"/>
      <c r="I136" s="139">
        <v>887</v>
      </c>
      <c r="J136" s="139">
        <v>885.9</v>
      </c>
      <c r="K136" s="139"/>
      <c r="L136" s="139"/>
      <c r="M136" s="130">
        <v>885.1</v>
      </c>
      <c r="N136" s="130">
        <v>884</v>
      </c>
      <c r="O136" s="130">
        <v>883.8</v>
      </c>
      <c r="P136" s="130">
        <v>884.3</v>
      </c>
      <c r="Q136" s="130">
        <v>884.9</v>
      </c>
      <c r="R136" s="139">
        <v>885.6</v>
      </c>
      <c r="S136" s="139">
        <v>886.2</v>
      </c>
      <c r="T136" s="139">
        <v>886.6</v>
      </c>
      <c r="U136" s="139">
        <v>887</v>
      </c>
      <c r="V136" s="139">
        <v>887.2</v>
      </c>
      <c r="W136" s="139"/>
      <c r="X136" s="139">
        <v>887.3</v>
      </c>
      <c r="Y136" s="139"/>
      <c r="Z136" s="139">
        <v>886.7</v>
      </c>
      <c r="AA136" s="139"/>
      <c r="AB136" s="139">
        <v>885.4</v>
      </c>
      <c r="AC136" s="139"/>
      <c r="AD136" s="139">
        <v>884.1</v>
      </c>
      <c r="AE136" s="139">
        <v>882.6</v>
      </c>
      <c r="AF136" s="140">
        <v>881.8</v>
      </c>
      <c r="AG136" s="138"/>
      <c r="AH136" s="48"/>
      <c r="AI136" s="49"/>
    </row>
    <row r="137" spans="1:37" ht="15.75" thickBot="1" x14ac:dyDescent="0.3">
      <c r="A137" s="135" t="s">
        <v>161</v>
      </c>
      <c r="B137" s="141">
        <v>1519.71</v>
      </c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>
        <v>1519.72</v>
      </c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  <c r="AF137" s="142"/>
      <c r="AG137" s="138"/>
      <c r="AH137" s="48"/>
      <c r="AI137" s="49"/>
    </row>
    <row r="138" spans="1:37" ht="15.75" thickBot="1" x14ac:dyDescent="0.3">
      <c r="A138" s="143" t="s">
        <v>162</v>
      </c>
      <c r="B138" s="144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>
        <f>C134-B134</f>
        <v>0.37999999999999545</v>
      </c>
      <c r="D140" s="149">
        <f t="shared" ref="D140:G140" si="135">D134-C134</f>
        <v>0.30000000000006821</v>
      </c>
      <c r="E140" s="149">
        <f t="shared" si="135"/>
        <v>0.26999999999998181</v>
      </c>
      <c r="F140" s="149">
        <f t="shared" si="135"/>
        <v>0.28999999999996362</v>
      </c>
      <c r="G140" s="149">
        <f t="shared" si="135"/>
        <v>0.41999999999995907</v>
      </c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>
        <f>0.35*10</f>
        <v>3.5</v>
      </c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136">SUM(B139:B243)</f>
        <v>0</v>
      </c>
      <c r="C244" s="160">
        <f t="shared" si="136"/>
        <v>3.8799999999999955</v>
      </c>
      <c r="D244" s="160">
        <f t="shared" si="136"/>
        <v>0.30000000000006821</v>
      </c>
      <c r="E244" s="160">
        <f t="shared" si="136"/>
        <v>0.26999999999998181</v>
      </c>
      <c r="F244" s="160">
        <f t="shared" si="136"/>
        <v>0.28999999999996362</v>
      </c>
      <c r="G244" s="160">
        <f t="shared" si="136"/>
        <v>0.41999999999995907</v>
      </c>
      <c r="H244" s="160">
        <f t="shared" si="136"/>
        <v>0</v>
      </c>
      <c r="I244" s="160">
        <f t="shared" si="136"/>
        <v>0</v>
      </c>
      <c r="J244" s="160">
        <f t="shared" si="136"/>
        <v>0</v>
      </c>
      <c r="K244" s="160">
        <f t="shared" si="136"/>
        <v>0</v>
      </c>
      <c r="L244" s="160">
        <f t="shared" si="136"/>
        <v>0</v>
      </c>
      <c r="M244" s="160">
        <f t="shared" si="136"/>
        <v>0</v>
      </c>
      <c r="N244" s="160">
        <f t="shared" si="136"/>
        <v>0</v>
      </c>
      <c r="O244" s="160">
        <f t="shared" si="136"/>
        <v>0</v>
      </c>
      <c r="P244" s="160">
        <f t="shared" si="136"/>
        <v>0</v>
      </c>
      <c r="Q244" s="160">
        <f t="shared" si="136"/>
        <v>0</v>
      </c>
      <c r="R244" s="160">
        <f t="shared" si="136"/>
        <v>0</v>
      </c>
      <c r="S244" s="160">
        <f t="shared" si="136"/>
        <v>0</v>
      </c>
      <c r="T244" s="160">
        <f t="shared" si="136"/>
        <v>0</v>
      </c>
      <c r="U244" s="160">
        <f t="shared" si="136"/>
        <v>0</v>
      </c>
      <c r="V244" s="160">
        <f t="shared" si="136"/>
        <v>0</v>
      </c>
      <c r="W244" s="160">
        <f t="shared" si="136"/>
        <v>0</v>
      </c>
      <c r="X244" s="160">
        <f t="shared" si="136"/>
        <v>0</v>
      </c>
      <c r="Y244" s="160">
        <f t="shared" si="136"/>
        <v>0</v>
      </c>
      <c r="Z244" s="160">
        <f t="shared" si="136"/>
        <v>0</v>
      </c>
      <c r="AA244" s="160">
        <f t="shared" si="136"/>
        <v>0</v>
      </c>
      <c r="AB244" s="160">
        <f t="shared" si="136"/>
        <v>0</v>
      </c>
      <c r="AC244" s="160">
        <f t="shared" si="136"/>
        <v>0</v>
      </c>
      <c r="AD244" s="160">
        <f t="shared" si="136"/>
        <v>0</v>
      </c>
      <c r="AE244" s="160">
        <f t="shared" si="136"/>
        <v>0</v>
      </c>
      <c r="AF244" s="161">
        <f t="shared" si="136"/>
        <v>0</v>
      </c>
      <c r="AG244" s="162">
        <f t="shared" si="136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137">AF246</f>
        <v>0.3</v>
      </c>
      <c r="C246" s="165">
        <v>0.3</v>
      </c>
      <c r="D246" s="165">
        <f t="shared" ref="D246:S251" si="138">C246</f>
        <v>0.3</v>
      </c>
      <c r="E246" s="165">
        <f t="shared" si="138"/>
        <v>0.3</v>
      </c>
      <c r="F246" s="165">
        <f t="shared" si="138"/>
        <v>0.3</v>
      </c>
      <c r="G246" s="165">
        <f t="shared" si="138"/>
        <v>0.3</v>
      </c>
      <c r="H246" s="165">
        <f t="shared" si="138"/>
        <v>0.3</v>
      </c>
      <c r="I246" s="165">
        <f t="shared" si="138"/>
        <v>0.3</v>
      </c>
      <c r="J246" s="165">
        <f t="shared" si="138"/>
        <v>0.3</v>
      </c>
      <c r="K246" s="165">
        <f t="shared" si="138"/>
        <v>0.3</v>
      </c>
      <c r="L246" s="165">
        <f t="shared" si="138"/>
        <v>0.3</v>
      </c>
      <c r="M246" s="165">
        <f t="shared" si="138"/>
        <v>0.3</v>
      </c>
      <c r="N246" s="165">
        <f t="shared" si="138"/>
        <v>0.3</v>
      </c>
      <c r="O246" s="165">
        <f t="shared" si="138"/>
        <v>0.3</v>
      </c>
      <c r="P246" s="165">
        <f t="shared" si="138"/>
        <v>0.3</v>
      </c>
      <c r="Q246" s="165">
        <f t="shared" si="138"/>
        <v>0.3</v>
      </c>
      <c r="R246" s="165">
        <f t="shared" si="138"/>
        <v>0.3</v>
      </c>
      <c r="S246" s="165">
        <f t="shared" si="138"/>
        <v>0.3</v>
      </c>
      <c r="T246" s="165">
        <f t="shared" ref="T246:AF251" si="139">S246</f>
        <v>0.3</v>
      </c>
      <c r="U246" s="165">
        <f t="shared" si="139"/>
        <v>0.3</v>
      </c>
      <c r="V246" s="165">
        <f t="shared" si="139"/>
        <v>0.3</v>
      </c>
      <c r="W246" s="165">
        <f t="shared" si="139"/>
        <v>0.3</v>
      </c>
      <c r="X246" s="165">
        <f t="shared" si="139"/>
        <v>0.3</v>
      </c>
      <c r="Y246" s="165">
        <f t="shared" si="139"/>
        <v>0.3</v>
      </c>
      <c r="Z246" s="165">
        <f t="shared" si="139"/>
        <v>0.3</v>
      </c>
      <c r="AA246" s="165">
        <f t="shared" si="139"/>
        <v>0.3</v>
      </c>
      <c r="AB246" s="165">
        <f t="shared" si="139"/>
        <v>0.3</v>
      </c>
      <c r="AC246" s="165">
        <f t="shared" si="139"/>
        <v>0.3</v>
      </c>
      <c r="AD246" s="165">
        <f t="shared" si="139"/>
        <v>0.3</v>
      </c>
      <c r="AE246" s="165">
        <f t="shared" si="139"/>
        <v>0.3</v>
      </c>
      <c r="AF246" s="165">
        <f t="shared" si="139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137"/>
        <v>0.4</v>
      </c>
      <c r="C247" s="151">
        <v>0.4</v>
      </c>
      <c r="D247" s="151">
        <f t="shared" si="138"/>
        <v>0.4</v>
      </c>
      <c r="E247" s="151">
        <f t="shared" si="138"/>
        <v>0.4</v>
      </c>
      <c r="F247" s="151">
        <f t="shared" si="138"/>
        <v>0.4</v>
      </c>
      <c r="G247" s="151">
        <f t="shared" si="138"/>
        <v>0.4</v>
      </c>
      <c r="H247" s="151">
        <f t="shared" si="138"/>
        <v>0.4</v>
      </c>
      <c r="I247" s="151">
        <f t="shared" si="138"/>
        <v>0.4</v>
      </c>
      <c r="J247" s="151">
        <f t="shared" si="138"/>
        <v>0.4</v>
      </c>
      <c r="K247" s="151">
        <f t="shared" si="138"/>
        <v>0.4</v>
      </c>
      <c r="L247" s="151">
        <f t="shared" si="138"/>
        <v>0.4</v>
      </c>
      <c r="M247" s="151">
        <f t="shared" si="138"/>
        <v>0.4</v>
      </c>
      <c r="N247" s="151">
        <f t="shared" si="138"/>
        <v>0.4</v>
      </c>
      <c r="O247" s="151">
        <f t="shared" si="138"/>
        <v>0.4</v>
      </c>
      <c r="P247" s="151">
        <f t="shared" si="138"/>
        <v>0.4</v>
      </c>
      <c r="Q247" s="151">
        <f t="shared" si="138"/>
        <v>0.4</v>
      </c>
      <c r="R247" s="151">
        <f t="shared" si="138"/>
        <v>0.4</v>
      </c>
      <c r="S247" s="151">
        <f t="shared" si="138"/>
        <v>0.4</v>
      </c>
      <c r="T247" s="151">
        <f t="shared" si="139"/>
        <v>0.4</v>
      </c>
      <c r="U247" s="151">
        <f t="shared" si="139"/>
        <v>0.4</v>
      </c>
      <c r="V247" s="151">
        <f t="shared" si="139"/>
        <v>0.4</v>
      </c>
      <c r="W247" s="151">
        <f t="shared" si="139"/>
        <v>0.4</v>
      </c>
      <c r="X247" s="151">
        <f t="shared" si="139"/>
        <v>0.4</v>
      </c>
      <c r="Y247" s="151">
        <f t="shared" si="139"/>
        <v>0.4</v>
      </c>
      <c r="Z247" s="151">
        <f t="shared" si="139"/>
        <v>0.4</v>
      </c>
      <c r="AA247" s="151">
        <f t="shared" si="139"/>
        <v>0.4</v>
      </c>
      <c r="AB247" s="151">
        <f t="shared" si="139"/>
        <v>0.4</v>
      </c>
      <c r="AC247" s="151">
        <f t="shared" si="139"/>
        <v>0.4</v>
      </c>
      <c r="AD247" s="151">
        <f t="shared" si="139"/>
        <v>0.4</v>
      </c>
      <c r="AE247" s="151">
        <f t="shared" si="139"/>
        <v>0.4</v>
      </c>
      <c r="AF247" s="151">
        <f t="shared" si="139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137"/>
        <v>1.5</v>
      </c>
      <c r="C248" s="151">
        <v>1.5</v>
      </c>
      <c r="D248" s="151">
        <f t="shared" si="138"/>
        <v>1.5</v>
      </c>
      <c r="E248" s="151">
        <f t="shared" si="138"/>
        <v>1.5</v>
      </c>
      <c r="F248" s="151">
        <f t="shared" si="138"/>
        <v>1.5</v>
      </c>
      <c r="G248" s="151">
        <f t="shared" si="138"/>
        <v>1.5</v>
      </c>
      <c r="H248" s="151">
        <f t="shared" si="138"/>
        <v>1.5</v>
      </c>
      <c r="I248" s="151">
        <f t="shared" si="138"/>
        <v>1.5</v>
      </c>
      <c r="J248" s="151">
        <f t="shared" si="138"/>
        <v>1.5</v>
      </c>
      <c r="K248" s="151">
        <f t="shared" si="138"/>
        <v>1.5</v>
      </c>
      <c r="L248" s="151">
        <f t="shared" si="138"/>
        <v>1.5</v>
      </c>
      <c r="M248" s="151">
        <f t="shared" si="138"/>
        <v>1.5</v>
      </c>
      <c r="N248" s="151">
        <f t="shared" si="138"/>
        <v>1.5</v>
      </c>
      <c r="O248" s="151">
        <f t="shared" si="138"/>
        <v>1.5</v>
      </c>
      <c r="P248" s="151">
        <f t="shared" si="138"/>
        <v>1.5</v>
      </c>
      <c r="Q248" s="151">
        <f t="shared" si="138"/>
        <v>1.5</v>
      </c>
      <c r="R248" s="151">
        <f t="shared" si="138"/>
        <v>1.5</v>
      </c>
      <c r="S248" s="151">
        <f t="shared" si="138"/>
        <v>1.5</v>
      </c>
      <c r="T248" s="151">
        <f t="shared" si="139"/>
        <v>1.5</v>
      </c>
      <c r="U248" s="151">
        <f t="shared" si="139"/>
        <v>1.5</v>
      </c>
      <c r="V248" s="151">
        <f t="shared" si="139"/>
        <v>1.5</v>
      </c>
      <c r="W248" s="151">
        <f t="shared" si="139"/>
        <v>1.5</v>
      </c>
      <c r="X248" s="151">
        <f t="shared" si="139"/>
        <v>1.5</v>
      </c>
      <c r="Y248" s="151">
        <f t="shared" si="139"/>
        <v>1.5</v>
      </c>
      <c r="Z248" s="151">
        <f t="shared" si="139"/>
        <v>1.5</v>
      </c>
      <c r="AA248" s="151">
        <f t="shared" si="139"/>
        <v>1.5</v>
      </c>
      <c r="AB248" s="151">
        <f t="shared" si="139"/>
        <v>1.5</v>
      </c>
      <c r="AC248" s="151">
        <f t="shared" si="139"/>
        <v>1.5</v>
      </c>
      <c r="AD248" s="151">
        <f t="shared" si="139"/>
        <v>1.5</v>
      </c>
      <c r="AE248" s="151">
        <f t="shared" si="139"/>
        <v>1.5</v>
      </c>
      <c r="AF248" s="151">
        <f t="shared" si="139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137"/>
        <v>0.3</v>
      </c>
      <c r="C249" s="151">
        <v>0.3</v>
      </c>
      <c r="D249" s="151">
        <f t="shared" si="138"/>
        <v>0.3</v>
      </c>
      <c r="E249" s="151">
        <f t="shared" si="138"/>
        <v>0.3</v>
      </c>
      <c r="F249" s="151">
        <f t="shared" si="138"/>
        <v>0.3</v>
      </c>
      <c r="G249" s="151">
        <f t="shared" si="138"/>
        <v>0.3</v>
      </c>
      <c r="H249" s="151">
        <f t="shared" si="138"/>
        <v>0.3</v>
      </c>
      <c r="I249" s="151">
        <f t="shared" si="138"/>
        <v>0.3</v>
      </c>
      <c r="J249" s="151">
        <f t="shared" si="138"/>
        <v>0.3</v>
      </c>
      <c r="K249" s="151">
        <f t="shared" si="138"/>
        <v>0.3</v>
      </c>
      <c r="L249" s="151">
        <f t="shared" si="138"/>
        <v>0.3</v>
      </c>
      <c r="M249" s="151">
        <f t="shared" si="138"/>
        <v>0.3</v>
      </c>
      <c r="N249" s="151">
        <f t="shared" si="138"/>
        <v>0.3</v>
      </c>
      <c r="O249" s="151">
        <f t="shared" si="138"/>
        <v>0.3</v>
      </c>
      <c r="P249" s="151">
        <f t="shared" si="138"/>
        <v>0.3</v>
      </c>
      <c r="Q249" s="151">
        <f t="shared" si="138"/>
        <v>0.3</v>
      </c>
      <c r="R249" s="151">
        <f t="shared" si="138"/>
        <v>0.3</v>
      </c>
      <c r="S249" s="151">
        <f t="shared" si="138"/>
        <v>0.3</v>
      </c>
      <c r="T249" s="151">
        <f t="shared" si="139"/>
        <v>0.3</v>
      </c>
      <c r="U249" s="151">
        <f t="shared" si="139"/>
        <v>0.3</v>
      </c>
      <c r="V249" s="151">
        <f t="shared" si="139"/>
        <v>0.3</v>
      </c>
      <c r="W249" s="151">
        <f t="shared" si="139"/>
        <v>0.3</v>
      </c>
      <c r="X249" s="151">
        <f t="shared" si="139"/>
        <v>0.3</v>
      </c>
      <c r="Y249" s="151">
        <f t="shared" si="139"/>
        <v>0.3</v>
      </c>
      <c r="Z249" s="151">
        <f t="shared" si="139"/>
        <v>0.3</v>
      </c>
      <c r="AA249" s="151">
        <f t="shared" si="139"/>
        <v>0.3</v>
      </c>
      <c r="AB249" s="151">
        <f t="shared" si="139"/>
        <v>0.3</v>
      </c>
      <c r="AC249" s="151">
        <f t="shared" si="139"/>
        <v>0.3</v>
      </c>
      <c r="AD249" s="151">
        <f t="shared" si="139"/>
        <v>0.3</v>
      </c>
      <c r="AE249" s="151">
        <f t="shared" si="139"/>
        <v>0.3</v>
      </c>
      <c r="AF249" s="151">
        <f t="shared" si="139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137"/>
        <v>0.4</v>
      </c>
      <c r="C250" s="151">
        <v>0.4</v>
      </c>
      <c r="D250" s="151">
        <f t="shared" si="138"/>
        <v>0.4</v>
      </c>
      <c r="E250" s="151">
        <f t="shared" si="138"/>
        <v>0.4</v>
      </c>
      <c r="F250" s="151">
        <f t="shared" si="138"/>
        <v>0.4</v>
      </c>
      <c r="G250" s="151">
        <f t="shared" si="138"/>
        <v>0.4</v>
      </c>
      <c r="H250" s="151">
        <f t="shared" si="138"/>
        <v>0.4</v>
      </c>
      <c r="I250" s="151">
        <f t="shared" si="138"/>
        <v>0.4</v>
      </c>
      <c r="J250" s="151">
        <f t="shared" si="138"/>
        <v>0.4</v>
      </c>
      <c r="K250" s="151">
        <f t="shared" si="138"/>
        <v>0.4</v>
      </c>
      <c r="L250" s="151">
        <f t="shared" si="138"/>
        <v>0.4</v>
      </c>
      <c r="M250" s="151">
        <f t="shared" si="138"/>
        <v>0.4</v>
      </c>
      <c r="N250" s="151">
        <f t="shared" si="138"/>
        <v>0.4</v>
      </c>
      <c r="O250" s="151">
        <f t="shared" si="138"/>
        <v>0.4</v>
      </c>
      <c r="P250" s="151">
        <f t="shared" si="138"/>
        <v>0.4</v>
      </c>
      <c r="Q250" s="151">
        <f t="shared" si="138"/>
        <v>0.4</v>
      </c>
      <c r="R250" s="151">
        <f t="shared" si="138"/>
        <v>0.4</v>
      </c>
      <c r="S250" s="151">
        <f t="shared" si="138"/>
        <v>0.4</v>
      </c>
      <c r="T250" s="151">
        <f t="shared" si="139"/>
        <v>0.4</v>
      </c>
      <c r="U250" s="151">
        <f t="shared" si="139"/>
        <v>0.4</v>
      </c>
      <c r="V250" s="151">
        <f t="shared" si="139"/>
        <v>0.4</v>
      </c>
      <c r="W250" s="151">
        <f t="shared" si="139"/>
        <v>0.4</v>
      </c>
      <c r="X250" s="151">
        <f t="shared" si="139"/>
        <v>0.4</v>
      </c>
      <c r="Y250" s="151">
        <f t="shared" si="139"/>
        <v>0.4</v>
      </c>
      <c r="Z250" s="151">
        <f t="shared" si="139"/>
        <v>0.4</v>
      </c>
      <c r="AA250" s="151">
        <f t="shared" si="139"/>
        <v>0.4</v>
      </c>
      <c r="AB250" s="151">
        <f t="shared" si="139"/>
        <v>0.4</v>
      </c>
      <c r="AC250" s="151">
        <f t="shared" si="139"/>
        <v>0.4</v>
      </c>
      <c r="AD250" s="151">
        <f t="shared" si="139"/>
        <v>0.4</v>
      </c>
      <c r="AE250" s="151">
        <f t="shared" si="139"/>
        <v>0.4</v>
      </c>
      <c r="AF250" s="151">
        <f t="shared" si="139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137"/>
        <v>0.64</v>
      </c>
      <c r="C251" s="156">
        <v>0.64</v>
      </c>
      <c r="D251" s="156">
        <f t="shared" si="138"/>
        <v>0.64</v>
      </c>
      <c r="E251" s="156">
        <f t="shared" si="138"/>
        <v>0.64</v>
      </c>
      <c r="F251" s="156">
        <f t="shared" si="138"/>
        <v>0.64</v>
      </c>
      <c r="G251" s="156">
        <f t="shared" si="138"/>
        <v>0.64</v>
      </c>
      <c r="H251" s="156">
        <f t="shared" si="138"/>
        <v>0.64</v>
      </c>
      <c r="I251" s="156">
        <f t="shared" si="138"/>
        <v>0.64</v>
      </c>
      <c r="J251" s="156">
        <f t="shared" si="138"/>
        <v>0.64</v>
      </c>
      <c r="K251" s="156">
        <f t="shared" si="138"/>
        <v>0.64</v>
      </c>
      <c r="L251" s="156">
        <f t="shared" si="138"/>
        <v>0.64</v>
      </c>
      <c r="M251" s="156">
        <f t="shared" si="138"/>
        <v>0.64</v>
      </c>
      <c r="N251" s="156">
        <f t="shared" si="138"/>
        <v>0.64</v>
      </c>
      <c r="O251" s="156">
        <f t="shared" si="138"/>
        <v>0.64</v>
      </c>
      <c r="P251" s="156">
        <f t="shared" si="138"/>
        <v>0.64</v>
      </c>
      <c r="Q251" s="156">
        <f t="shared" si="138"/>
        <v>0.64</v>
      </c>
      <c r="R251" s="156">
        <f t="shared" si="138"/>
        <v>0.64</v>
      </c>
      <c r="S251" s="156">
        <f t="shared" si="138"/>
        <v>0.64</v>
      </c>
      <c r="T251" s="156">
        <f t="shared" si="139"/>
        <v>0.64</v>
      </c>
      <c r="U251" s="156">
        <f t="shared" si="139"/>
        <v>0.64</v>
      </c>
      <c r="V251" s="156">
        <f t="shared" si="139"/>
        <v>0.64</v>
      </c>
      <c r="W251" s="156">
        <f t="shared" si="139"/>
        <v>0.64</v>
      </c>
      <c r="X251" s="156">
        <f t="shared" si="139"/>
        <v>0.64</v>
      </c>
      <c r="Y251" s="156">
        <f t="shared" si="139"/>
        <v>0.64</v>
      </c>
      <c r="Z251" s="156">
        <f t="shared" si="139"/>
        <v>0.64</v>
      </c>
      <c r="AA251" s="156">
        <f t="shared" si="139"/>
        <v>0.64</v>
      </c>
      <c r="AB251" s="156">
        <f t="shared" si="139"/>
        <v>0.64</v>
      </c>
      <c r="AC251" s="156">
        <f t="shared" si="139"/>
        <v>0.64</v>
      </c>
      <c r="AD251" s="156">
        <f t="shared" si="139"/>
        <v>0.64</v>
      </c>
      <c r="AE251" s="156">
        <f t="shared" si="139"/>
        <v>0.64</v>
      </c>
      <c r="AF251" s="156">
        <f t="shared" si="139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140">SUM(B246:B251)</f>
        <v>3.54</v>
      </c>
      <c r="C252" s="160">
        <f t="shared" si="140"/>
        <v>3.54</v>
      </c>
      <c r="D252" s="160">
        <f t="shared" si="140"/>
        <v>3.54</v>
      </c>
      <c r="E252" s="160">
        <f t="shared" si="140"/>
        <v>3.54</v>
      </c>
      <c r="F252" s="160">
        <f t="shared" si="140"/>
        <v>3.54</v>
      </c>
      <c r="G252" s="160">
        <f t="shared" si="140"/>
        <v>3.54</v>
      </c>
      <c r="H252" s="160">
        <f t="shared" si="140"/>
        <v>3.54</v>
      </c>
      <c r="I252" s="160">
        <f t="shared" si="140"/>
        <v>3.54</v>
      </c>
      <c r="J252" s="160">
        <f t="shared" si="140"/>
        <v>3.54</v>
      </c>
      <c r="K252" s="160">
        <f t="shared" si="140"/>
        <v>3.54</v>
      </c>
      <c r="L252" s="160">
        <f t="shared" si="140"/>
        <v>3.54</v>
      </c>
      <c r="M252" s="160">
        <f t="shared" si="140"/>
        <v>3.54</v>
      </c>
      <c r="N252" s="160">
        <f t="shared" si="140"/>
        <v>3.54</v>
      </c>
      <c r="O252" s="160">
        <f t="shared" si="140"/>
        <v>3.54</v>
      </c>
      <c r="P252" s="160">
        <f t="shared" si="140"/>
        <v>3.54</v>
      </c>
      <c r="Q252" s="160">
        <f t="shared" si="140"/>
        <v>3.54</v>
      </c>
      <c r="R252" s="160">
        <f t="shared" si="140"/>
        <v>3.54</v>
      </c>
      <c r="S252" s="160">
        <f t="shared" si="140"/>
        <v>3.54</v>
      </c>
      <c r="T252" s="160">
        <f t="shared" si="140"/>
        <v>3.54</v>
      </c>
      <c r="U252" s="160">
        <f t="shared" si="140"/>
        <v>3.54</v>
      </c>
      <c r="V252" s="160">
        <f t="shared" si="140"/>
        <v>3.54</v>
      </c>
      <c r="W252" s="160">
        <f t="shared" si="140"/>
        <v>3.54</v>
      </c>
      <c r="X252" s="160">
        <f t="shared" si="140"/>
        <v>3.54</v>
      </c>
      <c r="Y252" s="160">
        <f t="shared" si="140"/>
        <v>3.54</v>
      </c>
      <c r="Z252" s="160">
        <f t="shared" si="140"/>
        <v>3.54</v>
      </c>
      <c r="AA252" s="160">
        <f t="shared" si="140"/>
        <v>3.54</v>
      </c>
      <c r="AB252" s="160">
        <f t="shared" si="140"/>
        <v>3.54</v>
      </c>
      <c r="AC252" s="160">
        <f t="shared" si="140"/>
        <v>3.54</v>
      </c>
      <c r="AD252" s="160">
        <f t="shared" si="140"/>
        <v>3.54</v>
      </c>
      <c r="AE252" s="160">
        <f t="shared" si="140"/>
        <v>3.54</v>
      </c>
      <c r="AF252" s="160">
        <f t="shared" si="140"/>
        <v>3.54</v>
      </c>
      <c r="AG252" s="170">
        <f t="shared" si="140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1625.49</v>
      </c>
      <c r="C256" s="173">
        <f>INDEX(G9:N9,1,MATCH(MAX(G99:N99),G99:N99,0))</f>
        <v>0.3125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2080/10/1)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50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Q9:Q10"/>
    <mergeCell ref="R9:R10"/>
    <mergeCell ref="S9:S10"/>
    <mergeCell ref="T9:T10"/>
    <mergeCell ref="P9:P10"/>
    <mergeCell ref="O9:O10"/>
    <mergeCell ref="U9:U10"/>
    <mergeCell ref="AN92:AN93"/>
    <mergeCell ref="A258:B258"/>
    <mergeCell ref="BZ8:CF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</mergeCells>
  <conditionalFormatting sqref="A11:A130">
    <cfRule type="expression" dxfId="4052" priority="126">
      <formula>$AH11=0</formula>
    </cfRule>
  </conditionalFormatting>
  <conditionalFormatting sqref="A132:A253">
    <cfRule type="expression" dxfId="4051" priority="127">
      <formula>$AH132=0</formula>
    </cfRule>
  </conditionalFormatting>
  <conditionalFormatting sqref="B8">
    <cfRule type="expression" dxfId="4050" priority="187">
      <formula>C$9&lt;8/24</formula>
    </cfRule>
    <cfRule type="expression" dxfId="4049" priority="188">
      <formula>C$9&gt;=20/24</formula>
    </cfRule>
    <cfRule type="expression" dxfId="4048" priority="186">
      <formula>AND(C$9&gt;=8/24,C$9&lt;14/24)</formula>
    </cfRule>
    <cfRule type="expression" dxfId="4047" priority="185">
      <formula>AND(C$9&gt;=14/24,C$9&lt;20/24)</formula>
    </cfRule>
  </conditionalFormatting>
  <conditionalFormatting sqref="B11:E52 F12:J52 K13:Y52 B59:D68 B69:AF74 B77:AF99 B9:AF10 B101:AF117 B119:AF137 B244:AF244 B246:B252">
    <cfRule type="expression" dxfId="4046" priority="77">
      <formula>B$9&gt;=20/24</formula>
    </cfRule>
  </conditionalFormatting>
  <conditionalFormatting sqref="B11:E75 H12:J57 G12:G74 F12:F75 N13:Y56 K13:M57 N57:R57 W57:Y57 S57:V80 H58:R74 W58:AF80 AG62 G75:R75 B76:R80 AG80">
    <cfRule type="expression" dxfId="4045" priority="76">
      <formula>B11&gt;$AG11</formula>
    </cfRule>
  </conditionalFormatting>
  <conditionalFormatting sqref="B53:Y57">
    <cfRule type="expression" dxfId="4044" priority="89">
      <formula>B$9&lt;8/24</formula>
    </cfRule>
  </conditionalFormatting>
  <conditionalFormatting sqref="B9:AF10 B11:E52 F12:J52 K13:Y52 B59:D68 B69:AF74 B77:AF99 B101:AF117 B119:AF137 B244:AF244 B246:B252">
    <cfRule type="expression" dxfId="4043" priority="80">
      <formula>B$9&lt;8/24</formula>
    </cfRule>
    <cfRule type="expression" dxfId="4042" priority="79">
      <formula>AND(B$9&gt;=8/24,B$9&lt;14/24)</formula>
    </cfRule>
    <cfRule type="expression" dxfId="4041" priority="78">
      <formula>AND(B$9&gt;=14/24,B$9&lt;20/24)</formula>
    </cfRule>
  </conditionalFormatting>
  <conditionalFormatting sqref="D246:AF252">
    <cfRule type="expression" dxfId="4040" priority="173">
      <formula>D$9&lt;8/24</formula>
    </cfRule>
    <cfRule type="expression" dxfId="4039" priority="170">
      <formula>D$9&gt;=20/24</formula>
    </cfRule>
    <cfRule type="expression" dxfId="4038" priority="172">
      <formula>AND(D$9&gt;=8/24,D$9&lt;14/24)</formula>
    </cfRule>
    <cfRule type="expression" dxfId="4037" priority="171">
      <formula>AND(D$9&gt;=14/24,D$9&lt;20/24)</formula>
    </cfRule>
  </conditionalFormatting>
  <conditionalFormatting sqref="E63:I67 J64:L67">
    <cfRule type="expression" dxfId="4036" priority="93">
      <formula>E$9&lt;8/24</formula>
    </cfRule>
    <cfRule type="expression" dxfId="4035" priority="92">
      <formula>AND(E$9&gt;=8/24,E$9&lt;14/24)</formula>
    </cfRule>
    <cfRule type="expression" dxfId="4034" priority="91">
      <formula>AND(E$9&gt;=14/24,E$9&lt;20/24)</formula>
    </cfRule>
    <cfRule type="expression" dxfId="4033" priority="90">
      <formula>E$9&gt;=20/24</formula>
    </cfRule>
  </conditionalFormatting>
  <conditionalFormatting sqref="E68:L68">
    <cfRule type="expression" dxfId="4032" priority="86">
      <formula>AND(E$9&gt;=14/24,E$9&lt;20/24)</formula>
    </cfRule>
    <cfRule type="expression" dxfId="4031" priority="85">
      <formula>E$9&gt;=20/24</formula>
    </cfRule>
    <cfRule type="expression" dxfId="4030" priority="88">
      <formula>E$9&lt;8/24</formula>
    </cfRule>
    <cfRule type="expression" dxfId="4029" priority="87">
      <formula>AND(E$9&gt;=8/24,E$9&lt;14/24)</formula>
    </cfRule>
  </conditionalFormatting>
  <conditionalFormatting sqref="E11:R11 S11:Y12 Z11:AF52 K12:R12">
    <cfRule type="expression" dxfId="4028" priority="94">
      <formula>E11&gt;$AG11</formula>
    </cfRule>
    <cfRule type="expression" dxfId="4027" priority="96">
      <formula>AND(E$9&gt;=14/24,E$9&lt;20/24)</formula>
    </cfRule>
    <cfRule type="expression" dxfId="4026" priority="97">
      <formula>AND(E$9&gt;=8/24,E$9&lt;14/24)</formula>
    </cfRule>
    <cfRule type="expression" dxfId="4025" priority="98">
      <formula>E$9&lt;8/24</formula>
    </cfRule>
    <cfRule type="expression" dxfId="4024" priority="95">
      <formula>E$9&gt;=20/24</formula>
    </cfRule>
  </conditionalFormatting>
  <conditionalFormatting sqref="E59:AF62">
    <cfRule type="expression" dxfId="4023" priority="105">
      <formula>AND(E$9&gt;=14/24,E$9&lt;20/24)</formula>
    </cfRule>
    <cfRule type="expression" dxfId="4022" priority="106">
      <formula>AND(E$9&gt;=8/24,E$9&lt;14/24)</formula>
    </cfRule>
    <cfRule type="expression" dxfId="4021" priority="107">
      <formula>E$9&lt;8/24</formula>
    </cfRule>
    <cfRule type="expression" dxfId="4020" priority="104">
      <formula>E$9&gt;=20/24</formula>
    </cfRule>
  </conditionalFormatting>
  <conditionalFormatting sqref="H63:L65">
    <cfRule type="expression" dxfId="4019" priority="119">
      <formula>AND(H$9&gt;=14/24,H$9&lt;20/24)</formula>
    </cfRule>
    <cfRule type="expression" dxfId="4018" priority="121">
      <formula>H$9&lt;8/24</formula>
    </cfRule>
    <cfRule type="expression" dxfId="4017" priority="120">
      <formula>AND(H$9&gt;=8/24,H$9&lt;14/24)</formula>
    </cfRule>
    <cfRule type="expression" dxfId="4016" priority="118">
      <formula>H$9&gt;=20/24</formula>
    </cfRule>
  </conditionalFormatting>
  <conditionalFormatting sqref="L68:Y68">
    <cfRule type="expression" dxfId="4015" priority="117">
      <formula>L$9&lt;8/24</formula>
    </cfRule>
    <cfRule type="expression" dxfId="4014" priority="116">
      <formula>AND(L$9&gt;=8/24,L$9&lt;14/24)</formula>
    </cfRule>
    <cfRule type="expression" dxfId="4013" priority="115">
      <formula>AND(L$9&gt;=14/24,L$9&lt;20/24)</formula>
    </cfRule>
    <cfRule type="expression" dxfId="4012" priority="114">
      <formula>L$9&gt;=20/24</formula>
    </cfRule>
  </conditionalFormatting>
  <conditionalFormatting sqref="M8 S8 AB8">
    <cfRule type="expression" dxfId="4011" priority="177">
      <formula>AND(N$9&gt;=14/24,N$9&lt;20/24)</formula>
    </cfRule>
    <cfRule type="expression" dxfId="4010" priority="179">
      <formula>N$9&lt;8/24</formula>
    </cfRule>
    <cfRule type="expression" dxfId="4009" priority="178">
      <formula>AND(N$9&gt;=8/24,N$9&lt;14/24)</formula>
    </cfRule>
  </conditionalFormatting>
  <conditionalFormatting sqref="M63:Y67">
    <cfRule type="expression" dxfId="4008" priority="125">
      <formula>M$9&lt;8/24</formula>
    </cfRule>
    <cfRule type="expression" dxfId="4007" priority="122">
      <formula>M$9&gt;=20/24</formula>
    </cfRule>
    <cfRule type="expression" dxfId="4006" priority="123">
      <formula>AND(M$9&gt;=14/24,M$9&lt;20/24)</formula>
    </cfRule>
    <cfRule type="expression" dxfId="4005" priority="124">
      <formula>AND(M$9&gt;=8/24,M$9&lt;14/24)</formula>
    </cfRule>
  </conditionalFormatting>
  <conditionalFormatting sqref="N56:Y57">
    <cfRule type="expression" dxfId="4004" priority="82">
      <formula>N$9&gt;=20/24</formula>
    </cfRule>
    <cfRule type="expression" dxfId="4003" priority="83">
      <formula>AND(N$9&gt;=14/24,N$9&lt;20/24)</formula>
    </cfRule>
    <cfRule type="expression" dxfId="4002" priority="84">
      <formula>AND(N$9&gt;=8/24,N$9&lt;14/24)</formula>
    </cfRule>
  </conditionalFormatting>
  <conditionalFormatting sqref="O3:P3">
    <cfRule type="iconSet" priority="174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4001" priority="176">
      <formula>N$9&gt;=20/24</formula>
    </cfRule>
  </conditionalFormatting>
  <conditionalFormatting sqref="S8">
    <cfRule type="expression" dxfId="4000" priority="164">
      <formula>AND(U$9&gt;=14/24,U$9&lt;20/24)</formula>
    </cfRule>
    <cfRule type="expression" dxfId="3999" priority="165">
      <formula>AND(U$9&gt;=8/24,U$9&lt;14/24)</formula>
    </cfRule>
    <cfRule type="expression" dxfId="3998" priority="166">
      <formula>U$9&lt;8/24</formula>
    </cfRule>
    <cfRule type="expression" dxfId="3997" priority="163">
      <formula>U$9&gt;=20/24</formula>
    </cfRule>
  </conditionalFormatting>
  <conditionalFormatting sqref="T63:AF68">
    <cfRule type="expression" dxfId="3996" priority="109">
      <formula>AND(T$9&gt;=14/24,T$9&lt;20/24)</formula>
    </cfRule>
    <cfRule type="expression" dxfId="3995" priority="111">
      <formula>T$9&lt;8/24</formula>
    </cfRule>
    <cfRule type="expression" dxfId="3994" priority="110">
      <formula>AND(T$9&gt;=8/24,T$9&lt;14/24)</formula>
    </cfRule>
    <cfRule type="expression" dxfId="3993" priority="108">
      <formula>T$9&gt;=20/24</formula>
    </cfRule>
  </conditionalFormatting>
  <conditionalFormatting sqref="V3 AB3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Z53:AF54 N53:Y55 B53:M57">
    <cfRule type="expression" dxfId="3992" priority="73">
      <formula>B$9&gt;=20/24</formula>
    </cfRule>
    <cfRule type="expression" dxfId="3991" priority="74">
      <formula>AND(B$9&gt;=14/24,B$9&lt;20/24)</formula>
    </cfRule>
    <cfRule type="expression" dxfId="3990" priority="75">
      <formula>AND(B$9&gt;=8/24,B$9&lt;14/24)</formula>
    </cfRule>
  </conditionalFormatting>
  <conditionalFormatting sqref="Z53:AF55">
    <cfRule type="expression" dxfId="3989" priority="113">
      <formula>Z53&gt;$AG53</formula>
    </cfRule>
  </conditionalFormatting>
  <conditionalFormatting sqref="Z53:AF57">
    <cfRule type="expression" dxfId="3988" priority="112">
      <formula>Z$9&lt;8/24</formula>
    </cfRule>
  </conditionalFormatting>
  <conditionalFormatting sqref="Z55:AF57">
    <cfRule type="expression" dxfId="3987" priority="100">
      <formula>Z$9&gt;=20/24</formula>
    </cfRule>
    <cfRule type="expression" dxfId="3986" priority="102">
      <formula>AND(Z$9&gt;=8/24,Z$9&lt;14/24)</formula>
    </cfRule>
    <cfRule type="expression" dxfId="3985" priority="101">
      <formula>AND(Z$9&gt;=14/24,Z$9&lt;20/24)</formula>
    </cfRule>
  </conditionalFormatting>
  <conditionalFormatting sqref="Z56:AF57">
    <cfRule type="expression" dxfId="3984" priority="99">
      <formula>Z56&gt;$AG56</formula>
    </cfRule>
  </conditionalFormatting>
  <conditionalFormatting sqref="AB8">
    <cfRule type="expression" dxfId="3983" priority="159">
      <formula>AD$9&gt;=20/24</formula>
    </cfRule>
    <cfRule type="expression" dxfId="3982" priority="161">
      <formula>AND(AD$9&gt;=8/24,AD$9&lt;14/24)</formula>
    </cfRule>
    <cfRule type="expression" dxfId="3981" priority="160">
      <formula>AND(AD$9&gt;=14/24,AD$9&lt;20/24)</formula>
    </cfRule>
    <cfRule type="expression" dxfId="3980" priority="162">
      <formula>AD$9&lt;8/24</formula>
    </cfRule>
  </conditionalFormatting>
  <conditionalFormatting sqref="AG58">
    <cfRule type="expression" dxfId="3979" priority="154">
      <formula>AG58&gt;$AG58</formula>
    </cfRule>
  </conditionalFormatting>
  <conditionalFormatting sqref="AG62">
    <cfRule type="expression" dxfId="3978" priority="139">
      <formula>AND(AG$9&gt;=8/24,AG$9&lt;14/24)</formula>
    </cfRule>
    <cfRule type="expression" dxfId="3977" priority="140">
      <formula>AG$9&lt;8/24</formula>
    </cfRule>
    <cfRule type="expression" dxfId="3976" priority="138">
      <formula>AND(AG$9&gt;=14/24,AG$9&lt;20/24)</formula>
    </cfRule>
    <cfRule type="expression" dxfId="3975" priority="137">
      <formula>AG$9&gt;=20/24</formula>
    </cfRule>
  </conditionalFormatting>
  <conditionalFormatting sqref="AG75:AG76">
    <cfRule type="expression" dxfId="3974" priority="132">
      <formula>AG75&gt;$AG75</formula>
    </cfRule>
  </conditionalFormatting>
  <conditionalFormatting sqref="AG80">
    <cfRule type="expression" dxfId="3973" priority="136">
      <formula>AG$9&lt;8/24</formula>
    </cfRule>
    <cfRule type="expression" dxfId="3972" priority="134">
      <formula>AND(AG$9&gt;=14/24,AG$9&lt;20/24)</formula>
    </cfRule>
    <cfRule type="expression" dxfId="3971" priority="133">
      <formula>AG$9&gt;=20/24</formula>
    </cfRule>
    <cfRule type="expression" dxfId="3970" priority="135">
      <formula>AND(AG$9&gt;=8/24,AG$9&lt;14/24)</formula>
    </cfRule>
  </conditionalFormatting>
  <conditionalFormatting sqref="AG97">
    <cfRule type="expression" dxfId="3969" priority="158">
      <formula>AG$9&lt;8/24</formula>
    </cfRule>
    <cfRule type="expression" dxfId="3968" priority="157">
      <formula>AND(AG$9&gt;=8/24,AG$9&lt;14/24)</formula>
    </cfRule>
    <cfRule type="expression" dxfId="3967" priority="156">
      <formula>AND(AG$9&gt;=14/24,AG$9&lt;20/24)</formula>
    </cfRule>
    <cfRule type="expression" dxfId="3966" priority="155">
      <formula>AG$9&gt;=20/24</formula>
    </cfRule>
  </conditionalFormatting>
  <conditionalFormatting sqref="AL4:AL6">
    <cfRule type="iconSet" priority="169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4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5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84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67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965" priority="180">
      <formula>AJ$9&gt;=20/24</formula>
    </cfRule>
    <cfRule type="expression" dxfId="3964" priority="181">
      <formula>AND(AJ$9&gt;=14/24,AJ$9&lt;20/24)</formula>
    </cfRule>
    <cfRule type="expression" dxfId="3963" priority="182">
      <formula>AND(AJ$9&gt;=8/24,AJ$9&lt;14/24)</formula>
    </cfRule>
    <cfRule type="expression" dxfId="3962" priority="183">
      <formula>AJ$9&lt;8/24</formula>
    </cfRule>
  </conditionalFormatting>
  <conditionalFormatting sqref="AL88:AN88 AL94:AN94">
    <cfRule type="expression" dxfId="3961" priority="148">
      <formula>AND(AL$9&gt;=14/24,AL$9&lt;20/24)</formula>
    </cfRule>
    <cfRule type="expression" dxfId="3960" priority="149">
      <formula>AND(AL$9&gt;=8/24,AL$9&lt;14/24)</formula>
    </cfRule>
    <cfRule type="expression" dxfId="3959" priority="150">
      <formula>AL$9&lt;8/24</formula>
    </cfRule>
    <cfRule type="expression" dxfId="3958" priority="147">
      <formula>AL$9&gt;=20/24</formula>
    </cfRule>
  </conditionalFormatting>
  <conditionalFormatting sqref="AM15:AM21 AN16:AR21">
    <cfRule type="expression" dxfId="3957" priority="15">
      <formula>AND(AX$9&gt;=8/24,AX$9&lt;14/24)</formula>
    </cfRule>
    <cfRule type="expression" dxfId="3956" priority="14">
      <formula>AND(AX$9&gt;=14/24,AX$9&lt;20/24)</formula>
    </cfRule>
    <cfRule type="expression" dxfId="3955" priority="13">
      <formula>AX$9&gt;=20/24</formula>
    </cfRule>
    <cfRule type="expression" dxfId="3954" priority="16">
      <formula>AX$9&lt;8/24</formula>
    </cfRule>
  </conditionalFormatting>
  <conditionalFormatting sqref="AN89:AN92">
    <cfRule type="expression" dxfId="3953" priority="145">
      <formula>AND(AN$9&gt;=8/24,AN$9&lt;14/24)</formula>
    </cfRule>
    <cfRule type="expression" dxfId="3952" priority="143">
      <formula>AN$9&gt;=20/24</formula>
    </cfRule>
    <cfRule type="expression" dxfId="3951" priority="144">
      <formula>AND(AN$9&gt;=14/24,AN$9&lt;20/24)</formula>
    </cfRule>
    <cfRule type="expression" dxfId="3950" priority="146">
      <formula>AN$9&lt;8/24</formula>
    </cfRule>
  </conditionalFormatting>
  <conditionalFormatting sqref="AN15:AR15">
    <cfRule type="expression" dxfId="3949" priority="3">
      <formula>AND(U$9&gt;=8/24,U$9&lt;14/24)</formula>
    </cfRule>
    <cfRule type="expression" dxfId="3948" priority="4">
      <formula>U$9&lt;8/24</formula>
    </cfRule>
    <cfRule type="expression" dxfId="3947" priority="1">
      <formula>U$9&gt;=20/24</formula>
    </cfRule>
    <cfRule type="expression" dxfId="3946" priority="2">
      <formula>AND(U$9&gt;=14/24,U$9&lt;20/24)</formula>
    </cfRule>
  </conditionalFormatting>
  <conditionalFormatting sqref="AS15">
    <cfRule type="expression" dxfId="3945" priority="11">
      <formula>AND(AA$9&gt;=8/24,AA$9&lt;14/24)</formula>
    </cfRule>
    <cfRule type="expression" dxfId="3944" priority="10">
      <formula>AND(AA$9&gt;=14/24,AA$9&lt;20/24)</formula>
    </cfRule>
    <cfRule type="expression" dxfId="3943" priority="9">
      <formula>AA$9&gt;=20/24</formula>
    </cfRule>
    <cfRule type="expression" dxfId="3942" priority="12">
      <formula>AA$9&lt;8/24</formula>
    </cfRule>
  </conditionalFormatting>
  <conditionalFormatting sqref="AS16:AS21">
    <cfRule type="expression" dxfId="3941" priority="19">
      <formula>AND(BE$9&gt;=8/24,BE$9&lt;14/24)</formula>
    </cfRule>
    <cfRule type="expression" dxfId="3940" priority="20">
      <formula>BE$9&lt;8/24</formula>
    </cfRule>
    <cfRule type="expression" dxfId="3939" priority="18">
      <formula>AND(BE$9&gt;=14/24,BE$9&lt;20/24)</formula>
    </cfRule>
    <cfRule type="expression" dxfId="3938" priority="17">
      <formula>BE$9&gt;=20/24</formula>
    </cfRule>
  </conditionalFormatting>
  <conditionalFormatting sqref="AT15 AX15 AZ15 BB15 BD15 BF15 BH15 BJ15 BL15 BN15 BP15">
    <cfRule type="expression" dxfId="3937" priority="24">
      <formula>AC$9&lt;8/24</formula>
    </cfRule>
    <cfRule type="expression" dxfId="3936" priority="23">
      <formula>AND(AC$9&gt;=8/24,AC$9&lt;14/24)</formula>
    </cfRule>
    <cfRule type="expression" dxfId="3935" priority="22">
      <formula>AND(AC$9&gt;=14/24,AC$9&lt;20/24)</formula>
    </cfRule>
    <cfRule type="expression" dxfId="3934" priority="21">
      <formula>AC$9&gt;=20/24</formula>
    </cfRule>
  </conditionalFormatting>
  <conditionalFormatting sqref="AT16:AT21">
    <cfRule type="expression" dxfId="3933" priority="25">
      <formula>BG$9&gt;=20/24</formula>
    </cfRule>
    <cfRule type="expression" dxfId="3932" priority="27">
      <formula>AND(BG$9&gt;=8/24,BG$9&lt;14/24)</formula>
    </cfRule>
    <cfRule type="expression" dxfId="3931" priority="28">
      <formula>BG$9&lt;8/24</formula>
    </cfRule>
    <cfRule type="expression" dxfId="3930" priority="26">
      <formula>AND(BG$9&gt;=14/24,BG$9&lt;20/24)</formula>
    </cfRule>
  </conditionalFormatting>
  <conditionalFormatting sqref="AU15:AV15">
    <cfRule type="expression" dxfId="3929" priority="29">
      <formula>AE$9&gt;=20/24</formula>
    </cfRule>
    <cfRule type="expression" dxfId="3928" priority="30">
      <formula>AND(AE$9&gt;=14/24,AE$9&lt;20/24)</formula>
    </cfRule>
    <cfRule type="expression" dxfId="3927" priority="31">
      <formula>AND(AE$9&gt;=8/24,AE$9&lt;14/24)</formula>
    </cfRule>
    <cfRule type="expression" dxfId="3926" priority="32">
      <formula>AE$9&lt;8/24</formula>
    </cfRule>
  </conditionalFormatting>
  <conditionalFormatting sqref="AU16:BQ21">
    <cfRule type="expression" dxfId="3925" priority="33">
      <formula>BI$9&gt;=20/24</formula>
    </cfRule>
    <cfRule type="expression" dxfId="3924" priority="34">
      <formula>AND(BI$9&gt;=14/24,BI$9&lt;20/24)</formula>
    </cfRule>
    <cfRule type="expression" dxfId="3923" priority="35">
      <formula>AND(BI$9&gt;=8/24,BI$9&lt;14/24)</formula>
    </cfRule>
    <cfRule type="expression" dxfId="3922" priority="36">
      <formula>BI$9&lt;8/24</formula>
    </cfRule>
  </conditionalFormatting>
  <conditionalFormatting sqref="AW15 AY15 BA15 BC15 BE15 BG15 BI15 BK15 BM15 BO15 BQ15">
    <cfRule type="expression" dxfId="3921" priority="8">
      <formula>B$9&lt;8/24</formula>
    </cfRule>
    <cfRule type="expression" dxfId="3920" priority="7">
      <formula>AND(B$9&gt;=8/24,B$9&lt;14/24)</formula>
    </cfRule>
    <cfRule type="expression" dxfId="3919" priority="6">
      <formula>AND(B$9&gt;=14/24,B$9&lt;20/24)</formula>
    </cfRule>
    <cfRule type="expression" dxfId="3918" priority="5">
      <formula>B$9&gt;=20/24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56DD-BFA2-42C3-86AE-ADB2DA46549E}">
  <sheetPr codeName="Sheet3"/>
  <dimension ref="A1:CJ294"/>
  <sheetViews>
    <sheetView zoomScale="70" zoomScaleNormal="70" workbookViewId="0">
      <pane xSplit="1" ySplit="10" topLeftCell="AR67" activePane="bottomRight" state="frozen"/>
      <selection activeCell="Z63" sqref="Z63"/>
      <selection pane="topRight" activeCell="Z63" sqref="Z63"/>
      <selection pane="bottomLeft" activeCell="Z63" sqref="Z63"/>
      <selection pane="bottomRight" activeCell="BG84" sqref="BG84:BL10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2080/10/2</v>
      </c>
      <c r="C4" s="214"/>
      <c r="D4" s="214"/>
      <c r="E4" s="215" t="str">
        <f ca="1">"2080/"&amp;"10/"&amp;INT(MID(CELL("filename",G6),FIND("]",CELL("filename",G6))+1,200))</f>
        <v>2080/10/2</v>
      </c>
      <c r="F4" s="215"/>
      <c r="G4" s="215"/>
      <c r="H4" s="215" t="str">
        <f ca="1">TEXT(E4,"dddd")</f>
        <v>Wednesday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637.6</v>
      </c>
      <c r="C5" s="30">
        <f t="shared" ref="C5:AE5" si="0">D92</f>
        <v>648.79999999999995</v>
      </c>
      <c r="D5" s="30">
        <f t="shared" si="0"/>
        <v>655.9</v>
      </c>
      <c r="E5" s="30">
        <f t="shared" si="0"/>
        <v>665.8</v>
      </c>
      <c r="F5" s="30">
        <f t="shared" si="0"/>
        <v>667.9</v>
      </c>
      <c r="G5" s="30">
        <f t="shared" si="0"/>
        <v>681.5</v>
      </c>
      <c r="H5" s="30">
        <f t="shared" si="0"/>
        <v>680.69999999999993</v>
      </c>
      <c r="I5" s="30">
        <f t="shared" si="0"/>
        <v>731.6</v>
      </c>
      <c r="J5" s="30">
        <f t="shared" si="0"/>
        <v>667.9</v>
      </c>
      <c r="K5" s="30">
        <f t="shared" si="0"/>
        <v>517.6</v>
      </c>
      <c r="L5" s="30">
        <f t="shared" si="0"/>
        <v>253.6</v>
      </c>
      <c r="M5" s="30">
        <f t="shared" si="0"/>
        <v>668.19999999999993</v>
      </c>
      <c r="N5" s="30">
        <f t="shared" si="0"/>
        <v>666.3</v>
      </c>
      <c r="O5" s="30">
        <f t="shared" si="0"/>
        <v>751.1</v>
      </c>
      <c r="P5" s="30">
        <f t="shared" si="0"/>
        <v>740.7</v>
      </c>
      <c r="Q5" s="30">
        <f t="shared" si="0"/>
        <v>783.3</v>
      </c>
      <c r="R5" s="30">
        <f t="shared" si="0"/>
        <v>802.8</v>
      </c>
      <c r="S5" s="30">
        <f t="shared" si="0"/>
        <v>804</v>
      </c>
      <c r="T5" s="30">
        <f t="shared" si="0"/>
        <v>809</v>
      </c>
      <c r="U5" s="30">
        <f t="shared" si="0"/>
        <v>637.29999999999995</v>
      </c>
      <c r="V5" s="30">
        <f t="shared" si="0"/>
        <v>639.9</v>
      </c>
      <c r="W5" s="30">
        <f t="shared" si="0"/>
        <v>601</v>
      </c>
      <c r="X5" s="30">
        <f t="shared" si="0"/>
        <v>656.3</v>
      </c>
      <c r="Y5" s="30">
        <f t="shared" si="0"/>
        <v>351.5</v>
      </c>
      <c r="Z5" s="30">
        <f t="shared" si="0"/>
        <v>225</v>
      </c>
      <c r="AA5" s="30">
        <f t="shared" si="0"/>
        <v>243.90000000000003</v>
      </c>
      <c r="AB5" s="30">
        <f t="shared" si="0"/>
        <v>474.1</v>
      </c>
      <c r="AC5" s="30">
        <f t="shared" si="0"/>
        <v>469</v>
      </c>
      <c r="AD5" s="30">
        <f t="shared" si="0"/>
        <v>581.4</v>
      </c>
      <c r="AE5" s="30">
        <f t="shared" si="0"/>
        <v>606.9</v>
      </c>
      <c r="AF5" s="30">
        <f>B92</f>
        <v>658.9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1671MW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Load=1219</v>
      </c>
      <c r="B7" s="35">
        <f>B100</f>
        <v>1252.4899999999998</v>
      </c>
      <c r="C7" s="35">
        <f t="shared" ref="C7:AF7" si="1">C100</f>
        <v>1226.19</v>
      </c>
      <c r="D7" s="35">
        <f t="shared" si="1"/>
        <v>1222.3899999999999</v>
      </c>
      <c r="E7" s="35">
        <f t="shared" si="1"/>
        <v>1218.79</v>
      </c>
      <c r="F7" s="35">
        <f t="shared" si="1"/>
        <v>1243.99</v>
      </c>
      <c r="G7" s="35">
        <f t="shared" si="1"/>
        <v>1260.5899999999999</v>
      </c>
      <c r="H7" s="35">
        <f t="shared" si="1"/>
        <v>1315.29</v>
      </c>
      <c r="I7" s="35">
        <f t="shared" si="1"/>
        <v>1399.79</v>
      </c>
      <c r="J7" s="35">
        <f t="shared" si="1"/>
        <v>1491.19</v>
      </c>
      <c r="K7" s="35">
        <f t="shared" si="1"/>
        <v>1478.19</v>
      </c>
      <c r="L7" s="35">
        <f t="shared" si="1"/>
        <v>1670.99</v>
      </c>
      <c r="M7" s="35">
        <f t="shared" si="1"/>
        <v>1635.3899999999999</v>
      </c>
      <c r="N7" s="35">
        <f t="shared" si="1"/>
        <v>1473.19</v>
      </c>
      <c r="O7" s="35">
        <f t="shared" si="1"/>
        <v>1486.29</v>
      </c>
      <c r="P7" s="35">
        <f t="shared" si="1"/>
        <v>1465.3899999999999</v>
      </c>
      <c r="Q7" s="35">
        <f t="shared" si="1"/>
        <v>1469.8899999999999</v>
      </c>
      <c r="R7" s="35">
        <f t="shared" si="1"/>
        <v>1503.8899999999999</v>
      </c>
      <c r="S7" s="35">
        <f t="shared" si="1"/>
        <v>1549.59</v>
      </c>
      <c r="T7" s="35">
        <f t="shared" si="1"/>
        <v>1517.3899999999999</v>
      </c>
      <c r="U7" s="35">
        <f t="shared" si="1"/>
        <v>1522.3899999999999</v>
      </c>
      <c r="V7" s="35">
        <f t="shared" si="1"/>
        <v>1435.69</v>
      </c>
      <c r="W7" s="35">
        <f t="shared" si="1"/>
        <v>1490.8899999999999</v>
      </c>
      <c r="X7" s="35">
        <f t="shared" si="1"/>
        <v>1481.79</v>
      </c>
      <c r="Y7" s="35">
        <f t="shared" si="1"/>
        <v>1599.15</v>
      </c>
      <c r="Z7" s="35">
        <f t="shared" si="1"/>
        <v>1526.35</v>
      </c>
      <c r="AA7" s="35">
        <f t="shared" si="1"/>
        <v>1468.8899999999999</v>
      </c>
      <c r="AB7" s="35">
        <f t="shared" si="1"/>
        <v>1663.69</v>
      </c>
      <c r="AC7" s="35">
        <f t="shared" si="1"/>
        <v>1616.19</v>
      </c>
      <c r="AD7" s="35">
        <f t="shared" si="1"/>
        <v>1331.3899999999999</v>
      </c>
      <c r="AE7" s="35">
        <f t="shared" si="1"/>
        <v>1403.3899999999999</v>
      </c>
      <c r="AF7" s="35">
        <f t="shared" si="1"/>
        <v>1386.99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1663.69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1663.69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23.7</v>
      </c>
      <c r="C11" s="46">
        <v>23.7</v>
      </c>
      <c r="D11" s="46">
        <v>23.7</v>
      </c>
      <c r="E11" s="46">
        <v>23.7</v>
      </c>
      <c r="F11" s="46">
        <v>23.7</v>
      </c>
      <c r="G11" s="46">
        <v>23.7</v>
      </c>
      <c r="H11" s="46">
        <v>23.7</v>
      </c>
      <c r="I11" s="46">
        <v>23.7</v>
      </c>
      <c r="J11" s="46">
        <v>23.7</v>
      </c>
      <c r="K11" s="46">
        <v>23.7</v>
      </c>
      <c r="L11" s="46">
        <v>23.7</v>
      </c>
      <c r="M11" s="46">
        <v>21.8</v>
      </c>
      <c r="N11" s="46">
        <v>21.8</v>
      </c>
      <c r="O11" s="46">
        <v>21.8</v>
      </c>
      <c r="P11" s="46">
        <v>21.8</v>
      </c>
      <c r="Q11" s="46">
        <v>22</v>
      </c>
      <c r="R11" s="46">
        <v>22</v>
      </c>
      <c r="S11" s="46">
        <v>22</v>
      </c>
      <c r="T11" s="46">
        <v>22</v>
      </c>
      <c r="U11" s="46">
        <v>22</v>
      </c>
      <c r="V11" s="46">
        <v>22</v>
      </c>
      <c r="W11" s="46">
        <v>22</v>
      </c>
      <c r="X11" s="46">
        <v>22</v>
      </c>
      <c r="Y11" s="46">
        <v>24.4</v>
      </c>
      <c r="Z11" s="46">
        <v>24.4</v>
      </c>
      <c r="AA11" s="46">
        <v>24.4</v>
      </c>
      <c r="AB11" s="46">
        <v>23.7</v>
      </c>
      <c r="AC11" s="46">
        <v>20.9</v>
      </c>
      <c r="AD11" s="46">
        <v>13.2</v>
      </c>
      <c r="AE11" s="46">
        <v>26.1</v>
      </c>
      <c r="AF11" s="46">
        <v>26.1</v>
      </c>
      <c r="AG11" s="47">
        <v>86</v>
      </c>
      <c r="AH11" s="48">
        <f t="shared" ref="AH11:AH16" si="2">MAX(B11:AF11)</f>
        <v>26.1</v>
      </c>
      <c r="AI11" s="49">
        <f t="shared" ref="AI11:AI16" si="3">MIN(B11:AF11)</f>
        <v>13.2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8</v>
      </c>
      <c r="C12" s="46">
        <v>8</v>
      </c>
      <c r="D12" s="46">
        <v>8</v>
      </c>
      <c r="E12" s="46">
        <v>8</v>
      </c>
      <c r="F12" s="46">
        <v>8</v>
      </c>
      <c r="G12" s="46">
        <v>8</v>
      </c>
      <c r="H12" s="46">
        <v>8</v>
      </c>
      <c r="I12" s="46">
        <v>8</v>
      </c>
      <c r="J12" s="46">
        <v>8</v>
      </c>
      <c r="K12" s="46">
        <v>8</v>
      </c>
      <c r="L12" s="46">
        <v>8</v>
      </c>
      <c r="M12" s="46">
        <v>8</v>
      </c>
      <c r="N12" s="46">
        <v>8</v>
      </c>
      <c r="O12" s="46">
        <v>8</v>
      </c>
      <c r="P12" s="46">
        <v>8</v>
      </c>
      <c r="Q12" s="46">
        <v>8</v>
      </c>
      <c r="R12" s="46">
        <v>8</v>
      </c>
      <c r="S12" s="46">
        <v>8</v>
      </c>
      <c r="T12" s="46">
        <v>8</v>
      </c>
      <c r="U12" s="46">
        <v>8</v>
      </c>
      <c r="V12" s="46">
        <v>8</v>
      </c>
      <c r="W12" s="46">
        <v>8</v>
      </c>
      <c r="X12" s="46">
        <v>8</v>
      </c>
      <c r="Y12" s="46">
        <v>8</v>
      </c>
      <c r="Z12" s="46">
        <v>8</v>
      </c>
      <c r="AA12" s="46">
        <v>8</v>
      </c>
      <c r="AB12" s="46">
        <v>8</v>
      </c>
      <c r="AC12" s="46">
        <v>8</v>
      </c>
      <c r="AD12" s="46">
        <v>8</v>
      </c>
      <c r="AE12" s="46">
        <v>8</v>
      </c>
      <c r="AF12" s="46">
        <v>8</v>
      </c>
      <c r="AG12" s="50">
        <v>54</v>
      </c>
      <c r="AH12" s="48">
        <f t="shared" si="2"/>
        <v>8</v>
      </c>
      <c r="AI12" s="49">
        <f t="shared" si="3"/>
        <v>8</v>
      </c>
      <c r="AK12" s="51"/>
      <c r="AL12" s="52" t="str">
        <f ca="1">MID(CELL("filename",C7),FIND("]",CELL("filename",C7))+1,600)</f>
        <v>2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9.4</v>
      </c>
      <c r="C13" s="46">
        <v>9.4</v>
      </c>
      <c r="D13" s="46">
        <v>9.4</v>
      </c>
      <c r="E13" s="46">
        <v>9.4</v>
      </c>
      <c r="F13" s="46">
        <v>9.4</v>
      </c>
      <c r="G13" s="46">
        <v>9.4</v>
      </c>
      <c r="H13" s="46">
        <v>9.4</v>
      </c>
      <c r="I13" s="46">
        <v>9.4</v>
      </c>
      <c r="J13" s="46">
        <v>9.4</v>
      </c>
      <c r="K13" s="46">
        <v>9.4</v>
      </c>
      <c r="L13" s="46">
        <v>9.4</v>
      </c>
      <c r="M13" s="46">
        <v>9.4</v>
      </c>
      <c r="N13" s="46">
        <v>9.4</v>
      </c>
      <c r="O13" s="46">
        <v>9.4</v>
      </c>
      <c r="P13" s="46">
        <v>9.4</v>
      </c>
      <c r="Q13" s="46">
        <v>9.4</v>
      </c>
      <c r="R13" s="46">
        <v>9.4</v>
      </c>
      <c r="S13" s="46">
        <v>9.4</v>
      </c>
      <c r="T13" s="46">
        <v>9.4</v>
      </c>
      <c r="U13" s="46">
        <v>9.4</v>
      </c>
      <c r="V13" s="46">
        <v>9.4</v>
      </c>
      <c r="W13" s="46">
        <v>9.4</v>
      </c>
      <c r="X13" s="46">
        <v>9.4</v>
      </c>
      <c r="Y13" s="46">
        <v>10</v>
      </c>
      <c r="Z13" s="46">
        <v>10</v>
      </c>
      <c r="AA13" s="46">
        <v>10</v>
      </c>
      <c r="AB13" s="46">
        <v>9.6</v>
      </c>
      <c r="AC13" s="46">
        <v>9.6</v>
      </c>
      <c r="AD13" s="46">
        <v>9.6</v>
      </c>
      <c r="AE13" s="46">
        <v>9.6</v>
      </c>
      <c r="AF13" s="46">
        <v>9.6</v>
      </c>
      <c r="AG13" s="50">
        <v>54</v>
      </c>
      <c r="AH13" s="48">
        <f t="shared" si="2"/>
        <v>10</v>
      </c>
      <c r="AI13" s="49">
        <f t="shared" si="3"/>
        <v>9.4</v>
      </c>
      <c r="AK13" s="51"/>
      <c r="AL13" s="52" t="str">
        <f ca="1">"Daily Load Curve(Excluding of Export) of Nepal ("&amp;A4&amp;" "&amp;B4&amp;")"</f>
        <v>Daily Load Curve(Excluding of Export) of Nepal (Nepali Date: 2080/10/2)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13.5</v>
      </c>
      <c r="C14" s="46">
        <v>13.5</v>
      </c>
      <c r="D14" s="46">
        <v>13.5</v>
      </c>
      <c r="E14" s="46">
        <v>13.5</v>
      </c>
      <c r="F14" s="46">
        <v>13.5</v>
      </c>
      <c r="G14" s="46">
        <v>13.5</v>
      </c>
      <c r="H14" s="46">
        <v>13.5</v>
      </c>
      <c r="I14" s="46">
        <v>13.5</v>
      </c>
      <c r="J14" s="46">
        <v>13.5</v>
      </c>
      <c r="K14" s="46">
        <v>13.5</v>
      </c>
      <c r="L14" s="46">
        <v>13.5</v>
      </c>
      <c r="M14" s="46">
        <v>14.1</v>
      </c>
      <c r="N14" s="46">
        <v>14.1</v>
      </c>
      <c r="O14" s="46">
        <v>14.1</v>
      </c>
      <c r="P14" s="46">
        <v>14.1</v>
      </c>
      <c r="Q14" s="46">
        <v>14.1</v>
      </c>
      <c r="R14" s="46">
        <v>14.1</v>
      </c>
      <c r="S14" s="46">
        <v>14.1</v>
      </c>
      <c r="T14" s="46">
        <v>14.1</v>
      </c>
      <c r="U14" s="46">
        <v>14.1</v>
      </c>
      <c r="V14" s="46">
        <v>14.1</v>
      </c>
      <c r="W14" s="46">
        <v>14.1</v>
      </c>
      <c r="X14" s="46">
        <v>14.1</v>
      </c>
      <c r="Y14" s="46">
        <v>10.1</v>
      </c>
      <c r="Z14" s="46">
        <v>10.1</v>
      </c>
      <c r="AA14" s="46">
        <v>10.1</v>
      </c>
      <c r="AB14" s="46">
        <v>13.1</v>
      </c>
      <c r="AC14" s="46">
        <v>13.1</v>
      </c>
      <c r="AD14" s="46">
        <v>13.1</v>
      </c>
      <c r="AE14" s="46">
        <v>16.5</v>
      </c>
      <c r="AF14" s="46">
        <v>16.5</v>
      </c>
      <c r="AG14" s="47">
        <v>52.4</v>
      </c>
      <c r="AH14" s="48">
        <f t="shared" si="2"/>
        <v>16.5</v>
      </c>
      <c r="AI14" s="49">
        <f t="shared" si="3"/>
        <v>10.1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28.1</v>
      </c>
      <c r="C15" s="46">
        <v>28.1</v>
      </c>
      <c r="D15" s="46">
        <v>28.1</v>
      </c>
      <c r="E15" s="46">
        <v>28.1</v>
      </c>
      <c r="F15" s="46">
        <v>28.1</v>
      </c>
      <c r="G15" s="46">
        <v>28.1</v>
      </c>
      <c r="H15" s="46">
        <v>28.1</v>
      </c>
      <c r="I15" s="46">
        <v>28.1</v>
      </c>
      <c r="J15" s="46">
        <v>28.1</v>
      </c>
      <c r="K15" s="46">
        <v>28.1</v>
      </c>
      <c r="L15" s="46">
        <v>28.1</v>
      </c>
      <c r="M15" s="46">
        <v>28.1</v>
      </c>
      <c r="N15" s="46">
        <v>28.1</v>
      </c>
      <c r="O15" s="46">
        <v>28.1</v>
      </c>
      <c r="P15" s="46">
        <v>28.1</v>
      </c>
      <c r="Q15" s="46">
        <v>28.1</v>
      </c>
      <c r="R15" s="46">
        <v>28.1</v>
      </c>
      <c r="S15" s="46">
        <v>28.1</v>
      </c>
      <c r="T15" s="46">
        <v>28.1</v>
      </c>
      <c r="U15" s="46">
        <v>28.1</v>
      </c>
      <c r="V15" s="46">
        <v>28.1</v>
      </c>
      <c r="W15" s="46">
        <v>28.1</v>
      </c>
      <c r="X15" s="46">
        <v>28.1</v>
      </c>
      <c r="Y15" s="46">
        <v>28.1</v>
      </c>
      <c r="Z15" s="46">
        <v>28.1</v>
      </c>
      <c r="AA15" s="46">
        <v>28.1</v>
      </c>
      <c r="AB15" s="46">
        <v>28.1</v>
      </c>
      <c r="AC15" s="46">
        <v>28.1</v>
      </c>
      <c r="AD15" s="46">
        <v>28.1</v>
      </c>
      <c r="AE15" s="46">
        <v>28.1</v>
      </c>
      <c r="AF15" s="46">
        <v>28.1</v>
      </c>
      <c r="AG15" s="50">
        <v>50</v>
      </c>
      <c r="AH15" s="48">
        <f t="shared" si="2"/>
        <v>28.1</v>
      </c>
      <c r="AI15" s="49">
        <f t="shared" si="3"/>
        <v>28.1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0.499999999999999</v>
      </c>
      <c r="AZ15" s="58">
        <v>0.54166666666666496</v>
      </c>
      <c r="BA15" s="58">
        <v>0.58333333333333104</v>
      </c>
      <c r="BB15" s="58">
        <v>0.624999999999997</v>
      </c>
      <c r="BC15" s="58">
        <v>0.66666666666666297</v>
      </c>
      <c r="BD15" s="58">
        <v>0.70833333333332904</v>
      </c>
      <c r="BE15" s="58">
        <v>0.72916666666666663</v>
      </c>
      <c r="BF15" s="58">
        <v>0.75</v>
      </c>
      <c r="BG15" s="58">
        <v>0.77083333333333337</v>
      </c>
      <c r="BH15" s="58">
        <v>0.79166666666666663</v>
      </c>
      <c r="BI15" s="58">
        <v>0.8125</v>
      </c>
      <c r="BJ15" s="58">
        <v>0.83333333333333337</v>
      </c>
      <c r="BK15" s="58">
        <v>0.85416666666666663</v>
      </c>
      <c r="BL15" s="58">
        <v>0.875</v>
      </c>
      <c r="BM15" s="58">
        <v>0.91666666666666663</v>
      </c>
      <c r="BN15" s="58">
        <v>0.95833333333333337</v>
      </c>
      <c r="BO15" s="189"/>
      <c r="BP15" s="190"/>
      <c r="BQ15" s="190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13.7</v>
      </c>
      <c r="C16" s="46">
        <v>13.7</v>
      </c>
      <c r="D16" s="46">
        <v>13.7</v>
      </c>
      <c r="E16" s="46">
        <v>13.7</v>
      </c>
      <c r="F16" s="46">
        <v>13.7</v>
      </c>
      <c r="G16" s="46">
        <v>13.7</v>
      </c>
      <c r="H16" s="46">
        <v>13.7</v>
      </c>
      <c r="I16" s="46">
        <v>13.7</v>
      </c>
      <c r="J16" s="46">
        <v>13.7</v>
      </c>
      <c r="K16" s="46">
        <v>13.7</v>
      </c>
      <c r="L16" s="46">
        <v>13.7</v>
      </c>
      <c r="M16" s="46">
        <v>13.7</v>
      </c>
      <c r="N16" s="46">
        <v>13.7</v>
      </c>
      <c r="O16" s="46">
        <v>13.7</v>
      </c>
      <c r="P16" s="46">
        <v>13.7</v>
      </c>
      <c r="Q16" s="46">
        <v>13.7</v>
      </c>
      <c r="R16" s="46">
        <v>13.7</v>
      </c>
      <c r="S16" s="46">
        <v>13.7</v>
      </c>
      <c r="T16" s="46">
        <v>13.7</v>
      </c>
      <c r="U16" s="46">
        <v>13.7</v>
      </c>
      <c r="V16" s="46">
        <v>13.7</v>
      </c>
      <c r="W16" s="46">
        <v>13.7</v>
      </c>
      <c r="X16" s="46">
        <v>13.7</v>
      </c>
      <c r="Y16" s="46">
        <v>13.4</v>
      </c>
      <c r="Z16" s="46">
        <v>13.4</v>
      </c>
      <c r="AA16" s="46">
        <v>13.4</v>
      </c>
      <c r="AB16" s="46">
        <v>12.7</v>
      </c>
      <c r="AC16" s="46">
        <v>12.7</v>
      </c>
      <c r="AD16" s="46">
        <v>12.7</v>
      </c>
      <c r="AE16" s="46">
        <v>15.3</v>
      </c>
      <c r="AF16" s="46">
        <v>15.3</v>
      </c>
      <c r="AG16" s="50">
        <v>45</v>
      </c>
      <c r="AH16" s="48">
        <f t="shared" si="2"/>
        <v>15.3</v>
      </c>
      <c r="AI16" s="49">
        <f t="shared" si="3"/>
        <v>12.7</v>
      </c>
      <c r="AK16" s="51"/>
      <c r="AL16" s="54" t="s">
        <v>7</v>
      </c>
      <c r="AM16" s="59">
        <f>B58</f>
        <v>450.65</v>
      </c>
      <c r="AN16" s="59">
        <f t="shared" ref="AN16:AR16" si="4">C58</f>
        <v>450.65</v>
      </c>
      <c r="AO16" s="59">
        <f t="shared" si="4"/>
        <v>450.65</v>
      </c>
      <c r="AP16" s="59">
        <f t="shared" si="4"/>
        <v>450.65</v>
      </c>
      <c r="AQ16" s="59">
        <f t="shared" si="4"/>
        <v>450.65</v>
      </c>
      <c r="AR16" s="59">
        <f t="shared" si="4"/>
        <v>450.65</v>
      </c>
      <c r="AS16" s="59">
        <f>I58</f>
        <v>450.65</v>
      </c>
      <c r="AT16" s="59">
        <f>K58</f>
        <v>450.65</v>
      </c>
      <c r="AU16" s="59">
        <f t="shared" ref="AU16:BN16" si="5">M58</f>
        <v>448.34999999999997</v>
      </c>
      <c r="AV16" s="59">
        <f t="shared" si="5"/>
        <v>448.34999999999997</v>
      </c>
      <c r="AW16" s="59">
        <f t="shared" si="5"/>
        <v>448.34999999999997</v>
      </c>
      <c r="AX16" s="59">
        <f t="shared" si="5"/>
        <v>448.34999999999997</v>
      </c>
      <c r="AY16" s="59">
        <f t="shared" si="5"/>
        <v>448.54999999999995</v>
      </c>
      <c r="AZ16" s="59">
        <f t="shared" si="5"/>
        <v>448.54999999999995</v>
      </c>
      <c r="BA16" s="59">
        <f t="shared" si="5"/>
        <v>448.54999999999995</v>
      </c>
      <c r="BB16" s="59">
        <f t="shared" si="5"/>
        <v>448.54999999999995</v>
      </c>
      <c r="BC16" s="59">
        <f t="shared" si="5"/>
        <v>448.54999999999995</v>
      </c>
      <c r="BD16" s="59">
        <f t="shared" si="5"/>
        <v>448.54999999999995</v>
      </c>
      <c r="BE16" s="59">
        <f t="shared" si="5"/>
        <v>448.54999999999995</v>
      </c>
      <c r="BF16" s="59">
        <f t="shared" si="5"/>
        <v>448.54999999999995</v>
      </c>
      <c r="BG16" s="59">
        <f t="shared" si="5"/>
        <v>447.24999999999994</v>
      </c>
      <c r="BH16" s="59">
        <f t="shared" si="5"/>
        <v>447.24999999999994</v>
      </c>
      <c r="BI16" s="59">
        <f t="shared" si="5"/>
        <v>447.24999999999994</v>
      </c>
      <c r="BJ16" s="59">
        <f t="shared" si="5"/>
        <v>453.84999999999997</v>
      </c>
      <c r="BK16" s="59">
        <f t="shared" si="5"/>
        <v>451.05</v>
      </c>
      <c r="BL16" s="59">
        <f t="shared" si="5"/>
        <v>443.34999999999997</v>
      </c>
      <c r="BM16" s="59">
        <f t="shared" si="5"/>
        <v>459.45</v>
      </c>
      <c r="BN16" s="59">
        <f t="shared" si="5"/>
        <v>459.45</v>
      </c>
      <c r="BO16" s="191"/>
      <c r="BP16" s="190"/>
      <c r="BQ16" s="190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14</v>
      </c>
      <c r="C17" s="46">
        <v>14</v>
      </c>
      <c r="D17" s="46">
        <v>14</v>
      </c>
      <c r="E17" s="46">
        <v>14</v>
      </c>
      <c r="F17" s="46">
        <v>14</v>
      </c>
      <c r="G17" s="46">
        <v>14</v>
      </c>
      <c r="H17" s="46">
        <v>14</v>
      </c>
      <c r="I17" s="46">
        <v>14</v>
      </c>
      <c r="J17" s="46">
        <v>14</v>
      </c>
      <c r="K17" s="46">
        <v>14</v>
      </c>
      <c r="L17" s="46">
        <v>14</v>
      </c>
      <c r="M17" s="46">
        <v>14</v>
      </c>
      <c r="N17" s="46">
        <v>14</v>
      </c>
      <c r="O17" s="46">
        <v>14</v>
      </c>
      <c r="P17" s="46">
        <v>14</v>
      </c>
      <c r="Q17" s="46">
        <v>14</v>
      </c>
      <c r="R17" s="46">
        <v>14</v>
      </c>
      <c r="S17" s="46">
        <v>14</v>
      </c>
      <c r="T17" s="46">
        <v>14</v>
      </c>
      <c r="U17" s="46">
        <v>14</v>
      </c>
      <c r="V17" s="46">
        <v>14</v>
      </c>
      <c r="W17" s="46">
        <v>14</v>
      </c>
      <c r="X17" s="46">
        <v>14</v>
      </c>
      <c r="Y17" s="46">
        <v>14</v>
      </c>
      <c r="Z17" s="46">
        <v>14</v>
      </c>
      <c r="AA17" s="46">
        <v>14</v>
      </c>
      <c r="AB17" s="46">
        <v>14</v>
      </c>
      <c r="AC17" s="46">
        <v>14</v>
      </c>
      <c r="AD17" s="46">
        <v>14</v>
      </c>
      <c r="AE17" s="46">
        <v>14</v>
      </c>
      <c r="AF17" s="46">
        <v>14</v>
      </c>
      <c r="AG17" s="50">
        <v>44</v>
      </c>
      <c r="AH17" s="48">
        <f>MAX(B17:AG17)</f>
        <v>44</v>
      </c>
      <c r="AI17" s="49">
        <f>MIN(B17:AG17)</f>
        <v>14</v>
      </c>
      <c r="AK17" s="51"/>
      <c r="AL17" s="54" t="s">
        <v>27</v>
      </c>
      <c r="AM17" s="59">
        <f>B62</f>
        <v>57.5</v>
      </c>
      <c r="AN17" s="59">
        <f t="shared" ref="AN17:AR17" si="6">C62</f>
        <v>52.5</v>
      </c>
      <c r="AO17" s="59">
        <f t="shared" si="6"/>
        <v>37.5</v>
      </c>
      <c r="AP17" s="59">
        <f t="shared" si="6"/>
        <v>36.700000000000003</v>
      </c>
      <c r="AQ17" s="59">
        <f t="shared" si="6"/>
        <v>36.6</v>
      </c>
      <c r="AR17" s="59">
        <f t="shared" si="6"/>
        <v>66.8</v>
      </c>
      <c r="AS17" s="59">
        <f>I62</f>
        <v>76.900000000000006</v>
      </c>
      <c r="AT17" s="59">
        <f>K62</f>
        <v>116.6</v>
      </c>
      <c r="AU17" s="59">
        <f t="shared" ref="AU17:BN17" si="7">M62</f>
        <v>436.6</v>
      </c>
      <c r="AV17" s="59">
        <f t="shared" si="7"/>
        <v>51.6</v>
      </c>
      <c r="AW17" s="59">
        <f t="shared" si="7"/>
        <v>66.599999999999994</v>
      </c>
      <c r="AX17" s="59">
        <f t="shared" si="7"/>
        <v>66.599999999999994</v>
      </c>
      <c r="AY17" s="59">
        <f t="shared" si="7"/>
        <v>80.5</v>
      </c>
      <c r="AZ17" s="59">
        <f t="shared" si="7"/>
        <v>65.5</v>
      </c>
      <c r="BA17" s="59">
        <f t="shared" si="7"/>
        <v>85.5</v>
      </c>
      <c r="BB17" s="59">
        <f t="shared" si="7"/>
        <v>50.5</v>
      </c>
      <c r="BC17" s="59">
        <f t="shared" si="7"/>
        <v>50.5</v>
      </c>
      <c r="BD17" s="59">
        <f t="shared" si="7"/>
        <v>50.5</v>
      </c>
      <c r="BE17" s="59">
        <f t="shared" si="7"/>
        <v>50.5</v>
      </c>
      <c r="BF17" s="59">
        <f t="shared" si="7"/>
        <v>50.5</v>
      </c>
      <c r="BG17" s="59">
        <f t="shared" si="7"/>
        <v>95.5</v>
      </c>
      <c r="BH17" s="59">
        <f t="shared" si="7"/>
        <v>78.8</v>
      </c>
      <c r="BI17" s="59">
        <f t="shared" si="7"/>
        <v>416.8</v>
      </c>
      <c r="BJ17" s="59">
        <f t="shared" si="7"/>
        <v>403.2</v>
      </c>
      <c r="BK17" s="59">
        <f t="shared" si="7"/>
        <v>174.5</v>
      </c>
      <c r="BL17" s="59">
        <f t="shared" si="7"/>
        <v>159.5</v>
      </c>
      <c r="BM17" s="59">
        <f t="shared" si="7"/>
        <v>171.1</v>
      </c>
      <c r="BN17" s="59">
        <f t="shared" si="7"/>
        <v>171</v>
      </c>
      <c r="BO17" s="191"/>
      <c r="BP17" s="190"/>
      <c r="BQ17" s="190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7</v>
      </c>
      <c r="C18" s="46">
        <v>7</v>
      </c>
      <c r="D18" s="46">
        <v>7</v>
      </c>
      <c r="E18" s="46">
        <v>7</v>
      </c>
      <c r="F18" s="46">
        <v>7</v>
      </c>
      <c r="G18" s="46">
        <v>7</v>
      </c>
      <c r="H18" s="46">
        <v>7</v>
      </c>
      <c r="I18" s="46">
        <v>7</v>
      </c>
      <c r="J18" s="46">
        <v>7</v>
      </c>
      <c r="K18" s="46">
        <v>7</v>
      </c>
      <c r="L18" s="46">
        <v>7</v>
      </c>
      <c r="M18" s="46">
        <v>6</v>
      </c>
      <c r="N18" s="46">
        <v>6</v>
      </c>
      <c r="O18" s="46">
        <v>6</v>
      </c>
      <c r="P18" s="46">
        <v>6</v>
      </c>
      <c r="Q18" s="46">
        <v>6</v>
      </c>
      <c r="R18" s="46">
        <v>6</v>
      </c>
      <c r="S18" s="46">
        <v>6</v>
      </c>
      <c r="T18" s="46">
        <v>6</v>
      </c>
      <c r="U18" s="46">
        <v>6</v>
      </c>
      <c r="V18" s="46">
        <v>6</v>
      </c>
      <c r="W18" s="46">
        <v>6</v>
      </c>
      <c r="X18" s="46">
        <v>6</v>
      </c>
      <c r="Y18" s="46">
        <v>6</v>
      </c>
      <c r="Z18" s="46">
        <v>6</v>
      </c>
      <c r="AA18" s="46">
        <v>6</v>
      </c>
      <c r="AB18" s="46">
        <v>7</v>
      </c>
      <c r="AC18" s="46">
        <v>7</v>
      </c>
      <c r="AD18" s="46">
        <v>7</v>
      </c>
      <c r="AE18" s="46">
        <v>8</v>
      </c>
      <c r="AF18" s="46">
        <v>8</v>
      </c>
      <c r="AG18" s="50">
        <v>42</v>
      </c>
      <c r="AH18" s="48">
        <f t="shared" ref="AH18:AH81" si="8">MAX(B18:AF18)</f>
        <v>8</v>
      </c>
      <c r="AI18" s="49">
        <f t="shared" ref="AI18:AI81" si="9">MIN(B18:AF18)</f>
        <v>6</v>
      </c>
      <c r="AK18" s="51"/>
      <c r="AL18" s="54" t="s">
        <v>29</v>
      </c>
      <c r="AM18" s="59">
        <f>B76</f>
        <v>85.44</v>
      </c>
      <c r="AN18" s="59">
        <f t="shared" ref="AN18:AR18" si="10">C76</f>
        <v>85.44</v>
      </c>
      <c r="AO18" s="59">
        <f t="shared" si="10"/>
        <v>85.44</v>
      </c>
      <c r="AP18" s="59">
        <f t="shared" si="10"/>
        <v>75.540000000000006</v>
      </c>
      <c r="AQ18" s="59">
        <f t="shared" si="10"/>
        <v>90.940000000000012</v>
      </c>
      <c r="AR18" s="59">
        <f t="shared" si="10"/>
        <v>75.240000000000009</v>
      </c>
      <c r="AS18" s="59">
        <f>I76</f>
        <v>191.54</v>
      </c>
      <c r="AT18" s="59">
        <f>K76</f>
        <v>243.04</v>
      </c>
      <c r="AU18" s="59">
        <f t="shared" ref="AU18:BN18" si="11">M76</f>
        <v>296.83999999999997</v>
      </c>
      <c r="AV18" s="59">
        <f t="shared" si="11"/>
        <v>205.04</v>
      </c>
      <c r="AW18" s="59">
        <f t="shared" si="11"/>
        <v>205.04</v>
      </c>
      <c r="AX18" s="59">
        <f t="shared" si="11"/>
        <v>199.33999999999997</v>
      </c>
      <c r="AY18" s="59">
        <f t="shared" si="11"/>
        <v>200.14</v>
      </c>
      <c r="AZ18" s="59">
        <f t="shared" si="11"/>
        <v>206.54</v>
      </c>
      <c r="BA18" s="59">
        <f t="shared" si="11"/>
        <v>197.73999999999998</v>
      </c>
      <c r="BB18" s="59">
        <f t="shared" si="11"/>
        <v>199.34</v>
      </c>
      <c r="BC18" s="59">
        <f t="shared" si="11"/>
        <v>199.34</v>
      </c>
      <c r="BD18" s="59">
        <f t="shared" si="11"/>
        <v>199.34</v>
      </c>
      <c r="BE18" s="59">
        <f t="shared" si="11"/>
        <v>251.94000000000003</v>
      </c>
      <c r="BF18" s="59">
        <f t="shared" si="11"/>
        <v>281.74</v>
      </c>
      <c r="BG18" s="59">
        <f t="shared" si="11"/>
        <v>300.10000000000002</v>
      </c>
      <c r="BH18" s="59">
        <f t="shared" si="11"/>
        <v>368.8</v>
      </c>
      <c r="BI18" s="59">
        <f t="shared" si="11"/>
        <v>379.84000000000003</v>
      </c>
      <c r="BJ18" s="59">
        <f t="shared" si="11"/>
        <v>259.34000000000003</v>
      </c>
      <c r="BK18" s="59">
        <f t="shared" si="11"/>
        <v>247.14000000000001</v>
      </c>
      <c r="BL18" s="59">
        <f t="shared" si="11"/>
        <v>244.34</v>
      </c>
      <c r="BM18" s="59">
        <f t="shared" si="11"/>
        <v>191.44</v>
      </c>
      <c r="BN18" s="59">
        <f t="shared" si="11"/>
        <v>149.64000000000001</v>
      </c>
      <c r="BO18" s="191"/>
      <c r="BP18" s="190"/>
      <c r="BQ18" s="190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11</v>
      </c>
      <c r="C19" s="46">
        <v>11</v>
      </c>
      <c r="D19" s="46">
        <v>11</v>
      </c>
      <c r="E19" s="46">
        <v>11</v>
      </c>
      <c r="F19" s="46">
        <v>11</v>
      </c>
      <c r="G19" s="46">
        <v>11</v>
      </c>
      <c r="H19" s="46">
        <v>11</v>
      </c>
      <c r="I19" s="46">
        <v>11</v>
      </c>
      <c r="J19" s="46">
        <v>11</v>
      </c>
      <c r="K19" s="46">
        <v>11</v>
      </c>
      <c r="L19" s="46">
        <v>11</v>
      </c>
      <c r="M19" s="46">
        <v>11</v>
      </c>
      <c r="N19" s="46">
        <v>11</v>
      </c>
      <c r="O19" s="46">
        <v>11</v>
      </c>
      <c r="P19" s="46">
        <v>11</v>
      </c>
      <c r="Q19" s="46">
        <v>11</v>
      </c>
      <c r="R19" s="46">
        <v>11</v>
      </c>
      <c r="S19" s="46">
        <v>11</v>
      </c>
      <c r="T19" s="46">
        <v>11</v>
      </c>
      <c r="U19" s="46">
        <v>11</v>
      </c>
      <c r="V19" s="46">
        <v>11</v>
      </c>
      <c r="W19" s="46">
        <v>11</v>
      </c>
      <c r="X19" s="46">
        <v>11</v>
      </c>
      <c r="Y19" s="46">
        <v>11</v>
      </c>
      <c r="Z19" s="46">
        <v>11</v>
      </c>
      <c r="AA19" s="46">
        <v>11</v>
      </c>
      <c r="AB19" s="46">
        <v>11</v>
      </c>
      <c r="AC19" s="46">
        <v>11</v>
      </c>
      <c r="AD19" s="46">
        <v>11</v>
      </c>
      <c r="AE19" s="46">
        <v>11</v>
      </c>
      <c r="AF19" s="46">
        <v>11</v>
      </c>
      <c r="AG19" s="50">
        <v>38.46</v>
      </c>
      <c r="AH19" s="48">
        <f t="shared" si="8"/>
        <v>11</v>
      </c>
      <c r="AI19" s="49">
        <f t="shared" si="9"/>
        <v>11</v>
      </c>
      <c r="AK19" s="51"/>
      <c r="AL19" s="54" t="s">
        <v>31</v>
      </c>
      <c r="AM19" s="59">
        <f>B92</f>
        <v>658.9</v>
      </c>
      <c r="AN19" s="59">
        <f t="shared" ref="AN19:AR19" si="12">C92</f>
        <v>637.6</v>
      </c>
      <c r="AO19" s="59">
        <f t="shared" si="12"/>
        <v>648.79999999999995</v>
      </c>
      <c r="AP19" s="59">
        <f t="shared" si="12"/>
        <v>655.9</v>
      </c>
      <c r="AQ19" s="59">
        <f t="shared" si="12"/>
        <v>665.8</v>
      </c>
      <c r="AR19" s="59">
        <f t="shared" si="12"/>
        <v>667.9</v>
      </c>
      <c r="AS19" s="59">
        <f>I92</f>
        <v>680.69999999999993</v>
      </c>
      <c r="AT19" s="59">
        <f>K92</f>
        <v>667.9</v>
      </c>
      <c r="AU19" s="59">
        <f t="shared" ref="AU19:BN19" si="13">M92</f>
        <v>253.6</v>
      </c>
      <c r="AV19" s="59">
        <f t="shared" si="13"/>
        <v>668.19999999999993</v>
      </c>
      <c r="AW19" s="59">
        <f t="shared" si="13"/>
        <v>666.3</v>
      </c>
      <c r="AX19" s="59">
        <f t="shared" si="13"/>
        <v>751.1</v>
      </c>
      <c r="AY19" s="59">
        <f t="shared" si="13"/>
        <v>740.7</v>
      </c>
      <c r="AZ19" s="59">
        <f t="shared" si="13"/>
        <v>783.3</v>
      </c>
      <c r="BA19" s="59">
        <f t="shared" si="13"/>
        <v>802.8</v>
      </c>
      <c r="BB19" s="59">
        <f t="shared" si="13"/>
        <v>804</v>
      </c>
      <c r="BC19" s="59">
        <f t="shared" si="13"/>
        <v>809</v>
      </c>
      <c r="BD19" s="59">
        <f t="shared" si="13"/>
        <v>637.29999999999995</v>
      </c>
      <c r="BE19" s="59">
        <f t="shared" si="13"/>
        <v>639.9</v>
      </c>
      <c r="BF19" s="59">
        <f t="shared" si="13"/>
        <v>601</v>
      </c>
      <c r="BG19" s="59">
        <f t="shared" si="13"/>
        <v>656.3</v>
      </c>
      <c r="BH19" s="59">
        <f t="shared" si="13"/>
        <v>351.5</v>
      </c>
      <c r="BI19" s="59">
        <f t="shared" si="13"/>
        <v>225</v>
      </c>
      <c r="BJ19" s="59">
        <f t="shared" si="13"/>
        <v>243.90000000000003</v>
      </c>
      <c r="BK19" s="59">
        <f t="shared" si="13"/>
        <v>474.1</v>
      </c>
      <c r="BL19" s="59">
        <f t="shared" si="13"/>
        <v>469</v>
      </c>
      <c r="BM19" s="59">
        <f t="shared" si="13"/>
        <v>581.4</v>
      </c>
      <c r="BN19" s="59">
        <f t="shared" si="13"/>
        <v>606.9</v>
      </c>
      <c r="BO19" s="191"/>
      <c r="BP19" s="190"/>
      <c r="BQ19" s="190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7.8</v>
      </c>
      <c r="C20" s="46">
        <v>7.8</v>
      </c>
      <c r="D20" s="46">
        <v>7.8</v>
      </c>
      <c r="E20" s="46">
        <v>7.8</v>
      </c>
      <c r="F20" s="46">
        <v>7.8</v>
      </c>
      <c r="G20" s="46">
        <v>7.8</v>
      </c>
      <c r="H20" s="46">
        <v>7.8</v>
      </c>
      <c r="I20" s="46">
        <v>7.8</v>
      </c>
      <c r="J20" s="46">
        <v>7.8</v>
      </c>
      <c r="K20" s="46">
        <v>7.8</v>
      </c>
      <c r="L20" s="46">
        <v>7.8</v>
      </c>
      <c r="M20" s="46">
        <v>7.8</v>
      </c>
      <c r="N20" s="46">
        <v>7.8</v>
      </c>
      <c r="O20" s="46">
        <v>7.8</v>
      </c>
      <c r="P20" s="46">
        <v>7.8</v>
      </c>
      <c r="Q20" s="46">
        <v>7.8</v>
      </c>
      <c r="R20" s="46">
        <v>7.8</v>
      </c>
      <c r="S20" s="46">
        <v>7.8</v>
      </c>
      <c r="T20" s="46">
        <v>7.8</v>
      </c>
      <c r="U20" s="46">
        <v>7.8</v>
      </c>
      <c r="V20" s="46">
        <v>7.8</v>
      </c>
      <c r="W20" s="46">
        <v>7.8</v>
      </c>
      <c r="X20" s="46">
        <v>7.8</v>
      </c>
      <c r="Y20" s="46">
        <v>7.8</v>
      </c>
      <c r="Z20" s="46">
        <v>7.8</v>
      </c>
      <c r="AA20" s="46">
        <v>7.8</v>
      </c>
      <c r="AB20" s="46">
        <v>7.8</v>
      </c>
      <c r="AC20" s="46">
        <v>7.8</v>
      </c>
      <c r="AD20" s="46">
        <v>7.8</v>
      </c>
      <c r="AE20" s="46">
        <v>7.8</v>
      </c>
      <c r="AF20" s="46">
        <v>7.8</v>
      </c>
      <c r="AG20" s="50">
        <v>38.46</v>
      </c>
      <c r="AH20" s="48">
        <f t="shared" si="8"/>
        <v>7.8</v>
      </c>
      <c r="AI20" s="49">
        <f t="shared" si="9"/>
        <v>7.8</v>
      </c>
      <c r="AK20" s="51"/>
      <c r="AL20" s="54" t="s">
        <v>33</v>
      </c>
      <c r="AM20" s="59">
        <f>B80</f>
        <v>0</v>
      </c>
      <c r="AN20" s="59">
        <f t="shared" ref="AN20:AR20" si="14">C80</f>
        <v>0</v>
      </c>
      <c r="AO20" s="59">
        <f t="shared" si="14"/>
        <v>0</v>
      </c>
      <c r="AP20" s="59">
        <f t="shared" si="14"/>
        <v>0</v>
      </c>
      <c r="AQ20" s="59">
        <f t="shared" si="14"/>
        <v>0</v>
      </c>
      <c r="AR20" s="59">
        <f t="shared" si="14"/>
        <v>0</v>
      </c>
      <c r="AS20" s="59">
        <f>I80</f>
        <v>0</v>
      </c>
      <c r="AT20" s="59">
        <f>K80</f>
        <v>0</v>
      </c>
      <c r="AU20" s="59">
        <f t="shared" ref="AU20:BN20" si="15">M80</f>
        <v>0</v>
      </c>
      <c r="AV20" s="59">
        <f t="shared" si="15"/>
        <v>0</v>
      </c>
      <c r="AW20" s="59">
        <f t="shared" si="15"/>
        <v>0</v>
      </c>
      <c r="AX20" s="59">
        <f t="shared" si="15"/>
        <v>0</v>
      </c>
      <c r="AY20" s="59">
        <f t="shared" si="15"/>
        <v>0</v>
      </c>
      <c r="AZ20" s="59">
        <f t="shared" si="15"/>
        <v>0</v>
      </c>
      <c r="BA20" s="59">
        <f t="shared" si="15"/>
        <v>0</v>
      </c>
      <c r="BB20" s="59">
        <f t="shared" si="15"/>
        <v>0</v>
      </c>
      <c r="BC20" s="59">
        <f t="shared" si="15"/>
        <v>0</v>
      </c>
      <c r="BD20" s="59">
        <f t="shared" si="15"/>
        <v>0</v>
      </c>
      <c r="BE20" s="59">
        <f t="shared" si="15"/>
        <v>0</v>
      </c>
      <c r="BF20" s="59">
        <f t="shared" si="15"/>
        <v>0</v>
      </c>
      <c r="BG20" s="59">
        <f t="shared" si="15"/>
        <v>0</v>
      </c>
      <c r="BH20" s="59">
        <f t="shared" si="15"/>
        <v>0</v>
      </c>
      <c r="BI20" s="59">
        <f t="shared" si="15"/>
        <v>0</v>
      </c>
      <c r="BJ20" s="59">
        <f t="shared" si="15"/>
        <v>53.4</v>
      </c>
      <c r="BK20" s="59">
        <f t="shared" si="15"/>
        <v>19.399999999999999</v>
      </c>
      <c r="BL20" s="59">
        <f t="shared" si="15"/>
        <v>15.200000000000001</v>
      </c>
      <c r="BM20" s="59">
        <f t="shared" si="15"/>
        <v>0</v>
      </c>
      <c r="BN20" s="59">
        <f t="shared" si="15"/>
        <v>0</v>
      </c>
      <c r="BO20" s="191"/>
      <c r="BP20" s="190"/>
      <c r="BQ20" s="190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13</v>
      </c>
      <c r="C21" s="46">
        <v>13</v>
      </c>
      <c r="D21" s="46">
        <v>13</v>
      </c>
      <c r="E21" s="46">
        <v>13</v>
      </c>
      <c r="F21" s="46">
        <v>13</v>
      </c>
      <c r="G21" s="46">
        <v>13</v>
      </c>
      <c r="H21" s="46">
        <v>13</v>
      </c>
      <c r="I21" s="46">
        <v>13</v>
      </c>
      <c r="J21" s="46">
        <v>13</v>
      </c>
      <c r="K21" s="46">
        <v>13</v>
      </c>
      <c r="L21" s="46">
        <v>13</v>
      </c>
      <c r="M21" s="46">
        <v>13</v>
      </c>
      <c r="N21" s="46">
        <v>13</v>
      </c>
      <c r="O21" s="46">
        <v>13</v>
      </c>
      <c r="P21" s="46">
        <v>13</v>
      </c>
      <c r="Q21" s="46">
        <v>13</v>
      </c>
      <c r="R21" s="46">
        <v>13</v>
      </c>
      <c r="S21" s="46">
        <v>13</v>
      </c>
      <c r="T21" s="46">
        <v>13</v>
      </c>
      <c r="U21" s="46">
        <v>13</v>
      </c>
      <c r="V21" s="46">
        <v>13</v>
      </c>
      <c r="W21" s="46">
        <v>13</v>
      </c>
      <c r="X21" s="46">
        <v>13</v>
      </c>
      <c r="Y21" s="46">
        <v>13</v>
      </c>
      <c r="Z21" s="46">
        <v>13</v>
      </c>
      <c r="AA21" s="46">
        <v>13</v>
      </c>
      <c r="AB21" s="46">
        <v>13</v>
      </c>
      <c r="AC21" s="46">
        <v>13</v>
      </c>
      <c r="AD21" s="46">
        <v>13</v>
      </c>
      <c r="AE21" s="46">
        <v>13</v>
      </c>
      <c r="AF21" s="46">
        <v>13</v>
      </c>
      <c r="AG21" s="50">
        <v>36</v>
      </c>
      <c r="AH21" s="48">
        <f t="shared" si="8"/>
        <v>13</v>
      </c>
      <c r="AI21" s="49">
        <f t="shared" si="9"/>
        <v>13</v>
      </c>
      <c r="AK21" s="51"/>
      <c r="AL21" s="54" t="s">
        <v>35</v>
      </c>
      <c r="AM21" s="59">
        <f>B98</f>
        <v>0</v>
      </c>
      <c r="AN21" s="59">
        <f t="shared" ref="AN21:AR21" si="16">C98</f>
        <v>0</v>
      </c>
      <c r="AO21" s="59">
        <f t="shared" si="16"/>
        <v>0</v>
      </c>
      <c r="AP21" s="59">
        <f t="shared" si="16"/>
        <v>0</v>
      </c>
      <c r="AQ21" s="59">
        <f t="shared" si="16"/>
        <v>0</v>
      </c>
      <c r="AR21" s="59">
        <f t="shared" si="16"/>
        <v>0</v>
      </c>
      <c r="AS21" s="59">
        <f>I98</f>
        <v>0</v>
      </c>
      <c r="AT21" s="59">
        <f>K98</f>
        <v>0</v>
      </c>
      <c r="AU21" s="59">
        <f t="shared" ref="AU21:BN21" si="17">M98</f>
        <v>200</v>
      </c>
      <c r="AV21" s="59">
        <f t="shared" si="17"/>
        <v>100</v>
      </c>
      <c r="AW21" s="59">
        <f t="shared" si="17"/>
        <v>100</v>
      </c>
      <c r="AX21" s="59">
        <f t="shared" si="17"/>
        <v>0</v>
      </c>
      <c r="AY21" s="59">
        <f t="shared" si="17"/>
        <v>0</v>
      </c>
      <c r="AZ21" s="59">
        <f t="shared" si="17"/>
        <v>0</v>
      </c>
      <c r="BA21" s="59">
        <f t="shared" si="17"/>
        <v>15</v>
      </c>
      <c r="BB21" s="59">
        <f t="shared" si="17"/>
        <v>15</v>
      </c>
      <c r="BC21" s="59">
        <f t="shared" si="17"/>
        <v>15</v>
      </c>
      <c r="BD21" s="59">
        <f t="shared" si="17"/>
        <v>100</v>
      </c>
      <c r="BE21" s="59">
        <f t="shared" si="17"/>
        <v>100</v>
      </c>
      <c r="BF21" s="59">
        <f t="shared" si="17"/>
        <v>100</v>
      </c>
      <c r="BG21" s="59">
        <f t="shared" si="17"/>
        <v>100</v>
      </c>
      <c r="BH21" s="59">
        <f t="shared" si="17"/>
        <v>280</v>
      </c>
      <c r="BI21" s="59">
        <f t="shared" si="17"/>
        <v>0</v>
      </c>
      <c r="BJ21" s="59">
        <f t="shared" si="17"/>
        <v>250</v>
      </c>
      <c r="BK21" s="59">
        <f t="shared" si="17"/>
        <v>250</v>
      </c>
      <c r="BL21" s="59">
        <f t="shared" si="17"/>
        <v>0</v>
      </c>
      <c r="BM21" s="59">
        <f t="shared" si="17"/>
        <v>0</v>
      </c>
      <c r="BN21" s="59">
        <f t="shared" si="17"/>
        <v>0</v>
      </c>
      <c r="BO21" s="191"/>
      <c r="BP21" s="190"/>
      <c r="BQ21" s="190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7.5</v>
      </c>
      <c r="C22" s="46">
        <v>7.5</v>
      </c>
      <c r="D22" s="46">
        <v>7.5</v>
      </c>
      <c r="E22" s="46">
        <v>7.5</v>
      </c>
      <c r="F22" s="46">
        <v>7.5</v>
      </c>
      <c r="G22" s="46">
        <v>7.5</v>
      </c>
      <c r="H22" s="46">
        <v>7.5</v>
      </c>
      <c r="I22" s="46">
        <v>7.5</v>
      </c>
      <c r="J22" s="46">
        <v>7.5</v>
      </c>
      <c r="K22" s="46">
        <v>7.5</v>
      </c>
      <c r="L22" s="46">
        <v>7.5</v>
      </c>
      <c r="M22" s="46">
        <v>7.5</v>
      </c>
      <c r="N22" s="46">
        <v>7.5</v>
      </c>
      <c r="O22" s="46">
        <v>7.5</v>
      </c>
      <c r="P22" s="46">
        <v>7.5</v>
      </c>
      <c r="Q22" s="46">
        <v>7.5</v>
      </c>
      <c r="R22" s="46">
        <v>7.5</v>
      </c>
      <c r="S22" s="46">
        <v>7.5</v>
      </c>
      <c r="T22" s="46">
        <v>7.5</v>
      </c>
      <c r="U22" s="46">
        <v>7.5</v>
      </c>
      <c r="V22" s="46">
        <v>7.5</v>
      </c>
      <c r="W22" s="46">
        <v>7.5</v>
      </c>
      <c r="X22" s="46">
        <v>7.5</v>
      </c>
      <c r="Y22" s="46">
        <v>7.5</v>
      </c>
      <c r="Z22" s="46">
        <v>7.5</v>
      </c>
      <c r="AA22" s="46">
        <v>7.5</v>
      </c>
      <c r="AB22" s="46">
        <v>6.3</v>
      </c>
      <c r="AC22" s="46">
        <v>6.3</v>
      </c>
      <c r="AD22" s="46">
        <v>6.3</v>
      </c>
      <c r="AE22" s="46">
        <v>6.7</v>
      </c>
      <c r="AF22" s="46">
        <v>6.7</v>
      </c>
      <c r="AG22" s="60">
        <v>30</v>
      </c>
      <c r="AH22" s="48">
        <f t="shared" si="8"/>
        <v>7.5</v>
      </c>
      <c r="AI22" s="49">
        <f t="shared" si="9"/>
        <v>6.3</v>
      </c>
      <c r="AK22" s="51"/>
      <c r="AL22" s="61" t="s">
        <v>37</v>
      </c>
      <c r="AM22" s="62">
        <f>SUM(AM16:AM21)</f>
        <v>1252.4899999999998</v>
      </c>
      <c r="AN22" s="62">
        <f t="shared" ref="AN22:BO22" si="18">SUM(AN16:AN21)</f>
        <v>1226.19</v>
      </c>
      <c r="AO22" s="62">
        <f t="shared" si="18"/>
        <v>1222.3899999999999</v>
      </c>
      <c r="AP22" s="62">
        <f t="shared" si="18"/>
        <v>1218.79</v>
      </c>
      <c r="AQ22" s="62">
        <f t="shared" si="18"/>
        <v>1243.99</v>
      </c>
      <c r="AR22" s="62">
        <f t="shared" si="18"/>
        <v>1260.5899999999999</v>
      </c>
      <c r="AS22" s="62">
        <f t="shared" si="18"/>
        <v>1399.79</v>
      </c>
      <c r="AT22" s="62">
        <f t="shared" si="18"/>
        <v>1478.19</v>
      </c>
      <c r="AU22" s="62">
        <f t="shared" si="18"/>
        <v>1635.3899999999999</v>
      </c>
      <c r="AV22" s="62">
        <f t="shared" si="18"/>
        <v>1473.19</v>
      </c>
      <c r="AW22" s="62">
        <f t="shared" si="18"/>
        <v>1486.29</v>
      </c>
      <c r="AX22" s="62">
        <f t="shared" si="18"/>
        <v>1465.3899999999999</v>
      </c>
      <c r="AY22" s="62">
        <f t="shared" si="18"/>
        <v>1469.8899999999999</v>
      </c>
      <c r="AZ22" s="62">
        <f t="shared" si="18"/>
        <v>1503.8899999999999</v>
      </c>
      <c r="BA22" s="62">
        <f t="shared" si="18"/>
        <v>1549.59</v>
      </c>
      <c r="BB22" s="62">
        <f t="shared" si="18"/>
        <v>1517.3899999999999</v>
      </c>
      <c r="BC22" s="62">
        <f t="shared" si="18"/>
        <v>1522.3899999999999</v>
      </c>
      <c r="BD22" s="62">
        <f t="shared" si="18"/>
        <v>1435.69</v>
      </c>
      <c r="BE22" s="62">
        <f t="shared" si="18"/>
        <v>1490.8899999999999</v>
      </c>
      <c r="BF22" s="62">
        <f t="shared" si="18"/>
        <v>1481.79</v>
      </c>
      <c r="BG22" s="62">
        <f t="shared" si="18"/>
        <v>1599.15</v>
      </c>
      <c r="BH22" s="62">
        <f t="shared" si="18"/>
        <v>1526.35</v>
      </c>
      <c r="BI22" s="62">
        <f t="shared" si="18"/>
        <v>1468.8899999999999</v>
      </c>
      <c r="BJ22" s="62">
        <f t="shared" si="18"/>
        <v>1663.69</v>
      </c>
      <c r="BK22" s="62">
        <f t="shared" si="18"/>
        <v>1616.19</v>
      </c>
      <c r="BL22" s="62">
        <f t="shared" si="18"/>
        <v>1331.39</v>
      </c>
      <c r="BM22" s="62">
        <f t="shared" si="18"/>
        <v>1403.3899999999999</v>
      </c>
      <c r="BN22" s="62">
        <f t="shared" si="18"/>
        <v>1386.99</v>
      </c>
      <c r="BO22" s="192">
        <f t="shared" si="18"/>
        <v>0</v>
      </c>
      <c r="BP22" s="190"/>
      <c r="BQ22" s="190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5.5</v>
      </c>
      <c r="C23" s="46">
        <v>5.5</v>
      </c>
      <c r="D23" s="46">
        <v>5.5</v>
      </c>
      <c r="E23" s="46">
        <v>5.5</v>
      </c>
      <c r="F23" s="46">
        <v>5.5</v>
      </c>
      <c r="G23" s="46">
        <v>5.5</v>
      </c>
      <c r="H23" s="46">
        <v>5.5</v>
      </c>
      <c r="I23" s="46">
        <v>5.5</v>
      </c>
      <c r="J23" s="46">
        <v>5.5</v>
      </c>
      <c r="K23" s="46">
        <v>5.5</v>
      </c>
      <c r="L23" s="46">
        <v>5.5</v>
      </c>
      <c r="M23" s="46">
        <v>5.5</v>
      </c>
      <c r="N23" s="46">
        <v>5.5</v>
      </c>
      <c r="O23" s="46">
        <v>5.5</v>
      </c>
      <c r="P23" s="46">
        <v>5.5</v>
      </c>
      <c r="Q23" s="46">
        <v>5.5</v>
      </c>
      <c r="R23" s="46">
        <v>5.5</v>
      </c>
      <c r="S23" s="46">
        <v>5.5</v>
      </c>
      <c r="T23" s="46">
        <v>5.5</v>
      </c>
      <c r="U23" s="46">
        <v>5.5</v>
      </c>
      <c r="V23" s="46">
        <v>5.5</v>
      </c>
      <c r="W23" s="46">
        <v>5.5</v>
      </c>
      <c r="X23" s="46">
        <v>5.5</v>
      </c>
      <c r="Y23" s="46">
        <v>5.5</v>
      </c>
      <c r="Z23" s="46">
        <v>5.5</v>
      </c>
      <c r="AA23" s="46">
        <v>5.5</v>
      </c>
      <c r="AB23" s="46">
        <v>5.5</v>
      </c>
      <c r="AC23" s="46">
        <v>5.5</v>
      </c>
      <c r="AD23" s="46">
        <v>5.5</v>
      </c>
      <c r="AE23" s="46">
        <v>5.5</v>
      </c>
      <c r="AF23" s="46">
        <v>5.5</v>
      </c>
      <c r="AG23" s="50">
        <v>24.2</v>
      </c>
      <c r="AH23" s="48">
        <f t="shared" si="8"/>
        <v>5.5</v>
      </c>
      <c r="AI23" s="49">
        <f t="shared" si="9"/>
        <v>5.5</v>
      </c>
      <c r="AK23" s="51"/>
      <c r="AL23" s="61" t="s">
        <v>39</v>
      </c>
      <c r="AM23" s="62">
        <f>B107*-1</f>
        <v>0</v>
      </c>
      <c r="AN23" s="62">
        <f t="shared" ref="AN23:AR23" si="19">C107*-1</f>
        <v>0</v>
      </c>
      <c r="AO23" s="62">
        <f t="shared" si="19"/>
        <v>0</v>
      </c>
      <c r="AP23" s="62">
        <f t="shared" si="19"/>
        <v>0</v>
      </c>
      <c r="AQ23" s="62">
        <f t="shared" si="19"/>
        <v>0</v>
      </c>
      <c r="AR23" s="62">
        <f t="shared" si="19"/>
        <v>0</v>
      </c>
      <c r="AS23" s="62">
        <f>I107*-1</f>
        <v>0</v>
      </c>
      <c r="AT23" s="62">
        <f>K107*-1</f>
        <v>0</v>
      </c>
      <c r="AU23" s="62">
        <f t="shared" ref="AU23:BO23" si="20">M107*-1</f>
        <v>0</v>
      </c>
      <c r="AV23" s="62">
        <f t="shared" si="20"/>
        <v>0</v>
      </c>
      <c r="AW23" s="62">
        <f t="shared" si="20"/>
        <v>0</v>
      </c>
      <c r="AX23" s="62">
        <f t="shared" si="20"/>
        <v>0</v>
      </c>
      <c r="AY23" s="62">
        <f t="shared" si="20"/>
        <v>0</v>
      </c>
      <c r="AZ23" s="62">
        <f t="shared" si="20"/>
        <v>0</v>
      </c>
      <c r="BA23" s="62">
        <f t="shared" si="20"/>
        <v>0</v>
      </c>
      <c r="BB23" s="62">
        <f t="shared" si="20"/>
        <v>0</v>
      </c>
      <c r="BC23" s="62">
        <f t="shared" si="20"/>
        <v>0</v>
      </c>
      <c r="BD23" s="62">
        <f t="shared" si="20"/>
        <v>0</v>
      </c>
      <c r="BE23" s="62">
        <f t="shared" si="20"/>
        <v>0</v>
      </c>
      <c r="BF23" s="62">
        <f t="shared" si="20"/>
        <v>0</v>
      </c>
      <c r="BG23" s="62">
        <f t="shared" si="20"/>
        <v>0</v>
      </c>
      <c r="BH23" s="62">
        <f t="shared" si="20"/>
        <v>0</v>
      </c>
      <c r="BI23" s="62">
        <f t="shared" si="20"/>
        <v>0</v>
      </c>
      <c r="BJ23" s="62">
        <f t="shared" si="20"/>
        <v>0</v>
      </c>
      <c r="BK23" s="62">
        <f t="shared" si="20"/>
        <v>0</v>
      </c>
      <c r="BL23" s="62">
        <f t="shared" si="20"/>
        <v>0</v>
      </c>
      <c r="BM23" s="62">
        <f t="shared" si="20"/>
        <v>0</v>
      </c>
      <c r="BN23" s="62">
        <f t="shared" si="20"/>
        <v>0</v>
      </c>
      <c r="BO23" s="192">
        <f t="shared" si="20"/>
        <v>0</v>
      </c>
      <c r="BP23" s="192"/>
      <c r="BQ23" s="192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6.4</v>
      </c>
      <c r="C24" s="46">
        <v>6.4</v>
      </c>
      <c r="D24" s="46">
        <v>6.4</v>
      </c>
      <c r="E24" s="46">
        <v>6.4</v>
      </c>
      <c r="F24" s="46">
        <v>6.4</v>
      </c>
      <c r="G24" s="46">
        <v>6.4</v>
      </c>
      <c r="H24" s="46">
        <v>6.4</v>
      </c>
      <c r="I24" s="46">
        <v>6.4</v>
      </c>
      <c r="J24" s="46">
        <v>6.4</v>
      </c>
      <c r="K24" s="46">
        <v>6.4</v>
      </c>
      <c r="L24" s="46">
        <v>6.4</v>
      </c>
      <c r="M24" s="46">
        <v>6.4</v>
      </c>
      <c r="N24" s="46">
        <v>6.4</v>
      </c>
      <c r="O24" s="46">
        <v>6.4</v>
      </c>
      <c r="P24" s="46">
        <v>6.4</v>
      </c>
      <c r="Q24" s="46">
        <v>6.4</v>
      </c>
      <c r="R24" s="46">
        <v>6.4</v>
      </c>
      <c r="S24" s="46">
        <v>6.4</v>
      </c>
      <c r="T24" s="46">
        <v>6.4</v>
      </c>
      <c r="U24" s="46">
        <v>6.4</v>
      </c>
      <c r="V24" s="46">
        <v>6.4</v>
      </c>
      <c r="W24" s="46">
        <v>6.4</v>
      </c>
      <c r="X24" s="46">
        <v>6.4</v>
      </c>
      <c r="Y24" s="46">
        <v>6.4</v>
      </c>
      <c r="Z24" s="46">
        <v>6.4</v>
      </c>
      <c r="AA24" s="46">
        <v>6.4</v>
      </c>
      <c r="AB24" s="46">
        <v>5.4</v>
      </c>
      <c r="AC24" s="46">
        <v>5.4</v>
      </c>
      <c r="AD24" s="46">
        <v>5.4</v>
      </c>
      <c r="AE24" s="46">
        <v>5.4</v>
      </c>
      <c r="AF24" s="46">
        <v>5.4</v>
      </c>
      <c r="AG24" s="50">
        <v>28</v>
      </c>
      <c r="AH24" s="48">
        <f t="shared" si="8"/>
        <v>6.4</v>
      </c>
      <c r="AI24" s="49">
        <f t="shared" si="9"/>
        <v>5.4</v>
      </c>
      <c r="AK24" s="51"/>
      <c r="AL24" s="61" t="s">
        <v>41</v>
      </c>
      <c r="AM24" s="62">
        <f>AM22+AM23</f>
        <v>1252.4899999999998</v>
      </c>
      <c r="AN24" s="62">
        <f t="shared" ref="AN24:BO24" si="21">AN22+AN23</f>
        <v>1226.19</v>
      </c>
      <c r="AO24" s="62">
        <f t="shared" si="21"/>
        <v>1222.3899999999999</v>
      </c>
      <c r="AP24" s="62">
        <f t="shared" si="21"/>
        <v>1218.79</v>
      </c>
      <c r="AQ24" s="62">
        <f t="shared" si="21"/>
        <v>1243.99</v>
      </c>
      <c r="AR24" s="62">
        <f t="shared" si="21"/>
        <v>1260.5899999999999</v>
      </c>
      <c r="AS24" s="62">
        <f t="shared" si="21"/>
        <v>1399.79</v>
      </c>
      <c r="AT24" s="62">
        <f t="shared" si="21"/>
        <v>1478.19</v>
      </c>
      <c r="AU24" s="62">
        <f t="shared" si="21"/>
        <v>1635.3899999999999</v>
      </c>
      <c r="AV24" s="62">
        <f t="shared" si="21"/>
        <v>1473.19</v>
      </c>
      <c r="AW24" s="62">
        <f t="shared" si="21"/>
        <v>1486.29</v>
      </c>
      <c r="AX24" s="62">
        <f t="shared" si="21"/>
        <v>1465.3899999999999</v>
      </c>
      <c r="AY24" s="62">
        <f t="shared" si="21"/>
        <v>1469.8899999999999</v>
      </c>
      <c r="AZ24" s="62">
        <f t="shared" si="21"/>
        <v>1503.8899999999999</v>
      </c>
      <c r="BA24" s="62">
        <f t="shared" si="21"/>
        <v>1549.59</v>
      </c>
      <c r="BB24" s="62">
        <f t="shared" si="21"/>
        <v>1517.3899999999999</v>
      </c>
      <c r="BC24" s="62">
        <f t="shared" si="21"/>
        <v>1522.3899999999999</v>
      </c>
      <c r="BD24" s="62">
        <f t="shared" si="21"/>
        <v>1435.69</v>
      </c>
      <c r="BE24" s="62">
        <f t="shared" si="21"/>
        <v>1490.8899999999999</v>
      </c>
      <c r="BF24" s="62">
        <f t="shared" si="21"/>
        <v>1481.79</v>
      </c>
      <c r="BG24" s="62">
        <f t="shared" si="21"/>
        <v>1599.15</v>
      </c>
      <c r="BH24" s="62">
        <f t="shared" si="21"/>
        <v>1526.35</v>
      </c>
      <c r="BI24" s="62">
        <f t="shared" si="21"/>
        <v>1468.8899999999999</v>
      </c>
      <c r="BJ24" s="62">
        <f t="shared" si="21"/>
        <v>1663.69</v>
      </c>
      <c r="BK24" s="62">
        <f t="shared" si="21"/>
        <v>1616.19</v>
      </c>
      <c r="BL24" s="62">
        <f t="shared" si="21"/>
        <v>1331.39</v>
      </c>
      <c r="BM24" s="62">
        <f t="shared" si="21"/>
        <v>1403.3899999999999</v>
      </c>
      <c r="BN24" s="62">
        <f t="shared" si="21"/>
        <v>1386.99</v>
      </c>
      <c r="BO24" s="192">
        <f t="shared" si="21"/>
        <v>0</v>
      </c>
      <c r="BP24" s="192"/>
      <c r="BQ24" s="192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5.9</v>
      </c>
      <c r="C25" s="46">
        <v>5.9</v>
      </c>
      <c r="D25" s="46">
        <v>5.9</v>
      </c>
      <c r="E25" s="46">
        <v>5.9</v>
      </c>
      <c r="F25" s="46">
        <v>5.9</v>
      </c>
      <c r="G25" s="46">
        <v>5.9</v>
      </c>
      <c r="H25" s="46">
        <v>5.9</v>
      </c>
      <c r="I25" s="46">
        <v>5.9</v>
      </c>
      <c r="J25" s="46">
        <v>5.9</v>
      </c>
      <c r="K25" s="46">
        <v>5.9</v>
      </c>
      <c r="L25" s="46">
        <v>5.9</v>
      </c>
      <c r="M25" s="46">
        <v>5.9</v>
      </c>
      <c r="N25" s="46">
        <v>5.9</v>
      </c>
      <c r="O25" s="46">
        <v>5.9</v>
      </c>
      <c r="P25" s="46">
        <v>5.9</v>
      </c>
      <c r="Q25" s="46">
        <v>5.9</v>
      </c>
      <c r="R25" s="46">
        <v>5.9</v>
      </c>
      <c r="S25" s="46">
        <v>5.9</v>
      </c>
      <c r="T25" s="46">
        <v>5.9</v>
      </c>
      <c r="U25" s="46">
        <v>5.9</v>
      </c>
      <c r="V25" s="46">
        <v>5.9</v>
      </c>
      <c r="W25" s="46">
        <v>5.9</v>
      </c>
      <c r="X25" s="46">
        <v>5.9</v>
      </c>
      <c r="Y25" s="46">
        <v>5.9</v>
      </c>
      <c r="Z25" s="46">
        <v>5.9</v>
      </c>
      <c r="AA25" s="46">
        <v>5.9</v>
      </c>
      <c r="AB25" s="46">
        <v>6.9</v>
      </c>
      <c r="AC25" s="46">
        <v>6.9</v>
      </c>
      <c r="AD25" s="46">
        <v>6.9</v>
      </c>
      <c r="AE25" s="46">
        <v>5.7</v>
      </c>
      <c r="AF25" s="46">
        <v>5.7</v>
      </c>
      <c r="AG25" s="60">
        <v>30</v>
      </c>
      <c r="AH25" s="48">
        <f t="shared" si="8"/>
        <v>6.9</v>
      </c>
      <c r="AI25" s="49">
        <f t="shared" si="9"/>
        <v>5.7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6.7</v>
      </c>
      <c r="C26" s="46">
        <v>6.7</v>
      </c>
      <c r="D26" s="46">
        <v>6.7</v>
      </c>
      <c r="E26" s="46">
        <v>6.7</v>
      </c>
      <c r="F26" s="46">
        <v>6.7</v>
      </c>
      <c r="G26" s="46">
        <v>6.7</v>
      </c>
      <c r="H26" s="46">
        <v>6.7</v>
      </c>
      <c r="I26" s="46">
        <v>6.7</v>
      </c>
      <c r="J26" s="46">
        <v>6.7</v>
      </c>
      <c r="K26" s="46">
        <v>6.7</v>
      </c>
      <c r="L26" s="46">
        <v>6.7</v>
      </c>
      <c r="M26" s="46">
        <v>6.7</v>
      </c>
      <c r="N26" s="46">
        <v>6.7</v>
      </c>
      <c r="O26" s="46">
        <v>6.7</v>
      </c>
      <c r="P26" s="46">
        <v>6.7</v>
      </c>
      <c r="Q26" s="46">
        <v>6.7</v>
      </c>
      <c r="R26" s="46">
        <v>6.7</v>
      </c>
      <c r="S26" s="46">
        <v>6.7</v>
      </c>
      <c r="T26" s="46">
        <v>6.7</v>
      </c>
      <c r="U26" s="46">
        <v>6.7</v>
      </c>
      <c r="V26" s="46">
        <v>6.7</v>
      </c>
      <c r="W26" s="46">
        <v>6.7</v>
      </c>
      <c r="X26" s="46">
        <v>6.7</v>
      </c>
      <c r="Y26" s="46">
        <v>6.7</v>
      </c>
      <c r="Z26" s="46">
        <v>6.7</v>
      </c>
      <c r="AA26" s="46">
        <v>6.7</v>
      </c>
      <c r="AB26" s="46">
        <v>9.1999999999999993</v>
      </c>
      <c r="AC26" s="46">
        <v>9.1999999999999993</v>
      </c>
      <c r="AD26" s="46">
        <v>9.1999999999999993</v>
      </c>
      <c r="AE26" s="46">
        <v>6.2</v>
      </c>
      <c r="AF26" s="46">
        <v>6.2</v>
      </c>
      <c r="AG26" s="50">
        <v>25</v>
      </c>
      <c r="AH26" s="48">
        <f t="shared" si="8"/>
        <v>9.1999999999999993</v>
      </c>
      <c r="AI26" s="49">
        <f t="shared" si="9"/>
        <v>6.2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5</v>
      </c>
      <c r="N27" s="46">
        <v>5</v>
      </c>
      <c r="O27" s="46">
        <v>5</v>
      </c>
      <c r="P27" s="46">
        <v>5</v>
      </c>
      <c r="Q27" s="46">
        <v>5</v>
      </c>
      <c r="R27" s="46">
        <v>5</v>
      </c>
      <c r="S27" s="46">
        <v>5</v>
      </c>
      <c r="T27" s="46">
        <v>5</v>
      </c>
      <c r="U27" s="46">
        <v>5</v>
      </c>
      <c r="V27" s="46">
        <v>5</v>
      </c>
      <c r="W27" s="46">
        <v>5</v>
      </c>
      <c r="X27" s="46">
        <v>5</v>
      </c>
      <c r="Y27" s="46">
        <v>5</v>
      </c>
      <c r="Z27" s="46">
        <v>5</v>
      </c>
      <c r="AA27" s="46">
        <v>5</v>
      </c>
      <c r="AB27" s="46">
        <v>5</v>
      </c>
      <c r="AC27" s="46">
        <v>5</v>
      </c>
      <c r="AD27" s="46">
        <v>5</v>
      </c>
      <c r="AE27" s="46">
        <v>5</v>
      </c>
      <c r="AF27" s="46">
        <v>5</v>
      </c>
      <c r="AG27" s="50">
        <v>25</v>
      </c>
      <c r="AH27" s="48">
        <f t="shared" si="8"/>
        <v>5</v>
      </c>
      <c r="AI27" s="49">
        <f t="shared" si="9"/>
        <v>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6</v>
      </c>
      <c r="C28" s="46">
        <v>6</v>
      </c>
      <c r="D28" s="46">
        <v>6</v>
      </c>
      <c r="E28" s="46">
        <v>6</v>
      </c>
      <c r="F28" s="46">
        <v>6</v>
      </c>
      <c r="G28" s="46">
        <v>6</v>
      </c>
      <c r="H28" s="46">
        <v>6</v>
      </c>
      <c r="I28" s="46">
        <v>6</v>
      </c>
      <c r="J28" s="46">
        <v>6</v>
      </c>
      <c r="K28" s="46">
        <v>6</v>
      </c>
      <c r="L28" s="46">
        <v>6</v>
      </c>
      <c r="M28" s="46">
        <v>6</v>
      </c>
      <c r="N28" s="46">
        <v>6</v>
      </c>
      <c r="O28" s="46">
        <v>6</v>
      </c>
      <c r="P28" s="46">
        <v>6</v>
      </c>
      <c r="Q28" s="46">
        <v>6</v>
      </c>
      <c r="R28" s="46">
        <v>6</v>
      </c>
      <c r="S28" s="46">
        <v>6</v>
      </c>
      <c r="T28" s="46">
        <v>6</v>
      </c>
      <c r="U28" s="46">
        <v>6</v>
      </c>
      <c r="V28" s="46">
        <v>6</v>
      </c>
      <c r="W28" s="46">
        <v>6</v>
      </c>
      <c r="X28" s="46">
        <v>6</v>
      </c>
      <c r="Y28" s="46">
        <v>6</v>
      </c>
      <c r="Z28" s="46">
        <v>6</v>
      </c>
      <c r="AA28" s="46">
        <v>6</v>
      </c>
      <c r="AB28" s="46">
        <v>6</v>
      </c>
      <c r="AC28" s="46">
        <v>6</v>
      </c>
      <c r="AD28" s="46">
        <v>6</v>
      </c>
      <c r="AE28" s="46">
        <v>6</v>
      </c>
      <c r="AF28" s="46">
        <v>6</v>
      </c>
      <c r="AG28" s="50">
        <v>25</v>
      </c>
      <c r="AH28" s="48">
        <f t="shared" si="8"/>
        <v>6</v>
      </c>
      <c r="AI28" s="49">
        <f t="shared" si="9"/>
        <v>6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6.2</v>
      </c>
      <c r="C29" s="46">
        <v>6.2</v>
      </c>
      <c r="D29" s="46">
        <v>6.2</v>
      </c>
      <c r="E29" s="46">
        <v>6.2</v>
      </c>
      <c r="F29" s="46">
        <v>6.2</v>
      </c>
      <c r="G29" s="46">
        <v>6.2</v>
      </c>
      <c r="H29" s="46">
        <v>6.2</v>
      </c>
      <c r="I29" s="46">
        <v>6.2</v>
      </c>
      <c r="J29" s="46">
        <v>6.2</v>
      </c>
      <c r="K29" s="46">
        <v>6.2</v>
      </c>
      <c r="L29" s="46">
        <v>6.2</v>
      </c>
      <c r="M29" s="46">
        <v>6.2</v>
      </c>
      <c r="N29" s="46">
        <v>6.2</v>
      </c>
      <c r="O29" s="46">
        <v>6.2</v>
      </c>
      <c r="P29" s="46">
        <v>6.2</v>
      </c>
      <c r="Q29" s="46">
        <v>6.2</v>
      </c>
      <c r="R29" s="46">
        <v>6.2</v>
      </c>
      <c r="S29" s="46">
        <v>6.2</v>
      </c>
      <c r="T29" s="46">
        <v>6.2</v>
      </c>
      <c r="U29" s="46">
        <v>6.2</v>
      </c>
      <c r="V29" s="46">
        <v>6.2</v>
      </c>
      <c r="W29" s="46">
        <v>6.2</v>
      </c>
      <c r="X29" s="46">
        <v>6.2</v>
      </c>
      <c r="Y29" s="46">
        <v>6.2</v>
      </c>
      <c r="Z29" s="46">
        <v>6.2</v>
      </c>
      <c r="AA29" s="46">
        <v>6.2</v>
      </c>
      <c r="AB29" s="46">
        <v>6.8</v>
      </c>
      <c r="AC29" s="46">
        <v>6.8</v>
      </c>
      <c r="AD29" s="46">
        <v>6.8</v>
      </c>
      <c r="AE29" s="46">
        <v>6.8</v>
      </c>
      <c r="AF29" s="46">
        <v>6.8</v>
      </c>
      <c r="AG29" s="50">
        <v>25</v>
      </c>
      <c r="AH29" s="48">
        <f t="shared" si="8"/>
        <v>6.8</v>
      </c>
      <c r="AI29" s="49">
        <f t="shared" si="9"/>
        <v>6.2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5.6</v>
      </c>
      <c r="C30" s="46">
        <v>5.6</v>
      </c>
      <c r="D30" s="46">
        <v>5.6</v>
      </c>
      <c r="E30" s="46">
        <v>5.6</v>
      </c>
      <c r="F30" s="46">
        <v>5.6</v>
      </c>
      <c r="G30" s="46">
        <v>5.6</v>
      </c>
      <c r="H30" s="46">
        <v>5.6</v>
      </c>
      <c r="I30" s="46">
        <v>5.6</v>
      </c>
      <c r="J30" s="46">
        <v>5.6</v>
      </c>
      <c r="K30" s="46">
        <v>5.6</v>
      </c>
      <c r="L30" s="46">
        <v>5.6</v>
      </c>
      <c r="M30" s="46">
        <v>5.6</v>
      </c>
      <c r="N30" s="46">
        <v>5.6</v>
      </c>
      <c r="O30" s="46">
        <v>5.6</v>
      </c>
      <c r="P30" s="46">
        <v>5.6</v>
      </c>
      <c r="Q30" s="46">
        <v>5.6</v>
      </c>
      <c r="R30" s="46">
        <v>5.6</v>
      </c>
      <c r="S30" s="46">
        <v>5.6</v>
      </c>
      <c r="T30" s="46">
        <v>5.6</v>
      </c>
      <c r="U30" s="46">
        <v>5.6</v>
      </c>
      <c r="V30" s="46">
        <v>5.6</v>
      </c>
      <c r="W30" s="46">
        <v>5.6</v>
      </c>
      <c r="X30" s="46">
        <v>5.6</v>
      </c>
      <c r="Y30" s="46">
        <v>5.6</v>
      </c>
      <c r="Z30" s="46">
        <v>5.6</v>
      </c>
      <c r="AA30" s="46">
        <v>5.6</v>
      </c>
      <c r="AB30" s="46">
        <v>6.6</v>
      </c>
      <c r="AC30" s="46">
        <v>6.6</v>
      </c>
      <c r="AD30" s="46">
        <v>6.6</v>
      </c>
      <c r="AE30" s="46">
        <v>6.6</v>
      </c>
      <c r="AF30" s="46">
        <v>6.6</v>
      </c>
      <c r="AG30" s="50">
        <v>23.5</v>
      </c>
      <c r="AH30" s="48">
        <f t="shared" si="8"/>
        <v>6.6</v>
      </c>
      <c r="AI30" s="49">
        <f t="shared" si="9"/>
        <v>5.6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>
        <v>3</v>
      </c>
      <c r="V31" s="46">
        <v>3</v>
      </c>
      <c r="W31" s="46">
        <v>3</v>
      </c>
      <c r="X31" s="46">
        <v>3</v>
      </c>
      <c r="Y31" s="46">
        <v>3</v>
      </c>
      <c r="Z31" s="46">
        <v>3</v>
      </c>
      <c r="AA31" s="46">
        <v>3</v>
      </c>
      <c r="AB31" s="46">
        <v>3</v>
      </c>
      <c r="AC31" s="46">
        <v>3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8"/>
        <v>3</v>
      </c>
      <c r="AI31" s="49">
        <f t="shared" si="9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5.5</v>
      </c>
      <c r="Q32" s="46">
        <v>5.5</v>
      </c>
      <c r="R32" s="46">
        <v>5.5</v>
      </c>
      <c r="S32" s="46">
        <v>5.5</v>
      </c>
      <c r="T32" s="46">
        <v>5.5</v>
      </c>
      <c r="U32" s="46">
        <v>5.5</v>
      </c>
      <c r="V32" s="46">
        <v>5.5</v>
      </c>
      <c r="W32" s="46">
        <v>5.5</v>
      </c>
      <c r="X32" s="46">
        <v>5.5</v>
      </c>
      <c r="Y32" s="46">
        <v>5.5</v>
      </c>
      <c r="Z32" s="46">
        <v>5.5</v>
      </c>
      <c r="AA32" s="46">
        <v>5.5</v>
      </c>
      <c r="AB32" s="46">
        <v>5.5</v>
      </c>
      <c r="AC32" s="46">
        <v>5.5</v>
      </c>
      <c r="AD32" s="46">
        <v>5.5</v>
      </c>
      <c r="AE32" s="46">
        <v>5.5</v>
      </c>
      <c r="AF32" s="46">
        <v>5.5</v>
      </c>
      <c r="AG32" s="50">
        <v>22.1</v>
      </c>
      <c r="AH32" s="48">
        <f t="shared" si="8"/>
        <v>5.5</v>
      </c>
      <c r="AI32" s="49">
        <f t="shared" si="9"/>
        <v>5.5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6</v>
      </c>
      <c r="C33" s="46">
        <v>6</v>
      </c>
      <c r="D33" s="46">
        <v>6</v>
      </c>
      <c r="E33" s="46">
        <v>6</v>
      </c>
      <c r="F33" s="46">
        <v>6</v>
      </c>
      <c r="G33" s="46">
        <v>6</v>
      </c>
      <c r="H33" s="46">
        <v>6</v>
      </c>
      <c r="I33" s="46">
        <v>6</v>
      </c>
      <c r="J33" s="46">
        <v>6</v>
      </c>
      <c r="K33" s="46">
        <v>6</v>
      </c>
      <c r="L33" s="46">
        <v>6</v>
      </c>
      <c r="M33" s="46">
        <v>6</v>
      </c>
      <c r="N33" s="46">
        <v>6</v>
      </c>
      <c r="O33" s="46">
        <v>6</v>
      </c>
      <c r="P33" s="46">
        <v>6</v>
      </c>
      <c r="Q33" s="46">
        <v>6</v>
      </c>
      <c r="R33" s="46">
        <v>6</v>
      </c>
      <c r="S33" s="46">
        <v>6</v>
      </c>
      <c r="T33" s="46">
        <v>6</v>
      </c>
      <c r="U33" s="46">
        <v>6</v>
      </c>
      <c r="V33" s="46">
        <v>6</v>
      </c>
      <c r="W33" s="46">
        <v>6</v>
      </c>
      <c r="X33" s="46">
        <v>6</v>
      </c>
      <c r="Y33" s="46">
        <v>6</v>
      </c>
      <c r="Z33" s="46">
        <v>6</v>
      </c>
      <c r="AA33" s="46">
        <v>6</v>
      </c>
      <c r="AB33" s="46">
        <v>6</v>
      </c>
      <c r="AC33" s="46">
        <v>6</v>
      </c>
      <c r="AD33" s="46">
        <v>6</v>
      </c>
      <c r="AE33" s="46">
        <v>6</v>
      </c>
      <c r="AF33" s="46">
        <v>6</v>
      </c>
      <c r="AG33" s="50">
        <v>22</v>
      </c>
      <c r="AH33" s="48">
        <f t="shared" si="8"/>
        <v>6</v>
      </c>
      <c r="AI33" s="49">
        <f t="shared" si="9"/>
        <v>6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6.7</v>
      </c>
      <c r="C34" s="46">
        <v>6.7</v>
      </c>
      <c r="D34" s="46">
        <v>6.7</v>
      </c>
      <c r="E34" s="46">
        <v>6.7</v>
      </c>
      <c r="F34" s="46">
        <v>6.7</v>
      </c>
      <c r="G34" s="46">
        <v>6.7</v>
      </c>
      <c r="H34" s="46">
        <v>6.7</v>
      </c>
      <c r="I34" s="46">
        <v>6.7</v>
      </c>
      <c r="J34" s="46">
        <v>6.7</v>
      </c>
      <c r="K34" s="46">
        <v>6.7</v>
      </c>
      <c r="L34" s="46">
        <v>6.7</v>
      </c>
      <c r="M34" s="46">
        <v>6.7</v>
      </c>
      <c r="N34" s="46">
        <v>6.7</v>
      </c>
      <c r="O34" s="46">
        <v>6.7</v>
      </c>
      <c r="P34" s="46">
        <v>6.7</v>
      </c>
      <c r="Q34" s="46">
        <v>6.7</v>
      </c>
      <c r="R34" s="46">
        <v>6.7</v>
      </c>
      <c r="S34" s="46">
        <v>6.7</v>
      </c>
      <c r="T34" s="46">
        <v>6.7</v>
      </c>
      <c r="U34" s="46">
        <v>6.7</v>
      </c>
      <c r="V34" s="46">
        <v>6.7</v>
      </c>
      <c r="W34" s="46">
        <v>6.7</v>
      </c>
      <c r="X34" s="46">
        <v>6.7</v>
      </c>
      <c r="Y34" s="46">
        <v>6.7</v>
      </c>
      <c r="Z34" s="46">
        <v>6.7</v>
      </c>
      <c r="AA34" s="46">
        <v>6.7</v>
      </c>
      <c r="AB34" s="46">
        <v>8.1999999999999993</v>
      </c>
      <c r="AC34" s="46">
        <v>8.1999999999999993</v>
      </c>
      <c r="AD34" s="46">
        <v>8.1999999999999993</v>
      </c>
      <c r="AE34" s="46">
        <v>8.1999999999999993</v>
      </c>
      <c r="AF34" s="46">
        <v>8.1999999999999993</v>
      </c>
      <c r="AG34" s="50">
        <v>22</v>
      </c>
      <c r="AH34" s="48">
        <f t="shared" si="8"/>
        <v>8.1999999999999993</v>
      </c>
      <c r="AI34" s="49">
        <f t="shared" si="9"/>
        <v>6.7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8"/>
        <v>4</v>
      </c>
      <c r="AI35" s="49">
        <f t="shared" si="9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>
        <v>4</v>
      </c>
      <c r="V36" s="46">
        <v>4</v>
      </c>
      <c r="W36" s="46">
        <v>4</v>
      </c>
      <c r="X36" s="46">
        <v>4</v>
      </c>
      <c r="Y36" s="46">
        <v>4</v>
      </c>
      <c r="Z36" s="46">
        <v>4</v>
      </c>
      <c r="AA36" s="46">
        <v>4</v>
      </c>
      <c r="AB36" s="46">
        <v>4</v>
      </c>
      <c r="AC36" s="46">
        <v>4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8"/>
        <v>4</v>
      </c>
      <c r="AI36" s="49">
        <f t="shared" si="9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>
        <v>5.7</v>
      </c>
      <c r="V37" s="46">
        <v>5.7</v>
      </c>
      <c r="W37" s="46">
        <v>5.7</v>
      </c>
      <c r="X37" s="46">
        <v>5.7</v>
      </c>
      <c r="Y37" s="46">
        <v>5.7</v>
      </c>
      <c r="Z37" s="46">
        <v>5.7</v>
      </c>
      <c r="AA37" s="46">
        <v>5.7</v>
      </c>
      <c r="AB37" s="46">
        <v>5.7</v>
      </c>
      <c r="AC37" s="46">
        <v>5.7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8"/>
        <v>5.7</v>
      </c>
      <c r="AI37" s="49">
        <f t="shared" si="9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7.2</v>
      </c>
      <c r="Q38" s="46">
        <v>7.2</v>
      </c>
      <c r="R38" s="46">
        <v>7.2</v>
      </c>
      <c r="S38" s="46">
        <v>7.2</v>
      </c>
      <c r="T38" s="46">
        <v>7.2</v>
      </c>
      <c r="U38" s="46">
        <v>7.2</v>
      </c>
      <c r="V38" s="46">
        <v>7.2</v>
      </c>
      <c r="W38" s="46">
        <v>7.2</v>
      </c>
      <c r="X38" s="46">
        <v>7.2</v>
      </c>
      <c r="Y38" s="46">
        <v>7.2</v>
      </c>
      <c r="Z38" s="46">
        <v>7.2</v>
      </c>
      <c r="AA38" s="46">
        <v>7.2</v>
      </c>
      <c r="AB38" s="46">
        <v>7.2</v>
      </c>
      <c r="AC38" s="46">
        <v>7.2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8"/>
        <v>7.2</v>
      </c>
      <c r="AI38" s="49">
        <f t="shared" si="9"/>
        <v>7.2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5</v>
      </c>
      <c r="C40" s="46">
        <v>5</v>
      </c>
      <c r="D40" s="46">
        <v>5</v>
      </c>
      <c r="E40" s="46">
        <v>5</v>
      </c>
      <c r="F40" s="46">
        <v>5</v>
      </c>
      <c r="G40" s="46">
        <v>5</v>
      </c>
      <c r="H40" s="46">
        <v>5</v>
      </c>
      <c r="I40" s="46">
        <v>5</v>
      </c>
      <c r="J40" s="46">
        <v>5</v>
      </c>
      <c r="K40" s="46">
        <v>5</v>
      </c>
      <c r="L40" s="46">
        <v>5</v>
      </c>
      <c r="M40" s="46">
        <v>5</v>
      </c>
      <c r="N40" s="46">
        <v>5</v>
      </c>
      <c r="O40" s="46">
        <v>5</v>
      </c>
      <c r="P40" s="46">
        <v>5</v>
      </c>
      <c r="Q40" s="46">
        <v>5</v>
      </c>
      <c r="R40" s="46">
        <v>5</v>
      </c>
      <c r="S40" s="46">
        <v>5</v>
      </c>
      <c r="T40" s="46">
        <v>5</v>
      </c>
      <c r="U40" s="46">
        <v>5</v>
      </c>
      <c r="V40" s="46">
        <v>5</v>
      </c>
      <c r="W40" s="46">
        <v>5</v>
      </c>
      <c r="X40" s="46">
        <v>5</v>
      </c>
      <c r="Y40" s="46">
        <v>5</v>
      </c>
      <c r="Z40" s="46">
        <v>5</v>
      </c>
      <c r="AA40" s="46">
        <v>5</v>
      </c>
      <c r="AB40" s="46">
        <v>5</v>
      </c>
      <c r="AC40" s="46">
        <v>5</v>
      </c>
      <c r="AD40" s="46">
        <v>5</v>
      </c>
      <c r="AE40" s="46">
        <v>5</v>
      </c>
      <c r="AF40" s="46">
        <v>5</v>
      </c>
      <c r="AG40" s="50">
        <v>14.9</v>
      </c>
      <c r="AH40" s="48">
        <f t="shared" si="8"/>
        <v>5</v>
      </c>
      <c r="AI40" s="49">
        <f t="shared" si="9"/>
        <v>5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8"/>
        <v>4</v>
      </c>
      <c r="AI41" s="49">
        <f t="shared" si="9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>
        <v>1.8</v>
      </c>
      <c r="V42" s="46">
        <v>1.8</v>
      </c>
      <c r="W42" s="46">
        <v>1.8</v>
      </c>
      <c r="X42" s="46">
        <v>1.8</v>
      </c>
      <c r="Y42" s="46">
        <v>1.8</v>
      </c>
      <c r="Z42" s="46">
        <v>1.8</v>
      </c>
      <c r="AA42" s="46">
        <v>1.8</v>
      </c>
      <c r="AB42" s="46">
        <v>1.8</v>
      </c>
      <c r="AC42" s="46">
        <v>1.8</v>
      </c>
      <c r="AD42" s="46">
        <v>1.8</v>
      </c>
      <c r="AE42" s="46">
        <v>1.8</v>
      </c>
      <c r="AF42" s="46">
        <v>1.8</v>
      </c>
      <c r="AG42" s="50">
        <v>13.6</v>
      </c>
      <c r="AH42" s="48">
        <f t="shared" si="8"/>
        <v>1.8</v>
      </c>
      <c r="AI42" s="49">
        <f t="shared" si="9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>
        <v>3.8</v>
      </c>
      <c r="V43" s="46">
        <v>3.8</v>
      </c>
      <c r="W43" s="46">
        <v>3.8</v>
      </c>
      <c r="X43" s="46">
        <v>3.8</v>
      </c>
      <c r="Y43" s="46">
        <v>3.8</v>
      </c>
      <c r="Z43" s="46">
        <v>3.8</v>
      </c>
      <c r="AA43" s="46">
        <v>3.8</v>
      </c>
      <c r="AB43" s="46">
        <v>3.8</v>
      </c>
      <c r="AC43" s="46">
        <v>3.8</v>
      </c>
      <c r="AD43" s="46">
        <v>3.8</v>
      </c>
      <c r="AE43" s="46">
        <v>3.8</v>
      </c>
      <c r="AF43" s="46">
        <v>3.8</v>
      </c>
      <c r="AG43" s="50">
        <v>13</v>
      </c>
      <c r="AH43" s="48">
        <f t="shared" si="8"/>
        <v>3.8</v>
      </c>
      <c r="AI43" s="49">
        <f t="shared" si="9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2.5</v>
      </c>
      <c r="C44" s="46">
        <v>2.5</v>
      </c>
      <c r="D44" s="46">
        <v>2.5</v>
      </c>
      <c r="E44" s="46">
        <v>2.5</v>
      </c>
      <c r="F44" s="46">
        <v>2.5</v>
      </c>
      <c r="G44" s="46">
        <v>2.5</v>
      </c>
      <c r="H44" s="46">
        <v>2.5</v>
      </c>
      <c r="I44" s="46">
        <v>2.5</v>
      </c>
      <c r="J44" s="46">
        <v>2.5</v>
      </c>
      <c r="K44" s="46">
        <v>2.5</v>
      </c>
      <c r="L44" s="46">
        <v>2.5</v>
      </c>
      <c r="M44" s="46">
        <v>2.5</v>
      </c>
      <c r="N44" s="46">
        <v>2.5</v>
      </c>
      <c r="O44" s="46">
        <v>2.5</v>
      </c>
      <c r="P44" s="46">
        <v>2.5</v>
      </c>
      <c r="Q44" s="46">
        <v>2.5</v>
      </c>
      <c r="R44" s="46">
        <v>2.5</v>
      </c>
      <c r="S44" s="46">
        <v>2.5</v>
      </c>
      <c r="T44" s="46">
        <v>2.5</v>
      </c>
      <c r="U44" s="46">
        <v>2.5</v>
      </c>
      <c r="V44" s="46">
        <v>2.5</v>
      </c>
      <c r="W44" s="46">
        <v>2.5</v>
      </c>
      <c r="X44" s="46">
        <v>2.5</v>
      </c>
      <c r="Y44" s="46">
        <v>2.5</v>
      </c>
      <c r="Z44" s="46">
        <v>2.5</v>
      </c>
      <c r="AA44" s="46">
        <v>2.5</v>
      </c>
      <c r="AB44" s="46">
        <v>2.5</v>
      </c>
      <c r="AC44" s="46">
        <v>2.5</v>
      </c>
      <c r="AD44" s="46">
        <v>2.5</v>
      </c>
      <c r="AE44" s="46">
        <v>2.5</v>
      </c>
      <c r="AF44" s="46">
        <v>2.5</v>
      </c>
      <c r="AG44" s="50">
        <v>12</v>
      </c>
      <c r="AH44" s="48">
        <f t="shared" si="8"/>
        <v>2.5</v>
      </c>
      <c r="AI44" s="49">
        <f t="shared" si="9"/>
        <v>2.5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>
        <v>9</v>
      </c>
      <c r="V45" s="46">
        <v>9</v>
      </c>
      <c r="W45" s="46">
        <v>9</v>
      </c>
      <c r="X45" s="46">
        <v>9</v>
      </c>
      <c r="Y45" s="46">
        <v>9</v>
      </c>
      <c r="Z45" s="46">
        <v>9</v>
      </c>
      <c r="AA45" s="46">
        <v>9</v>
      </c>
      <c r="AB45" s="46">
        <v>9</v>
      </c>
      <c r="AC45" s="46">
        <v>9</v>
      </c>
      <c r="AD45" s="46">
        <v>9</v>
      </c>
      <c r="AE45" s="46">
        <v>9</v>
      </c>
      <c r="AF45" s="46">
        <v>9</v>
      </c>
      <c r="AG45" s="50">
        <v>12</v>
      </c>
      <c r="AH45" s="48">
        <f t="shared" si="8"/>
        <v>9</v>
      </c>
      <c r="AI45" s="49">
        <f t="shared" si="9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>
        <v>3.5</v>
      </c>
      <c r="V47" s="46">
        <v>3.5</v>
      </c>
      <c r="W47" s="46">
        <v>3.5</v>
      </c>
      <c r="X47" s="46">
        <v>3.5</v>
      </c>
      <c r="Y47" s="46">
        <v>3.5</v>
      </c>
      <c r="Z47" s="46">
        <v>3.5</v>
      </c>
      <c r="AA47" s="46">
        <v>3.5</v>
      </c>
      <c r="AB47" s="46">
        <v>3.5</v>
      </c>
      <c r="AC47" s="46">
        <v>3.5</v>
      </c>
      <c r="AD47" s="46">
        <v>3.5</v>
      </c>
      <c r="AE47" s="46">
        <v>3.5</v>
      </c>
      <c r="AF47" s="46">
        <v>3.5</v>
      </c>
      <c r="AG47" s="63">
        <v>22</v>
      </c>
      <c r="AH47" s="48">
        <f t="shared" si="8"/>
        <v>3.5</v>
      </c>
      <c r="AI47" s="49">
        <f t="shared" si="9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>
        <v>5</v>
      </c>
      <c r="V48" s="46">
        <v>5</v>
      </c>
      <c r="W48" s="46">
        <v>5</v>
      </c>
      <c r="X48" s="46">
        <v>5</v>
      </c>
      <c r="Y48" s="46">
        <v>5</v>
      </c>
      <c r="Z48" s="46">
        <v>5</v>
      </c>
      <c r="AA48" s="46">
        <v>5</v>
      </c>
      <c r="AB48" s="46">
        <v>5</v>
      </c>
      <c r="AC48" s="46">
        <v>5</v>
      </c>
      <c r="AD48" s="46">
        <v>5</v>
      </c>
      <c r="AE48" s="46">
        <v>5</v>
      </c>
      <c r="AF48" s="46">
        <v>5</v>
      </c>
      <c r="AG48" s="60">
        <v>11.88</v>
      </c>
      <c r="AH48" s="48">
        <f t="shared" si="8"/>
        <v>5</v>
      </c>
      <c r="AI48" s="49">
        <f t="shared" si="9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5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4" t="s">
        <v>67</v>
      </c>
      <c r="B50" s="46">
        <v>2.4500000000000002</v>
      </c>
      <c r="C50" s="46">
        <v>2.4500000000000002</v>
      </c>
      <c r="D50" s="46">
        <v>2.4500000000000002</v>
      </c>
      <c r="E50" s="46">
        <v>2.4500000000000002</v>
      </c>
      <c r="F50" s="46">
        <v>2.4500000000000002</v>
      </c>
      <c r="G50" s="46">
        <v>2.4500000000000002</v>
      </c>
      <c r="H50" s="46">
        <v>2.4500000000000002</v>
      </c>
      <c r="I50" s="46">
        <v>2.4500000000000002</v>
      </c>
      <c r="J50" s="46">
        <v>2.4500000000000002</v>
      </c>
      <c r="K50" s="46">
        <v>2.4500000000000002</v>
      </c>
      <c r="L50" s="46">
        <v>2.4500000000000002</v>
      </c>
      <c r="M50" s="46">
        <v>2.4500000000000002</v>
      </c>
      <c r="N50" s="46">
        <v>2.4500000000000002</v>
      </c>
      <c r="O50" s="46">
        <v>2.4500000000000002</v>
      </c>
      <c r="P50" s="46">
        <v>2.4500000000000002</v>
      </c>
      <c r="Q50" s="46">
        <v>2.4500000000000002</v>
      </c>
      <c r="R50" s="46">
        <v>2.4500000000000002</v>
      </c>
      <c r="S50" s="46">
        <v>2.4500000000000002</v>
      </c>
      <c r="T50" s="46">
        <v>2.4500000000000002</v>
      </c>
      <c r="U50" s="46">
        <v>2.4500000000000002</v>
      </c>
      <c r="V50" s="46">
        <v>2.4500000000000002</v>
      </c>
      <c r="W50" s="46">
        <v>2.4500000000000002</v>
      </c>
      <c r="X50" s="46">
        <v>2.4500000000000002</v>
      </c>
      <c r="Y50" s="46">
        <v>2.4500000000000002</v>
      </c>
      <c r="Z50" s="46">
        <v>2.4500000000000002</v>
      </c>
      <c r="AA50" s="46">
        <v>2.4500000000000002</v>
      </c>
      <c r="AB50" s="46">
        <v>2.4500000000000002</v>
      </c>
      <c r="AC50" s="46">
        <v>2.4500000000000002</v>
      </c>
      <c r="AD50" s="46">
        <v>2.4500000000000002</v>
      </c>
      <c r="AE50" s="46">
        <v>2.4500000000000002</v>
      </c>
      <c r="AF50" s="46">
        <v>2.4500000000000002</v>
      </c>
      <c r="AG50" s="65">
        <v>11</v>
      </c>
      <c r="AH50" s="48">
        <f t="shared" si="8"/>
        <v>2.4500000000000002</v>
      </c>
      <c r="AI50" s="49">
        <f t="shared" si="9"/>
        <v>2.4500000000000002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65">
        <v>11</v>
      </c>
      <c r="AH51" s="48">
        <f t="shared" si="8"/>
        <v>3</v>
      </c>
      <c r="AI51" s="49">
        <f t="shared" si="9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5">
        <v>10</v>
      </c>
      <c r="AH52" s="48">
        <f t="shared" si="8"/>
        <v>4</v>
      </c>
      <c r="AI52" s="49">
        <f t="shared" si="9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>
        <v>4.5</v>
      </c>
      <c r="V53" s="46">
        <v>4.5</v>
      </c>
      <c r="W53" s="46">
        <v>4.5</v>
      </c>
      <c r="X53" s="46">
        <v>4.5</v>
      </c>
      <c r="Y53" s="46">
        <v>4.5</v>
      </c>
      <c r="Z53" s="46">
        <v>4.5</v>
      </c>
      <c r="AA53" s="46">
        <v>4.5</v>
      </c>
      <c r="AB53" s="46">
        <v>4.5</v>
      </c>
      <c r="AC53" s="46">
        <v>4.5</v>
      </c>
      <c r="AD53" s="46">
        <v>4.5</v>
      </c>
      <c r="AE53" s="46">
        <v>4.5</v>
      </c>
      <c r="AF53" s="46">
        <v>4.5</v>
      </c>
      <c r="AG53" s="65">
        <v>10</v>
      </c>
      <c r="AH53" s="48">
        <f t="shared" si="8"/>
        <v>4.5</v>
      </c>
      <c r="AI53" s="49">
        <f t="shared" si="9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5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5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>
        <v>150</v>
      </c>
      <c r="W56" s="67">
        <v>150</v>
      </c>
      <c r="X56" s="67">
        <v>150</v>
      </c>
      <c r="Y56" s="67">
        <v>150</v>
      </c>
      <c r="Z56" s="67">
        <v>150</v>
      </c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8" t="s">
        <v>74</v>
      </c>
      <c r="B57" s="67">
        <v>12.4</v>
      </c>
      <c r="C57" s="67">
        <v>12.4</v>
      </c>
      <c r="D57" s="67">
        <v>12.4</v>
      </c>
      <c r="E57" s="67">
        <f>6.3+13.4</f>
        <v>19.7</v>
      </c>
      <c r="F57" s="67">
        <f>6.5+13.6</f>
        <v>20.100000000000001</v>
      </c>
      <c r="G57" s="67">
        <f>6.1+12.6</f>
        <v>18.7</v>
      </c>
      <c r="H57" s="67">
        <f>5.6+10.9</f>
        <v>16.5</v>
      </c>
      <c r="I57" s="67">
        <f>5.9+12.3</f>
        <v>18.200000000000003</v>
      </c>
      <c r="J57" s="67">
        <f>5.6+11.8</f>
        <v>17.399999999999999</v>
      </c>
      <c r="K57" s="53">
        <f>5.9+12.7</f>
        <v>18.600000000000001</v>
      </c>
      <c r="L57" s="53">
        <f>5.3+10.6</f>
        <v>15.899999999999999</v>
      </c>
      <c r="M57" s="53">
        <v>15.7</v>
      </c>
      <c r="N57" s="53">
        <v>17.7</v>
      </c>
      <c r="O57" s="53">
        <v>19.8</v>
      </c>
      <c r="P57" s="53">
        <v>19.8</v>
      </c>
      <c r="Q57" s="53">
        <v>18.8</v>
      </c>
      <c r="R57" s="53">
        <v>18.3</v>
      </c>
      <c r="S57" s="53">
        <v>18.3</v>
      </c>
      <c r="T57" s="53">
        <v>18.3</v>
      </c>
      <c r="U57" s="53">
        <v>18.3</v>
      </c>
      <c r="V57" s="53">
        <v>18.3</v>
      </c>
      <c r="W57" s="53">
        <v>18.3</v>
      </c>
      <c r="X57" s="53">
        <v>18.3</v>
      </c>
      <c r="Y57" s="53">
        <v>18.3</v>
      </c>
      <c r="Z57" s="53">
        <v>18.3</v>
      </c>
      <c r="AA57" s="53">
        <v>18.3</v>
      </c>
      <c r="AB57" s="53">
        <f>3+8</f>
        <v>11</v>
      </c>
      <c r="AC57" s="67">
        <f>5.7+2.2</f>
        <v>7.9</v>
      </c>
      <c r="AD57" s="67">
        <f>10.6+7</f>
        <v>17.600000000000001</v>
      </c>
      <c r="AE57" s="67">
        <f>10.6+7.3</f>
        <v>17.899999999999999</v>
      </c>
      <c r="AF57" s="67">
        <f>6.3+14</f>
        <v>20.3</v>
      </c>
      <c r="AG57" s="65">
        <v>240</v>
      </c>
      <c r="AH57" s="48">
        <f t="shared" si="8"/>
        <v>20.3</v>
      </c>
      <c r="AI57" s="49">
        <f t="shared" si="9"/>
        <v>7.9</v>
      </c>
      <c r="AK57" s="51"/>
    </row>
    <row r="58" spans="1:88" ht="15.75" thickBot="1" x14ac:dyDescent="0.3">
      <c r="A58" s="69" t="s">
        <v>75</v>
      </c>
      <c r="B58" s="70">
        <f t="shared" ref="B58:C58" si="22">SUM(B11:B56)</f>
        <v>450.65</v>
      </c>
      <c r="C58" s="70">
        <f t="shared" si="22"/>
        <v>450.65</v>
      </c>
      <c r="D58" s="70">
        <f t="shared" ref="D58" si="23">SUM(D11:D56)</f>
        <v>450.65</v>
      </c>
      <c r="E58" s="70">
        <f t="shared" ref="E58:AD58" si="24">SUM(E11:E56)</f>
        <v>450.65</v>
      </c>
      <c r="F58" s="70">
        <f t="shared" si="24"/>
        <v>450.65</v>
      </c>
      <c r="G58" s="70">
        <f t="shared" si="24"/>
        <v>450.65</v>
      </c>
      <c r="H58" s="70">
        <f t="shared" si="24"/>
        <v>450.65</v>
      </c>
      <c r="I58" s="70">
        <f t="shared" si="24"/>
        <v>450.65</v>
      </c>
      <c r="J58" s="70">
        <f t="shared" si="24"/>
        <v>450.65</v>
      </c>
      <c r="K58" s="70">
        <f t="shared" si="24"/>
        <v>450.65</v>
      </c>
      <c r="L58" s="70">
        <f t="shared" si="24"/>
        <v>450.65</v>
      </c>
      <c r="M58" s="70">
        <f t="shared" si="24"/>
        <v>448.34999999999997</v>
      </c>
      <c r="N58" s="70">
        <f t="shared" si="24"/>
        <v>448.34999999999997</v>
      </c>
      <c r="O58" s="70">
        <f t="shared" si="24"/>
        <v>448.34999999999997</v>
      </c>
      <c r="P58" s="70">
        <f t="shared" ref="P58" si="25">SUM(P11:P56)</f>
        <v>448.34999999999997</v>
      </c>
      <c r="Q58" s="70">
        <f t="shared" si="24"/>
        <v>448.54999999999995</v>
      </c>
      <c r="R58" s="70">
        <f t="shared" si="24"/>
        <v>448.54999999999995</v>
      </c>
      <c r="S58" s="70">
        <f t="shared" ref="S58:T58" si="26">SUM(S11:S56)</f>
        <v>448.54999999999995</v>
      </c>
      <c r="T58" s="70">
        <f t="shared" si="26"/>
        <v>448.54999999999995</v>
      </c>
      <c r="U58" s="70">
        <f t="shared" ref="U58:Y58" si="27">SUM(U11:U56)</f>
        <v>448.54999999999995</v>
      </c>
      <c r="V58" s="70">
        <f t="shared" si="27"/>
        <v>448.54999999999995</v>
      </c>
      <c r="W58" s="70">
        <f t="shared" si="27"/>
        <v>448.54999999999995</v>
      </c>
      <c r="X58" s="70">
        <f t="shared" si="27"/>
        <v>448.54999999999995</v>
      </c>
      <c r="Y58" s="70">
        <f t="shared" si="27"/>
        <v>447.24999999999994</v>
      </c>
      <c r="Z58" s="70">
        <f t="shared" si="24"/>
        <v>447.24999999999994</v>
      </c>
      <c r="AA58" s="70">
        <f t="shared" si="24"/>
        <v>447.24999999999994</v>
      </c>
      <c r="AB58" s="70">
        <f t="shared" ref="AB58" si="28">SUM(AB11:AB56)</f>
        <v>453.84999999999997</v>
      </c>
      <c r="AC58" s="70">
        <f t="shared" si="24"/>
        <v>451.05</v>
      </c>
      <c r="AD58" s="70">
        <f t="shared" si="24"/>
        <v>443.34999999999997</v>
      </c>
      <c r="AE58" s="70">
        <f t="shared" ref="AE58:AF58" si="29">SUM(AE11:AE56)</f>
        <v>459.45</v>
      </c>
      <c r="AF58" s="70">
        <f t="shared" si="29"/>
        <v>459.45</v>
      </c>
      <c r="AG58" s="71">
        <f>SUM(AG14:AG56)</f>
        <v>1042.4000000000001</v>
      </c>
      <c r="AH58" s="48">
        <f t="shared" si="8"/>
        <v>459.45</v>
      </c>
      <c r="AI58" s="49">
        <f t="shared" si="9"/>
        <v>443.34999999999997</v>
      </c>
      <c r="AK58" s="51"/>
    </row>
    <row r="59" spans="1:88" x14ac:dyDescent="0.25">
      <c r="A59" s="72" t="s">
        <v>76</v>
      </c>
      <c r="B59" s="46">
        <v>20</v>
      </c>
      <c r="C59" s="46">
        <v>15</v>
      </c>
      <c r="D59" s="46">
        <v>0</v>
      </c>
      <c r="E59" s="46">
        <v>0</v>
      </c>
      <c r="F59" s="46">
        <v>0</v>
      </c>
      <c r="G59" s="46">
        <v>30.2</v>
      </c>
      <c r="H59" s="46">
        <v>35.1</v>
      </c>
      <c r="I59" s="46">
        <v>40.200000000000003</v>
      </c>
      <c r="J59" s="46">
        <v>50.4</v>
      </c>
      <c r="K59" s="46">
        <v>80</v>
      </c>
      <c r="L59" s="46">
        <v>228.9</v>
      </c>
      <c r="M59" s="46">
        <v>400</v>
      </c>
      <c r="N59" s="46">
        <v>15</v>
      </c>
      <c r="O59" s="46">
        <v>30</v>
      </c>
      <c r="P59" s="46">
        <v>30</v>
      </c>
      <c r="Q59" s="73">
        <v>45</v>
      </c>
      <c r="R59" s="73">
        <v>30</v>
      </c>
      <c r="S59" s="73">
        <v>50</v>
      </c>
      <c r="T59" s="73">
        <v>15</v>
      </c>
      <c r="U59" s="73">
        <v>15</v>
      </c>
      <c r="V59" s="73">
        <v>15</v>
      </c>
      <c r="W59" s="73">
        <v>15</v>
      </c>
      <c r="X59" s="73">
        <v>15</v>
      </c>
      <c r="Y59" s="73">
        <v>60</v>
      </c>
      <c r="Z59" s="73">
        <v>50</v>
      </c>
      <c r="AA59" s="73">
        <v>388</v>
      </c>
      <c r="AB59" s="73">
        <v>373.7</v>
      </c>
      <c r="AC59" s="46">
        <v>145</v>
      </c>
      <c r="AD59" s="46">
        <v>130</v>
      </c>
      <c r="AE59" s="46">
        <v>140</v>
      </c>
      <c r="AF59" s="46">
        <v>140</v>
      </c>
      <c r="AG59" s="60">
        <v>456</v>
      </c>
      <c r="AH59" s="48">
        <f t="shared" si="8"/>
        <v>400</v>
      </c>
      <c r="AI59" s="49">
        <f t="shared" si="9"/>
        <v>0</v>
      </c>
      <c r="AK59" s="51"/>
    </row>
    <row r="60" spans="1:88" x14ac:dyDescent="0.25">
      <c r="A60" s="74" t="s">
        <v>77</v>
      </c>
      <c r="B60" s="75">
        <v>27</v>
      </c>
      <c r="C60" s="75">
        <v>27</v>
      </c>
      <c r="D60" s="75">
        <v>27</v>
      </c>
      <c r="E60" s="75">
        <v>27</v>
      </c>
      <c r="F60" s="75">
        <v>27</v>
      </c>
      <c r="G60" s="75">
        <v>27</v>
      </c>
      <c r="H60" s="75">
        <v>27</v>
      </c>
      <c r="I60" s="75">
        <v>27</v>
      </c>
      <c r="J60" s="75">
        <v>27</v>
      </c>
      <c r="K60" s="75">
        <v>27</v>
      </c>
      <c r="L60" s="75">
        <v>27</v>
      </c>
      <c r="M60" s="75">
        <v>27</v>
      </c>
      <c r="N60" s="75">
        <v>27</v>
      </c>
      <c r="O60" s="75">
        <v>27</v>
      </c>
      <c r="P60" s="75">
        <v>27</v>
      </c>
      <c r="Q60" s="75">
        <v>27</v>
      </c>
      <c r="R60" s="75">
        <v>27</v>
      </c>
      <c r="S60" s="75">
        <v>27</v>
      </c>
      <c r="T60" s="75">
        <v>27</v>
      </c>
      <c r="U60" s="75">
        <v>27</v>
      </c>
      <c r="V60" s="75">
        <v>27</v>
      </c>
      <c r="W60" s="75">
        <v>27</v>
      </c>
      <c r="X60" s="75">
        <v>27</v>
      </c>
      <c r="Y60" s="75">
        <v>27</v>
      </c>
      <c r="Z60" s="75">
        <v>21</v>
      </c>
      <c r="AA60" s="75">
        <v>21</v>
      </c>
      <c r="AB60" s="75">
        <v>21</v>
      </c>
      <c r="AC60" s="75">
        <v>21</v>
      </c>
      <c r="AD60" s="75">
        <v>21</v>
      </c>
      <c r="AE60" s="75">
        <v>21</v>
      </c>
      <c r="AF60" s="75">
        <v>21</v>
      </c>
      <c r="AG60" s="65">
        <v>60</v>
      </c>
      <c r="AH60" s="48">
        <f t="shared" si="8"/>
        <v>27</v>
      </c>
      <c r="AI60" s="49">
        <f t="shared" si="9"/>
        <v>21</v>
      </c>
      <c r="AK60" s="51"/>
    </row>
    <row r="61" spans="1:88" ht="15.75" thickBot="1" x14ac:dyDescent="0.3">
      <c r="A61" s="76" t="s">
        <v>78</v>
      </c>
      <c r="B61" s="77">
        <v>10.5</v>
      </c>
      <c r="C61" s="77">
        <v>10.5</v>
      </c>
      <c r="D61" s="77">
        <v>10.5</v>
      </c>
      <c r="E61" s="77">
        <v>9.6999999999999993</v>
      </c>
      <c r="F61" s="77">
        <v>9.6</v>
      </c>
      <c r="G61" s="77">
        <v>9.6</v>
      </c>
      <c r="H61" s="77">
        <v>9.6</v>
      </c>
      <c r="I61" s="77">
        <v>9.6999999999999993</v>
      </c>
      <c r="J61" s="77">
        <v>9.6</v>
      </c>
      <c r="K61" s="77">
        <v>9.6</v>
      </c>
      <c r="L61" s="77">
        <v>9.6</v>
      </c>
      <c r="M61" s="77">
        <v>9.6</v>
      </c>
      <c r="N61" s="77">
        <v>9.6</v>
      </c>
      <c r="O61" s="77">
        <v>9.6</v>
      </c>
      <c r="P61" s="77">
        <v>9.6</v>
      </c>
      <c r="Q61" s="77">
        <v>8.5</v>
      </c>
      <c r="R61" s="77">
        <v>8.5</v>
      </c>
      <c r="S61" s="77">
        <v>8.5</v>
      </c>
      <c r="T61" s="77">
        <v>8.5</v>
      </c>
      <c r="U61" s="77">
        <v>8.5</v>
      </c>
      <c r="V61" s="77">
        <v>8.5</v>
      </c>
      <c r="W61" s="77">
        <v>8.5</v>
      </c>
      <c r="X61" s="77">
        <v>8.5</v>
      </c>
      <c r="Y61" s="77">
        <v>8.5</v>
      </c>
      <c r="Z61" s="77">
        <v>7.8</v>
      </c>
      <c r="AA61" s="77">
        <v>7.8</v>
      </c>
      <c r="AB61" s="77">
        <v>8.5</v>
      </c>
      <c r="AC61" s="77">
        <v>8.5</v>
      </c>
      <c r="AD61" s="77">
        <v>8.5</v>
      </c>
      <c r="AE61" s="77">
        <v>10.1</v>
      </c>
      <c r="AF61" s="77">
        <v>10</v>
      </c>
      <c r="AG61" s="78">
        <v>22.1</v>
      </c>
      <c r="AH61" s="48">
        <f t="shared" si="8"/>
        <v>10.5</v>
      </c>
      <c r="AI61" s="49">
        <f t="shared" si="9"/>
        <v>7.8</v>
      </c>
      <c r="AK61" s="51"/>
    </row>
    <row r="62" spans="1:88" ht="15.75" thickBot="1" x14ac:dyDescent="0.3">
      <c r="A62" s="79" t="s">
        <v>79</v>
      </c>
      <c r="B62" s="70">
        <f t="shared" ref="B62:C62" si="30">SUM(B59:B61)</f>
        <v>57.5</v>
      </c>
      <c r="C62" s="70">
        <f t="shared" si="30"/>
        <v>52.5</v>
      </c>
      <c r="D62" s="70">
        <f t="shared" ref="D62" si="31">SUM(D59:D61)</f>
        <v>37.5</v>
      </c>
      <c r="E62" s="70">
        <f t="shared" ref="E62:AG62" si="32">SUM(E59:E61)</f>
        <v>36.700000000000003</v>
      </c>
      <c r="F62" s="70">
        <f t="shared" si="32"/>
        <v>36.6</v>
      </c>
      <c r="G62" s="70">
        <f t="shared" si="32"/>
        <v>66.8</v>
      </c>
      <c r="H62" s="70">
        <f t="shared" si="32"/>
        <v>71.7</v>
      </c>
      <c r="I62" s="70">
        <f t="shared" si="32"/>
        <v>76.900000000000006</v>
      </c>
      <c r="J62" s="70">
        <f t="shared" si="32"/>
        <v>87</v>
      </c>
      <c r="K62" s="70">
        <f t="shared" si="32"/>
        <v>116.6</v>
      </c>
      <c r="L62" s="70">
        <f t="shared" si="32"/>
        <v>265.5</v>
      </c>
      <c r="M62" s="70">
        <f t="shared" si="32"/>
        <v>436.6</v>
      </c>
      <c r="N62" s="70">
        <f t="shared" si="32"/>
        <v>51.6</v>
      </c>
      <c r="O62" s="70">
        <f t="shared" si="32"/>
        <v>66.599999999999994</v>
      </c>
      <c r="P62" s="70">
        <f t="shared" ref="P62" si="33">SUM(P59:P61)</f>
        <v>66.599999999999994</v>
      </c>
      <c r="Q62" s="70">
        <f t="shared" si="32"/>
        <v>80.5</v>
      </c>
      <c r="R62" s="70">
        <f t="shared" si="32"/>
        <v>65.5</v>
      </c>
      <c r="S62" s="70">
        <f t="shared" ref="S62:T62" si="34">SUM(S59:S61)</f>
        <v>85.5</v>
      </c>
      <c r="T62" s="70">
        <f t="shared" si="34"/>
        <v>50.5</v>
      </c>
      <c r="U62" s="70">
        <f t="shared" ref="U62:V62" si="35">SUM(U59:U61)</f>
        <v>50.5</v>
      </c>
      <c r="V62" s="70">
        <f t="shared" si="35"/>
        <v>50.5</v>
      </c>
      <c r="W62" s="70">
        <f t="shared" si="32"/>
        <v>50.5</v>
      </c>
      <c r="X62" s="70">
        <f t="shared" si="32"/>
        <v>50.5</v>
      </c>
      <c r="Y62" s="70">
        <f t="shared" si="32"/>
        <v>95.5</v>
      </c>
      <c r="Z62" s="70">
        <f t="shared" si="32"/>
        <v>78.8</v>
      </c>
      <c r="AA62" s="70">
        <f t="shared" si="32"/>
        <v>416.8</v>
      </c>
      <c r="AB62" s="70">
        <f t="shared" ref="AB62" si="36">SUM(AB59:AB61)</f>
        <v>403.2</v>
      </c>
      <c r="AC62" s="70">
        <f t="shared" si="32"/>
        <v>174.5</v>
      </c>
      <c r="AD62" s="70">
        <f t="shared" si="32"/>
        <v>159.5</v>
      </c>
      <c r="AE62" s="70">
        <f t="shared" ref="AE62:AF62" si="37">SUM(AE59:AE61)</f>
        <v>171.1</v>
      </c>
      <c r="AF62" s="70">
        <f t="shared" si="37"/>
        <v>171</v>
      </c>
      <c r="AG62" s="71">
        <f t="shared" si="32"/>
        <v>538.1</v>
      </c>
      <c r="AH62" s="48">
        <f t="shared" si="8"/>
        <v>436.6</v>
      </c>
      <c r="AI62" s="49">
        <f t="shared" si="9"/>
        <v>36.6</v>
      </c>
      <c r="AK62" s="51"/>
    </row>
    <row r="63" spans="1:88" x14ac:dyDescent="0.25">
      <c r="A63" s="45" t="s">
        <v>80</v>
      </c>
      <c r="B63" s="46">
        <v>0</v>
      </c>
      <c r="C63" s="46">
        <v>0</v>
      </c>
      <c r="D63" s="46">
        <v>0</v>
      </c>
      <c r="E63" s="46">
        <v>0</v>
      </c>
      <c r="F63" s="46">
        <v>0</v>
      </c>
      <c r="G63" s="46">
        <v>0</v>
      </c>
      <c r="H63" s="46">
        <v>0</v>
      </c>
      <c r="I63" s="46">
        <v>45.5</v>
      </c>
      <c r="J63" s="46">
        <v>65.099999999999994</v>
      </c>
      <c r="K63" s="46">
        <v>72.7</v>
      </c>
      <c r="L63" s="46">
        <v>61</v>
      </c>
      <c r="M63" s="46">
        <v>96.9</v>
      </c>
      <c r="N63" s="46">
        <v>62</v>
      </c>
      <c r="O63" s="46">
        <v>62</v>
      </c>
      <c r="P63" s="46">
        <v>48</v>
      </c>
      <c r="Q63" s="46">
        <v>35.6</v>
      </c>
      <c r="R63" s="46">
        <v>35.6</v>
      </c>
      <c r="S63" s="46">
        <v>49</v>
      </c>
      <c r="T63" s="46">
        <v>49</v>
      </c>
      <c r="U63" s="46">
        <v>49</v>
      </c>
      <c r="V63" s="46">
        <v>49</v>
      </c>
      <c r="W63" s="46">
        <v>91.4</v>
      </c>
      <c r="X63" s="46">
        <v>90.9</v>
      </c>
      <c r="Y63" s="46">
        <v>108</v>
      </c>
      <c r="Z63" s="46">
        <v>141</v>
      </c>
      <c r="AA63" s="46">
        <v>141</v>
      </c>
      <c r="AB63" s="46">
        <v>91.2</v>
      </c>
      <c r="AC63" s="46">
        <v>61.6</v>
      </c>
      <c r="AD63" s="46">
        <v>61</v>
      </c>
      <c r="AE63" s="46">
        <v>48</v>
      </c>
      <c r="AF63" s="46">
        <v>48.9</v>
      </c>
      <c r="AG63" s="60">
        <v>144</v>
      </c>
      <c r="AH63" s="48">
        <f t="shared" si="8"/>
        <v>141</v>
      </c>
      <c r="AI63" s="49">
        <f t="shared" si="9"/>
        <v>0</v>
      </c>
      <c r="AK63" s="51"/>
    </row>
    <row r="64" spans="1:88" x14ac:dyDescent="0.25">
      <c r="A64" s="64" t="s">
        <v>81</v>
      </c>
      <c r="B64" s="75">
        <v>0</v>
      </c>
      <c r="C64" s="75">
        <v>0</v>
      </c>
      <c r="D64" s="75">
        <v>0</v>
      </c>
      <c r="E64" s="75">
        <v>0</v>
      </c>
      <c r="F64" s="75">
        <v>0</v>
      </c>
      <c r="G64" s="75">
        <v>0</v>
      </c>
      <c r="H64" s="75">
        <v>36.200000000000003</v>
      </c>
      <c r="I64" s="75">
        <v>25.3</v>
      </c>
      <c r="J64" s="75">
        <v>50.9</v>
      </c>
      <c r="K64" s="75">
        <v>45.2</v>
      </c>
      <c r="L64" s="75">
        <v>45.6</v>
      </c>
      <c r="M64" s="75">
        <v>45.6</v>
      </c>
      <c r="N64" s="75">
        <v>23.9</v>
      </c>
      <c r="O64" s="75">
        <v>23.9</v>
      </c>
      <c r="P64" s="75">
        <v>23.9</v>
      </c>
      <c r="Q64" s="75">
        <v>23.9</v>
      </c>
      <c r="R64" s="75">
        <v>23.9</v>
      </c>
      <c r="S64" s="75">
        <v>23.9</v>
      </c>
      <c r="T64" s="75">
        <v>25</v>
      </c>
      <c r="U64" s="75">
        <v>25</v>
      </c>
      <c r="V64" s="75">
        <v>25</v>
      </c>
      <c r="W64" s="75">
        <v>24.5</v>
      </c>
      <c r="X64" s="75">
        <v>25</v>
      </c>
      <c r="Y64" s="46">
        <v>34</v>
      </c>
      <c r="Z64" s="46">
        <v>70</v>
      </c>
      <c r="AA64" s="46">
        <v>70</v>
      </c>
      <c r="AB64" s="46">
        <v>49.3</v>
      </c>
      <c r="AC64" s="46">
        <v>68</v>
      </c>
      <c r="AD64" s="46">
        <v>65.3</v>
      </c>
      <c r="AE64" s="46">
        <v>25.2</v>
      </c>
      <c r="AF64" s="46">
        <v>0</v>
      </c>
      <c r="AG64" s="65">
        <v>70</v>
      </c>
      <c r="AH64" s="48">
        <f t="shared" si="8"/>
        <v>70</v>
      </c>
      <c r="AI64" s="49">
        <f t="shared" si="9"/>
        <v>0</v>
      </c>
      <c r="AK64" s="51"/>
    </row>
    <row r="65" spans="1:75" x14ac:dyDescent="0.25">
      <c r="A65" s="64" t="s">
        <v>82</v>
      </c>
      <c r="B65" s="75">
        <v>0</v>
      </c>
      <c r="C65" s="75">
        <v>0</v>
      </c>
      <c r="D65" s="75">
        <v>0</v>
      </c>
      <c r="E65" s="75">
        <v>0</v>
      </c>
      <c r="F65" s="75">
        <v>15.7</v>
      </c>
      <c r="G65" s="75">
        <v>0</v>
      </c>
      <c r="H65" s="75">
        <v>0</v>
      </c>
      <c r="I65" s="75">
        <v>46.5</v>
      </c>
      <c r="J65" s="75">
        <v>31.7</v>
      </c>
      <c r="K65" s="75">
        <v>50.2</v>
      </c>
      <c r="L65" s="75">
        <v>53.8</v>
      </c>
      <c r="M65" s="75">
        <v>63.1</v>
      </c>
      <c r="N65" s="75">
        <v>23.7</v>
      </c>
      <c r="O65" s="75">
        <v>23.7</v>
      </c>
      <c r="P65" s="75">
        <v>32</v>
      </c>
      <c r="Q65" s="75">
        <v>45.2</v>
      </c>
      <c r="R65" s="75">
        <v>45.2</v>
      </c>
      <c r="S65" s="75">
        <v>33</v>
      </c>
      <c r="T65" s="75">
        <v>33.5</v>
      </c>
      <c r="U65" s="75">
        <v>33.5</v>
      </c>
      <c r="V65" s="75">
        <v>33.5</v>
      </c>
      <c r="W65" s="75">
        <v>34.200000000000003</v>
      </c>
      <c r="X65" s="75">
        <v>64</v>
      </c>
      <c r="Y65" s="46">
        <v>52.3</v>
      </c>
      <c r="Z65" s="46">
        <v>50</v>
      </c>
      <c r="AA65" s="46">
        <v>50</v>
      </c>
      <c r="AB65" s="46">
        <v>34.799999999999997</v>
      </c>
      <c r="AC65" s="46">
        <v>34.700000000000003</v>
      </c>
      <c r="AD65" s="46">
        <v>35</v>
      </c>
      <c r="AE65" s="46">
        <v>35</v>
      </c>
      <c r="AF65" s="46">
        <v>17.5</v>
      </c>
      <c r="AG65" s="65">
        <v>69</v>
      </c>
      <c r="AH65" s="48">
        <f t="shared" si="8"/>
        <v>64</v>
      </c>
      <c r="AI65" s="49">
        <f t="shared" si="9"/>
        <v>0</v>
      </c>
      <c r="AK65" s="51"/>
    </row>
    <row r="66" spans="1:75" x14ac:dyDescent="0.25">
      <c r="A66" s="64" t="s">
        <v>83</v>
      </c>
      <c r="B66" s="75">
        <v>35.299999999999997</v>
      </c>
      <c r="C66" s="75">
        <v>35.299999999999997</v>
      </c>
      <c r="D66" s="75">
        <v>35.299999999999997</v>
      </c>
      <c r="E66" s="75">
        <v>35.299999999999997</v>
      </c>
      <c r="F66" s="75">
        <v>35</v>
      </c>
      <c r="G66" s="75">
        <v>35</v>
      </c>
      <c r="H66" s="75">
        <v>35</v>
      </c>
      <c r="I66" s="75">
        <v>34</v>
      </c>
      <c r="J66" s="75">
        <v>34</v>
      </c>
      <c r="K66" s="67">
        <v>33.5</v>
      </c>
      <c r="L66" s="67">
        <v>33.299999999999997</v>
      </c>
      <c r="M66" s="75">
        <v>33.299999999999997</v>
      </c>
      <c r="N66" s="75">
        <v>33.299999999999997</v>
      </c>
      <c r="O66" s="75">
        <v>33.299999999999997</v>
      </c>
      <c r="P66" s="75">
        <v>33.299999999999997</v>
      </c>
      <c r="Q66" s="75">
        <v>33.299999999999997</v>
      </c>
      <c r="R66" s="75">
        <v>33.299999999999997</v>
      </c>
      <c r="S66" s="75">
        <v>33.299999999999997</v>
      </c>
      <c r="T66" s="75">
        <v>33.299999999999997</v>
      </c>
      <c r="U66" s="75">
        <v>33.299999999999997</v>
      </c>
      <c r="V66" s="75">
        <v>33.299999999999997</v>
      </c>
      <c r="W66" s="75">
        <v>33.299999999999997</v>
      </c>
      <c r="X66" s="75">
        <v>33.299999999999997</v>
      </c>
      <c r="Y66" s="46">
        <v>33.299999999999997</v>
      </c>
      <c r="Z66" s="46">
        <v>33.299999999999997</v>
      </c>
      <c r="AA66" s="46">
        <v>33.299999999999997</v>
      </c>
      <c r="AB66" s="46">
        <v>33</v>
      </c>
      <c r="AC66" s="46">
        <v>32</v>
      </c>
      <c r="AD66" s="46">
        <v>32.200000000000003</v>
      </c>
      <c r="AE66" s="46">
        <v>32.200000000000003</v>
      </c>
      <c r="AF66" s="46">
        <v>32.200000000000003</v>
      </c>
      <c r="AG66" s="65">
        <v>60</v>
      </c>
      <c r="AH66" s="48">
        <f t="shared" si="8"/>
        <v>35.299999999999997</v>
      </c>
      <c r="AI66" s="49">
        <f t="shared" si="9"/>
        <v>32</v>
      </c>
      <c r="AK66" s="51"/>
    </row>
    <row r="67" spans="1:75" x14ac:dyDescent="0.25">
      <c r="A67" s="64" t="s">
        <v>84</v>
      </c>
      <c r="B67" s="46">
        <v>9.9</v>
      </c>
      <c r="C67" s="46">
        <v>9.9</v>
      </c>
      <c r="D67" s="46">
        <v>9.9</v>
      </c>
      <c r="E67" s="75">
        <v>0</v>
      </c>
      <c r="F67" s="75">
        <v>0</v>
      </c>
      <c r="G67" s="75">
        <v>0</v>
      </c>
      <c r="H67" s="75">
        <v>0</v>
      </c>
      <c r="I67" s="75">
        <v>0</v>
      </c>
      <c r="J67" s="75">
        <v>0</v>
      </c>
      <c r="K67" s="75">
        <v>0</v>
      </c>
      <c r="L67" s="67">
        <v>0</v>
      </c>
      <c r="M67" s="75">
        <v>10.7</v>
      </c>
      <c r="N67" s="75">
        <v>10</v>
      </c>
      <c r="O67" s="75">
        <v>10</v>
      </c>
      <c r="P67" s="75">
        <v>10</v>
      </c>
      <c r="Q67" s="75">
        <v>10</v>
      </c>
      <c r="R67" s="75">
        <v>10</v>
      </c>
      <c r="S67" s="75">
        <v>0</v>
      </c>
      <c r="T67" s="75">
        <v>0</v>
      </c>
      <c r="U67" s="75">
        <v>0</v>
      </c>
      <c r="V67" s="75">
        <v>0</v>
      </c>
      <c r="W67" s="75">
        <v>10</v>
      </c>
      <c r="X67" s="75">
        <v>10</v>
      </c>
      <c r="Y67" s="46">
        <v>14</v>
      </c>
      <c r="Z67" s="46">
        <v>14</v>
      </c>
      <c r="AA67" s="46">
        <v>27</v>
      </c>
      <c r="AB67" s="46">
        <v>10.5</v>
      </c>
      <c r="AC67" s="46">
        <v>10.3</v>
      </c>
      <c r="AD67" s="46">
        <v>10.3</v>
      </c>
      <c r="AE67" s="46">
        <v>10.5</v>
      </c>
      <c r="AF67" s="46">
        <v>10.5</v>
      </c>
      <c r="AG67" s="65">
        <v>30</v>
      </c>
      <c r="AH67" s="48">
        <f t="shared" si="8"/>
        <v>27</v>
      </c>
      <c r="AI67" s="49">
        <f t="shared" si="9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</row>
    <row r="68" spans="1:75" x14ac:dyDescent="0.25">
      <c r="A68" s="64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1.2</v>
      </c>
      <c r="L68" s="75">
        <v>3.3</v>
      </c>
      <c r="M68" s="75">
        <v>7</v>
      </c>
      <c r="N68" s="75">
        <v>11.9</v>
      </c>
      <c r="O68" s="75">
        <v>11.9</v>
      </c>
      <c r="P68" s="75">
        <v>11.9</v>
      </c>
      <c r="Q68" s="75">
        <v>11.9</v>
      </c>
      <c r="R68" s="75">
        <v>18.3</v>
      </c>
      <c r="S68" s="75">
        <v>18.3</v>
      </c>
      <c r="T68" s="75">
        <v>18.3</v>
      </c>
      <c r="U68" s="75">
        <v>18.3</v>
      </c>
      <c r="V68" s="75">
        <v>18.3</v>
      </c>
      <c r="W68" s="75">
        <v>18.3</v>
      </c>
      <c r="X68" s="75">
        <v>18.3</v>
      </c>
      <c r="Y68" s="75">
        <v>18.3</v>
      </c>
      <c r="Z68" s="75">
        <v>18.3</v>
      </c>
      <c r="AA68" s="75">
        <v>18.3</v>
      </c>
      <c r="AB68" s="75">
        <v>0</v>
      </c>
      <c r="AC68" s="75">
        <v>0</v>
      </c>
      <c r="AD68" s="75">
        <v>0</v>
      </c>
      <c r="AE68" s="75">
        <v>0</v>
      </c>
      <c r="AF68" s="75">
        <v>0</v>
      </c>
      <c r="AG68" s="65">
        <v>25</v>
      </c>
      <c r="AH68" s="48">
        <f t="shared" si="8"/>
        <v>18.3</v>
      </c>
      <c r="AI68" s="49">
        <f t="shared" si="9"/>
        <v>0</v>
      </c>
      <c r="AK68" s="51"/>
      <c r="AY68" s="1" t="s">
        <v>86</v>
      </c>
      <c r="AZ68" s="81">
        <f>ROUND(C81,0)</f>
        <v>50</v>
      </c>
      <c r="BA68" s="80">
        <f t="shared" ref="BA68:BD72" si="38">D81</f>
        <v>50.6</v>
      </c>
      <c r="BB68" s="80">
        <f t="shared" si="38"/>
        <v>54.6</v>
      </c>
      <c r="BC68" s="80">
        <f t="shared" si="38"/>
        <v>48.8</v>
      </c>
      <c r="BD68" s="80">
        <f t="shared" si="38"/>
        <v>52</v>
      </c>
      <c r="BE68" s="81">
        <f>I81</f>
        <v>54.6</v>
      </c>
      <c r="BF68" s="81">
        <f>K81</f>
        <v>58.1</v>
      </c>
      <c r="BG68" s="81">
        <f t="shared" ref="BG68:BP72" si="39">M81</f>
        <v>48.5</v>
      </c>
      <c r="BH68" s="81">
        <f t="shared" si="39"/>
        <v>50.7</v>
      </c>
      <c r="BI68" s="81">
        <f t="shared" si="39"/>
        <v>54.9</v>
      </c>
      <c r="BJ68" s="81">
        <f t="shared" si="39"/>
        <v>62</v>
      </c>
      <c r="BK68" s="81">
        <f t="shared" si="39"/>
        <v>60.6</v>
      </c>
      <c r="BL68" s="81">
        <f t="shared" si="39"/>
        <v>52.5</v>
      </c>
      <c r="BM68" s="81">
        <f t="shared" si="39"/>
        <v>69</v>
      </c>
      <c r="BN68" s="81">
        <f t="shared" si="39"/>
        <v>68</v>
      </c>
      <c r="BO68" s="81">
        <f t="shared" si="39"/>
        <v>57</v>
      </c>
      <c r="BP68" s="81">
        <f t="shared" si="39"/>
        <v>60.4</v>
      </c>
      <c r="BQ68" s="81">
        <f>X81</f>
        <v>58</v>
      </c>
      <c r="BR68" s="81">
        <f>Z81</f>
        <v>61</v>
      </c>
      <c r="BS68" s="80">
        <f>AB81</f>
        <v>61.9</v>
      </c>
      <c r="BT68" s="80">
        <f>AD81</f>
        <v>62</v>
      </c>
      <c r="BU68" s="80">
        <f>AE81</f>
        <v>61</v>
      </c>
      <c r="BV68" s="80">
        <f>AF81</f>
        <v>59.5</v>
      </c>
      <c r="BW68" s="80">
        <f>B81</f>
        <v>56.4</v>
      </c>
    </row>
    <row r="69" spans="1:75" x14ac:dyDescent="0.25">
      <c r="A69" s="64" t="s">
        <v>87</v>
      </c>
      <c r="B69" s="75">
        <v>15</v>
      </c>
      <c r="C69" s="75">
        <v>15</v>
      </c>
      <c r="D69" s="75">
        <v>15</v>
      </c>
      <c r="E69" s="75">
        <v>15</v>
      </c>
      <c r="F69" s="75">
        <v>15</v>
      </c>
      <c r="G69" s="75">
        <v>15</v>
      </c>
      <c r="H69" s="75">
        <v>15</v>
      </c>
      <c r="I69" s="75">
        <v>15</v>
      </c>
      <c r="J69" s="75">
        <v>15</v>
      </c>
      <c r="K69" s="75">
        <v>15</v>
      </c>
      <c r="L69" s="75">
        <v>15</v>
      </c>
      <c r="M69" s="75">
        <v>15</v>
      </c>
      <c r="N69" s="75">
        <v>15</v>
      </c>
      <c r="O69" s="75">
        <v>15</v>
      </c>
      <c r="P69" s="75">
        <v>15</v>
      </c>
      <c r="Q69" s="75">
        <v>15</v>
      </c>
      <c r="R69" s="75">
        <v>15</v>
      </c>
      <c r="S69" s="75">
        <v>15</v>
      </c>
      <c r="T69" s="75">
        <v>15</v>
      </c>
      <c r="U69" s="75">
        <v>15</v>
      </c>
      <c r="V69" s="75">
        <v>15</v>
      </c>
      <c r="W69" s="75">
        <v>15</v>
      </c>
      <c r="X69" s="75">
        <v>15</v>
      </c>
      <c r="Y69" s="75">
        <v>15</v>
      </c>
      <c r="Z69" s="75">
        <v>15</v>
      </c>
      <c r="AA69" s="75">
        <v>15</v>
      </c>
      <c r="AB69" s="75">
        <v>15</v>
      </c>
      <c r="AC69" s="75">
        <v>15</v>
      </c>
      <c r="AD69" s="75">
        <v>15</v>
      </c>
      <c r="AE69" s="75">
        <v>15</v>
      </c>
      <c r="AF69" s="75">
        <v>15</v>
      </c>
      <c r="AG69" s="65">
        <v>24</v>
      </c>
      <c r="AH69" s="48">
        <f t="shared" si="8"/>
        <v>15</v>
      </c>
      <c r="AI69" s="49">
        <f t="shared" si="9"/>
        <v>15</v>
      </c>
      <c r="AK69" s="51"/>
      <c r="AY69" s="1" t="s">
        <v>88</v>
      </c>
      <c r="AZ69" s="81">
        <f>ROUND(C82,0)</f>
        <v>0</v>
      </c>
      <c r="BA69" s="80">
        <f t="shared" si="38"/>
        <v>0</v>
      </c>
      <c r="BB69" s="80">
        <f t="shared" si="38"/>
        <v>0</v>
      </c>
      <c r="BC69" s="80">
        <f t="shared" si="38"/>
        <v>0</v>
      </c>
      <c r="BD69" s="80">
        <f t="shared" si="38"/>
        <v>0</v>
      </c>
      <c r="BE69" s="81">
        <f t="shared" ref="BE69:BE72" si="40">I82</f>
        <v>0</v>
      </c>
      <c r="BF69" s="81">
        <f t="shared" ref="BF69:BF72" si="41">K82</f>
        <v>0</v>
      </c>
      <c r="BG69" s="81">
        <f t="shared" si="39"/>
        <v>0</v>
      </c>
      <c r="BH69" s="81">
        <f t="shared" si="39"/>
        <v>0</v>
      </c>
      <c r="BI69" s="81">
        <f t="shared" si="39"/>
        <v>0</v>
      </c>
      <c r="BJ69" s="81">
        <f t="shared" si="39"/>
        <v>0</v>
      </c>
      <c r="BK69" s="81">
        <f t="shared" si="39"/>
        <v>0</v>
      </c>
      <c r="BL69" s="81">
        <f t="shared" si="39"/>
        <v>0</v>
      </c>
      <c r="BM69" s="81">
        <f t="shared" si="39"/>
        <v>0</v>
      </c>
      <c r="BN69" s="81">
        <f t="shared" si="39"/>
        <v>0</v>
      </c>
      <c r="BO69" s="81">
        <f t="shared" si="39"/>
        <v>0</v>
      </c>
      <c r="BP69" s="81">
        <f t="shared" si="39"/>
        <v>0</v>
      </c>
      <c r="BQ69" s="81">
        <f t="shared" ref="BQ69:BQ72" si="42">X82</f>
        <v>0</v>
      </c>
      <c r="BR69" s="81">
        <f t="shared" ref="BR69:BR72" si="43">Z82</f>
        <v>0</v>
      </c>
      <c r="BS69" s="80">
        <f t="shared" ref="BS69:BS72" si="44">AB82</f>
        <v>0</v>
      </c>
      <c r="BT69" s="80">
        <f t="shared" ref="BT69:BV72" si="45">AD82</f>
        <v>0</v>
      </c>
      <c r="BU69" s="80">
        <f t="shared" si="45"/>
        <v>0</v>
      </c>
      <c r="BV69" s="80">
        <f t="shared" si="45"/>
        <v>0</v>
      </c>
      <c r="BW69" s="80">
        <f t="shared" ref="BW69:BW72" si="46">B82</f>
        <v>0</v>
      </c>
    </row>
    <row r="70" spans="1:75" x14ac:dyDescent="0.25">
      <c r="A70" s="64" t="s">
        <v>89</v>
      </c>
      <c r="B70" s="75">
        <v>4</v>
      </c>
      <c r="C70" s="75">
        <v>4</v>
      </c>
      <c r="D70" s="75">
        <v>4</v>
      </c>
      <c r="E70" s="75">
        <v>4</v>
      </c>
      <c r="F70" s="75">
        <v>4</v>
      </c>
      <c r="G70" s="75">
        <v>4</v>
      </c>
      <c r="H70" s="75">
        <v>4</v>
      </c>
      <c r="I70" s="75">
        <v>4</v>
      </c>
      <c r="J70" s="75">
        <v>4</v>
      </c>
      <c r="K70" s="75">
        <v>4</v>
      </c>
      <c r="L70" s="75">
        <v>4</v>
      </c>
      <c r="M70" s="75">
        <v>4</v>
      </c>
      <c r="N70" s="75">
        <v>4</v>
      </c>
      <c r="O70" s="75">
        <v>4</v>
      </c>
      <c r="P70" s="75">
        <v>4</v>
      </c>
      <c r="Q70" s="75">
        <v>4</v>
      </c>
      <c r="R70" s="75">
        <v>4</v>
      </c>
      <c r="S70" s="75">
        <v>4</v>
      </c>
      <c r="T70" s="75">
        <v>4</v>
      </c>
      <c r="U70" s="75">
        <v>4</v>
      </c>
      <c r="V70" s="75">
        <v>4</v>
      </c>
      <c r="W70" s="75">
        <v>4</v>
      </c>
      <c r="X70" s="75">
        <v>4</v>
      </c>
      <c r="Y70" s="75">
        <v>4</v>
      </c>
      <c r="Z70" s="75">
        <v>4</v>
      </c>
      <c r="AA70" s="75">
        <v>4</v>
      </c>
      <c r="AB70" s="75">
        <v>4</v>
      </c>
      <c r="AC70" s="75">
        <v>4</v>
      </c>
      <c r="AD70" s="75">
        <v>4</v>
      </c>
      <c r="AE70" s="75">
        <v>4</v>
      </c>
      <c r="AF70" s="75">
        <v>4</v>
      </c>
      <c r="AG70" s="65">
        <v>15</v>
      </c>
      <c r="AH70" s="48">
        <f t="shared" si="8"/>
        <v>4</v>
      </c>
      <c r="AI70" s="49">
        <f t="shared" si="9"/>
        <v>4</v>
      </c>
      <c r="AK70" s="51"/>
      <c r="AL70" s="82"/>
      <c r="AO70" s="82"/>
      <c r="AY70" s="1" t="s">
        <v>90</v>
      </c>
      <c r="AZ70" s="81">
        <f>ROUND(C83,0)</f>
        <v>370</v>
      </c>
      <c r="BA70" s="80">
        <f t="shared" si="38"/>
        <v>380.5</v>
      </c>
      <c r="BB70" s="80">
        <f t="shared" si="38"/>
        <v>406.8</v>
      </c>
      <c r="BC70" s="80">
        <f t="shared" si="38"/>
        <v>435.4</v>
      </c>
      <c r="BD70" s="80">
        <f t="shared" si="38"/>
        <v>439</v>
      </c>
      <c r="BE70" s="81">
        <f t="shared" si="40"/>
        <v>464</v>
      </c>
      <c r="BF70" s="81">
        <f t="shared" si="41"/>
        <v>411.6</v>
      </c>
      <c r="BG70" s="81">
        <f t="shared" si="39"/>
        <v>1.4</v>
      </c>
      <c r="BH70" s="81">
        <f t="shared" si="39"/>
        <v>406</v>
      </c>
      <c r="BI70" s="81">
        <f t="shared" si="39"/>
        <v>404</v>
      </c>
      <c r="BJ70" s="81">
        <f t="shared" si="39"/>
        <v>465</v>
      </c>
      <c r="BK70" s="81">
        <f t="shared" si="39"/>
        <v>455</v>
      </c>
      <c r="BL70" s="81">
        <f t="shared" si="39"/>
        <v>497</v>
      </c>
      <c r="BM70" s="81">
        <f t="shared" si="39"/>
        <v>500</v>
      </c>
      <c r="BN70" s="81">
        <f t="shared" si="39"/>
        <v>527</v>
      </c>
      <c r="BO70" s="81">
        <f t="shared" si="39"/>
        <v>535</v>
      </c>
      <c r="BP70" s="81">
        <f t="shared" si="39"/>
        <v>468</v>
      </c>
      <c r="BQ70" s="81">
        <f t="shared" si="42"/>
        <v>436</v>
      </c>
      <c r="BR70" s="81">
        <f t="shared" si="43"/>
        <v>181</v>
      </c>
      <c r="BS70" s="80">
        <f t="shared" si="44"/>
        <v>146.30000000000001</v>
      </c>
      <c r="BT70" s="80">
        <f t="shared" si="45"/>
        <v>371</v>
      </c>
      <c r="BU70" s="80">
        <f t="shared" si="45"/>
        <v>374.5</v>
      </c>
      <c r="BV70" s="80">
        <f t="shared" si="45"/>
        <v>393.7</v>
      </c>
      <c r="BW70" s="80">
        <f t="shared" si="46"/>
        <v>407.5</v>
      </c>
    </row>
    <row r="71" spans="1:75" s="82" customFormat="1" x14ac:dyDescent="0.25">
      <c r="A71" s="64" t="s">
        <v>91</v>
      </c>
      <c r="B71" s="75">
        <v>9.5</v>
      </c>
      <c r="C71" s="75">
        <v>9.5</v>
      </c>
      <c r="D71" s="75">
        <v>9.5</v>
      </c>
      <c r="E71" s="75">
        <v>9.5</v>
      </c>
      <c r="F71" s="75">
        <v>9.5</v>
      </c>
      <c r="G71" s="75">
        <v>9.5</v>
      </c>
      <c r="H71" s="75">
        <v>9.5</v>
      </c>
      <c r="I71" s="75">
        <v>9.5</v>
      </c>
      <c r="J71" s="75">
        <v>9.5</v>
      </c>
      <c r="K71" s="75">
        <v>9.5</v>
      </c>
      <c r="L71" s="75">
        <v>9.5</v>
      </c>
      <c r="M71" s="75">
        <v>9.5</v>
      </c>
      <c r="N71" s="75">
        <v>9.5</v>
      </c>
      <c r="O71" s="75">
        <v>9.5</v>
      </c>
      <c r="P71" s="75">
        <v>9.5</v>
      </c>
      <c r="Q71" s="75">
        <v>9.5</v>
      </c>
      <c r="R71" s="75">
        <v>9.5</v>
      </c>
      <c r="S71" s="75">
        <v>9.5</v>
      </c>
      <c r="T71" s="75">
        <v>9.5</v>
      </c>
      <c r="U71" s="75">
        <v>9.5</v>
      </c>
      <c r="V71" s="75">
        <v>9.5</v>
      </c>
      <c r="W71" s="75">
        <v>9.5</v>
      </c>
      <c r="X71" s="75">
        <v>9.5</v>
      </c>
      <c r="Y71" s="75">
        <v>9.5</v>
      </c>
      <c r="Z71" s="75">
        <v>9.5</v>
      </c>
      <c r="AA71" s="75">
        <v>9.5</v>
      </c>
      <c r="AB71" s="75">
        <v>9.6</v>
      </c>
      <c r="AC71" s="75">
        <v>9.6</v>
      </c>
      <c r="AD71" s="75">
        <v>9.6</v>
      </c>
      <c r="AE71" s="75">
        <v>9.6</v>
      </c>
      <c r="AF71" s="75">
        <v>9.6</v>
      </c>
      <c r="AG71" s="65">
        <v>14.1</v>
      </c>
      <c r="AH71" s="48">
        <f t="shared" si="8"/>
        <v>9.6</v>
      </c>
      <c r="AI71" s="49">
        <f t="shared" si="9"/>
        <v>9.5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50</v>
      </c>
      <c r="BA71" s="80">
        <f t="shared" si="38"/>
        <v>51.5</v>
      </c>
      <c r="BB71" s="80">
        <f t="shared" si="38"/>
        <v>39.200000000000003</v>
      </c>
      <c r="BC71" s="80">
        <f t="shared" si="38"/>
        <v>5.8</v>
      </c>
      <c r="BD71" s="80">
        <f t="shared" si="38"/>
        <v>4.9000000000000004</v>
      </c>
      <c r="BE71" s="81">
        <f t="shared" si="40"/>
        <v>5.8</v>
      </c>
      <c r="BF71" s="81">
        <f t="shared" si="41"/>
        <v>36.5</v>
      </c>
      <c r="BG71" s="81">
        <f t="shared" si="39"/>
        <v>39.700000000000003</v>
      </c>
      <c r="BH71" s="81">
        <f t="shared" si="39"/>
        <v>38.200000000000003</v>
      </c>
      <c r="BI71" s="81">
        <f t="shared" si="39"/>
        <v>34.1</v>
      </c>
      <c r="BJ71" s="81">
        <f t="shared" si="39"/>
        <v>34.5</v>
      </c>
      <c r="BK71" s="81">
        <f t="shared" si="39"/>
        <v>34</v>
      </c>
      <c r="BL71" s="81">
        <f t="shared" si="39"/>
        <v>34.299999999999997</v>
      </c>
      <c r="BM71" s="81">
        <f t="shared" si="39"/>
        <v>31.8</v>
      </c>
      <c r="BN71" s="81">
        <f t="shared" si="39"/>
        <v>30</v>
      </c>
      <c r="BO71" s="81">
        <f t="shared" si="39"/>
        <v>30</v>
      </c>
      <c r="BP71" s="81">
        <f t="shared" si="39"/>
        <v>33.9</v>
      </c>
      <c r="BQ71" s="81">
        <f t="shared" si="42"/>
        <v>35</v>
      </c>
      <c r="BR71" s="81">
        <f t="shared" si="43"/>
        <v>30.5</v>
      </c>
      <c r="BS71" s="80">
        <f t="shared" si="44"/>
        <v>35.700000000000003</v>
      </c>
      <c r="BT71" s="80">
        <f t="shared" si="45"/>
        <v>36</v>
      </c>
      <c r="BU71" s="80">
        <f t="shared" si="45"/>
        <v>28.9</v>
      </c>
      <c r="BV71" s="80">
        <f t="shared" si="45"/>
        <v>37.700000000000003</v>
      </c>
      <c r="BW71" s="80">
        <f t="shared" si="46"/>
        <v>5.6</v>
      </c>
    </row>
    <row r="72" spans="1:75" x14ac:dyDescent="0.25">
      <c r="A72" s="83" t="s">
        <v>93</v>
      </c>
      <c r="B72" s="75">
        <v>3.2</v>
      </c>
      <c r="C72" s="75">
        <v>3.2</v>
      </c>
      <c r="D72" s="75">
        <v>3.2</v>
      </c>
      <c r="E72" s="75">
        <v>3.2</v>
      </c>
      <c r="F72" s="75">
        <v>3.2</v>
      </c>
      <c r="G72" s="75">
        <v>3.2</v>
      </c>
      <c r="H72" s="75">
        <v>3.2</v>
      </c>
      <c r="I72" s="75">
        <v>3.2</v>
      </c>
      <c r="J72" s="75">
        <v>3.2</v>
      </c>
      <c r="K72" s="75">
        <v>3.2</v>
      </c>
      <c r="L72" s="75">
        <v>3.2</v>
      </c>
      <c r="M72" s="75">
        <v>3.2</v>
      </c>
      <c r="N72" s="75">
        <v>3.2</v>
      </c>
      <c r="O72" s="75">
        <v>3.2</v>
      </c>
      <c r="P72" s="75">
        <v>3.2</v>
      </c>
      <c r="Q72" s="75">
        <v>3.2</v>
      </c>
      <c r="R72" s="75">
        <v>3.2</v>
      </c>
      <c r="S72" s="75">
        <v>3.2</v>
      </c>
      <c r="T72" s="75">
        <v>3.2</v>
      </c>
      <c r="U72" s="75">
        <v>3.2</v>
      </c>
      <c r="V72" s="75">
        <v>3.2</v>
      </c>
      <c r="W72" s="75">
        <v>3.2</v>
      </c>
      <c r="X72" s="75">
        <v>3.2</v>
      </c>
      <c r="Y72" s="75">
        <v>3.2</v>
      </c>
      <c r="Z72" s="75">
        <v>3.2</v>
      </c>
      <c r="AA72" s="75">
        <v>3.2</v>
      </c>
      <c r="AB72" s="75">
        <v>3.4</v>
      </c>
      <c r="AC72" s="75">
        <v>3.4</v>
      </c>
      <c r="AD72" s="75">
        <v>3.4</v>
      </c>
      <c r="AE72" s="75">
        <v>3.4</v>
      </c>
      <c r="AF72" s="75">
        <v>3.4</v>
      </c>
      <c r="AG72" s="65">
        <v>14</v>
      </c>
      <c r="AH72" s="48">
        <f t="shared" si="8"/>
        <v>3.4</v>
      </c>
      <c r="AI72" s="49">
        <f t="shared" si="9"/>
        <v>3.2</v>
      </c>
      <c r="AK72" s="51"/>
      <c r="AY72" s="1" t="s">
        <v>94</v>
      </c>
      <c r="AZ72" s="81">
        <f>ROUND(C85,0)</f>
        <v>118</v>
      </c>
      <c r="BA72" s="80">
        <f t="shared" si="38"/>
        <v>114.4</v>
      </c>
      <c r="BB72" s="80">
        <f t="shared" si="38"/>
        <v>102.8</v>
      </c>
      <c r="BC72" s="80">
        <f t="shared" si="38"/>
        <v>122.8</v>
      </c>
      <c r="BD72" s="80">
        <f t="shared" si="38"/>
        <v>120.6</v>
      </c>
      <c r="BE72" s="81">
        <f t="shared" si="40"/>
        <v>102.4</v>
      </c>
      <c r="BF72" s="81">
        <f t="shared" si="41"/>
        <v>86.4</v>
      </c>
      <c r="BG72" s="81">
        <f t="shared" si="39"/>
        <v>91</v>
      </c>
      <c r="BH72" s="81">
        <f t="shared" si="39"/>
        <v>109</v>
      </c>
      <c r="BI72" s="81">
        <f t="shared" si="39"/>
        <v>107</v>
      </c>
      <c r="BJ72" s="81">
        <f t="shared" si="39"/>
        <v>110</v>
      </c>
      <c r="BK72" s="81">
        <f t="shared" si="39"/>
        <v>110.9</v>
      </c>
      <c r="BL72" s="81">
        <f t="shared" si="39"/>
        <v>124</v>
      </c>
      <c r="BM72" s="81">
        <f t="shared" si="39"/>
        <v>120</v>
      </c>
      <c r="BN72" s="81">
        <f t="shared" si="39"/>
        <v>104</v>
      </c>
      <c r="BO72" s="81">
        <f t="shared" si="39"/>
        <v>112</v>
      </c>
      <c r="BP72" s="81">
        <f t="shared" si="39"/>
        <v>0</v>
      </c>
      <c r="BQ72" s="81">
        <f t="shared" si="42"/>
        <v>0</v>
      </c>
      <c r="BR72" s="81">
        <f t="shared" si="43"/>
        <v>0</v>
      </c>
      <c r="BS72" s="80">
        <f t="shared" si="44"/>
        <v>0</v>
      </c>
      <c r="BT72" s="80">
        <f t="shared" si="45"/>
        <v>0</v>
      </c>
      <c r="BU72" s="80">
        <f t="shared" si="45"/>
        <v>117</v>
      </c>
      <c r="BV72" s="80">
        <f t="shared" si="45"/>
        <v>116</v>
      </c>
      <c r="BW72" s="80">
        <f t="shared" si="46"/>
        <v>125</v>
      </c>
    </row>
    <row r="73" spans="1:75" x14ac:dyDescent="0.25">
      <c r="A73" s="64" t="s">
        <v>95</v>
      </c>
      <c r="B73" s="75">
        <v>3</v>
      </c>
      <c r="C73" s="75">
        <v>3</v>
      </c>
      <c r="D73" s="75">
        <v>3</v>
      </c>
      <c r="E73" s="75">
        <v>3</v>
      </c>
      <c r="F73" s="75">
        <v>3</v>
      </c>
      <c r="G73" s="75">
        <v>3</v>
      </c>
      <c r="H73" s="75">
        <v>3</v>
      </c>
      <c r="I73" s="75">
        <v>3</v>
      </c>
      <c r="J73" s="75">
        <v>3</v>
      </c>
      <c r="K73" s="75">
        <v>3</v>
      </c>
      <c r="L73" s="75">
        <v>3</v>
      </c>
      <c r="M73" s="75">
        <v>3</v>
      </c>
      <c r="N73" s="75">
        <v>3</v>
      </c>
      <c r="O73" s="75">
        <v>3</v>
      </c>
      <c r="P73" s="75">
        <v>3</v>
      </c>
      <c r="Q73" s="75">
        <v>3</v>
      </c>
      <c r="R73" s="75">
        <v>3</v>
      </c>
      <c r="S73" s="75">
        <v>3</v>
      </c>
      <c r="T73" s="75">
        <v>3</v>
      </c>
      <c r="U73" s="75">
        <v>3</v>
      </c>
      <c r="V73" s="75">
        <v>3</v>
      </c>
      <c r="W73" s="75">
        <v>3</v>
      </c>
      <c r="X73" s="75">
        <v>3</v>
      </c>
      <c r="Y73" s="75">
        <v>3</v>
      </c>
      <c r="Z73" s="75">
        <v>3</v>
      </c>
      <c r="AA73" s="75">
        <v>3</v>
      </c>
      <c r="AB73" s="75">
        <v>3</v>
      </c>
      <c r="AC73" s="75">
        <v>3</v>
      </c>
      <c r="AD73" s="75">
        <v>3</v>
      </c>
      <c r="AE73" s="75">
        <v>3</v>
      </c>
      <c r="AF73" s="75">
        <v>3</v>
      </c>
      <c r="AG73" s="65">
        <v>10.050000000000001</v>
      </c>
      <c r="AH73" s="48">
        <f t="shared" si="8"/>
        <v>3</v>
      </c>
      <c r="AI73" s="49">
        <f t="shared" si="9"/>
        <v>3</v>
      </c>
      <c r="AK73" s="51"/>
      <c r="AY73" s="1" t="s">
        <v>96</v>
      </c>
      <c r="AZ73" s="81">
        <f>ROUND(C91,0)</f>
        <v>49</v>
      </c>
      <c r="BA73" s="81">
        <f>D91</f>
        <v>51.8</v>
      </c>
      <c r="BB73" s="81">
        <f>E91</f>
        <v>52.5</v>
      </c>
      <c r="BC73" s="81">
        <f>F91</f>
        <v>53</v>
      </c>
      <c r="BD73" s="81">
        <f>G91</f>
        <v>51.4</v>
      </c>
      <c r="BE73" s="81">
        <f>I91</f>
        <v>53.9</v>
      </c>
      <c r="BF73" s="81">
        <f>K91</f>
        <v>75.3</v>
      </c>
      <c r="BG73" s="81">
        <f t="shared" ref="BG73:BP73" si="47">M91</f>
        <v>73</v>
      </c>
      <c r="BH73" s="81">
        <f t="shared" si="47"/>
        <v>64.3</v>
      </c>
      <c r="BI73" s="81">
        <f t="shared" si="47"/>
        <v>66.3</v>
      </c>
      <c r="BJ73" s="81">
        <f t="shared" si="47"/>
        <v>79.599999999999994</v>
      </c>
      <c r="BK73" s="81">
        <f t="shared" si="47"/>
        <v>80.2</v>
      </c>
      <c r="BL73" s="81">
        <f t="shared" si="47"/>
        <v>75.5</v>
      </c>
      <c r="BM73" s="81">
        <f t="shared" si="47"/>
        <v>82</v>
      </c>
      <c r="BN73" s="81">
        <f t="shared" si="47"/>
        <v>75</v>
      </c>
      <c r="BO73" s="81">
        <f t="shared" si="47"/>
        <v>75</v>
      </c>
      <c r="BP73" s="81">
        <f t="shared" si="47"/>
        <v>75</v>
      </c>
      <c r="BQ73" s="81">
        <f>X91</f>
        <v>72</v>
      </c>
      <c r="BR73" s="81">
        <f>Z91</f>
        <v>79</v>
      </c>
      <c r="BS73" s="81">
        <f>AB91</f>
        <v>0</v>
      </c>
      <c r="BT73" s="81">
        <f>AD91</f>
        <v>0</v>
      </c>
      <c r="BU73" s="81">
        <f>AE91</f>
        <v>0</v>
      </c>
      <c r="BV73" s="81">
        <f>AF91</f>
        <v>0</v>
      </c>
      <c r="BW73" s="81">
        <f>B91</f>
        <v>64.400000000000006</v>
      </c>
    </row>
    <row r="74" spans="1:75" x14ac:dyDescent="0.25">
      <c r="A74" s="64" t="s">
        <v>97</v>
      </c>
      <c r="B74" s="75">
        <v>2</v>
      </c>
      <c r="C74" s="75">
        <v>2</v>
      </c>
      <c r="D74" s="75">
        <v>2</v>
      </c>
      <c r="E74" s="75">
        <v>2</v>
      </c>
      <c r="F74" s="75">
        <v>2</v>
      </c>
      <c r="G74" s="75">
        <v>2</v>
      </c>
      <c r="H74" s="75">
        <v>2</v>
      </c>
      <c r="I74" s="75">
        <v>2</v>
      </c>
      <c r="J74" s="75">
        <v>2</v>
      </c>
      <c r="K74" s="75">
        <v>2</v>
      </c>
      <c r="L74" s="75">
        <v>2</v>
      </c>
      <c r="M74" s="75">
        <v>2</v>
      </c>
      <c r="N74" s="75">
        <v>2</v>
      </c>
      <c r="O74" s="75">
        <v>2</v>
      </c>
      <c r="P74" s="75">
        <v>2</v>
      </c>
      <c r="Q74" s="75">
        <v>2</v>
      </c>
      <c r="R74" s="75">
        <v>2</v>
      </c>
      <c r="S74" s="75">
        <v>2</v>
      </c>
      <c r="T74" s="75">
        <v>2</v>
      </c>
      <c r="U74" s="75">
        <v>2</v>
      </c>
      <c r="V74" s="75">
        <v>2</v>
      </c>
      <c r="W74" s="75">
        <v>2</v>
      </c>
      <c r="X74" s="75">
        <v>2</v>
      </c>
      <c r="Y74" s="75">
        <v>2</v>
      </c>
      <c r="Z74" s="75">
        <v>2</v>
      </c>
      <c r="AA74" s="75">
        <v>2</v>
      </c>
      <c r="AB74" s="75">
        <v>2</v>
      </c>
      <c r="AC74" s="75">
        <v>2</v>
      </c>
      <c r="AD74" s="75">
        <v>2</v>
      </c>
      <c r="AE74" s="75">
        <v>2</v>
      </c>
      <c r="AF74" s="75">
        <v>2</v>
      </c>
      <c r="AG74" s="65">
        <v>6.2</v>
      </c>
      <c r="AH74" s="48">
        <f t="shared" si="8"/>
        <v>2</v>
      </c>
      <c r="AI74" s="49">
        <f t="shared" si="9"/>
        <v>2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</row>
    <row r="75" spans="1:75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>
        <v>3.54</v>
      </c>
      <c r="W75" s="84">
        <v>3.54</v>
      </c>
      <c r="X75" s="84">
        <v>3.54</v>
      </c>
      <c r="Y75" s="84">
        <v>3.5</v>
      </c>
      <c r="Z75" s="84">
        <v>5.5</v>
      </c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8"/>
        <v>5.5</v>
      </c>
      <c r="AI75" s="49">
        <f t="shared" si="9"/>
        <v>3.5</v>
      </c>
      <c r="AK75" s="51"/>
      <c r="AZ75" s="81">
        <f>VALUE(AZ68)</f>
        <v>50</v>
      </c>
      <c r="BA75" s="81">
        <f t="shared" ref="BA75:BW75" si="48">VALUE(BA68)</f>
        <v>50.6</v>
      </c>
      <c r="BB75" s="81">
        <f t="shared" si="48"/>
        <v>54.6</v>
      </c>
      <c r="BC75" s="81">
        <f t="shared" si="48"/>
        <v>48.8</v>
      </c>
      <c r="BD75" s="81">
        <f t="shared" si="48"/>
        <v>52</v>
      </c>
      <c r="BE75" s="81">
        <f t="shared" si="48"/>
        <v>54.6</v>
      </c>
      <c r="BF75" s="81">
        <f t="shared" si="48"/>
        <v>58.1</v>
      </c>
      <c r="BG75" s="81">
        <f t="shared" si="48"/>
        <v>48.5</v>
      </c>
      <c r="BH75" s="81">
        <f t="shared" si="48"/>
        <v>50.7</v>
      </c>
      <c r="BI75" s="81">
        <f t="shared" si="48"/>
        <v>54.9</v>
      </c>
      <c r="BJ75" s="81">
        <f t="shared" si="48"/>
        <v>62</v>
      </c>
      <c r="BK75" s="81">
        <f t="shared" si="48"/>
        <v>60.6</v>
      </c>
      <c r="BL75" s="81">
        <f t="shared" si="48"/>
        <v>52.5</v>
      </c>
      <c r="BM75" s="81">
        <f t="shared" si="48"/>
        <v>69</v>
      </c>
      <c r="BN75" s="81">
        <f t="shared" si="48"/>
        <v>68</v>
      </c>
      <c r="BO75" s="81">
        <f t="shared" si="48"/>
        <v>57</v>
      </c>
      <c r="BP75" s="81">
        <f t="shared" si="48"/>
        <v>60.4</v>
      </c>
      <c r="BQ75" s="81">
        <f t="shared" si="48"/>
        <v>58</v>
      </c>
      <c r="BR75" s="81">
        <f t="shared" si="48"/>
        <v>61</v>
      </c>
      <c r="BS75" s="81">
        <f t="shared" si="48"/>
        <v>61.9</v>
      </c>
      <c r="BT75" s="81">
        <f t="shared" si="48"/>
        <v>62</v>
      </c>
      <c r="BU75" s="81">
        <f t="shared" si="48"/>
        <v>61</v>
      </c>
      <c r="BV75" s="81">
        <f t="shared" si="48"/>
        <v>59.5</v>
      </c>
      <c r="BW75" s="81">
        <f t="shared" si="48"/>
        <v>56.4</v>
      </c>
    </row>
    <row r="76" spans="1:75" ht="15.75" thickBot="1" x14ac:dyDescent="0.3">
      <c r="A76" s="86" t="s">
        <v>99</v>
      </c>
      <c r="B76" s="70">
        <f t="shared" ref="B76:C76" si="49">SUM(B63:B75)</f>
        <v>85.44</v>
      </c>
      <c r="C76" s="70">
        <f t="shared" si="49"/>
        <v>85.44</v>
      </c>
      <c r="D76" s="70">
        <f t="shared" ref="D76" si="50">SUM(D63:D75)</f>
        <v>85.44</v>
      </c>
      <c r="E76" s="70">
        <f t="shared" ref="E76:AG76" si="51">SUM(E63:E75)</f>
        <v>75.540000000000006</v>
      </c>
      <c r="F76" s="70">
        <f t="shared" si="51"/>
        <v>90.940000000000012</v>
      </c>
      <c r="G76" s="70">
        <f t="shared" si="51"/>
        <v>75.240000000000009</v>
      </c>
      <c r="H76" s="70">
        <f t="shared" si="51"/>
        <v>111.44000000000001</v>
      </c>
      <c r="I76" s="70">
        <f t="shared" si="51"/>
        <v>191.54</v>
      </c>
      <c r="J76" s="70">
        <f t="shared" si="51"/>
        <v>221.93999999999997</v>
      </c>
      <c r="K76" s="70">
        <f t="shared" si="51"/>
        <v>243.04</v>
      </c>
      <c r="L76" s="70">
        <f t="shared" si="51"/>
        <v>237.23999999999998</v>
      </c>
      <c r="M76" s="70">
        <f t="shared" si="51"/>
        <v>296.83999999999997</v>
      </c>
      <c r="N76" s="70">
        <f t="shared" si="51"/>
        <v>205.04</v>
      </c>
      <c r="O76" s="70">
        <f t="shared" si="51"/>
        <v>205.04</v>
      </c>
      <c r="P76" s="70">
        <f t="shared" ref="P76" si="52">SUM(P63:P75)</f>
        <v>199.33999999999997</v>
      </c>
      <c r="Q76" s="70">
        <f t="shared" si="51"/>
        <v>200.14</v>
      </c>
      <c r="R76" s="70">
        <f t="shared" si="51"/>
        <v>206.54</v>
      </c>
      <c r="S76" s="70">
        <f t="shared" ref="S76:T76" si="53">SUM(S63:S75)</f>
        <v>197.73999999999998</v>
      </c>
      <c r="T76" s="70">
        <f t="shared" si="53"/>
        <v>199.34</v>
      </c>
      <c r="U76" s="70">
        <f t="shared" ref="U76:W76" si="54">SUM(U63:U75)</f>
        <v>199.34</v>
      </c>
      <c r="V76" s="70">
        <f t="shared" si="54"/>
        <v>199.34</v>
      </c>
      <c r="W76" s="70">
        <f t="shared" si="54"/>
        <v>251.94000000000003</v>
      </c>
      <c r="X76" s="70">
        <f t="shared" si="51"/>
        <v>281.74</v>
      </c>
      <c r="Y76" s="70">
        <f>SUM(Y63:Y75)</f>
        <v>300.10000000000002</v>
      </c>
      <c r="Z76" s="70">
        <f>SUM(Z63:Z75)</f>
        <v>368.8</v>
      </c>
      <c r="AA76" s="70">
        <f t="shared" si="51"/>
        <v>379.84000000000003</v>
      </c>
      <c r="AB76" s="70">
        <f t="shared" ref="AB76" si="55">SUM(AB63:AB75)</f>
        <v>259.34000000000003</v>
      </c>
      <c r="AC76" s="70">
        <f t="shared" si="51"/>
        <v>247.14000000000001</v>
      </c>
      <c r="AD76" s="70">
        <f t="shared" si="51"/>
        <v>244.34</v>
      </c>
      <c r="AE76" s="70">
        <f t="shared" ref="AE76:AF76" si="56">SUM(AE63:AE75)</f>
        <v>191.44</v>
      </c>
      <c r="AF76" s="70">
        <f t="shared" si="56"/>
        <v>149.64000000000001</v>
      </c>
      <c r="AG76" s="71">
        <f t="shared" si="51"/>
        <v>489.91</v>
      </c>
      <c r="AH76" s="48">
        <f t="shared" si="8"/>
        <v>379.84000000000003</v>
      </c>
      <c r="AI76" s="49">
        <f t="shared" si="9"/>
        <v>75.240000000000009</v>
      </c>
      <c r="AK76" s="51"/>
      <c r="AZ76" s="81">
        <f t="shared" ref="AZ76:BW80" si="57">VALUE(AZ69)</f>
        <v>0</v>
      </c>
      <c r="BA76" s="81">
        <f t="shared" si="57"/>
        <v>0</v>
      </c>
      <c r="BB76" s="81">
        <f t="shared" si="57"/>
        <v>0</v>
      </c>
      <c r="BC76" s="81">
        <f t="shared" si="57"/>
        <v>0</v>
      </c>
      <c r="BD76" s="81">
        <f t="shared" si="57"/>
        <v>0</v>
      </c>
      <c r="BE76" s="81">
        <f t="shared" si="57"/>
        <v>0</v>
      </c>
      <c r="BF76" s="81">
        <f t="shared" si="57"/>
        <v>0</v>
      </c>
      <c r="BG76" s="81">
        <f t="shared" si="57"/>
        <v>0</v>
      </c>
      <c r="BH76" s="81">
        <f t="shared" si="57"/>
        <v>0</v>
      </c>
      <c r="BI76" s="81">
        <f t="shared" si="57"/>
        <v>0</v>
      </c>
      <c r="BJ76" s="81">
        <f t="shared" si="57"/>
        <v>0</v>
      </c>
      <c r="BK76" s="81">
        <f t="shared" si="57"/>
        <v>0</v>
      </c>
      <c r="BL76" s="81">
        <f t="shared" si="57"/>
        <v>0</v>
      </c>
      <c r="BM76" s="81">
        <f t="shared" si="57"/>
        <v>0</v>
      </c>
      <c r="BN76" s="81">
        <f t="shared" si="57"/>
        <v>0</v>
      </c>
      <c r="BO76" s="81">
        <f t="shared" si="57"/>
        <v>0</v>
      </c>
      <c r="BP76" s="81">
        <f t="shared" si="57"/>
        <v>0</v>
      </c>
      <c r="BQ76" s="81">
        <f t="shared" si="57"/>
        <v>0</v>
      </c>
      <c r="BR76" s="81">
        <f t="shared" si="57"/>
        <v>0</v>
      </c>
      <c r="BS76" s="81">
        <f t="shared" si="57"/>
        <v>0</v>
      </c>
      <c r="BT76" s="81">
        <f t="shared" si="57"/>
        <v>0</v>
      </c>
      <c r="BU76" s="81">
        <f t="shared" si="57"/>
        <v>0</v>
      </c>
      <c r="BV76" s="81">
        <f t="shared" si="57"/>
        <v>0</v>
      </c>
      <c r="BW76" s="81">
        <f t="shared" si="57"/>
        <v>0</v>
      </c>
    </row>
    <row r="77" spans="1:75" x14ac:dyDescent="0.25">
      <c r="A77" s="45" t="s">
        <v>100</v>
      </c>
      <c r="B77" s="46">
        <v>0</v>
      </c>
      <c r="C77" s="46">
        <v>0</v>
      </c>
      <c r="D77" s="46">
        <v>0</v>
      </c>
      <c r="E77" s="46">
        <v>0</v>
      </c>
      <c r="F77" s="46">
        <v>0</v>
      </c>
      <c r="G77" s="46">
        <v>0</v>
      </c>
      <c r="H77" s="46">
        <v>0</v>
      </c>
      <c r="I77" s="46">
        <v>0</v>
      </c>
      <c r="J77" s="46">
        <v>0</v>
      </c>
      <c r="K77" s="46">
        <v>0</v>
      </c>
      <c r="L77" s="46">
        <v>0</v>
      </c>
      <c r="M77" s="46">
        <v>0</v>
      </c>
      <c r="N77" s="46">
        <v>0</v>
      </c>
      <c r="O77" s="46">
        <v>0</v>
      </c>
      <c r="P77" s="46">
        <v>0</v>
      </c>
      <c r="Q77" s="46">
        <v>0</v>
      </c>
      <c r="R77" s="46">
        <v>0</v>
      </c>
      <c r="S77" s="46">
        <v>0</v>
      </c>
      <c r="T77" s="46">
        <v>0</v>
      </c>
      <c r="U77" s="46">
        <v>0</v>
      </c>
      <c r="V77" s="46">
        <v>0</v>
      </c>
      <c r="W77" s="46">
        <v>0</v>
      </c>
      <c r="X77" s="46"/>
      <c r="Y77" s="46"/>
      <c r="Z77" s="46"/>
      <c r="AA77" s="46"/>
      <c r="AB77" s="46">
        <v>35</v>
      </c>
      <c r="AC77" s="46">
        <v>10</v>
      </c>
      <c r="AD77" s="46">
        <v>10</v>
      </c>
      <c r="AE77" s="46">
        <v>0</v>
      </c>
      <c r="AF77" s="46">
        <v>0</v>
      </c>
      <c r="AG77" s="60">
        <v>60</v>
      </c>
      <c r="AH77" s="48">
        <f t="shared" si="8"/>
        <v>35</v>
      </c>
      <c r="AI77" s="49">
        <f t="shared" si="9"/>
        <v>0</v>
      </c>
      <c r="AK77" s="51"/>
      <c r="AZ77" s="81">
        <f t="shared" si="57"/>
        <v>370</v>
      </c>
      <c r="BA77" s="81">
        <f t="shared" si="57"/>
        <v>380.5</v>
      </c>
      <c r="BB77" s="81">
        <f t="shared" si="57"/>
        <v>406.8</v>
      </c>
      <c r="BC77" s="81">
        <f t="shared" si="57"/>
        <v>435.4</v>
      </c>
      <c r="BD77" s="81">
        <f t="shared" si="57"/>
        <v>439</v>
      </c>
      <c r="BE77" s="81">
        <f t="shared" si="57"/>
        <v>464</v>
      </c>
      <c r="BF77" s="81">
        <f t="shared" si="57"/>
        <v>411.6</v>
      </c>
      <c r="BG77" s="81">
        <f t="shared" si="57"/>
        <v>1.4</v>
      </c>
      <c r="BH77" s="81">
        <f t="shared" si="57"/>
        <v>406</v>
      </c>
      <c r="BI77" s="81">
        <f t="shared" si="57"/>
        <v>404</v>
      </c>
      <c r="BJ77" s="81">
        <f t="shared" si="57"/>
        <v>465</v>
      </c>
      <c r="BK77" s="81">
        <f t="shared" si="57"/>
        <v>455</v>
      </c>
      <c r="BL77" s="81">
        <f t="shared" si="57"/>
        <v>497</v>
      </c>
      <c r="BM77" s="81">
        <f t="shared" si="57"/>
        <v>500</v>
      </c>
      <c r="BN77" s="81">
        <f t="shared" si="57"/>
        <v>527</v>
      </c>
      <c r="BO77" s="81">
        <f t="shared" si="57"/>
        <v>535</v>
      </c>
      <c r="BP77" s="81">
        <f t="shared" si="57"/>
        <v>468</v>
      </c>
      <c r="BQ77" s="81">
        <f t="shared" si="57"/>
        <v>436</v>
      </c>
      <c r="BR77" s="81">
        <f t="shared" si="57"/>
        <v>181</v>
      </c>
      <c r="BS77" s="81">
        <f t="shared" si="57"/>
        <v>146.30000000000001</v>
      </c>
      <c r="BT77" s="81">
        <f t="shared" si="57"/>
        <v>371</v>
      </c>
      <c r="BU77" s="81">
        <f t="shared" si="57"/>
        <v>374.5</v>
      </c>
      <c r="BV77" s="81">
        <f t="shared" si="57"/>
        <v>393.7</v>
      </c>
      <c r="BW77" s="81">
        <f t="shared" si="57"/>
        <v>407.5</v>
      </c>
    </row>
    <row r="78" spans="1:75" x14ac:dyDescent="0.25">
      <c r="A78" s="64" t="s">
        <v>101</v>
      </c>
      <c r="B78" s="75">
        <v>0</v>
      </c>
      <c r="C78" s="75">
        <v>0</v>
      </c>
      <c r="D78" s="75">
        <v>0</v>
      </c>
      <c r="E78" s="75">
        <v>0</v>
      </c>
      <c r="F78" s="75">
        <v>0</v>
      </c>
      <c r="G78" s="75">
        <v>0</v>
      </c>
      <c r="H78" s="75">
        <v>0</v>
      </c>
      <c r="I78" s="75">
        <v>0</v>
      </c>
      <c r="J78" s="75">
        <v>0</v>
      </c>
      <c r="K78" s="75">
        <v>0</v>
      </c>
      <c r="L78" s="75">
        <v>0</v>
      </c>
      <c r="M78" s="75">
        <v>0</v>
      </c>
      <c r="N78" s="75">
        <v>0</v>
      </c>
      <c r="O78" s="75">
        <v>0</v>
      </c>
      <c r="P78" s="75">
        <v>0</v>
      </c>
      <c r="Q78" s="75">
        <v>0</v>
      </c>
      <c r="R78" s="75">
        <v>0</v>
      </c>
      <c r="S78" s="75">
        <v>0</v>
      </c>
      <c r="T78" s="75">
        <v>0</v>
      </c>
      <c r="U78" s="75">
        <v>0</v>
      </c>
      <c r="V78" s="75">
        <v>0</v>
      </c>
      <c r="W78" s="75">
        <v>0</v>
      </c>
      <c r="X78" s="75"/>
      <c r="Y78" s="75"/>
      <c r="Z78" s="75"/>
      <c r="AA78" s="75"/>
      <c r="AB78" s="75">
        <v>13.5</v>
      </c>
      <c r="AC78" s="75">
        <v>6.9</v>
      </c>
      <c r="AD78" s="75">
        <v>3.8</v>
      </c>
      <c r="AE78" s="75">
        <v>0</v>
      </c>
      <c r="AF78" s="75">
        <v>0</v>
      </c>
      <c r="AG78" s="65">
        <v>32</v>
      </c>
      <c r="AH78" s="48">
        <f t="shared" si="8"/>
        <v>13.5</v>
      </c>
      <c r="AI78" s="49">
        <f t="shared" si="9"/>
        <v>0</v>
      </c>
      <c r="AK78" s="51"/>
      <c r="AZ78" s="81">
        <f t="shared" si="57"/>
        <v>50</v>
      </c>
      <c r="BA78" s="81">
        <f t="shared" si="57"/>
        <v>51.5</v>
      </c>
      <c r="BB78" s="81">
        <f t="shared" si="57"/>
        <v>39.200000000000003</v>
      </c>
      <c r="BC78" s="81">
        <f t="shared" si="57"/>
        <v>5.8</v>
      </c>
      <c r="BD78" s="81">
        <f t="shared" si="57"/>
        <v>4.9000000000000004</v>
      </c>
      <c r="BE78" s="81">
        <f t="shared" si="57"/>
        <v>5.8</v>
      </c>
      <c r="BF78" s="81">
        <f t="shared" si="57"/>
        <v>36.5</v>
      </c>
      <c r="BG78" s="81">
        <f t="shared" si="57"/>
        <v>39.700000000000003</v>
      </c>
      <c r="BH78" s="81">
        <f t="shared" si="57"/>
        <v>38.200000000000003</v>
      </c>
      <c r="BI78" s="81">
        <f t="shared" si="57"/>
        <v>34.1</v>
      </c>
      <c r="BJ78" s="81">
        <f t="shared" si="57"/>
        <v>34.5</v>
      </c>
      <c r="BK78" s="81">
        <f t="shared" si="57"/>
        <v>34</v>
      </c>
      <c r="BL78" s="81">
        <f t="shared" si="57"/>
        <v>34.299999999999997</v>
      </c>
      <c r="BM78" s="81">
        <f t="shared" si="57"/>
        <v>31.8</v>
      </c>
      <c r="BN78" s="81">
        <f t="shared" si="57"/>
        <v>30</v>
      </c>
      <c r="BO78" s="81">
        <f t="shared" si="57"/>
        <v>30</v>
      </c>
      <c r="BP78" s="81">
        <f t="shared" si="57"/>
        <v>33.9</v>
      </c>
      <c r="BQ78" s="81">
        <f t="shared" si="57"/>
        <v>35</v>
      </c>
      <c r="BR78" s="81">
        <f t="shared" si="57"/>
        <v>30.5</v>
      </c>
      <c r="BS78" s="81">
        <f t="shared" si="57"/>
        <v>35.700000000000003</v>
      </c>
      <c r="BT78" s="81">
        <f t="shared" si="57"/>
        <v>36</v>
      </c>
      <c r="BU78" s="81">
        <f t="shared" si="57"/>
        <v>28.9</v>
      </c>
      <c r="BV78" s="81">
        <f t="shared" si="57"/>
        <v>37.700000000000003</v>
      </c>
      <c r="BW78" s="81">
        <f t="shared" si="57"/>
        <v>5.6</v>
      </c>
    </row>
    <row r="79" spans="1:75" ht="15.75" thickBot="1" x14ac:dyDescent="0.3">
      <c r="A79" s="83" t="s">
        <v>102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/>
      <c r="Y79" s="77"/>
      <c r="Z79" s="77"/>
      <c r="AA79" s="77"/>
      <c r="AB79" s="77">
        <v>4.9000000000000004</v>
      </c>
      <c r="AC79" s="77">
        <v>2.5</v>
      </c>
      <c r="AD79" s="77">
        <v>1.4</v>
      </c>
      <c r="AE79" s="77">
        <v>0</v>
      </c>
      <c r="AF79" s="77">
        <v>0</v>
      </c>
      <c r="AG79" s="78">
        <v>14</v>
      </c>
      <c r="AH79" s="48">
        <f t="shared" si="8"/>
        <v>4.9000000000000004</v>
      </c>
      <c r="AI79" s="49">
        <f t="shared" si="9"/>
        <v>0</v>
      </c>
      <c r="AK79" s="51"/>
      <c r="AZ79" s="81">
        <f t="shared" si="57"/>
        <v>118</v>
      </c>
      <c r="BA79" s="81">
        <f t="shared" si="57"/>
        <v>114.4</v>
      </c>
      <c r="BB79" s="81">
        <f t="shared" si="57"/>
        <v>102.8</v>
      </c>
      <c r="BC79" s="81">
        <f t="shared" si="57"/>
        <v>122.8</v>
      </c>
      <c r="BD79" s="81">
        <f t="shared" si="57"/>
        <v>120.6</v>
      </c>
      <c r="BE79" s="81">
        <f t="shared" si="57"/>
        <v>102.4</v>
      </c>
      <c r="BF79" s="81">
        <f t="shared" si="57"/>
        <v>86.4</v>
      </c>
      <c r="BG79" s="81">
        <f t="shared" si="57"/>
        <v>91</v>
      </c>
      <c r="BH79" s="81">
        <f t="shared" si="57"/>
        <v>109</v>
      </c>
      <c r="BI79" s="81">
        <f t="shared" si="57"/>
        <v>107</v>
      </c>
      <c r="BJ79" s="81">
        <f t="shared" si="57"/>
        <v>110</v>
      </c>
      <c r="BK79" s="81">
        <f t="shared" si="57"/>
        <v>110.9</v>
      </c>
      <c r="BL79" s="81">
        <f t="shared" si="57"/>
        <v>124</v>
      </c>
      <c r="BM79" s="81">
        <f t="shared" si="57"/>
        <v>120</v>
      </c>
      <c r="BN79" s="81">
        <f t="shared" si="57"/>
        <v>104</v>
      </c>
      <c r="BO79" s="81">
        <f t="shared" si="57"/>
        <v>112</v>
      </c>
      <c r="BP79" s="81">
        <f t="shared" si="57"/>
        <v>0</v>
      </c>
      <c r="BQ79" s="81">
        <f t="shared" si="57"/>
        <v>0</v>
      </c>
      <c r="BR79" s="81">
        <f t="shared" si="57"/>
        <v>0</v>
      </c>
      <c r="BS79" s="81">
        <f t="shared" si="57"/>
        <v>0</v>
      </c>
      <c r="BT79" s="81">
        <f t="shared" si="57"/>
        <v>0</v>
      </c>
      <c r="BU79" s="81">
        <f t="shared" si="57"/>
        <v>117</v>
      </c>
      <c r="BV79" s="81">
        <f t="shared" si="57"/>
        <v>116</v>
      </c>
      <c r="BW79" s="81">
        <f t="shared" si="57"/>
        <v>125</v>
      </c>
    </row>
    <row r="80" spans="1:75" ht="15.75" thickBot="1" x14ac:dyDescent="0.3">
      <c r="A80" s="86" t="s">
        <v>103</v>
      </c>
      <c r="B80" s="70">
        <f t="shared" ref="B80:C80" si="58">B77+B78+B79</f>
        <v>0</v>
      </c>
      <c r="C80" s="70">
        <f t="shared" si="58"/>
        <v>0</v>
      </c>
      <c r="D80" s="70">
        <f t="shared" ref="D80" si="59">D77+D78+D79</f>
        <v>0</v>
      </c>
      <c r="E80" s="70">
        <f t="shared" ref="E80:AD80" si="60">E77+E78+E79</f>
        <v>0</v>
      </c>
      <c r="F80" s="70">
        <f t="shared" si="60"/>
        <v>0</v>
      </c>
      <c r="G80" s="70">
        <f t="shared" si="60"/>
        <v>0</v>
      </c>
      <c r="H80" s="70">
        <f t="shared" si="60"/>
        <v>0</v>
      </c>
      <c r="I80" s="70">
        <f t="shared" si="60"/>
        <v>0</v>
      </c>
      <c r="J80" s="70">
        <f t="shared" si="60"/>
        <v>0</v>
      </c>
      <c r="K80" s="70">
        <f t="shared" si="60"/>
        <v>0</v>
      </c>
      <c r="L80" s="70">
        <f t="shared" si="60"/>
        <v>0</v>
      </c>
      <c r="M80" s="70">
        <f t="shared" si="60"/>
        <v>0</v>
      </c>
      <c r="N80" s="70">
        <f t="shared" si="60"/>
        <v>0</v>
      </c>
      <c r="O80" s="70">
        <f t="shared" si="60"/>
        <v>0</v>
      </c>
      <c r="P80" s="70">
        <f t="shared" si="60"/>
        <v>0</v>
      </c>
      <c r="Q80" s="70">
        <f t="shared" si="60"/>
        <v>0</v>
      </c>
      <c r="R80" s="70">
        <f t="shared" si="60"/>
        <v>0</v>
      </c>
      <c r="S80" s="70">
        <f t="shared" ref="S80:T80" si="61">S77+S78+S79</f>
        <v>0</v>
      </c>
      <c r="T80" s="70">
        <f t="shared" si="61"/>
        <v>0</v>
      </c>
      <c r="U80" s="70">
        <f t="shared" ref="U80" si="62">U77+U78+U79</f>
        <v>0</v>
      </c>
      <c r="V80" s="70"/>
      <c r="W80" s="70">
        <f t="shared" si="60"/>
        <v>0</v>
      </c>
      <c r="X80" s="70">
        <f t="shared" si="60"/>
        <v>0</v>
      </c>
      <c r="Y80" s="70">
        <f>Y77+Y78+Y79</f>
        <v>0</v>
      </c>
      <c r="Z80" s="70">
        <f>Z77+Z78+Z79</f>
        <v>0</v>
      </c>
      <c r="AA80" s="70">
        <f t="shared" si="60"/>
        <v>0</v>
      </c>
      <c r="AB80" s="70">
        <f t="shared" ref="AB80" si="63">AB77+AB78+AB79</f>
        <v>53.4</v>
      </c>
      <c r="AC80" s="70">
        <f t="shared" si="60"/>
        <v>19.399999999999999</v>
      </c>
      <c r="AD80" s="70">
        <f t="shared" si="60"/>
        <v>15.200000000000001</v>
      </c>
      <c r="AE80" s="70">
        <f t="shared" ref="AE80:AF80" si="64">AE77+AE78+AE79</f>
        <v>0</v>
      </c>
      <c r="AF80" s="70">
        <f t="shared" si="64"/>
        <v>0</v>
      </c>
      <c r="AG80" s="71">
        <f>SUM(AG77:AG79)</f>
        <v>106</v>
      </c>
      <c r="AH80" s="48">
        <f t="shared" si="8"/>
        <v>53.4</v>
      </c>
      <c r="AI80" s="49">
        <f t="shared" si="9"/>
        <v>0</v>
      </c>
      <c r="AK80" s="51"/>
      <c r="AZ80" s="81">
        <f t="shared" si="57"/>
        <v>49</v>
      </c>
      <c r="BA80" s="81">
        <f t="shared" si="57"/>
        <v>51.8</v>
      </c>
      <c r="BB80" s="81">
        <f t="shared" si="57"/>
        <v>52.5</v>
      </c>
      <c r="BC80" s="81">
        <f t="shared" si="57"/>
        <v>53</v>
      </c>
      <c r="BD80" s="81">
        <f t="shared" si="57"/>
        <v>51.4</v>
      </c>
      <c r="BE80" s="81">
        <f t="shared" si="57"/>
        <v>53.9</v>
      </c>
      <c r="BF80" s="81">
        <f t="shared" si="57"/>
        <v>75.3</v>
      </c>
      <c r="BG80" s="81">
        <f t="shared" si="57"/>
        <v>73</v>
      </c>
      <c r="BH80" s="81">
        <f t="shared" si="57"/>
        <v>64.3</v>
      </c>
      <c r="BI80" s="81">
        <f t="shared" si="57"/>
        <v>66.3</v>
      </c>
      <c r="BJ80" s="81">
        <f t="shared" si="57"/>
        <v>79.599999999999994</v>
      </c>
      <c r="BK80" s="81">
        <f t="shared" si="57"/>
        <v>80.2</v>
      </c>
      <c r="BL80" s="81">
        <f t="shared" si="57"/>
        <v>75.5</v>
      </c>
      <c r="BM80" s="81">
        <f t="shared" si="57"/>
        <v>82</v>
      </c>
      <c r="BN80" s="81">
        <f t="shared" si="57"/>
        <v>75</v>
      </c>
      <c r="BO80" s="81">
        <f t="shared" si="57"/>
        <v>75</v>
      </c>
      <c r="BP80" s="81">
        <f t="shared" si="57"/>
        <v>75</v>
      </c>
      <c r="BQ80" s="81">
        <f t="shared" si="57"/>
        <v>72</v>
      </c>
      <c r="BR80" s="81">
        <f t="shared" si="57"/>
        <v>79</v>
      </c>
      <c r="BS80" s="81">
        <f t="shared" si="57"/>
        <v>0</v>
      </c>
      <c r="BT80" s="81">
        <f t="shared" si="57"/>
        <v>0</v>
      </c>
      <c r="BU80" s="81">
        <f t="shared" si="57"/>
        <v>0</v>
      </c>
      <c r="BV80" s="81">
        <f t="shared" si="57"/>
        <v>0</v>
      </c>
      <c r="BW80" s="81">
        <f t="shared" si="57"/>
        <v>64.400000000000006</v>
      </c>
    </row>
    <row r="81" spans="1:64" x14ac:dyDescent="0.25">
      <c r="A81" s="45" t="s">
        <v>104</v>
      </c>
      <c r="B81" s="46">
        <v>56.4</v>
      </c>
      <c r="C81" s="46">
        <v>50.3</v>
      </c>
      <c r="D81" s="46">
        <v>50.6</v>
      </c>
      <c r="E81" s="46">
        <v>54.6</v>
      </c>
      <c r="F81" s="46">
        <v>48.8</v>
      </c>
      <c r="G81" s="46">
        <v>52</v>
      </c>
      <c r="H81" s="46">
        <v>51.3</v>
      </c>
      <c r="I81" s="46">
        <v>54.6</v>
      </c>
      <c r="J81" s="46">
        <v>59.8</v>
      </c>
      <c r="K81" s="46">
        <v>58.1</v>
      </c>
      <c r="L81" s="46">
        <v>58.4</v>
      </c>
      <c r="M81" s="46">
        <v>48.5</v>
      </c>
      <c r="N81" s="46">
        <v>50.7</v>
      </c>
      <c r="O81" s="46">
        <v>54.9</v>
      </c>
      <c r="P81" s="46">
        <v>62</v>
      </c>
      <c r="Q81" s="46">
        <v>60.6</v>
      </c>
      <c r="R81" s="46">
        <v>52.5</v>
      </c>
      <c r="S81" s="46">
        <v>69</v>
      </c>
      <c r="T81" s="46">
        <v>68</v>
      </c>
      <c r="U81" s="46">
        <v>57</v>
      </c>
      <c r="V81" s="46">
        <v>60.4</v>
      </c>
      <c r="W81" s="46">
        <v>54.5</v>
      </c>
      <c r="X81" s="46">
        <v>58</v>
      </c>
      <c r="Y81" s="46">
        <v>53.3</v>
      </c>
      <c r="Z81" s="46">
        <v>61</v>
      </c>
      <c r="AA81" s="46">
        <v>57</v>
      </c>
      <c r="AB81" s="46">
        <v>61.9</v>
      </c>
      <c r="AC81" s="46">
        <v>63.1</v>
      </c>
      <c r="AD81" s="46">
        <v>62</v>
      </c>
      <c r="AE81" s="46">
        <v>61</v>
      </c>
      <c r="AF81" s="46">
        <v>59.5</v>
      </c>
      <c r="AG81" s="60"/>
      <c r="AH81" s="48">
        <f t="shared" si="8"/>
        <v>69</v>
      </c>
      <c r="AI81" s="49">
        <f t="shared" si="9"/>
        <v>48.5</v>
      </c>
      <c r="AK81" s="51"/>
      <c r="AY81" s="81"/>
    </row>
    <row r="82" spans="1:64" x14ac:dyDescent="0.25">
      <c r="A82" s="64" t="s">
        <v>105</v>
      </c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65"/>
      <c r="AH82" s="48">
        <f t="shared" ref="AH82:AH123" si="65">MAX(B82:AF82)</f>
        <v>0</v>
      </c>
      <c r="AI82" s="49">
        <f t="shared" ref="AI82:AI123" si="66">MIN(B82:AF82)</f>
        <v>0</v>
      </c>
      <c r="AK82" s="51"/>
      <c r="AY82" s="81"/>
      <c r="BF82" s="81"/>
      <c r="BG82" s="81"/>
      <c r="BH82" s="81"/>
      <c r="BI82" s="81"/>
      <c r="BJ82" s="81"/>
      <c r="BK82" s="81"/>
    </row>
    <row r="83" spans="1:64" x14ac:dyDescent="0.25">
      <c r="A83" s="64" t="s">
        <v>106</v>
      </c>
      <c r="B83" s="75">
        <v>407.5</v>
      </c>
      <c r="C83" s="75">
        <v>369.7</v>
      </c>
      <c r="D83" s="75">
        <v>380.5</v>
      </c>
      <c r="E83" s="75">
        <v>406.8</v>
      </c>
      <c r="F83" s="75">
        <v>435.4</v>
      </c>
      <c r="G83" s="75">
        <v>439</v>
      </c>
      <c r="H83" s="75">
        <v>467.7</v>
      </c>
      <c r="I83" s="75">
        <v>464</v>
      </c>
      <c r="J83" s="75">
        <v>452.8</v>
      </c>
      <c r="K83" s="75">
        <v>411.6</v>
      </c>
      <c r="L83" s="75">
        <v>250</v>
      </c>
      <c r="M83" s="75">
        <v>1.4</v>
      </c>
      <c r="N83" s="75">
        <v>406</v>
      </c>
      <c r="O83" s="75">
        <v>404</v>
      </c>
      <c r="P83" s="75">
        <v>465</v>
      </c>
      <c r="Q83" s="75">
        <v>455</v>
      </c>
      <c r="R83" s="75">
        <v>497</v>
      </c>
      <c r="S83" s="75">
        <v>500</v>
      </c>
      <c r="T83" s="75">
        <v>527</v>
      </c>
      <c r="U83" s="75">
        <v>535</v>
      </c>
      <c r="V83" s="75">
        <v>468</v>
      </c>
      <c r="W83" s="75">
        <v>480</v>
      </c>
      <c r="X83" s="75">
        <v>436</v>
      </c>
      <c r="Y83" s="75">
        <v>490</v>
      </c>
      <c r="Z83" s="75">
        <v>181</v>
      </c>
      <c r="AA83" s="75">
        <v>133</v>
      </c>
      <c r="AB83" s="75">
        <v>146.30000000000001</v>
      </c>
      <c r="AC83" s="75">
        <v>377</v>
      </c>
      <c r="AD83" s="75">
        <v>371</v>
      </c>
      <c r="AE83" s="75">
        <v>374.5</v>
      </c>
      <c r="AF83" s="75">
        <v>393.7</v>
      </c>
      <c r="AG83" s="87"/>
      <c r="AH83" s="48">
        <f t="shared" si="65"/>
        <v>535</v>
      </c>
      <c r="AI83" s="49">
        <f t="shared" si="66"/>
        <v>1.4</v>
      </c>
      <c r="AK83" s="51"/>
      <c r="AY83" s="81"/>
      <c r="BF83" s="80"/>
      <c r="BG83" s="80"/>
      <c r="BH83" s="80"/>
      <c r="BI83" s="80"/>
      <c r="BJ83" s="80"/>
      <c r="BK83" s="81"/>
    </row>
    <row r="84" spans="1:64" x14ac:dyDescent="0.25">
      <c r="A84" s="64" t="s">
        <v>107</v>
      </c>
      <c r="B84" s="75">
        <v>5.6</v>
      </c>
      <c r="C84" s="75">
        <v>49.8</v>
      </c>
      <c r="D84" s="75">
        <v>51.5</v>
      </c>
      <c r="E84" s="88">
        <v>39.200000000000003</v>
      </c>
      <c r="F84" s="88">
        <v>5.8</v>
      </c>
      <c r="G84" s="88">
        <v>4.9000000000000004</v>
      </c>
      <c r="H84" s="88">
        <v>5.4</v>
      </c>
      <c r="I84" s="88">
        <v>5.8</v>
      </c>
      <c r="J84" s="88">
        <v>40.4</v>
      </c>
      <c r="K84" s="88">
        <v>36.5</v>
      </c>
      <c r="L84" s="88">
        <v>35</v>
      </c>
      <c r="M84" s="88">
        <v>39.700000000000003</v>
      </c>
      <c r="N84" s="88">
        <v>38.200000000000003</v>
      </c>
      <c r="O84" s="88">
        <v>34.1</v>
      </c>
      <c r="P84" s="88">
        <v>34.5</v>
      </c>
      <c r="Q84" s="88">
        <v>34</v>
      </c>
      <c r="R84" s="88">
        <v>34.299999999999997</v>
      </c>
      <c r="S84" s="88">
        <v>31.8</v>
      </c>
      <c r="T84" s="88">
        <v>30</v>
      </c>
      <c r="U84" s="88">
        <v>30</v>
      </c>
      <c r="V84" s="88">
        <v>33.9</v>
      </c>
      <c r="W84" s="88">
        <v>35.1</v>
      </c>
      <c r="X84" s="88">
        <v>35</v>
      </c>
      <c r="Y84" s="88">
        <v>35</v>
      </c>
      <c r="Z84" s="88">
        <v>30.5</v>
      </c>
      <c r="AA84" s="88">
        <v>35</v>
      </c>
      <c r="AB84" s="88">
        <v>35.700000000000003</v>
      </c>
      <c r="AC84" s="88">
        <v>34</v>
      </c>
      <c r="AD84" s="88">
        <v>36</v>
      </c>
      <c r="AE84" s="88">
        <v>28.9</v>
      </c>
      <c r="AF84" s="88">
        <v>37.700000000000003</v>
      </c>
      <c r="AG84" s="87"/>
      <c r="AH84" s="48">
        <f t="shared" si="65"/>
        <v>51.5</v>
      </c>
      <c r="AI84" s="49">
        <f t="shared" si="66"/>
        <v>4.9000000000000004</v>
      </c>
      <c r="AK84" s="51"/>
      <c r="AY84" s="81"/>
      <c r="BF84" s="80"/>
      <c r="BG84" s="81">
        <f t="array" ref="BG84:BL107">TRANSPOSE(AZ68:BW73)</f>
        <v>50</v>
      </c>
      <c r="BH84" s="81">
        <v>0</v>
      </c>
      <c r="BI84" s="81">
        <v>370</v>
      </c>
      <c r="BJ84" s="81">
        <v>50</v>
      </c>
      <c r="BK84" s="81">
        <v>118</v>
      </c>
      <c r="BL84" s="81">
        <v>49</v>
      </c>
    </row>
    <row r="85" spans="1:64" x14ac:dyDescent="0.25">
      <c r="A85" s="64" t="s">
        <v>108</v>
      </c>
      <c r="B85" s="46">
        <v>125</v>
      </c>
      <c r="C85" s="46">
        <v>118.4</v>
      </c>
      <c r="D85" s="46">
        <v>114.4</v>
      </c>
      <c r="E85" s="46">
        <v>102.8</v>
      </c>
      <c r="F85" s="46">
        <v>122.8</v>
      </c>
      <c r="G85" s="46">
        <v>120.6</v>
      </c>
      <c r="H85" s="46">
        <v>108</v>
      </c>
      <c r="I85" s="46">
        <v>102.4</v>
      </c>
      <c r="J85" s="46">
        <v>100</v>
      </c>
      <c r="K85" s="46">
        <v>86.4</v>
      </c>
      <c r="L85" s="46">
        <v>97.8</v>
      </c>
      <c r="M85" s="46">
        <v>91</v>
      </c>
      <c r="N85" s="46">
        <v>109</v>
      </c>
      <c r="O85" s="46">
        <v>107</v>
      </c>
      <c r="P85" s="46">
        <v>110</v>
      </c>
      <c r="Q85" s="46">
        <v>110.9</v>
      </c>
      <c r="R85" s="46">
        <v>124</v>
      </c>
      <c r="S85" s="46">
        <v>120</v>
      </c>
      <c r="T85" s="46">
        <v>104</v>
      </c>
      <c r="U85" s="46">
        <v>112</v>
      </c>
      <c r="V85" s="46">
        <v>0</v>
      </c>
      <c r="W85" s="46">
        <v>0</v>
      </c>
      <c r="X85" s="46">
        <v>0</v>
      </c>
      <c r="Y85" s="46">
        <v>0</v>
      </c>
      <c r="Z85" s="46">
        <v>0</v>
      </c>
      <c r="AA85" s="46">
        <v>0</v>
      </c>
      <c r="AB85" s="46">
        <v>0</v>
      </c>
      <c r="AC85" s="46"/>
      <c r="AD85" s="46"/>
      <c r="AE85" s="46">
        <v>117</v>
      </c>
      <c r="AF85" s="46">
        <v>116</v>
      </c>
      <c r="AG85" s="87"/>
      <c r="AH85" s="48">
        <f t="shared" si="65"/>
        <v>125</v>
      </c>
      <c r="AI85" s="49">
        <f t="shared" si="66"/>
        <v>0</v>
      </c>
      <c r="AK85" s="51"/>
      <c r="AY85" s="81"/>
      <c r="BF85" s="80"/>
      <c r="BG85" s="81">
        <v>50.6</v>
      </c>
      <c r="BH85" s="81">
        <v>0</v>
      </c>
      <c r="BI85" s="81">
        <v>380.5</v>
      </c>
      <c r="BJ85" s="81">
        <v>51.5</v>
      </c>
      <c r="BK85" s="81">
        <v>114.4</v>
      </c>
      <c r="BL85" s="81">
        <v>51.8</v>
      </c>
    </row>
    <row r="86" spans="1:64" x14ac:dyDescent="0.25">
      <c r="A86" s="64" t="s">
        <v>109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7"/>
      <c r="AH86" s="48">
        <f t="shared" si="65"/>
        <v>0</v>
      </c>
      <c r="AI86" s="49">
        <f t="shared" si="66"/>
        <v>0</v>
      </c>
      <c r="AK86" s="51"/>
      <c r="AY86" s="81"/>
      <c r="BF86" s="80"/>
      <c r="BG86" s="81">
        <v>54.6</v>
      </c>
      <c r="BH86" s="81">
        <v>0</v>
      </c>
      <c r="BI86" s="81">
        <v>406.8</v>
      </c>
      <c r="BJ86" s="81">
        <v>39.200000000000003</v>
      </c>
      <c r="BK86" s="81">
        <v>102.8</v>
      </c>
      <c r="BL86" s="81">
        <v>52.5</v>
      </c>
    </row>
    <row r="87" spans="1:64" ht="15.75" thickBot="1" x14ac:dyDescent="0.3">
      <c r="A87" s="64" t="s">
        <v>110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7"/>
      <c r="AH87" s="48">
        <f t="shared" si="65"/>
        <v>0</v>
      </c>
      <c r="AI87" s="49">
        <f t="shared" si="66"/>
        <v>0</v>
      </c>
      <c r="AK87" s="51"/>
      <c r="AL87" s="90" t="s">
        <v>111</v>
      </c>
      <c r="AM87" s="90"/>
      <c r="AY87" s="81"/>
      <c r="BF87" s="81"/>
      <c r="BG87" s="81">
        <v>48.8</v>
      </c>
      <c r="BH87" s="81">
        <v>0</v>
      </c>
      <c r="BI87" s="81">
        <v>435.4</v>
      </c>
      <c r="BJ87" s="81">
        <v>5.8</v>
      </c>
      <c r="BK87" s="81">
        <v>122.8</v>
      </c>
      <c r="BL87" s="81">
        <v>53</v>
      </c>
    </row>
    <row r="88" spans="1:64" x14ac:dyDescent="0.25">
      <c r="A88" s="64" t="s">
        <v>112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7"/>
      <c r="AH88" s="48">
        <f t="shared" si="65"/>
        <v>0</v>
      </c>
      <c r="AI88" s="49">
        <f t="shared" si="66"/>
        <v>0</v>
      </c>
      <c r="AK88" s="91"/>
      <c r="AL88" s="92"/>
      <c r="AM88" s="92"/>
      <c r="AN88" s="93"/>
      <c r="AY88" s="81"/>
      <c r="BF88" s="81"/>
      <c r="BG88" s="81">
        <v>52</v>
      </c>
      <c r="BH88" s="81">
        <v>0</v>
      </c>
      <c r="BI88" s="81">
        <v>439</v>
      </c>
      <c r="BJ88" s="81">
        <v>4.9000000000000004</v>
      </c>
      <c r="BK88" s="81">
        <v>120.6</v>
      </c>
      <c r="BL88" s="81">
        <v>51.4</v>
      </c>
    </row>
    <row r="89" spans="1:64" x14ac:dyDescent="0.25">
      <c r="A89" s="64" t="s">
        <v>113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7"/>
      <c r="AH89" s="48">
        <f t="shared" si="65"/>
        <v>0</v>
      </c>
      <c r="AI89" s="49">
        <f t="shared" si="66"/>
        <v>0</v>
      </c>
      <c r="AK89" s="94" t="s">
        <v>114</v>
      </c>
      <c r="AL89" s="75"/>
      <c r="AM89" s="88"/>
      <c r="AN89" s="95"/>
      <c r="AY89" s="81"/>
      <c r="BF89" s="81"/>
      <c r="BG89" s="81">
        <v>54.6</v>
      </c>
      <c r="BH89" s="81">
        <v>0</v>
      </c>
      <c r="BI89" s="81">
        <v>464</v>
      </c>
      <c r="BJ89" s="81">
        <v>5.8</v>
      </c>
      <c r="BK89" s="81">
        <v>102.4</v>
      </c>
      <c r="BL89" s="81">
        <v>53.9</v>
      </c>
    </row>
    <row r="90" spans="1:64" x14ac:dyDescent="0.25">
      <c r="A90" s="96" t="s">
        <v>115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97"/>
      <c r="AH90" s="48">
        <f t="shared" si="65"/>
        <v>0</v>
      </c>
      <c r="AI90" s="49">
        <f t="shared" si="66"/>
        <v>0</v>
      </c>
      <c r="AK90" s="94" t="s">
        <v>116</v>
      </c>
      <c r="AL90" s="88"/>
      <c r="AM90" s="88"/>
      <c r="AN90" s="95"/>
      <c r="AY90" s="81"/>
      <c r="BF90" s="81"/>
      <c r="BG90" s="81">
        <v>58.1</v>
      </c>
      <c r="BH90" s="81">
        <v>0</v>
      </c>
      <c r="BI90" s="81">
        <v>411.6</v>
      </c>
      <c r="BJ90" s="81">
        <v>36.5</v>
      </c>
      <c r="BK90" s="81">
        <v>86.4</v>
      </c>
      <c r="BL90" s="81">
        <v>75.3</v>
      </c>
    </row>
    <row r="91" spans="1:64" ht="15.75" thickBot="1" x14ac:dyDescent="0.3">
      <c r="A91" s="96" t="s">
        <v>117</v>
      </c>
      <c r="B91" s="89">
        <v>64.400000000000006</v>
      </c>
      <c r="C91" s="89">
        <v>49.4</v>
      </c>
      <c r="D91" s="89">
        <v>51.8</v>
      </c>
      <c r="E91" s="89">
        <v>52.5</v>
      </c>
      <c r="F91" s="89">
        <v>53</v>
      </c>
      <c r="G91" s="89">
        <v>51.4</v>
      </c>
      <c r="H91" s="89">
        <v>49.1</v>
      </c>
      <c r="I91" s="89">
        <v>53.9</v>
      </c>
      <c r="J91" s="89">
        <v>78.599999999999994</v>
      </c>
      <c r="K91" s="89">
        <v>75.3</v>
      </c>
      <c r="L91" s="89">
        <v>76.400000000000006</v>
      </c>
      <c r="M91" s="89">
        <v>73</v>
      </c>
      <c r="N91" s="89">
        <v>64.3</v>
      </c>
      <c r="O91" s="89">
        <v>66.3</v>
      </c>
      <c r="P91" s="89">
        <v>79.599999999999994</v>
      </c>
      <c r="Q91" s="89">
        <v>80.2</v>
      </c>
      <c r="R91" s="89">
        <v>75.5</v>
      </c>
      <c r="S91" s="89">
        <v>82</v>
      </c>
      <c r="T91" s="89">
        <v>75</v>
      </c>
      <c r="U91" s="89">
        <v>75</v>
      </c>
      <c r="V91" s="89">
        <v>75</v>
      </c>
      <c r="W91" s="89">
        <v>70.3</v>
      </c>
      <c r="X91" s="89">
        <v>72</v>
      </c>
      <c r="Y91" s="89">
        <v>78</v>
      </c>
      <c r="Z91" s="89">
        <v>79</v>
      </c>
      <c r="AA91" s="89">
        <v>0</v>
      </c>
      <c r="AB91" s="89">
        <v>0</v>
      </c>
      <c r="AC91" s="89"/>
      <c r="AD91" s="89"/>
      <c r="AE91" s="89">
        <v>0</v>
      </c>
      <c r="AF91" s="89">
        <v>0</v>
      </c>
      <c r="AG91" s="97"/>
      <c r="AH91" s="48">
        <f t="shared" si="65"/>
        <v>82</v>
      </c>
      <c r="AI91" s="49">
        <f t="shared" si="66"/>
        <v>0</v>
      </c>
      <c r="AK91" s="98"/>
      <c r="AL91" s="46"/>
      <c r="AM91" s="46"/>
      <c r="AN91" s="99"/>
      <c r="AY91" s="81"/>
      <c r="BF91" s="81"/>
      <c r="BG91" s="81">
        <v>48.5</v>
      </c>
      <c r="BH91" s="81">
        <v>0</v>
      </c>
      <c r="BI91" s="81">
        <v>1.4</v>
      </c>
      <c r="BJ91" s="81">
        <v>39.700000000000003</v>
      </c>
      <c r="BK91" s="81">
        <v>91</v>
      </c>
      <c r="BL91" s="81">
        <v>73</v>
      </c>
    </row>
    <row r="92" spans="1:64" ht="15.75" thickBot="1" x14ac:dyDescent="0.3">
      <c r="A92" s="86" t="s">
        <v>118</v>
      </c>
      <c r="B92" s="70">
        <f t="shared" ref="B92:C92" si="67">SUMIF(B81:B91,"&gt;0")</f>
        <v>658.9</v>
      </c>
      <c r="C92" s="70">
        <f t="shared" si="67"/>
        <v>637.6</v>
      </c>
      <c r="D92" s="70">
        <f t="shared" ref="D92" si="68">SUMIF(D81:D91,"&gt;0")</f>
        <v>648.79999999999995</v>
      </c>
      <c r="E92" s="70">
        <f t="shared" ref="E92:AD92" si="69">SUMIF(E81:E91,"&gt;0")</f>
        <v>655.9</v>
      </c>
      <c r="F92" s="70">
        <f t="shared" si="69"/>
        <v>665.8</v>
      </c>
      <c r="G92" s="70">
        <f t="shared" si="69"/>
        <v>667.9</v>
      </c>
      <c r="H92" s="70">
        <f t="shared" si="69"/>
        <v>681.5</v>
      </c>
      <c r="I92" s="70">
        <f t="shared" si="69"/>
        <v>680.69999999999993</v>
      </c>
      <c r="J92" s="70">
        <f t="shared" si="69"/>
        <v>731.6</v>
      </c>
      <c r="K92" s="70">
        <f t="shared" si="69"/>
        <v>667.9</v>
      </c>
      <c r="L92" s="70">
        <f t="shared" si="69"/>
        <v>517.6</v>
      </c>
      <c r="M92" s="70">
        <f t="shared" si="69"/>
        <v>253.6</v>
      </c>
      <c r="N92" s="70">
        <f t="shared" si="69"/>
        <v>668.19999999999993</v>
      </c>
      <c r="O92" s="70">
        <f t="shared" si="69"/>
        <v>666.3</v>
      </c>
      <c r="P92" s="70">
        <f t="shared" si="69"/>
        <v>751.1</v>
      </c>
      <c r="Q92" s="70">
        <f t="shared" si="69"/>
        <v>740.7</v>
      </c>
      <c r="R92" s="70">
        <f t="shared" si="69"/>
        <v>783.3</v>
      </c>
      <c r="S92" s="70">
        <f t="shared" ref="S92:T92" si="70">SUMIF(S81:S91,"&gt;0")</f>
        <v>802.8</v>
      </c>
      <c r="T92" s="70">
        <f t="shared" si="70"/>
        <v>804</v>
      </c>
      <c r="U92" s="70">
        <f t="shared" ref="U92:V92" si="71">SUMIF(U81:U91,"&gt;0")</f>
        <v>809</v>
      </c>
      <c r="V92" s="70">
        <f t="shared" si="71"/>
        <v>637.29999999999995</v>
      </c>
      <c r="W92" s="70">
        <f t="shared" si="69"/>
        <v>639.9</v>
      </c>
      <c r="X92" s="70">
        <f t="shared" si="69"/>
        <v>601</v>
      </c>
      <c r="Y92" s="70">
        <f>SUMIF(Y81:Y91,"&gt;0")</f>
        <v>656.3</v>
      </c>
      <c r="Z92" s="70">
        <f>SUMIF(Z81:Z91,"&gt;0")</f>
        <v>351.5</v>
      </c>
      <c r="AA92" s="70">
        <f t="shared" si="69"/>
        <v>225</v>
      </c>
      <c r="AB92" s="70">
        <f t="shared" ref="AB92" si="72">SUMIF(AB81:AB91,"&gt;0")</f>
        <v>243.90000000000003</v>
      </c>
      <c r="AC92" s="70">
        <f t="shared" si="69"/>
        <v>474.1</v>
      </c>
      <c r="AD92" s="70">
        <f t="shared" si="69"/>
        <v>469</v>
      </c>
      <c r="AE92" s="70">
        <f t="shared" ref="AE92:AF92" si="73">SUMIF(AE81:AE91,"&gt;0")</f>
        <v>581.4</v>
      </c>
      <c r="AF92" s="70">
        <f t="shared" si="73"/>
        <v>606.9</v>
      </c>
      <c r="AG92" s="100">
        <f>SUM(AG81:AG91)</f>
        <v>0</v>
      </c>
      <c r="AH92" s="48">
        <f t="shared" si="65"/>
        <v>809</v>
      </c>
      <c r="AI92" s="49">
        <f t="shared" si="66"/>
        <v>225</v>
      </c>
      <c r="AK92" s="98"/>
      <c r="AL92" s="89"/>
      <c r="AM92" s="101"/>
      <c r="AN92" s="202"/>
      <c r="AY92" s="81"/>
      <c r="BF92" s="81"/>
      <c r="BG92" s="81">
        <v>50.7</v>
      </c>
      <c r="BH92" s="81">
        <v>0</v>
      </c>
      <c r="BI92" s="81">
        <v>406</v>
      </c>
      <c r="BJ92" s="81">
        <v>38.200000000000003</v>
      </c>
      <c r="BK92" s="81">
        <v>109</v>
      </c>
      <c r="BL92" s="81">
        <v>64.3</v>
      </c>
    </row>
    <row r="93" spans="1:64" x14ac:dyDescent="0.25">
      <c r="A93" s="45" t="s">
        <v>119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65"/>
        <v>0</v>
      </c>
      <c r="AI93" s="49">
        <f t="shared" si="66"/>
        <v>0</v>
      </c>
      <c r="AK93" s="98"/>
      <c r="AL93" s="89"/>
      <c r="AM93" s="89"/>
      <c r="AN93" s="203"/>
      <c r="BF93" s="81"/>
      <c r="BG93" s="81">
        <v>54.9</v>
      </c>
      <c r="BH93" s="81">
        <v>0</v>
      </c>
      <c r="BI93" s="81">
        <v>404</v>
      </c>
      <c r="BJ93" s="81">
        <v>34.1</v>
      </c>
      <c r="BK93" s="81">
        <v>107</v>
      </c>
      <c r="BL93" s="81">
        <v>66.3</v>
      </c>
    </row>
    <row r="94" spans="1:64" ht="15.75" thickBot="1" x14ac:dyDescent="0.3">
      <c r="A94" s="64" t="s">
        <v>120</v>
      </c>
      <c r="B94" s="89">
        <v>0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65"/>
        <v>0</v>
      </c>
      <c r="AI94" s="49">
        <f t="shared" si="66"/>
        <v>0</v>
      </c>
      <c r="AK94" s="103"/>
      <c r="AL94" s="104"/>
      <c r="AM94" s="104"/>
      <c r="AN94" s="105"/>
      <c r="BF94" s="81"/>
      <c r="BG94" s="81">
        <v>62</v>
      </c>
      <c r="BH94" s="81">
        <v>0</v>
      </c>
      <c r="BI94" s="81">
        <v>465</v>
      </c>
      <c r="BJ94" s="81">
        <v>34.5</v>
      </c>
      <c r="BK94" s="81">
        <v>110</v>
      </c>
      <c r="BL94" s="81">
        <v>79.599999999999994</v>
      </c>
    </row>
    <row r="95" spans="1:64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0</v>
      </c>
      <c r="Y95" s="106">
        <v>0</v>
      </c>
      <c r="Z95" s="106">
        <v>0</v>
      </c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65"/>
        <v>0</v>
      </c>
      <c r="AI95" s="49">
        <f t="shared" si="66"/>
        <v>0</v>
      </c>
      <c r="BF95" s="81"/>
      <c r="BG95" s="81">
        <v>60.6</v>
      </c>
      <c r="BH95" s="81">
        <v>0</v>
      </c>
      <c r="BI95" s="81">
        <v>455</v>
      </c>
      <c r="BJ95" s="81">
        <v>34</v>
      </c>
      <c r="BK95" s="81">
        <v>110.9</v>
      </c>
      <c r="BL95" s="81">
        <v>80.2</v>
      </c>
    </row>
    <row r="96" spans="1:64" ht="15.75" thickBot="1" x14ac:dyDescent="0.3">
      <c r="A96" s="86" t="s">
        <v>122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>
        <v>0</v>
      </c>
      <c r="Y96" s="70"/>
      <c r="Z96" s="70"/>
      <c r="AA96" s="70"/>
      <c r="AB96" s="70"/>
      <c r="AC96" s="70"/>
      <c r="AD96" s="70"/>
      <c r="AE96" s="70"/>
      <c r="AF96" s="70"/>
      <c r="AG96" s="100">
        <f>SUM(AG93:AG95)</f>
        <v>55.4</v>
      </c>
      <c r="AH96" s="48">
        <f t="shared" si="65"/>
        <v>0</v>
      </c>
      <c r="AI96" s="49">
        <f t="shared" si="66"/>
        <v>0</v>
      </c>
      <c r="BF96" s="81"/>
      <c r="BG96" s="81">
        <v>52.5</v>
      </c>
      <c r="BH96" s="81">
        <v>0</v>
      </c>
      <c r="BI96" s="81">
        <v>497</v>
      </c>
      <c r="BJ96" s="81">
        <v>34.299999999999997</v>
      </c>
      <c r="BK96" s="81">
        <v>124</v>
      </c>
      <c r="BL96" s="81">
        <v>75.5</v>
      </c>
    </row>
    <row r="97" spans="1:64" ht="15.75" thickBot="1" x14ac:dyDescent="0.3">
      <c r="A97" s="86" t="s">
        <v>123</v>
      </c>
      <c r="B97" s="107">
        <f t="shared" ref="B97:C97" si="74">B58+B62+B80+B76+B92+B96</f>
        <v>1252.4899999999998</v>
      </c>
      <c r="C97" s="107">
        <f t="shared" si="74"/>
        <v>1226.19</v>
      </c>
      <c r="D97" s="107">
        <f t="shared" ref="D97" si="75">D58+D62+D80+D76+D92+D96</f>
        <v>1222.3899999999999</v>
      </c>
      <c r="E97" s="107">
        <f t="shared" ref="E97:AG97" si="76">E58+E62+E80+E76+E92+E96</f>
        <v>1218.79</v>
      </c>
      <c r="F97" s="107">
        <f t="shared" si="76"/>
        <v>1243.99</v>
      </c>
      <c r="G97" s="107">
        <f t="shared" si="76"/>
        <v>1260.5899999999999</v>
      </c>
      <c r="H97" s="107">
        <f t="shared" si="76"/>
        <v>1315.29</v>
      </c>
      <c r="I97" s="107">
        <f t="shared" si="76"/>
        <v>1399.79</v>
      </c>
      <c r="J97" s="107">
        <f t="shared" si="76"/>
        <v>1491.19</v>
      </c>
      <c r="K97" s="107">
        <f t="shared" si="76"/>
        <v>1478.19</v>
      </c>
      <c r="L97" s="107">
        <f t="shared" si="76"/>
        <v>1470.99</v>
      </c>
      <c r="M97" s="107">
        <f t="shared" si="76"/>
        <v>1435.3899999999999</v>
      </c>
      <c r="N97" s="107">
        <f t="shared" si="76"/>
        <v>1373.19</v>
      </c>
      <c r="O97" s="107">
        <f t="shared" si="76"/>
        <v>1386.29</v>
      </c>
      <c r="P97" s="107">
        <f t="shared" si="76"/>
        <v>1465.3899999999999</v>
      </c>
      <c r="Q97" s="107">
        <f t="shared" si="76"/>
        <v>1469.8899999999999</v>
      </c>
      <c r="R97" s="107">
        <f t="shared" si="76"/>
        <v>1503.8899999999999</v>
      </c>
      <c r="S97" s="107">
        <f t="shared" ref="S97:T97" si="77">S58+S62+S80+S76+S92+S96</f>
        <v>1534.59</v>
      </c>
      <c r="T97" s="107">
        <f t="shared" si="77"/>
        <v>1502.3899999999999</v>
      </c>
      <c r="U97" s="107">
        <f t="shared" ref="U97:V97" si="78">U58+U62+U80+U76+U92+U96</f>
        <v>1507.3899999999999</v>
      </c>
      <c r="V97" s="107">
        <f t="shared" si="78"/>
        <v>1335.69</v>
      </c>
      <c r="W97" s="107">
        <f t="shared" si="76"/>
        <v>1390.8899999999999</v>
      </c>
      <c r="X97" s="107">
        <f t="shared" si="76"/>
        <v>1381.79</v>
      </c>
      <c r="Y97" s="107">
        <f>Y58+Y62+Y80+Y76+Y92+Y96</f>
        <v>1499.15</v>
      </c>
      <c r="Z97" s="107">
        <f>Z58+Z62+Z80+Z76+Z92+Z96</f>
        <v>1246.3499999999999</v>
      </c>
      <c r="AA97" s="107">
        <f t="shared" si="76"/>
        <v>1468.8899999999999</v>
      </c>
      <c r="AB97" s="107">
        <f t="shared" ref="AB97" si="79">AB58+AB62+AB80+AB76+AB92+AB96</f>
        <v>1413.69</v>
      </c>
      <c r="AC97" s="107">
        <f t="shared" si="76"/>
        <v>1366.19</v>
      </c>
      <c r="AD97" s="107">
        <f t="shared" si="76"/>
        <v>1331.3899999999999</v>
      </c>
      <c r="AE97" s="107">
        <f t="shared" ref="AE97:AF97" si="80">AE58+AE62+AE80+AE76+AE92+AE96</f>
        <v>1403.3899999999999</v>
      </c>
      <c r="AF97" s="107">
        <f t="shared" si="80"/>
        <v>1386.99</v>
      </c>
      <c r="AG97" s="71">
        <f t="shared" si="76"/>
        <v>2231.81</v>
      </c>
      <c r="AH97" s="48">
        <f t="shared" si="65"/>
        <v>1534.59</v>
      </c>
      <c r="AI97" s="49">
        <f t="shared" si="66"/>
        <v>1218.79</v>
      </c>
      <c r="BF97" s="81"/>
      <c r="BG97" s="81">
        <v>69</v>
      </c>
      <c r="BH97" s="81">
        <v>0</v>
      </c>
      <c r="BI97" s="81">
        <v>500</v>
      </c>
      <c r="BJ97" s="81">
        <v>31.8</v>
      </c>
      <c r="BK97" s="81">
        <v>120</v>
      </c>
      <c r="BL97" s="81">
        <v>82</v>
      </c>
    </row>
    <row r="98" spans="1:64" ht="15.75" thickBot="1" x14ac:dyDescent="0.3">
      <c r="A98" s="108" t="s">
        <v>124</v>
      </c>
      <c r="B98" s="109">
        <v>0</v>
      </c>
      <c r="C98" s="109">
        <v>0</v>
      </c>
      <c r="D98" s="109">
        <v>0</v>
      </c>
      <c r="E98" s="109">
        <v>0</v>
      </c>
      <c r="F98" s="109">
        <v>0</v>
      </c>
      <c r="G98" s="109"/>
      <c r="H98" s="109"/>
      <c r="I98" s="109"/>
      <c r="J98" s="109"/>
      <c r="K98" s="109"/>
      <c r="L98" s="109">
        <v>200</v>
      </c>
      <c r="M98" s="109">
        <v>200</v>
      </c>
      <c r="N98" s="109">
        <v>100</v>
      </c>
      <c r="O98" s="109">
        <v>100</v>
      </c>
      <c r="P98" s="109"/>
      <c r="Q98" s="109"/>
      <c r="R98" s="109"/>
      <c r="S98" s="109">
        <v>15</v>
      </c>
      <c r="T98" s="109">
        <v>15</v>
      </c>
      <c r="U98" s="109">
        <v>15</v>
      </c>
      <c r="V98" s="109">
        <v>100</v>
      </c>
      <c r="W98" s="109">
        <v>100</v>
      </c>
      <c r="X98" s="109">
        <v>100</v>
      </c>
      <c r="Y98" s="109">
        <v>100</v>
      </c>
      <c r="Z98" s="109">
        <v>280</v>
      </c>
      <c r="AA98" s="109"/>
      <c r="AB98" s="109">
        <v>250</v>
      </c>
      <c r="AC98" s="109">
        <v>250</v>
      </c>
      <c r="AD98" s="109"/>
      <c r="AE98" s="109"/>
      <c r="AF98" s="109"/>
      <c r="AG98" s="100"/>
      <c r="AH98" s="48">
        <f t="shared" si="65"/>
        <v>280</v>
      </c>
      <c r="AI98" s="49">
        <f t="shared" si="66"/>
        <v>0</v>
      </c>
      <c r="BF98" s="81"/>
      <c r="BG98" s="81">
        <v>68</v>
      </c>
      <c r="BH98" s="81">
        <v>0</v>
      </c>
      <c r="BI98" s="81">
        <v>527</v>
      </c>
      <c r="BJ98" s="81">
        <v>30</v>
      </c>
      <c r="BK98" s="81">
        <v>104</v>
      </c>
      <c r="BL98" s="81">
        <v>75</v>
      </c>
    </row>
    <row r="99" spans="1:64" ht="15.75" thickBot="1" x14ac:dyDescent="0.3">
      <c r="A99" s="86" t="s">
        <v>125</v>
      </c>
      <c r="B99" s="107">
        <f t="shared" ref="B99:C99" si="81">B97+B98</f>
        <v>1252.4899999999998</v>
      </c>
      <c r="C99" s="107">
        <f t="shared" si="81"/>
        <v>1226.19</v>
      </c>
      <c r="D99" s="107">
        <f t="shared" ref="D99" si="82">D97+D98</f>
        <v>1222.3899999999999</v>
      </c>
      <c r="E99" s="107">
        <f t="shared" ref="E99:AD99" si="83">E97+E98</f>
        <v>1218.79</v>
      </c>
      <c r="F99" s="107">
        <f t="shared" si="83"/>
        <v>1243.99</v>
      </c>
      <c r="G99" s="107">
        <f t="shared" si="83"/>
        <v>1260.5899999999999</v>
      </c>
      <c r="H99" s="107">
        <f t="shared" si="83"/>
        <v>1315.29</v>
      </c>
      <c r="I99" s="107">
        <f t="shared" si="83"/>
        <v>1399.79</v>
      </c>
      <c r="J99" s="107">
        <f t="shared" si="83"/>
        <v>1491.19</v>
      </c>
      <c r="K99" s="107">
        <f t="shared" si="83"/>
        <v>1478.19</v>
      </c>
      <c r="L99" s="107">
        <f t="shared" si="83"/>
        <v>1670.99</v>
      </c>
      <c r="M99" s="107">
        <f t="shared" si="83"/>
        <v>1635.3899999999999</v>
      </c>
      <c r="N99" s="107">
        <f t="shared" si="83"/>
        <v>1473.19</v>
      </c>
      <c r="O99" s="107">
        <f t="shared" si="83"/>
        <v>1486.29</v>
      </c>
      <c r="P99" s="107">
        <f t="shared" si="83"/>
        <v>1465.3899999999999</v>
      </c>
      <c r="Q99" s="107">
        <f t="shared" si="83"/>
        <v>1469.8899999999999</v>
      </c>
      <c r="R99" s="107">
        <f t="shared" si="83"/>
        <v>1503.8899999999999</v>
      </c>
      <c r="S99" s="107">
        <f t="shared" ref="S99:T99" si="84">S97+S98</f>
        <v>1549.59</v>
      </c>
      <c r="T99" s="107">
        <f t="shared" si="84"/>
        <v>1517.3899999999999</v>
      </c>
      <c r="U99" s="107">
        <f t="shared" ref="U99:V99" si="85">U97+U98</f>
        <v>1522.3899999999999</v>
      </c>
      <c r="V99" s="107">
        <f t="shared" si="85"/>
        <v>1435.69</v>
      </c>
      <c r="W99" s="107">
        <f t="shared" si="83"/>
        <v>1490.8899999999999</v>
      </c>
      <c r="X99" s="107">
        <f t="shared" si="83"/>
        <v>1481.79</v>
      </c>
      <c r="Y99" s="107">
        <f>Y97+Y98</f>
        <v>1599.15</v>
      </c>
      <c r="Z99" s="107">
        <f>Z97+Z98</f>
        <v>1526.35</v>
      </c>
      <c r="AA99" s="107">
        <f t="shared" si="83"/>
        <v>1468.8899999999999</v>
      </c>
      <c r="AB99" s="107">
        <f t="shared" ref="AB99" si="86">AB97+AB98</f>
        <v>1663.69</v>
      </c>
      <c r="AC99" s="107">
        <f t="shared" si="83"/>
        <v>1616.19</v>
      </c>
      <c r="AD99" s="107">
        <f t="shared" si="83"/>
        <v>1331.3899999999999</v>
      </c>
      <c r="AE99" s="107">
        <f t="shared" ref="AE99:AF99" si="87">AE97+AE98</f>
        <v>1403.3899999999999</v>
      </c>
      <c r="AF99" s="107">
        <f t="shared" si="87"/>
        <v>1386.99</v>
      </c>
      <c r="AG99" s="100">
        <f>AG96+AG92+AG80+AG76+AG58+AG98</f>
        <v>1693.71</v>
      </c>
      <c r="AH99" s="48">
        <f t="shared" si="65"/>
        <v>1670.99</v>
      </c>
      <c r="AI99" s="49">
        <f t="shared" si="66"/>
        <v>1218.79</v>
      </c>
      <c r="BF99" s="81"/>
      <c r="BG99" s="81">
        <v>57</v>
      </c>
      <c r="BH99" s="81">
        <v>0</v>
      </c>
      <c r="BI99" s="81">
        <v>535</v>
      </c>
      <c r="BJ99" s="81">
        <v>30</v>
      </c>
      <c r="BK99" s="81">
        <v>112</v>
      </c>
      <c r="BL99" s="81">
        <v>75</v>
      </c>
    </row>
    <row r="100" spans="1:64" ht="15.75" thickBot="1" x14ac:dyDescent="0.3">
      <c r="A100" s="86" t="s">
        <v>126</v>
      </c>
      <c r="B100" s="107">
        <f t="shared" ref="B100:C100" si="88">B99-(B107)</f>
        <v>1252.4899999999998</v>
      </c>
      <c r="C100" s="107">
        <f t="shared" si="88"/>
        <v>1226.19</v>
      </c>
      <c r="D100" s="107">
        <f t="shared" ref="D100" si="89">D99-(D107)</f>
        <v>1222.3899999999999</v>
      </c>
      <c r="E100" s="107">
        <f t="shared" ref="E100:M100" si="90">E99-(E107)</f>
        <v>1218.79</v>
      </c>
      <c r="F100" s="107">
        <f t="shared" si="90"/>
        <v>1243.99</v>
      </c>
      <c r="G100" s="107">
        <f t="shared" si="90"/>
        <v>1260.5899999999999</v>
      </c>
      <c r="H100" s="107">
        <f t="shared" si="90"/>
        <v>1315.29</v>
      </c>
      <c r="I100" s="107">
        <f t="shared" si="90"/>
        <v>1399.79</v>
      </c>
      <c r="J100" s="107">
        <f t="shared" si="90"/>
        <v>1491.19</v>
      </c>
      <c r="K100" s="107">
        <f t="shared" si="90"/>
        <v>1478.19</v>
      </c>
      <c r="L100" s="107">
        <f t="shared" si="90"/>
        <v>1670.99</v>
      </c>
      <c r="M100" s="107">
        <f t="shared" si="90"/>
        <v>1635.3899999999999</v>
      </c>
      <c r="N100" s="107">
        <f>N99-(N107)</f>
        <v>1473.19</v>
      </c>
      <c r="O100" s="107">
        <f t="shared" ref="O100:AD100" si="91">O99-(O107)</f>
        <v>1486.29</v>
      </c>
      <c r="P100" s="107">
        <f t="shared" si="91"/>
        <v>1465.3899999999999</v>
      </c>
      <c r="Q100" s="107">
        <f t="shared" si="91"/>
        <v>1469.8899999999999</v>
      </c>
      <c r="R100" s="107">
        <f t="shared" si="91"/>
        <v>1503.8899999999999</v>
      </c>
      <c r="S100" s="107">
        <f t="shared" ref="S100:T100" si="92">S99-(S107)</f>
        <v>1549.59</v>
      </c>
      <c r="T100" s="107">
        <f t="shared" si="92"/>
        <v>1517.3899999999999</v>
      </c>
      <c r="U100" s="107">
        <f t="shared" ref="U100:V100" si="93">U99-(U107)</f>
        <v>1522.3899999999999</v>
      </c>
      <c r="V100" s="107">
        <f t="shared" si="93"/>
        <v>1435.69</v>
      </c>
      <c r="W100" s="107">
        <f t="shared" si="91"/>
        <v>1490.8899999999999</v>
      </c>
      <c r="X100" s="107">
        <f t="shared" si="91"/>
        <v>1481.79</v>
      </c>
      <c r="Y100" s="107">
        <f t="shared" si="91"/>
        <v>1599.15</v>
      </c>
      <c r="Z100" s="107">
        <f t="shared" si="91"/>
        <v>1526.35</v>
      </c>
      <c r="AA100" s="107">
        <f t="shared" si="91"/>
        <v>1468.8899999999999</v>
      </c>
      <c r="AB100" s="107">
        <f t="shared" ref="AB100" si="94">AB99-(AB107)</f>
        <v>1663.69</v>
      </c>
      <c r="AC100" s="107">
        <f t="shared" si="91"/>
        <v>1616.19</v>
      </c>
      <c r="AD100" s="107">
        <f t="shared" si="91"/>
        <v>1331.3899999999999</v>
      </c>
      <c r="AE100" s="107">
        <f t="shared" ref="AE100:AF100" si="95">AE99-(AE107)</f>
        <v>1403.3899999999999</v>
      </c>
      <c r="AF100" s="107">
        <f t="shared" si="95"/>
        <v>1386.99</v>
      </c>
      <c r="AG100" s="100"/>
      <c r="AH100" s="48">
        <f t="shared" si="65"/>
        <v>1670.99</v>
      </c>
      <c r="AI100" s="49">
        <f t="shared" si="66"/>
        <v>1218.79</v>
      </c>
      <c r="BF100" s="81"/>
      <c r="BG100" s="81">
        <v>60.4</v>
      </c>
      <c r="BH100" s="81">
        <v>0</v>
      </c>
      <c r="BI100" s="81">
        <v>468</v>
      </c>
      <c r="BJ100" s="81">
        <v>33.9</v>
      </c>
      <c r="BK100" s="81">
        <v>0</v>
      </c>
      <c r="BL100" s="81">
        <v>75</v>
      </c>
    </row>
    <row r="101" spans="1:64" x14ac:dyDescent="0.25">
      <c r="A101" s="45" t="s">
        <v>107</v>
      </c>
      <c r="B101" s="88">
        <f t="shared" ref="B101:C101" si="96">IF(B84&lt;0,B84*-1,0)</f>
        <v>0</v>
      </c>
      <c r="C101" s="88">
        <f t="shared" si="96"/>
        <v>0</v>
      </c>
      <c r="D101" s="88">
        <f t="shared" ref="D101" si="97">IF(D84&lt;0,D84*-1,0)</f>
        <v>0</v>
      </c>
      <c r="E101" s="88">
        <f t="shared" ref="E101:AD101" si="98">IF(E84&lt;0,E84*-1,0)</f>
        <v>0</v>
      </c>
      <c r="F101" s="88">
        <f t="shared" si="98"/>
        <v>0</v>
      </c>
      <c r="G101" s="88">
        <f t="shared" si="98"/>
        <v>0</v>
      </c>
      <c r="H101" s="88">
        <f t="shared" si="98"/>
        <v>0</v>
      </c>
      <c r="I101" s="88">
        <f t="shared" si="98"/>
        <v>0</v>
      </c>
      <c r="J101" s="88">
        <f t="shared" si="98"/>
        <v>0</v>
      </c>
      <c r="K101" s="88">
        <f t="shared" si="98"/>
        <v>0</v>
      </c>
      <c r="L101" s="88">
        <f t="shared" si="98"/>
        <v>0</v>
      </c>
      <c r="M101" s="88">
        <f t="shared" si="98"/>
        <v>0</v>
      </c>
      <c r="N101" s="88">
        <f t="shared" si="98"/>
        <v>0</v>
      </c>
      <c r="O101" s="88">
        <f t="shared" si="98"/>
        <v>0</v>
      </c>
      <c r="P101" s="88">
        <f t="shared" si="98"/>
        <v>0</v>
      </c>
      <c r="Q101" s="88">
        <f t="shared" si="98"/>
        <v>0</v>
      </c>
      <c r="R101" s="88">
        <f t="shared" si="98"/>
        <v>0</v>
      </c>
      <c r="S101" s="88">
        <f t="shared" ref="S101:T101" si="99">IF(S84&lt;0,S84*-1,0)</f>
        <v>0</v>
      </c>
      <c r="T101" s="88">
        <f t="shared" si="99"/>
        <v>0</v>
      </c>
      <c r="U101" s="88">
        <f t="shared" ref="U101:V101" si="100">IF(U84&lt;0,U84*-1,0)</f>
        <v>0</v>
      </c>
      <c r="V101" s="88">
        <f t="shared" si="100"/>
        <v>0</v>
      </c>
      <c r="W101" s="88">
        <f t="shared" si="98"/>
        <v>0</v>
      </c>
      <c r="X101" s="88">
        <f t="shared" si="98"/>
        <v>0</v>
      </c>
      <c r="Y101" s="88">
        <f t="shared" si="98"/>
        <v>0</v>
      </c>
      <c r="Z101" s="88">
        <f t="shared" si="98"/>
        <v>0</v>
      </c>
      <c r="AA101" s="88">
        <f t="shared" si="98"/>
        <v>0</v>
      </c>
      <c r="AB101" s="88">
        <f t="shared" ref="AB101" si="101">IF(AB84&lt;0,AB84*-1,0)</f>
        <v>0</v>
      </c>
      <c r="AC101" s="88">
        <f t="shared" si="98"/>
        <v>0</v>
      </c>
      <c r="AD101" s="88">
        <f t="shared" si="98"/>
        <v>0</v>
      </c>
      <c r="AE101" s="88">
        <f t="shared" ref="AE101:AF101" si="102">IF(AE84&lt;0,AE84*-1,0)</f>
        <v>0</v>
      </c>
      <c r="AF101" s="88">
        <f t="shared" si="102"/>
        <v>0</v>
      </c>
      <c r="AG101" s="60"/>
      <c r="AH101" s="48">
        <f t="shared" si="65"/>
        <v>0</v>
      </c>
      <c r="AI101" s="49">
        <f t="shared" si="66"/>
        <v>0</v>
      </c>
      <c r="BF101" s="80"/>
      <c r="BG101" s="81">
        <v>58</v>
      </c>
      <c r="BH101" s="81">
        <v>0</v>
      </c>
      <c r="BI101" s="81">
        <v>436</v>
      </c>
      <c r="BJ101" s="81">
        <v>35</v>
      </c>
      <c r="BK101" s="81">
        <v>0</v>
      </c>
      <c r="BL101" s="81">
        <v>72</v>
      </c>
    </row>
    <row r="102" spans="1:64" x14ac:dyDescent="0.25">
      <c r="A102" s="64" t="s">
        <v>105</v>
      </c>
      <c r="B102" s="88">
        <f t="shared" ref="B102:C102" si="103">IF(B82&lt;0,B82*-1,0)</f>
        <v>0</v>
      </c>
      <c r="C102" s="88">
        <f t="shared" si="103"/>
        <v>0</v>
      </c>
      <c r="D102" s="88">
        <f t="shared" ref="D102" si="104">IF(D82&lt;0,D82*-1,0)</f>
        <v>0</v>
      </c>
      <c r="E102" s="88">
        <f t="shared" ref="E102:AD102" si="105">IF(E82&lt;0,E82*-1,0)</f>
        <v>0</v>
      </c>
      <c r="F102" s="88">
        <f t="shared" si="105"/>
        <v>0</v>
      </c>
      <c r="G102" s="88">
        <f t="shared" si="105"/>
        <v>0</v>
      </c>
      <c r="H102" s="88">
        <f t="shared" si="105"/>
        <v>0</v>
      </c>
      <c r="I102" s="88">
        <f t="shared" si="105"/>
        <v>0</v>
      </c>
      <c r="J102" s="88">
        <f t="shared" si="105"/>
        <v>0</v>
      </c>
      <c r="K102" s="88">
        <f t="shared" si="105"/>
        <v>0</v>
      </c>
      <c r="L102" s="88">
        <f t="shared" si="105"/>
        <v>0</v>
      </c>
      <c r="M102" s="88">
        <f t="shared" si="105"/>
        <v>0</v>
      </c>
      <c r="N102" s="88">
        <f t="shared" si="105"/>
        <v>0</v>
      </c>
      <c r="O102" s="88">
        <f t="shared" si="105"/>
        <v>0</v>
      </c>
      <c r="P102" s="88">
        <f t="shared" si="105"/>
        <v>0</v>
      </c>
      <c r="Q102" s="88">
        <f t="shared" si="105"/>
        <v>0</v>
      </c>
      <c r="R102" s="88">
        <f t="shared" si="105"/>
        <v>0</v>
      </c>
      <c r="S102" s="88">
        <f t="shared" ref="S102:T102" si="106">IF(S82&lt;0,S82*-1,0)</f>
        <v>0</v>
      </c>
      <c r="T102" s="88">
        <f t="shared" si="106"/>
        <v>0</v>
      </c>
      <c r="U102" s="88">
        <f t="shared" ref="U102:V102" si="107">IF(U82&lt;0,U82*-1,0)</f>
        <v>0</v>
      </c>
      <c r="V102" s="88">
        <f t="shared" si="107"/>
        <v>0</v>
      </c>
      <c r="W102" s="88">
        <f t="shared" si="105"/>
        <v>0</v>
      </c>
      <c r="X102" s="88">
        <f t="shared" si="105"/>
        <v>0</v>
      </c>
      <c r="Y102" s="88">
        <f t="shared" si="105"/>
        <v>0</v>
      </c>
      <c r="Z102" s="88">
        <f t="shared" si="105"/>
        <v>0</v>
      </c>
      <c r="AA102" s="88">
        <f t="shared" si="105"/>
        <v>0</v>
      </c>
      <c r="AB102" s="88">
        <f t="shared" ref="AB102" si="108">IF(AB82&lt;0,AB82*-1,0)</f>
        <v>0</v>
      </c>
      <c r="AC102" s="88">
        <f t="shared" si="105"/>
        <v>0</v>
      </c>
      <c r="AD102" s="88">
        <f t="shared" si="105"/>
        <v>0</v>
      </c>
      <c r="AE102" s="88">
        <f t="shared" ref="AE102:AF102" si="109">IF(AE82&lt;0,AE82*-1,0)</f>
        <v>0</v>
      </c>
      <c r="AF102" s="88">
        <f t="shared" si="109"/>
        <v>0</v>
      </c>
      <c r="AG102" s="65"/>
      <c r="AH102" s="48">
        <f t="shared" si="65"/>
        <v>0</v>
      </c>
      <c r="AI102" s="49">
        <f t="shared" si="66"/>
        <v>0</v>
      </c>
      <c r="BF102" s="80"/>
      <c r="BG102" s="81">
        <v>61</v>
      </c>
      <c r="BH102" s="81">
        <v>0</v>
      </c>
      <c r="BI102" s="81">
        <v>181</v>
      </c>
      <c r="BJ102" s="81">
        <v>30.5</v>
      </c>
      <c r="BK102" s="81">
        <v>0</v>
      </c>
      <c r="BL102" s="81">
        <v>79</v>
      </c>
    </row>
    <row r="103" spans="1:64" x14ac:dyDescent="0.25">
      <c r="A103" s="96" t="s">
        <v>127</v>
      </c>
      <c r="B103" s="88">
        <f t="shared" ref="B103:C103" si="110">IF(B85&lt;0,B85*-1,0)</f>
        <v>0</v>
      </c>
      <c r="C103" s="88">
        <f t="shared" si="110"/>
        <v>0</v>
      </c>
      <c r="D103" s="88">
        <f t="shared" ref="D103" si="111">IF(D85&lt;0,D85*-1,0)</f>
        <v>0</v>
      </c>
      <c r="E103" s="88">
        <f t="shared" ref="E103:AD103" si="112">IF(E85&lt;0,E85*-1,0)</f>
        <v>0</v>
      </c>
      <c r="F103" s="88">
        <f t="shared" si="112"/>
        <v>0</v>
      </c>
      <c r="G103" s="88">
        <f t="shared" si="112"/>
        <v>0</v>
      </c>
      <c r="H103" s="88">
        <f t="shared" si="112"/>
        <v>0</v>
      </c>
      <c r="I103" s="88">
        <f t="shared" si="112"/>
        <v>0</v>
      </c>
      <c r="J103" s="88">
        <f t="shared" si="112"/>
        <v>0</v>
      </c>
      <c r="K103" s="88">
        <f t="shared" si="112"/>
        <v>0</v>
      </c>
      <c r="L103" s="88">
        <f t="shared" si="112"/>
        <v>0</v>
      </c>
      <c r="M103" s="88">
        <f t="shared" si="112"/>
        <v>0</v>
      </c>
      <c r="N103" s="88">
        <f t="shared" si="112"/>
        <v>0</v>
      </c>
      <c r="O103" s="88">
        <f t="shared" si="112"/>
        <v>0</v>
      </c>
      <c r="P103" s="88">
        <f t="shared" si="112"/>
        <v>0</v>
      </c>
      <c r="Q103" s="88">
        <f t="shared" si="112"/>
        <v>0</v>
      </c>
      <c r="R103" s="88">
        <f t="shared" si="112"/>
        <v>0</v>
      </c>
      <c r="S103" s="88">
        <f t="shared" ref="S103:T103" si="113">IF(S85&lt;0,S85*-1,0)</f>
        <v>0</v>
      </c>
      <c r="T103" s="88">
        <f t="shared" si="113"/>
        <v>0</v>
      </c>
      <c r="U103" s="88">
        <f t="shared" ref="U103:V103" si="114">IF(U85&lt;0,U85*-1,0)</f>
        <v>0</v>
      </c>
      <c r="V103" s="88">
        <f t="shared" si="114"/>
        <v>0</v>
      </c>
      <c r="W103" s="88">
        <f t="shared" si="112"/>
        <v>0</v>
      </c>
      <c r="X103" s="88">
        <f t="shared" si="112"/>
        <v>0</v>
      </c>
      <c r="Y103" s="88">
        <f t="shared" si="112"/>
        <v>0</v>
      </c>
      <c r="Z103" s="88">
        <f t="shared" si="112"/>
        <v>0</v>
      </c>
      <c r="AA103" s="88">
        <f t="shared" si="112"/>
        <v>0</v>
      </c>
      <c r="AB103" s="88">
        <f t="shared" ref="AB103" si="115">IF(AB85&lt;0,AB85*-1,0)</f>
        <v>0</v>
      </c>
      <c r="AC103" s="88">
        <f t="shared" si="112"/>
        <v>0</v>
      </c>
      <c r="AD103" s="88">
        <f t="shared" si="112"/>
        <v>0</v>
      </c>
      <c r="AE103" s="88">
        <f t="shared" ref="AE103:AF103" si="116">IF(AE85&lt;0,AE85*-1,0)</f>
        <v>0</v>
      </c>
      <c r="AF103" s="88">
        <f t="shared" si="116"/>
        <v>0</v>
      </c>
      <c r="AG103" s="110"/>
      <c r="AH103" s="48">
        <f t="shared" si="65"/>
        <v>0</v>
      </c>
      <c r="AI103" s="49">
        <f t="shared" si="66"/>
        <v>0</v>
      </c>
      <c r="BF103" s="80"/>
      <c r="BG103" s="81">
        <v>61.9</v>
      </c>
      <c r="BH103" s="81">
        <v>0</v>
      </c>
      <c r="BI103" s="81">
        <v>146.30000000000001</v>
      </c>
      <c r="BJ103" s="81">
        <v>35.700000000000003</v>
      </c>
      <c r="BK103" s="81">
        <v>0</v>
      </c>
      <c r="BL103" s="81">
        <v>0</v>
      </c>
    </row>
    <row r="104" spans="1:64" x14ac:dyDescent="0.25">
      <c r="A104" s="96" t="s">
        <v>128</v>
      </c>
      <c r="B104" s="88">
        <f t="shared" ref="B104:C104" si="117">IF(B83&lt;0,B83*-1,0)</f>
        <v>0</v>
      </c>
      <c r="C104" s="88">
        <f t="shared" si="117"/>
        <v>0</v>
      </c>
      <c r="D104" s="88">
        <f t="shared" ref="D104" si="118">IF(D83&lt;0,D83*-1,0)</f>
        <v>0</v>
      </c>
      <c r="E104" s="88">
        <f t="shared" ref="E104:AD104" si="119">IF(E83&lt;0,E83*-1,0)</f>
        <v>0</v>
      </c>
      <c r="F104" s="88">
        <f t="shared" si="119"/>
        <v>0</v>
      </c>
      <c r="G104" s="88">
        <f t="shared" si="119"/>
        <v>0</v>
      </c>
      <c r="H104" s="88">
        <f t="shared" si="119"/>
        <v>0</v>
      </c>
      <c r="I104" s="88">
        <f t="shared" si="119"/>
        <v>0</v>
      </c>
      <c r="J104" s="88">
        <f t="shared" si="119"/>
        <v>0</v>
      </c>
      <c r="K104" s="88">
        <f t="shared" si="119"/>
        <v>0</v>
      </c>
      <c r="L104" s="88">
        <f t="shared" si="119"/>
        <v>0</v>
      </c>
      <c r="M104" s="88">
        <f t="shared" si="119"/>
        <v>0</v>
      </c>
      <c r="N104" s="88">
        <f t="shared" si="119"/>
        <v>0</v>
      </c>
      <c r="O104" s="88">
        <f t="shared" si="119"/>
        <v>0</v>
      </c>
      <c r="P104" s="88">
        <f t="shared" si="119"/>
        <v>0</v>
      </c>
      <c r="Q104" s="88">
        <f t="shared" si="119"/>
        <v>0</v>
      </c>
      <c r="R104" s="88">
        <f t="shared" si="119"/>
        <v>0</v>
      </c>
      <c r="S104" s="88">
        <f t="shared" ref="S104:T104" si="120">IF(S83&lt;0,S83*-1,0)</f>
        <v>0</v>
      </c>
      <c r="T104" s="88">
        <f t="shared" si="120"/>
        <v>0</v>
      </c>
      <c r="U104" s="88">
        <f t="shared" ref="U104:V104" si="121">IF(U83&lt;0,U83*-1,0)</f>
        <v>0</v>
      </c>
      <c r="V104" s="88">
        <f t="shared" si="121"/>
        <v>0</v>
      </c>
      <c r="W104" s="88">
        <f t="shared" si="119"/>
        <v>0</v>
      </c>
      <c r="X104" s="88">
        <f t="shared" si="119"/>
        <v>0</v>
      </c>
      <c r="Y104" s="88">
        <f t="shared" si="119"/>
        <v>0</v>
      </c>
      <c r="Z104" s="88">
        <f t="shared" si="119"/>
        <v>0</v>
      </c>
      <c r="AA104" s="88">
        <f t="shared" si="119"/>
        <v>0</v>
      </c>
      <c r="AB104" s="88">
        <f t="shared" ref="AB104" si="122">IF(AB83&lt;0,AB83*-1,0)</f>
        <v>0</v>
      </c>
      <c r="AC104" s="88">
        <f t="shared" si="119"/>
        <v>0</v>
      </c>
      <c r="AD104" s="88">
        <f t="shared" si="119"/>
        <v>0</v>
      </c>
      <c r="AE104" s="88">
        <f t="shared" ref="AE104:AF104" si="123">IF(AE83&lt;0,AE83*-1,0)</f>
        <v>0</v>
      </c>
      <c r="AF104" s="88">
        <f t="shared" si="123"/>
        <v>0</v>
      </c>
      <c r="AG104" s="110"/>
      <c r="AH104" s="48">
        <f t="shared" si="65"/>
        <v>0</v>
      </c>
      <c r="AI104" s="49">
        <f t="shared" si="66"/>
        <v>0</v>
      </c>
      <c r="BF104" s="80"/>
      <c r="BG104" s="81">
        <v>62</v>
      </c>
      <c r="BH104" s="81">
        <v>0</v>
      </c>
      <c r="BI104" s="81">
        <v>371</v>
      </c>
      <c r="BJ104" s="81">
        <v>36</v>
      </c>
      <c r="BK104" s="81">
        <v>0</v>
      </c>
      <c r="BL104" s="81">
        <v>0</v>
      </c>
    </row>
    <row r="105" spans="1:64" x14ac:dyDescent="0.25">
      <c r="A105" s="96" t="s">
        <v>104</v>
      </c>
      <c r="B105" s="88">
        <f t="shared" ref="B105:C105" si="124">IF(B81&lt;0,B81*-1,0)</f>
        <v>0</v>
      </c>
      <c r="C105" s="88">
        <f t="shared" si="124"/>
        <v>0</v>
      </c>
      <c r="D105" s="88">
        <f t="shared" ref="D105" si="125">IF(D81&lt;0,D81*-1,0)</f>
        <v>0</v>
      </c>
      <c r="E105" s="88">
        <f t="shared" ref="E105:AD105" si="126">IF(E81&lt;0,E81*-1,0)</f>
        <v>0</v>
      </c>
      <c r="F105" s="88">
        <f t="shared" si="126"/>
        <v>0</v>
      </c>
      <c r="G105" s="88">
        <f t="shared" si="126"/>
        <v>0</v>
      </c>
      <c r="H105" s="88">
        <f t="shared" si="126"/>
        <v>0</v>
      </c>
      <c r="I105" s="88">
        <f t="shared" si="126"/>
        <v>0</v>
      </c>
      <c r="J105" s="88">
        <f t="shared" si="126"/>
        <v>0</v>
      </c>
      <c r="K105" s="88">
        <f t="shared" si="126"/>
        <v>0</v>
      </c>
      <c r="L105" s="88">
        <f t="shared" si="126"/>
        <v>0</v>
      </c>
      <c r="M105" s="88">
        <f t="shared" si="126"/>
        <v>0</v>
      </c>
      <c r="N105" s="88">
        <f t="shared" si="126"/>
        <v>0</v>
      </c>
      <c r="O105" s="88">
        <f t="shared" si="126"/>
        <v>0</v>
      </c>
      <c r="P105" s="88">
        <f t="shared" si="126"/>
        <v>0</v>
      </c>
      <c r="Q105" s="88">
        <f t="shared" si="126"/>
        <v>0</v>
      </c>
      <c r="R105" s="88">
        <f t="shared" si="126"/>
        <v>0</v>
      </c>
      <c r="S105" s="88">
        <f t="shared" ref="S105:T105" si="127">IF(S81&lt;0,S81*-1,0)</f>
        <v>0</v>
      </c>
      <c r="T105" s="88">
        <f t="shared" si="127"/>
        <v>0</v>
      </c>
      <c r="U105" s="88">
        <f t="shared" ref="U105:V105" si="128">IF(U81&lt;0,U81*-1,0)</f>
        <v>0</v>
      </c>
      <c r="V105" s="88">
        <f t="shared" si="128"/>
        <v>0</v>
      </c>
      <c r="W105" s="88">
        <f t="shared" si="126"/>
        <v>0</v>
      </c>
      <c r="X105" s="88">
        <f t="shared" si="126"/>
        <v>0</v>
      </c>
      <c r="Y105" s="88">
        <f t="shared" si="126"/>
        <v>0</v>
      </c>
      <c r="Z105" s="88">
        <f t="shared" si="126"/>
        <v>0</v>
      </c>
      <c r="AA105" s="88">
        <f t="shared" si="126"/>
        <v>0</v>
      </c>
      <c r="AB105" s="88">
        <f t="shared" ref="AB105" si="129">IF(AB81&lt;0,AB81*-1,0)</f>
        <v>0</v>
      </c>
      <c r="AC105" s="88">
        <f t="shared" si="126"/>
        <v>0</v>
      </c>
      <c r="AD105" s="88">
        <f t="shared" si="126"/>
        <v>0</v>
      </c>
      <c r="AE105" s="88">
        <f t="shared" ref="AE105:AF105" si="130">IF(AE81&lt;0,AE81*-1,0)</f>
        <v>0</v>
      </c>
      <c r="AF105" s="88">
        <f t="shared" si="130"/>
        <v>0</v>
      </c>
      <c r="AG105" s="110"/>
      <c r="AH105" s="48">
        <f t="shared" si="65"/>
        <v>0</v>
      </c>
      <c r="AI105" s="49">
        <f t="shared" si="66"/>
        <v>0</v>
      </c>
      <c r="BF105" s="80"/>
      <c r="BG105" s="81">
        <v>61</v>
      </c>
      <c r="BH105" s="81">
        <v>0</v>
      </c>
      <c r="BI105" s="81">
        <v>374.5</v>
      </c>
      <c r="BJ105" s="81">
        <v>28.9</v>
      </c>
      <c r="BK105" s="81">
        <v>117</v>
      </c>
      <c r="BL105" s="81">
        <v>0</v>
      </c>
    </row>
    <row r="106" spans="1:64" ht="15.75" thickBot="1" x14ac:dyDescent="0.3">
      <c r="A106" s="96" t="s">
        <v>129</v>
      </c>
      <c r="B106" s="106">
        <v>0</v>
      </c>
      <c r="C106" s="106">
        <v>0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0</v>
      </c>
      <c r="Y106" s="106">
        <v>0</v>
      </c>
      <c r="Z106" s="106">
        <v>0</v>
      </c>
      <c r="AA106" s="106">
        <v>0</v>
      </c>
      <c r="AB106" s="106">
        <v>0</v>
      </c>
      <c r="AC106" s="106">
        <v>0</v>
      </c>
      <c r="AD106" s="106">
        <v>0</v>
      </c>
      <c r="AE106" s="106">
        <v>0</v>
      </c>
      <c r="AF106" s="106">
        <v>0</v>
      </c>
      <c r="AG106" s="97"/>
      <c r="AH106" s="48">
        <f t="shared" si="65"/>
        <v>0</v>
      </c>
      <c r="AI106" s="49">
        <f t="shared" si="66"/>
        <v>0</v>
      </c>
      <c r="BG106" s="81">
        <v>59.5</v>
      </c>
      <c r="BH106" s="81">
        <v>0</v>
      </c>
      <c r="BI106" s="81">
        <v>393.7</v>
      </c>
      <c r="BJ106" s="81">
        <v>37.700000000000003</v>
      </c>
      <c r="BK106" s="81">
        <v>116</v>
      </c>
      <c r="BL106" s="81">
        <v>0</v>
      </c>
    </row>
    <row r="107" spans="1:64" ht="15.75" thickBot="1" x14ac:dyDescent="0.3">
      <c r="A107" s="111" t="s">
        <v>130</v>
      </c>
      <c r="B107" s="70">
        <f t="shared" ref="B107:C107" si="131">SUM(B101:B106)</f>
        <v>0</v>
      </c>
      <c r="C107" s="70">
        <f t="shared" si="131"/>
        <v>0</v>
      </c>
      <c r="D107" s="70">
        <f t="shared" ref="D107" si="132">SUM(D101:D106)</f>
        <v>0</v>
      </c>
      <c r="E107" s="70">
        <f t="shared" ref="E107:AD107" si="133">SUM(E101:E106)</f>
        <v>0</v>
      </c>
      <c r="F107" s="70">
        <f t="shared" si="133"/>
        <v>0</v>
      </c>
      <c r="G107" s="70">
        <f t="shared" si="133"/>
        <v>0</v>
      </c>
      <c r="H107" s="70">
        <f t="shared" si="133"/>
        <v>0</v>
      </c>
      <c r="I107" s="70">
        <f t="shared" si="133"/>
        <v>0</v>
      </c>
      <c r="J107" s="70">
        <f t="shared" si="133"/>
        <v>0</v>
      </c>
      <c r="K107" s="70">
        <f t="shared" si="133"/>
        <v>0</v>
      </c>
      <c r="L107" s="70">
        <f t="shared" si="133"/>
        <v>0</v>
      </c>
      <c r="M107" s="70">
        <f t="shared" si="133"/>
        <v>0</v>
      </c>
      <c r="N107" s="70">
        <f t="shared" si="133"/>
        <v>0</v>
      </c>
      <c r="O107" s="70">
        <f t="shared" si="133"/>
        <v>0</v>
      </c>
      <c r="P107" s="70">
        <f t="shared" si="133"/>
        <v>0</v>
      </c>
      <c r="Q107" s="70">
        <f t="shared" si="133"/>
        <v>0</v>
      </c>
      <c r="R107" s="70">
        <f t="shared" si="133"/>
        <v>0</v>
      </c>
      <c r="S107" s="70">
        <v>0</v>
      </c>
      <c r="T107" s="70">
        <v>0</v>
      </c>
      <c r="U107" s="70">
        <v>0</v>
      </c>
      <c r="V107" s="70">
        <v>0</v>
      </c>
      <c r="W107" s="70">
        <f t="shared" si="133"/>
        <v>0</v>
      </c>
      <c r="X107" s="70">
        <f t="shared" si="133"/>
        <v>0</v>
      </c>
      <c r="Y107" s="70">
        <f t="shared" si="133"/>
        <v>0</v>
      </c>
      <c r="Z107" s="70">
        <f t="shared" si="133"/>
        <v>0</v>
      </c>
      <c r="AA107" s="70">
        <f t="shared" si="133"/>
        <v>0</v>
      </c>
      <c r="AB107" s="70">
        <f t="shared" ref="AB107" si="134">SUM(AB101:AB106)</f>
        <v>0</v>
      </c>
      <c r="AC107" s="70">
        <f t="shared" si="133"/>
        <v>0</v>
      </c>
      <c r="AD107" s="70">
        <f t="shared" si="133"/>
        <v>0</v>
      </c>
      <c r="AE107" s="70">
        <f t="shared" ref="AE107:AF107" si="135">SUM(AE101:AE106)</f>
        <v>0</v>
      </c>
      <c r="AF107" s="70">
        <f t="shared" si="135"/>
        <v>0</v>
      </c>
      <c r="AG107" s="100"/>
      <c r="AH107" s="48">
        <f t="shared" si="65"/>
        <v>0</v>
      </c>
      <c r="AI107" s="49">
        <f t="shared" si="66"/>
        <v>0</v>
      </c>
      <c r="AK107" s="51"/>
      <c r="BG107" s="81">
        <v>56.4</v>
      </c>
      <c r="BH107" s="81">
        <v>0</v>
      </c>
      <c r="BI107" s="81">
        <v>407.5</v>
      </c>
      <c r="BJ107" s="81">
        <v>5.6</v>
      </c>
      <c r="BK107" s="81">
        <v>125</v>
      </c>
      <c r="BL107" s="81">
        <v>64.400000000000006</v>
      </c>
    </row>
    <row r="108" spans="1:64" ht="15.75" thickBot="1" x14ac:dyDescent="0.3">
      <c r="A108" s="86" t="s">
        <v>131</v>
      </c>
      <c r="B108" s="70">
        <f t="shared" ref="B108:C108" si="136">B92-B107</f>
        <v>658.9</v>
      </c>
      <c r="C108" s="70">
        <f t="shared" si="136"/>
        <v>637.6</v>
      </c>
      <c r="D108" s="70">
        <f t="shared" ref="D108" si="137">D92-D107</f>
        <v>648.79999999999995</v>
      </c>
      <c r="E108" s="70">
        <f t="shared" ref="E108:AD108" si="138">E92-E107</f>
        <v>655.9</v>
      </c>
      <c r="F108" s="70">
        <f t="shared" si="138"/>
        <v>665.8</v>
      </c>
      <c r="G108" s="70">
        <f t="shared" si="138"/>
        <v>667.9</v>
      </c>
      <c r="H108" s="70">
        <f t="shared" si="138"/>
        <v>681.5</v>
      </c>
      <c r="I108" s="70">
        <f t="shared" si="138"/>
        <v>680.69999999999993</v>
      </c>
      <c r="J108" s="70">
        <f t="shared" si="138"/>
        <v>731.6</v>
      </c>
      <c r="K108" s="70">
        <f t="shared" si="138"/>
        <v>667.9</v>
      </c>
      <c r="L108" s="70">
        <f t="shared" si="138"/>
        <v>517.6</v>
      </c>
      <c r="M108" s="70">
        <f t="shared" si="138"/>
        <v>253.6</v>
      </c>
      <c r="N108" s="70">
        <f t="shared" si="138"/>
        <v>668.19999999999993</v>
      </c>
      <c r="O108" s="70">
        <f t="shared" si="138"/>
        <v>666.3</v>
      </c>
      <c r="P108" s="70">
        <f t="shared" si="138"/>
        <v>751.1</v>
      </c>
      <c r="Q108" s="70">
        <f t="shared" si="138"/>
        <v>740.7</v>
      </c>
      <c r="R108" s="70">
        <f t="shared" si="138"/>
        <v>783.3</v>
      </c>
      <c r="S108" s="70">
        <f t="shared" ref="S108:T108" si="139">S92-S107</f>
        <v>802.8</v>
      </c>
      <c r="T108" s="70">
        <f t="shared" si="139"/>
        <v>804</v>
      </c>
      <c r="U108" s="70">
        <f t="shared" ref="U108:V108" si="140">U92-U107</f>
        <v>809</v>
      </c>
      <c r="V108" s="70">
        <f t="shared" si="140"/>
        <v>637.29999999999995</v>
      </c>
      <c r="W108" s="70">
        <f t="shared" si="138"/>
        <v>639.9</v>
      </c>
      <c r="X108" s="70">
        <f t="shared" si="138"/>
        <v>601</v>
      </c>
      <c r="Y108" s="70">
        <f>Y92-Y107</f>
        <v>656.3</v>
      </c>
      <c r="Z108" s="70">
        <f>Z92-Z107</f>
        <v>351.5</v>
      </c>
      <c r="AA108" s="70">
        <f t="shared" si="138"/>
        <v>225</v>
      </c>
      <c r="AB108" s="70">
        <f t="shared" ref="AB108" si="141">AB92-AB107</f>
        <v>243.90000000000003</v>
      </c>
      <c r="AC108" s="70">
        <f t="shared" si="138"/>
        <v>474.1</v>
      </c>
      <c r="AD108" s="70">
        <f t="shared" si="138"/>
        <v>469</v>
      </c>
      <c r="AE108" s="70">
        <f t="shared" ref="AE108:AF108" si="142">AE92-AE107</f>
        <v>581.4</v>
      </c>
      <c r="AF108" s="70">
        <f t="shared" si="142"/>
        <v>606.9</v>
      </c>
      <c r="AG108" s="100"/>
      <c r="AH108" s="48">
        <f t="shared" si="65"/>
        <v>809</v>
      </c>
      <c r="AI108" s="49">
        <f t="shared" si="66"/>
        <v>225</v>
      </c>
    </row>
    <row r="109" spans="1:64" x14ac:dyDescent="0.25">
      <c r="A109" s="112" t="s">
        <v>132</v>
      </c>
      <c r="B109" s="113">
        <v>49.94</v>
      </c>
      <c r="C109" s="113">
        <v>50.04</v>
      </c>
      <c r="D109" s="113">
        <v>50.01</v>
      </c>
      <c r="E109" s="113">
        <v>50.017000000000003</v>
      </c>
      <c r="F109" s="113">
        <v>49.987000000000002</v>
      </c>
      <c r="G109" s="113">
        <v>49.948</v>
      </c>
      <c r="H109" s="113">
        <v>49.970999999999997</v>
      </c>
      <c r="I109" s="113">
        <v>50.037999999999997</v>
      </c>
      <c r="J109" s="113">
        <v>50.002000000000002</v>
      </c>
      <c r="K109" s="113">
        <v>50.029000000000003</v>
      </c>
      <c r="L109" s="113">
        <v>50.037999999999997</v>
      </c>
      <c r="M109" s="113">
        <v>50.094000000000001</v>
      </c>
      <c r="N109" s="113">
        <v>49.954000000000001</v>
      </c>
      <c r="O109" s="113">
        <v>50.04</v>
      </c>
      <c r="P109" s="113">
        <v>50.02</v>
      </c>
      <c r="Q109" s="113">
        <v>49.951000000000001</v>
      </c>
      <c r="R109" s="113">
        <v>50.006999999999998</v>
      </c>
      <c r="S109" s="113">
        <v>50.02</v>
      </c>
      <c r="T109" s="113">
        <v>49.97</v>
      </c>
      <c r="U109" s="113">
        <v>49.89</v>
      </c>
      <c r="V109" s="113">
        <v>49.889000000000003</v>
      </c>
      <c r="W109" s="113">
        <v>49.970999999999997</v>
      </c>
      <c r="X109" s="113">
        <v>49.978999999999999</v>
      </c>
      <c r="Y109" s="113">
        <v>50.110999999999997</v>
      </c>
      <c r="Z109" s="113">
        <v>49.956000000000003</v>
      </c>
      <c r="AA109" s="113">
        <v>50.006999999999998</v>
      </c>
      <c r="AB109" s="113">
        <v>50.06</v>
      </c>
      <c r="AC109" s="113">
        <v>50.067</v>
      </c>
      <c r="AD109" s="113">
        <v>50.024999999999999</v>
      </c>
      <c r="AE109" s="113">
        <v>50</v>
      </c>
      <c r="AF109" s="113">
        <v>49.9</v>
      </c>
      <c r="AG109" s="114"/>
      <c r="AH109" s="48">
        <f t="shared" si="65"/>
        <v>50.110999999999997</v>
      </c>
      <c r="AI109" s="49">
        <f t="shared" si="66"/>
        <v>49.889000000000003</v>
      </c>
    </row>
    <row r="110" spans="1:64" x14ac:dyDescent="0.25">
      <c r="A110" s="115" t="s">
        <v>133</v>
      </c>
      <c r="B110" s="75">
        <v>129.69999999999999</v>
      </c>
      <c r="C110" s="75">
        <v>131.19999999999999</v>
      </c>
      <c r="D110" s="75">
        <v>132.5</v>
      </c>
      <c r="E110" s="75">
        <v>130.69999999999999</v>
      </c>
      <c r="F110" s="75">
        <v>128.6</v>
      </c>
      <c r="G110" s="75">
        <v>127.5</v>
      </c>
      <c r="H110" s="75">
        <v>126.1</v>
      </c>
      <c r="I110" s="75">
        <v>125.9</v>
      </c>
      <c r="J110" s="75">
        <v>125.3</v>
      </c>
      <c r="K110" s="75">
        <v>127.9</v>
      </c>
      <c r="L110" s="75">
        <v>126.3</v>
      </c>
      <c r="M110" s="75">
        <v>127.8</v>
      </c>
      <c r="N110" s="75">
        <v>126.4</v>
      </c>
      <c r="O110" s="75">
        <v>124.3</v>
      </c>
      <c r="P110" s="75">
        <v>121.2</v>
      </c>
      <c r="Q110" s="75">
        <v>121.5</v>
      </c>
      <c r="R110" s="75">
        <v>123.1</v>
      </c>
      <c r="S110" s="75">
        <v>123.8</v>
      </c>
      <c r="T110" s="75">
        <v>123.4</v>
      </c>
      <c r="U110" s="75">
        <v>122</v>
      </c>
      <c r="V110" s="75">
        <v>126.1</v>
      </c>
      <c r="W110" s="75">
        <v>126</v>
      </c>
      <c r="X110" s="75">
        <v>129.19999999999999</v>
      </c>
      <c r="Y110" s="75">
        <v>126.8</v>
      </c>
      <c r="Z110" s="75">
        <v>130.30000000000001</v>
      </c>
      <c r="AA110" s="75">
        <v>127.6</v>
      </c>
      <c r="AB110" s="75">
        <v>129.1</v>
      </c>
      <c r="AC110" s="75">
        <v>128.5</v>
      </c>
      <c r="AD110" s="75">
        <v>126.9</v>
      </c>
      <c r="AE110" s="75">
        <v>127.5</v>
      </c>
      <c r="AF110" s="75">
        <v>127.8</v>
      </c>
      <c r="AG110" s="116"/>
      <c r="AH110" s="48">
        <f t="shared" si="65"/>
        <v>132.5</v>
      </c>
      <c r="AI110" s="49">
        <f t="shared" si="66"/>
        <v>121.2</v>
      </c>
    </row>
    <row r="111" spans="1:64" x14ac:dyDescent="0.25">
      <c r="A111" s="115" t="s">
        <v>134</v>
      </c>
      <c r="B111" s="75">
        <v>132.80000000000001</v>
      </c>
      <c r="C111" s="75">
        <v>134.5</v>
      </c>
      <c r="D111" s="75">
        <v>135.4</v>
      </c>
      <c r="E111" s="75">
        <v>133.9</v>
      </c>
      <c r="F111" s="75">
        <v>132.4</v>
      </c>
      <c r="G111" s="75">
        <v>131.1</v>
      </c>
      <c r="H111" s="75">
        <v>129.5</v>
      </c>
      <c r="I111" s="75">
        <v>129.19999999999999</v>
      </c>
      <c r="J111" s="75">
        <v>128.19999999999999</v>
      </c>
      <c r="K111" s="75">
        <v>129.6</v>
      </c>
      <c r="L111" s="75">
        <v>127.7</v>
      </c>
      <c r="M111" s="75">
        <v>128.9</v>
      </c>
      <c r="N111" s="75">
        <v>127.8</v>
      </c>
      <c r="O111" s="75">
        <v>126.7</v>
      </c>
      <c r="P111" s="75">
        <v>125.69</v>
      </c>
      <c r="Q111" s="75">
        <v>125.8</v>
      </c>
      <c r="R111" s="75">
        <v>126.6</v>
      </c>
      <c r="S111" s="75">
        <v>127</v>
      </c>
      <c r="T111" s="75">
        <v>126.8</v>
      </c>
      <c r="U111" s="75">
        <v>125</v>
      </c>
      <c r="V111" s="75">
        <v>129</v>
      </c>
      <c r="W111" s="75">
        <v>129.1</v>
      </c>
      <c r="X111" s="75">
        <v>131.1</v>
      </c>
      <c r="Y111" s="75">
        <v>126.8</v>
      </c>
      <c r="Z111" s="75">
        <v>131.1</v>
      </c>
      <c r="AA111" s="75">
        <v>129.4</v>
      </c>
      <c r="AB111" s="75">
        <v>131.19999999999999</v>
      </c>
      <c r="AC111" s="75">
        <v>131.5</v>
      </c>
      <c r="AD111" s="75">
        <v>130</v>
      </c>
      <c r="AE111" s="75">
        <v>130.9</v>
      </c>
      <c r="AF111" s="75">
        <v>131.30000000000001</v>
      </c>
      <c r="AG111" s="116"/>
      <c r="AH111" s="48">
        <f t="shared" si="65"/>
        <v>135.4</v>
      </c>
      <c r="AI111" s="49">
        <f t="shared" si="66"/>
        <v>125</v>
      </c>
    </row>
    <row r="112" spans="1:64" x14ac:dyDescent="0.25">
      <c r="A112" s="115" t="s">
        <v>135</v>
      </c>
      <c r="B112" s="75">
        <v>129.5</v>
      </c>
      <c r="C112" s="75">
        <v>130</v>
      </c>
      <c r="D112" s="75">
        <v>132.4</v>
      </c>
      <c r="E112" s="75">
        <v>129.9</v>
      </c>
      <c r="F112" s="75">
        <v>128.19999999999999</v>
      </c>
      <c r="G112" s="75">
        <v>128</v>
      </c>
      <c r="H112" s="75">
        <v>128.80000000000001</v>
      </c>
      <c r="I112" s="75">
        <v>129.1</v>
      </c>
      <c r="J112" s="75">
        <v>126.5</v>
      </c>
      <c r="K112" s="75">
        <v>129.69999999999999</v>
      </c>
      <c r="L112" s="75">
        <v>126.4</v>
      </c>
      <c r="M112" s="75">
        <v>125.2</v>
      </c>
      <c r="N112" s="75">
        <v>128</v>
      </c>
      <c r="O112" s="75">
        <v>127.5</v>
      </c>
      <c r="P112" s="75">
        <v>123.9</v>
      </c>
      <c r="Q112" s="75">
        <v>125.2</v>
      </c>
      <c r="R112" s="75">
        <v>127.3</v>
      </c>
      <c r="S112" s="75">
        <v>126</v>
      </c>
      <c r="T112" s="75">
        <v>125</v>
      </c>
      <c r="U112" s="75">
        <v>123.4</v>
      </c>
      <c r="V112" s="75">
        <v>128.30000000000001</v>
      </c>
      <c r="W112" s="75">
        <v>126.3</v>
      </c>
      <c r="X112" s="75">
        <v>127.7</v>
      </c>
      <c r="Y112" s="75">
        <v>129.1</v>
      </c>
      <c r="Z112" s="75">
        <v>134.30000000000001</v>
      </c>
      <c r="AA112" s="75">
        <v>127.4</v>
      </c>
      <c r="AB112" s="75">
        <v>129.9</v>
      </c>
      <c r="AC112" s="75">
        <v>129.80000000000001</v>
      </c>
      <c r="AD112" s="75">
        <v>130.19999999999999</v>
      </c>
      <c r="AE112" s="75">
        <v>126.6</v>
      </c>
      <c r="AF112" s="75">
        <v>127.7</v>
      </c>
      <c r="AG112" s="116"/>
      <c r="AH112" s="48">
        <f t="shared" si="65"/>
        <v>134.30000000000001</v>
      </c>
      <c r="AI112" s="49">
        <f t="shared" si="66"/>
        <v>123.4</v>
      </c>
    </row>
    <row r="113" spans="1:35" x14ac:dyDescent="0.25">
      <c r="A113" s="117" t="s">
        <v>136</v>
      </c>
      <c r="B113" s="75">
        <v>131.9</v>
      </c>
      <c r="C113" s="75">
        <v>132.30000000000001</v>
      </c>
      <c r="D113" s="75">
        <v>134.5</v>
      </c>
      <c r="E113" s="75">
        <v>132.5</v>
      </c>
      <c r="F113" s="75">
        <v>131.5</v>
      </c>
      <c r="G113" s="75">
        <v>131.5</v>
      </c>
      <c r="H113" s="75">
        <v>130.6</v>
      </c>
      <c r="I113" s="75">
        <v>129.5</v>
      </c>
      <c r="J113" s="75">
        <v>125.9</v>
      </c>
      <c r="K113" s="75">
        <v>127.3</v>
      </c>
      <c r="L113" s="75">
        <v>124.9</v>
      </c>
      <c r="M113" s="75">
        <v>122.1</v>
      </c>
      <c r="N113" s="75">
        <v>125.4</v>
      </c>
      <c r="O113" s="75">
        <v>125</v>
      </c>
      <c r="P113" s="75">
        <v>123.6</v>
      </c>
      <c r="Q113" s="75">
        <v>125.6</v>
      </c>
      <c r="R113" s="75">
        <v>126.9</v>
      </c>
      <c r="S113" s="75">
        <v>126.9</v>
      </c>
      <c r="T113" s="75">
        <v>123</v>
      </c>
      <c r="U113" s="75">
        <v>120.8</v>
      </c>
      <c r="V113" s="75">
        <v>125.2</v>
      </c>
      <c r="W113" s="75">
        <v>123.9</v>
      </c>
      <c r="X113" s="75">
        <v>124.1</v>
      </c>
      <c r="Y113" s="75">
        <v>123.6</v>
      </c>
      <c r="Z113" s="75">
        <v>134.9</v>
      </c>
      <c r="AA113" s="75">
        <v>124.4</v>
      </c>
      <c r="AB113" s="75">
        <v>129</v>
      </c>
      <c r="AC113" s="75">
        <v>128.6</v>
      </c>
      <c r="AD113" s="75">
        <v>130.6</v>
      </c>
      <c r="AE113" s="75">
        <v>128.6</v>
      </c>
      <c r="AF113" s="75">
        <v>129.9</v>
      </c>
      <c r="AG113" s="116"/>
      <c r="AH113" s="48">
        <f t="shared" si="65"/>
        <v>134.9</v>
      </c>
      <c r="AI113" s="49">
        <f t="shared" si="66"/>
        <v>120.8</v>
      </c>
    </row>
    <row r="114" spans="1:35" x14ac:dyDescent="0.25">
      <c r="A114" s="117" t="s">
        <v>137</v>
      </c>
      <c r="B114" s="118">
        <v>136</v>
      </c>
      <c r="C114" s="118">
        <v>135.80000000000001</v>
      </c>
      <c r="D114" s="118">
        <v>137.19999999999999</v>
      </c>
      <c r="E114" s="118">
        <v>132.9</v>
      </c>
      <c r="F114" s="118">
        <v>131.30000000000001</v>
      </c>
      <c r="G114" s="118">
        <v>130.9</v>
      </c>
      <c r="H114" s="118">
        <v>129.9</v>
      </c>
      <c r="I114" s="118">
        <v>131.19999999999999</v>
      </c>
      <c r="J114" s="118">
        <v>132.9</v>
      </c>
      <c r="K114" s="118">
        <v>137.1</v>
      </c>
      <c r="L114" s="118">
        <v>133.4</v>
      </c>
      <c r="M114" s="118">
        <v>133.9</v>
      </c>
      <c r="N114" s="118">
        <v>133.9</v>
      </c>
      <c r="O114" s="118">
        <v>132.1</v>
      </c>
      <c r="P114" s="118">
        <v>130.69999999999999</v>
      </c>
      <c r="Q114" s="118">
        <v>131.1</v>
      </c>
      <c r="R114" s="118">
        <v>130.80000000000001</v>
      </c>
      <c r="S114" s="118">
        <v>130.80000000000001</v>
      </c>
      <c r="T114" s="118">
        <v>130</v>
      </c>
      <c r="U114" s="118">
        <v>130.5</v>
      </c>
      <c r="V114" s="118">
        <v>135.1</v>
      </c>
      <c r="W114" s="118">
        <v>135.4</v>
      </c>
      <c r="X114" s="118">
        <v>136.6</v>
      </c>
      <c r="Y114" s="118">
        <v>135.6</v>
      </c>
      <c r="Z114" s="118">
        <v>135.80000000000001</v>
      </c>
      <c r="AA114" s="118">
        <v>132.80000000000001</v>
      </c>
      <c r="AB114" s="118">
        <v>135.19999999999999</v>
      </c>
      <c r="AC114" s="118">
        <v>134.69999999999999</v>
      </c>
      <c r="AD114" s="118">
        <v>133.1</v>
      </c>
      <c r="AE114" s="118">
        <v>132.69999999999999</v>
      </c>
      <c r="AF114" s="118">
        <v>134.4</v>
      </c>
      <c r="AG114" s="119"/>
      <c r="AH114" s="48">
        <f t="shared" si="65"/>
        <v>137.19999999999999</v>
      </c>
      <c r="AI114" s="49">
        <f t="shared" si="66"/>
        <v>129.9</v>
      </c>
    </row>
    <row r="115" spans="1:35" x14ac:dyDescent="0.25">
      <c r="A115" s="115" t="s">
        <v>138</v>
      </c>
      <c r="B115" s="75">
        <v>133</v>
      </c>
      <c r="C115" s="75">
        <v>126.8</v>
      </c>
      <c r="D115" s="75">
        <v>126.8</v>
      </c>
      <c r="E115" s="75">
        <v>133.80000000000001</v>
      </c>
      <c r="F115" s="75">
        <v>134.69999999999999</v>
      </c>
      <c r="G115" s="75">
        <v>133.69999999999999</v>
      </c>
      <c r="H115" s="75">
        <v>133</v>
      </c>
      <c r="I115" s="75">
        <v>131.6</v>
      </c>
      <c r="J115" s="75">
        <v>127.9</v>
      </c>
      <c r="K115" s="75">
        <v>128.4</v>
      </c>
      <c r="L115" s="75">
        <v>131.69999999999999</v>
      </c>
      <c r="M115" s="75">
        <v>131.69999999999999</v>
      </c>
      <c r="N115" s="75">
        <v>134</v>
      </c>
      <c r="O115" s="75">
        <v>131.4</v>
      </c>
      <c r="P115" s="75">
        <v>131.9</v>
      </c>
      <c r="Q115" s="75">
        <v>131.4</v>
      </c>
      <c r="R115" s="75">
        <v>136.6</v>
      </c>
      <c r="S115" s="75">
        <v>136.6</v>
      </c>
      <c r="T115" s="75">
        <v>131</v>
      </c>
      <c r="U115" s="75">
        <v>135</v>
      </c>
      <c r="V115" s="75">
        <v>137.9</v>
      </c>
      <c r="W115" s="75">
        <v>137.30000000000001</v>
      </c>
      <c r="X115" s="75">
        <v>138</v>
      </c>
      <c r="Y115" s="75">
        <v>133.6</v>
      </c>
      <c r="Z115" s="75">
        <v>127.2</v>
      </c>
      <c r="AA115" s="75">
        <v>132.30000000000001</v>
      </c>
      <c r="AB115" s="75">
        <v>132.1</v>
      </c>
      <c r="AC115" s="75">
        <v>128.6</v>
      </c>
      <c r="AD115" s="75">
        <v>128.80000000000001</v>
      </c>
      <c r="AE115" s="75">
        <v>130.80000000000001</v>
      </c>
      <c r="AF115" s="75">
        <v>128.19999999999999</v>
      </c>
      <c r="AG115" s="116"/>
      <c r="AH115" s="48">
        <f t="shared" si="65"/>
        <v>138</v>
      </c>
      <c r="AI115" s="49">
        <f t="shared" si="66"/>
        <v>126.8</v>
      </c>
    </row>
    <row r="116" spans="1:35" ht="15.75" thickBot="1" x14ac:dyDescent="0.3">
      <c r="A116" s="115" t="s">
        <v>139</v>
      </c>
      <c r="B116" s="104">
        <v>66.900000000000006</v>
      </c>
      <c r="C116" s="104">
        <v>67.599999999999994</v>
      </c>
      <c r="D116" s="104">
        <v>67.599999999999994</v>
      </c>
      <c r="E116" s="104">
        <v>67.5</v>
      </c>
      <c r="F116" s="104">
        <v>66.599999999999994</v>
      </c>
      <c r="G116" s="104">
        <v>65.8</v>
      </c>
      <c r="H116" s="104">
        <v>65.2</v>
      </c>
      <c r="I116" s="104">
        <v>64.8</v>
      </c>
      <c r="J116" s="104">
        <v>64.3</v>
      </c>
      <c r="K116" s="104">
        <v>65.099999999999994</v>
      </c>
      <c r="L116" s="104">
        <v>63.5</v>
      </c>
      <c r="M116" s="104">
        <v>64.3</v>
      </c>
      <c r="N116" s="104">
        <v>63.8</v>
      </c>
      <c r="O116" s="104">
        <v>63.2</v>
      </c>
      <c r="P116" s="104">
        <v>62.6</v>
      </c>
      <c r="Q116" s="104">
        <v>62.8</v>
      </c>
      <c r="R116" s="104">
        <v>63.4</v>
      </c>
      <c r="S116" s="104">
        <v>63.4</v>
      </c>
      <c r="T116" s="104">
        <v>63.2</v>
      </c>
      <c r="U116" s="104">
        <v>62.8</v>
      </c>
      <c r="V116" s="104">
        <v>64.8</v>
      </c>
      <c r="W116" s="104">
        <v>64.7</v>
      </c>
      <c r="X116" s="104">
        <v>65.7</v>
      </c>
      <c r="Y116" s="104">
        <v>64.900000000000006</v>
      </c>
      <c r="Z116" s="104">
        <v>65.8</v>
      </c>
      <c r="AA116" s="104">
        <v>64.900000000000006</v>
      </c>
      <c r="AB116" s="104">
        <v>65.8</v>
      </c>
      <c r="AC116" s="104">
        <v>66.099999999999994</v>
      </c>
      <c r="AD116" s="104">
        <v>65.2</v>
      </c>
      <c r="AE116" s="104">
        <v>65.8</v>
      </c>
      <c r="AF116" s="104">
        <v>65.900000000000006</v>
      </c>
      <c r="AG116" s="120"/>
      <c r="AH116" s="48">
        <f t="shared" si="65"/>
        <v>67.599999999999994</v>
      </c>
      <c r="AI116" s="49">
        <f t="shared" si="66"/>
        <v>62.6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 t="s">
        <v>140</v>
      </c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65"/>
        <v>0</v>
      </c>
      <c r="AI117" s="49">
        <f t="shared" si="66"/>
        <v>0</v>
      </c>
    </row>
    <row r="118" spans="1:35" ht="15.75" thickBot="1" x14ac:dyDescent="0.3">
      <c r="A118" s="122" t="s">
        <v>141</v>
      </c>
      <c r="B118" s="123">
        <f t="shared" ref="B118:C118" si="143">SUM(B22,B28,B31:B32,B66,B68:B69,B71,B73,B119:B123,B155,B161,B167,B176,B178,B190,B197,B200:B201,B208,B210,B212,B216:B218,B220:B222,B227,B233:B234,B236:B238,B246,B251)</f>
        <v>147.33999999999997</v>
      </c>
      <c r="C118" s="123">
        <f t="shared" si="143"/>
        <v>136.32</v>
      </c>
      <c r="D118" s="123">
        <f t="shared" ref="D118" si="144">SUM(D22,D28,D31:D32,D66,D68:D69,D71,D73,D119:D123,D155,D161,D167,D176,D178,D190,D197,D200:D201,D208,D210,D212,D216:D218,D220:D222,D227,D233:D234,D236:D238,D246,D251)</f>
        <v>130.39999999999998</v>
      </c>
      <c r="E118" s="123">
        <f t="shared" ref="E118:O118" si="145">SUM(E22,E28,E31:E32,E66,E68:E69,E71,E73,E119:E123,E155,E161,E167,E176,E178,E190,E197,E200:E201,E208,E210,E212,E216:E218,E220:E222,E227,E233:E234,E236:E238,E246,E251)</f>
        <v>129.904</v>
      </c>
      <c r="F118" s="123">
        <f t="shared" si="145"/>
        <v>134.685</v>
      </c>
      <c r="G118" s="123">
        <f t="shared" si="145"/>
        <v>155.886</v>
      </c>
      <c r="H118" s="123">
        <f t="shared" si="145"/>
        <v>184.88</v>
      </c>
      <c r="I118" s="123">
        <f t="shared" si="145"/>
        <v>223.95</v>
      </c>
      <c r="J118" s="123">
        <f t="shared" si="145"/>
        <v>274.52199999999999</v>
      </c>
      <c r="K118" s="123">
        <f t="shared" si="145"/>
        <v>319.94299999999998</v>
      </c>
      <c r="L118" s="123">
        <f t="shared" si="145"/>
        <v>342.22800000000001</v>
      </c>
      <c r="M118" s="123">
        <f t="shared" si="145"/>
        <v>323.18399999999997</v>
      </c>
      <c r="N118" s="123">
        <f t="shared" si="145"/>
        <v>320.44</v>
      </c>
      <c r="O118" s="123">
        <f t="shared" si="145"/>
        <v>311.83999999999997</v>
      </c>
      <c r="P118" s="123">
        <v>42</v>
      </c>
      <c r="Q118" s="123">
        <f t="shared" ref="Q118:AD118" si="146">SUM(Q22,Q28,Q31:Q32,Q66,Q68:Q69,Q71,Q73,Q119:Q123,Q155,Q161,Q167,Q176,Q178,Q190,Q197,Q200:Q201,Q208,Q210,Q212,Q216:Q218,Q220:Q222,Q227,Q233:Q234,Q236:Q238,Q246,Q251)</f>
        <v>282.02409999999998</v>
      </c>
      <c r="R118" s="123">
        <f t="shared" si="146"/>
        <v>284.44</v>
      </c>
      <c r="S118" s="123">
        <f t="shared" ref="S118:T118" si="147">SUM(S22,S28,S31:S32,S66,S68:S69,S71,S73,S119:S123,S155,S161,S167,S176,S178,S190,S197,S200:S201,S208,S210,S212,S216:S218,S220:S222,S227,S233:S234,S236:S238,S246,S251)</f>
        <v>284.44</v>
      </c>
      <c r="T118" s="123">
        <f t="shared" si="147"/>
        <v>279.04000000000002</v>
      </c>
      <c r="U118" s="123">
        <f t="shared" ref="U118:W118" si="148">SUM(U22,U28,U31:U32,U66,U68:U69,U71,U73,U119:U123,U155,U161,U167,U176,U178,U190,U197,U200:U201,U208,U210,U212,U216:U218,U220:U222,U227,U233:U234,U236:U238,U246,U251)</f>
        <v>271.54000000000002</v>
      </c>
      <c r="V118" s="123">
        <f t="shared" si="148"/>
        <v>297.74</v>
      </c>
      <c r="W118" s="123">
        <f t="shared" si="148"/>
        <v>306.33999999999997</v>
      </c>
      <c r="X118" s="123">
        <f t="shared" si="146"/>
        <v>332.71999999999997</v>
      </c>
      <c r="Y118" s="123">
        <f t="shared" ref="Y118:Z118" si="149">SUM(Y20,Y26,Y37:Y38,Y66,Y68:Y69,Y71,Y73,Y119:Y123,Y148,Y154,Y160,Y169,Y171,Y183,Y190,Y193:Y194,Y201,Y203,Y205,Y209:Y211,Y213:Y215,Y220,Y226:Y227,Y229:Y231,Y239,Y244)</f>
        <v>363.7</v>
      </c>
      <c r="Z118" s="123">
        <f t="shared" si="149"/>
        <v>414.94</v>
      </c>
      <c r="AA118" s="123">
        <f t="shared" si="146"/>
        <v>386.97999999999996</v>
      </c>
      <c r="AB118" s="123">
        <f t="shared" ref="AB118" si="150">SUM(AB22,AB28,AB31:AB32,AB66,AB68:AB69,AB71,AB73,AB119:AB123,AB155,AB161,AB167,AB176,AB178,AB190,AB197,AB200:AB201,AB208,AB210,AB212,AB216:AB218,AB220:AB222,AB227,AB233:AB234,AB236:AB238,AB246,AB251)</f>
        <v>324.36</v>
      </c>
      <c r="AC118" s="123">
        <f t="shared" si="146"/>
        <v>309.82</v>
      </c>
      <c r="AD118" s="123">
        <f t="shared" si="146"/>
        <v>278.42</v>
      </c>
      <c r="AE118" s="123">
        <f t="shared" ref="AE118:AF118" si="151">SUM(AE22,AE28,AE31:AE32,AE66,AE68:AE69,AE71,AE73,AE119:AE123,AE155,AE161,AE167,AE176,AE178,AE190,AE197,AE200:AE201,AE208,AE210,AE212,AE216:AE218,AE220:AE222,AE227,AE233:AE234,AE236:AE238,AE246,AE251)</f>
        <v>213.79999999999998</v>
      </c>
      <c r="AF118" s="123">
        <f t="shared" si="151"/>
        <v>126.24</v>
      </c>
      <c r="AG118" s="124"/>
      <c r="AH118" s="48">
        <f t="shared" si="65"/>
        <v>414.94</v>
      </c>
      <c r="AI118" s="49">
        <f t="shared" si="66"/>
        <v>42</v>
      </c>
    </row>
    <row r="119" spans="1:35" x14ac:dyDescent="0.25">
      <c r="A119" s="125" t="s">
        <v>142</v>
      </c>
      <c r="B119" s="126">
        <v>-6.2</v>
      </c>
      <c r="C119" s="126">
        <v>-3</v>
      </c>
      <c r="D119" s="126">
        <v>-2.2000000000000002</v>
      </c>
      <c r="E119" s="126">
        <v>-7.1</v>
      </c>
      <c r="F119" s="126">
        <v>-8.5</v>
      </c>
      <c r="G119" s="126">
        <v>-14.2</v>
      </c>
      <c r="H119" s="126">
        <v>-9</v>
      </c>
      <c r="I119" s="126">
        <v>9.1</v>
      </c>
      <c r="J119" s="126">
        <v>18.899999999999999</v>
      </c>
      <c r="K119" s="126">
        <v>26.3</v>
      </c>
      <c r="L119" s="126">
        <v>24.5</v>
      </c>
      <c r="M119" s="126">
        <v>36.799999999999997</v>
      </c>
      <c r="N119" s="126">
        <v>21.8</v>
      </c>
      <c r="O119" s="126">
        <v>21.9</v>
      </c>
      <c r="P119" s="126">
        <v>18.5</v>
      </c>
      <c r="Q119" s="126">
        <v>18.899999999999999</v>
      </c>
      <c r="R119" s="126">
        <v>18.100000000000001</v>
      </c>
      <c r="S119" s="126">
        <v>18.100000000000001</v>
      </c>
      <c r="T119" s="126">
        <v>14</v>
      </c>
      <c r="U119" s="126">
        <v>15</v>
      </c>
      <c r="V119" s="126">
        <v>24.6</v>
      </c>
      <c r="W119" s="126">
        <v>25</v>
      </c>
      <c r="X119" s="126">
        <v>29</v>
      </c>
      <c r="Y119" s="126">
        <v>31.2</v>
      </c>
      <c r="Z119" s="126">
        <v>43.9</v>
      </c>
      <c r="AA119" s="126">
        <v>31.8</v>
      </c>
      <c r="AB119" s="126">
        <v>17.3</v>
      </c>
      <c r="AC119" s="126">
        <v>18.2</v>
      </c>
      <c r="AD119" s="126">
        <v>16.2</v>
      </c>
      <c r="AE119" s="126">
        <v>0.5</v>
      </c>
      <c r="AF119" s="126">
        <v>-8.1</v>
      </c>
      <c r="AG119" s="127">
        <v>75</v>
      </c>
      <c r="AH119" s="48">
        <f t="shared" si="65"/>
        <v>43.9</v>
      </c>
      <c r="AI119" s="49">
        <f t="shared" si="66"/>
        <v>-14.2</v>
      </c>
    </row>
    <row r="120" spans="1:35" x14ac:dyDescent="0.25">
      <c r="A120" s="128" t="s">
        <v>143</v>
      </c>
      <c r="B120" s="129">
        <v>-13.9</v>
      </c>
      <c r="C120" s="129">
        <v>-7.6</v>
      </c>
      <c r="D120" s="129">
        <v>-6.9</v>
      </c>
      <c r="E120" s="129">
        <v>-12.3</v>
      </c>
      <c r="F120" s="129">
        <v>-16</v>
      </c>
      <c r="G120" s="129">
        <v>-22.7</v>
      </c>
      <c r="H120" s="129">
        <v>-14.8</v>
      </c>
      <c r="I120" s="129">
        <v>7</v>
      </c>
      <c r="J120" s="129">
        <v>20.8</v>
      </c>
      <c r="K120" s="129">
        <v>36.6</v>
      </c>
      <c r="L120" s="129">
        <v>34.5</v>
      </c>
      <c r="M120" s="129">
        <v>51.4</v>
      </c>
      <c r="N120" s="129">
        <v>28</v>
      </c>
      <c r="O120" s="129">
        <v>25.7</v>
      </c>
      <c r="P120" s="129">
        <v>20.100000000000001</v>
      </c>
      <c r="Q120" s="129">
        <v>20.7</v>
      </c>
      <c r="R120" s="129">
        <v>20.8</v>
      </c>
      <c r="S120" s="129">
        <v>20.8</v>
      </c>
      <c r="T120" s="129">
        <v>13</v>
      </c>
      <c r="U120" s="129">
        <v>16</v>
      </c>
      <c r="V120" s="129">
        <v>31</v>
      </c>
      <c r="W120" s="129">
        <v>32</v>
      </c>
      <c r="X120" s="129">
        <v>36.5</v>
      </c>
      <c r="Y120" s="129">
        <v>39.200000000000003</v>
      </c>
      <c r="Z120" s="129">
        <v>61.1</v>
      </c>
      <c r="AA120" s="129">
        <v>46.1</v>
      </c>
      <c r="AB120" s="129">
        <v>25.8</v>
      </c>
      <c r="AC120" s="129">
        <v>28.2</v>
      </c>
      <c r="AD120" s="129">
        <v>23.1</v>
      </c>
      <c r="AE120" s="129">
        <v>-5</v>
      </c>
      <c r="AF120" s="129">
        <v>-17.600000000000001</v>
      </c>
      <c r="AG120" s="127">
        <v>240</v>
      </c>
      <c r="AH120" s="48">
        <f t="shared" si="65"/>
        <v>61.1</v>
      </c>
      <c r="AI120" s="49">
        <f t="shared" si="66"/>
        <v>-22.7</v>
      </c>
    </row>
    <row r="121" spans="1:35" x14ac:dyDescent="0.25">
      <c r="A121" s="128" t="s">
        <v>144</v>
      </c>
      <c r="B121" s="129">
        <v>-10.6</v>
      </c>
      <c r="C121" s="129">
        <v>-15</v>
      </c>
      <c r="D121" s="129">
        <v>-15.5</v>
      </c>
      <c r="E121" s="129">
        <v>-14.2</v>
      </c>
      <c r="F121" s="129">
        <v>-14</v>
      </c>
      <c r="G121" s="129">
        <v>-2.6</v>
      </c>
      <c r="H121" s="129">
        <v>2.2999999999999998</v>
      </c>
      <c r="I121" s="129">
        <v>4.4000000000000004</v>
      </c>
      <c r="J121" s="129">
        <v>17.7</v>
      </c>
      <c r="K121" s="129">
        <v>28</v>
      </c>
      <c r="L121" s="129">
        <v>36.1</v>
      </c>
      <c r="M121" s="129">
        <v>17.600000000000001</v>
      </c>
      <c r="N121" s="129">
        <v>43</v>
      </c>
      <c r="O121" s="129">
        <v>38</v>
      </c>
      <c r="P121" s="129">
        <v>17.8</v>
      </c>
      <c r="Q121" s="129">
        <v>14.3</v>
      </c>
      <c r="R121" s="129">
        <v>16</v>
      </c>
      <c r="S121" s="129">
        <v>16</v>
      </c>
      <c r="T121" s="129">
        <v>20</v>
      </c>
      <c r="U121" s="129">
        <v>20</v>
      </c>
      <c r="V121" s="129">
        <v>7</v>
      </c>
      <c r="W121" s="129">
        <v>9.5</v>
      </c>
      <c r="X121" s="129">
        <v>18</v>
      </c>
      <c r="Y121" s="129">
        <v>16</v>
      </c>
      <c r="Z121" s="129">
        <v>40</v>
      </c>
      <c r="AA121" s="129">
        <v>26</v>
      </c>
      <c r="AB121" s="129">
        <f>12.1+9.4</f>
        <v>21.5</v>
      </c>
      <c r="AC121" s="129">
        <f>10+8.7</f>
        <v>18.7</v>
      </c>
      <c r="AD121" s="129">
        <f>7.1+7</f>
        <v>14.1</v>
      </c>
      <c r="AE121" s="129">
        <v>6.9</v>
      </c>
      <c r="AF121" s="129">
        <f>-0.7-0.7</f>
        <v>-1.4</v>
      </c>
      <c r="AG121" s="127">
        <v>240</v>
      </c>
      <c r="AH121" s="48">
        <f t="shared" si="65"/>
        <v>43</v>
      </c>
      <c r="AI121" s="49">
        <f t="shared" si="66"/>
        <v>-15.5</v>
      </c>
    </row>
    <row r="122" spans="1:35" ht="15.75" thickBot="1" x14ac:dyDescent="0.3">
      <c r="A122" s="128" t="s">
        <v>145</v>
      </c>
      <c r="B122" s="129">
        <v>-10.1</v>
      </c>
      <c r="C122" s="129">
        <v>-10.7</v>
      </c>
      <c r="D122" s="129">
        <v>-9.3000000000000007</v>
      </c>
      <c r="E122" s="129">
        <v>-8.3000000000000007</v>
      </c>
      <c r="F122" s="129">
        <v>-12.5</v>
      </c>
      <c r="G122" s="129">
        <v>-11</v>
      </c>
      <c r="H122" s="129">
        <v>-6.2</v>
      </c>
      <c r="I122" s="129">
        <v>-6.5</v>
      </c>
      <c r="J122" s="129">
        <v>0</v>
      </c>
      <c r="K122" s="129">
        <v>16.600000000000001</v>
      </c>
      <c r="L122" s="129">
        <v>17.3</v>
      </c>
      <c r="M122" s="129">
        <v>16.600000000000001</v>
      </c>
      <c r="N122" s="129">
        <v>18.399999999999999</v>
      </c>
      <c r="O122" s="129">
        <v>7.4</v>
      </c>
      <c r="P122" s="129">
        <v>1</v>
      </c>
      <c r="Q122" s="129">
        <v>-0.6</v>
      </c>
      <c r="R122" s="129">
        <v>-0.5</v>
      </c>
      <c r="S122" s="129">
        <v>-0.5</v>
      </c>
      <c r="T122" s="129">
        <v>5</v>
      </c>
      <c r="U122" s="129">
        <v>-1.5</v>
      </c>
      <c r="V122" s="129">
        <v>25.9</v>
      </c>
      <c r="W122" s="129">
        <v>23</v>
      </c>
      <c r="X122" s="129">
        <v>29.1</v>
      </c>
      <c r="Y122" s="129">
        <v>31.6</v>
      </c>
      <c r="Z122" s="129">
        <v>47</v>
      </c>
      <c r="AA122" s="129">
        <v>40</v>
      </c>
      <c r="AB122" s="129">
        <v>39.5</v>
      </c>
      <c r="AC122" s="129">
        <v>20.7</v>
      </c>
      <c r="AD122" s="129">
        <v>9</v>
      </c>
      <c r="AE122" s="129">
        <v>-1.9</v>
      </c>
      <c r="AF122" s="129">
        <v>-7</v>
      </c>
      <c r="AG122" s="127">
        <v>60</v>
      </c>
      <c r="AH122" s="48">
        <f t="shared" si="65"/>
        <v>47</v>
      </c>
      <c r="AI122" s="49">
        <f t="shared" si="66"/>
        <v>-12.5</v>
      </c>
    </row>
    <row r="123" spans="1:35" x14ac:dyDescent="0.25">
      <c r="A123" s="125" t="s">
        <v>146</v>
      </c>
      <c r="B123" s="130">
        <f>64*1.6</f>
        <v>102.4</v>
      </c>
      <c r="C123" s="130">
        <f>54.3*1.6</f>
        <v>86.88</v>
      </c>
      <c r="D123" s="130">
        <f>49.1*1.6</f>
        <v>78.56</v>
      </c>
      <c r="E123" s="130">
        <f>52.8*1.63</f>
        <v>86.063999999999993</v>
      </c>
      <c r="F123" s="130">
        <f>61.5*1.63</f>
        <v>100.24499999999999</v>
      </c>
      <c r="G123" s="130">
        <f>74.2*1.63</f>
        <v>120.946</v>
      </c>
      <c r="H123" s="130">
        <f>78*1.63</f>
        <v>127.13999999999999</v>
      </c>
      <c r="I123" s="130">
        <f>77*1.63</f>
        <v>125.50999999999999</v>
      </c>
      <c r="J123" s="130">
        <f>81.4*1.63</f>
        <v>132.68199999999999</v>
      </c>
      <c r="K123" s="130">
        <f>78.1*1.63</f>
        <v>127.30299999999998</v>
      </c>
      <c r="L123" s="130">
        <f>87.6*1.63</f>
        <v>142.78799999999998</v>
      </c>
      <c r="M123" s="130">
        <f>1.64*67.1</f>
        <v>110.04399999999998</v>
      </c>
      <c r="N123" s="130">
        <f>71*1.6</f>
        <v>113.60000000000001</v>
      </c>
      <c r="O123" s="130">
        <f>77*1.6</f>
        <v>123.2</v>
      </c>
      <c r="P123" s="130">
        <f>1.65*81.1</f>
        <v>133.81499999999997</v>
      </c>
      <c r="Q123" s="130">
        <f>1.621*82.1</f>
        <v>133.08409999999998</v>
      </c>
      <c r="R123" s="130">
        <f>80*1.6</f>
        <v>128</v>
      </c>
      <c r="S123" s="130">
        <f>80*1.6</f>
        <v>128</v>
      </c>
      <c r="T123" s="130">
        <v>125</v>
      </c>
      <c r="U123" s="130">
        <v>120</v>
      </c>
      <c r="V123" s="130">
        <f>67*1.6</f>
        <v>107.2</v>
      </c>
      <c r="W123" s="130">
        <f>70*1.64</f>
        <v>114.8</v>
      </c>
      <c r="X123" s="130">
        <f>72*1.64</f>
        <v>118.08</v>
      </c>
      <c r="Y123" s="130">
        <f>87*1.6</f>
        <v>139.20000000000002</v>
      </c>
      <c r="Z123" s="130">
        <f>71*1.64</f>
        <v>116.44</v>
      </c>
      <c r="AA123" s="130">
        <f>86*1.64</f>
        <v>141.04</v>
      </c>
      <c r="AB123" s="130">
        <f>86.2*1.6</f>
        <v>137.92000000000002</v>
      </c>
      <c r="AC123" s="130">
        <f>87*1.64</f>
        <v>142.67999999999998</v>
      </c>
      <c r="AD123" s="130">
        <f>82*1.64</f>
        <v>134.47999999999999</v>
      </c>
      <c r="AE123" s="130">
        <f>82.1*1.6</f>
        <v>131.35999999999999</v>
      </c>
      <c r="AF123" s="130">
        <f>76.8+1.6</f>
        <v>78.399999999999991</v>
      </c>
      <c r="AG123" s="131">
        <v>120</v>
      </c>
      <c r="AH123" s="48">
        <f t="shared" si="65"/>
        <v>142.78799999999998</v>
      </c>
      <c r="AI123" s="49">
        <f t="shared" si="66"/>
        <v>78.399999999999991</v>
      </c>
    </row>
    <row r="124" spans="1:35" x14ac:dyDescent="0.25">
      <c r="A124" s="128" t="s">
        <v>147</v>
      </c>
      <c r="B124" s="130">
        <v>74.8</v>
      </c>
      <c r="C124" s="130">
        <v>65.3</v>
      </c>
      <c r="D124" s="130">
        <v>61.3</v>
      </c>
      <c r="E124" s="130">
        <v>65.3</v>
      </c>
      <c r="F124" s="130">
        <v>71.7</v>
      </c>
      <c r="G124" s="130">
        <v>82</v>
      </c>
      <c r="H124" s="130">
        <v>84.4</v>
      </c>
      <c r="I124" s="130">
        <v>84.5</v>
      </c>
      <c r="J124" s="130">
        <v>86</v>
      </c>
      <c r="K124" s="130">
        <v>83.7</v>
      </c>
      <c r="L124" s="130">
        <v>92.1</v>
      </c>
      <c r="M124" s="130">
        <v>74.3</v>
      </c>
      <c r="N124" s="130">
        <v>77</v>
      </c>
      <c r="O124" s="130">
        <v>83</v>
      </c>
      <c r="P124" s="130">
        <v>85</v>
      </c>
      <c r="Q124" s="130">
        <v>86.2</v>
      </c>
      <c r="R124" s="130">
        <v>84</v>
      </c>
      <c r="S124" s="130">
        <v>84</v>
      </c>
      <c r="T124" s="130">
        <v>87</v>
      </c>
      <c r="U124" s="130">
        <v>90</v>
      </c>
      <c r="V124" s="130">
        <v>75</v>
      </c>
      <c r="W124" s="130">
        <v>77.5</v>
      </c>
      <c r="X124" s="130">
        <v>78</v>
      </c>
      <c r="Y124" s="130">
        <v>90</v>
      </c>
      <c r="Z124" s="130">
        <v>75</v>
      </c>
      <c r="AA124" s="130">
        <v>88</v>
      </c>
      <c r="AB124" s="130">
        <v>88.9</v>
      </c>
      <c r="AC124" s="130">
        <v>87.5</v>
      </c>
      <c r="AD124" s="130">
        <v>86.7</v>
      </c>
      <c r="AE124" s="130">
        <v>87.9</v>
      </c>
      <c r="AF124" s="130">
        <v>84.9</v>
      </c>
      <c r="AG124" s="131"/>
      <c r="AH124" s="48"/>
      <c r="AI124" s="49"/>
    </row>
    <row r="125" spans="1:35" x14ac:dyDescent="0.25">
      <c r="A125" s="128" t="s">
        <v>148</v>
      </c>
      <c r="B125" s="130">
        <v>59.5</v>
      </c>
      <c r="C125" s="130">
        <v>50.1</v>
      </c>
      <c r="D125" s="130">
        <v>48.7</v>
      </c>
      <c r="E125" s="130">
        <v>53.8</v>
      </c>
      <c r="F125" s="130">
        <v>61.2</v>
      </c>
      <c r="G125" s="130">
        <v>67.7</v>
      </c>
      <c r="H125" s="130">
        <v>59.3</v>
      </c>
      <c r="I125" s="130">
        <v>37.200000000000003</v>
      </c>
      <c r="J125" s="130">
        <v>15.5</v>
      </c>
      <c r="K125" s="130">
        <v>-8</v>
      </c>
      <c r="L125" s="130">
        <v>-7.1</v>
      </c>
      <c r="M125" s="130">
        <v>-30</v>
      </c>
      <c r="N125" s="130">
        <v>-10</v>
      </c>
      <c r="O125" s="130">
        <v>1.6</v>
      </c>
      <c r="P125" s="130">
        <v>20.6</v>
      </c>
      <c r="Q125" s="130">
        <v>20.5</v>
      </c>
      <c r="R125" s="130">
        <v>22.2</v>
      </c>
      <c r="S125" s="130">
        <v>22.2</v>
      </c>
      <c r="T125" s="130">
        <v>30</v>
      </c>
      <c r="U125" s="130">
        <v>27</v>
      </c>
      <c r="V125" s="130">
        <v>6.5</v>
      </c>
      <c r="W125" s="130">
        <v>6.7</v>
      </c>
      <c r="X125" s="130">
        <v>-8.5</v>
      </c>
      <c r="Y125" s="130">
        <v>-2.1</v>
      </c>
      <c r="Z125" s="130">
        <v>-45</v>
      </c>
      <c r="AA125" s="130">
        <v>-13</v>
      </c>
      <c r="AB125" s="130">
        <v>6.6</v>
      </c>
      <c r="AC125" s="130">
        <v>9.6</v>
      </c>
      <c r="AD125" s="130">
        <v>22</v>
      </c>
      <c r="AE125" s="130">
        <v>51.9</v>
      </c>
      <c r="AF125" s="130">
        <v>65.599999999999994</v>
      </c>
      <c r="AG125" s="131"/>
      <c r="AH125" s="48"/>
      <c r="AI125" s="49"/>
    </row>
    <row r="126" spans="1:35" ht="15.75" thickBot="1" x14ac:dyDescent="0.3">
      <c r="A126" s="128" t="s">
        <v>149</v>
      </c>
      <c r="B126" s="130">
        <v>79</v>
      </c>
      <c r="C126" s="130">
        <v>69.099999999999994</v>
      </c>
      <c r="D126" s="130">
        <v>68.2</v>
      </c>
      <c r="E126" s="130">
        <v>71.8</v>
      </c>
      <c r="F126" s="130">
        <v>82</v>
      </c>
      <c r="G126" s="130">
        <v>95.1</v>
      </c>
      <c r="H126" s="130">
        <v>93.8</v>
      </c>
      <c r="I126" s="130">
        <v>92.8</v>
      </c>
      <c r="J126" s="130">
        <v>94.3</v>
      </c>
      <c r="K126" s="130">
        <v>72.7</v>
      </c>
      <c r="L126" s="130">
        <v>70.8</v>
      </c>
      <c r="M126" s="130">
        <v>48.1</v>
      </c>
      <c r="N126" s="130">
        <v>72</v>
      </c>
      <c r="O126" s="130">
        <v>84</v>
      </c>
      <c r="P126" s="130">
        <v>89.5</v>
      </c>
      <c r="Q126" s="130">
        <v>88.4</v>
      </c>
      <c r="R126" s="130">
        <v>92</v>
      </c>
      <c r="S126" s="130">
        <v>92</v>
      </c>
      <c r="T126" s="130">
        <v>99</v>
      </c>
      <c r="U126" s="130">
        <v>95</v>
      </c>
      <c r="V126" s="130">
        <v>92</v>
      </c>
      <c r="W126" s="130">
        <v>94.8</v>
      </c>
      <c r="X126" s="130">
        <v>91</v>
      </c>
      <c r="Y126" s="130">
        <v>103</v>
      </c>
      <c r="Z126" s="130">
        <v>73</v>
      </c>
      <c r="AA126" s="130">
        <v>83</v>
      </c>
      <c r="AB126" s="130">
        <v>96.1</v>
      </c>
      <c r="AC126" s="130">
        <v>103.4</v>
      </c>
      <c r="AD126" s="130">
        <v>92.7</v>
      </c>
      <c r="AE126" s="130">
        <v>93.8</v>
      </c>
      <c r="AF126" s="130">
        <v>94.7</v>
      </c>
      <c r="AG126" s="127"/>
      <c r="AH126" s="48">
        <f>MAX(B126:AF126)</f>
        <v>103.4</v>
      </c>
      <c r="AI126" s="49">
        <f>MIN(B126:AF126)</f>
        <v>48.1</v>
      </c>
    </row>
    <row r="127" spans="1:35" x14ac:dyDescent="0.25">
      <c r="A127" s="125" t="s">
        <v>150</v>
      </c>
      <c r="B127" s="130">
        <v>12.7</v>
      </c>
      <c r="C127" s="130">
        <v>6.3</v>
      </c>
      <c r="D127" s="130">
        <v>5.0999999999999996</v>
      </c>
      <c r="E127" s="130">
        <v>13</v>
      </c>
      <c r="F127" s="130">
        <v>25.1</v>
      </c>
      <c r="G127" s="130">
        <v>26.5</v>
      </c>
      <c r="H127" s="130">
        <v>25.3</v>
      </c>
      <c r="I127" s="130">
        <v>23.7</v>
      </c>
      <c r="J127" s="130">
        <v>3.1</v>
      </c>
      <c r="K127" s="130">
        <v>-2.9</v>
      </c>
      <c r="L127" s="130">
        <v>2.8</v>
      </c>
      <c r="M127" s="130">
        <v>-8.1999999999999993</v>
      </c>
      <c r="N127" s="130">
        <v>-6</v>
      </c>
      <c r="O127" s="130">
        <v>1.2</v>
      </c>
      <c r="P127" s="130">
        <v>1</v>
      </c>
      <c r="Q127" s="130">
        <v>1.3</v>
      </c>
      <c r="R127" s="130">
        <v>2.6</v>
      </c>
      <c r="S127" s="130">
        <v>2.6</v>
      </c>
      <c r="T127" s="130">
        <v>1</v>
      </c>
      <c r="U127" s="130">
        <v>1</v>
      </c>
      <c r="V127" s="130">
        <v>-4</v>
      </c>
      <c r="W127" s="130">
        <v>-6.8</v>
      </c>
      <c r="X127" s="130">
        <v>-6</v>
      </c>
      <c r="Y127" s="130">
        <v>-8.3000000000000007</v>
      </c>
      <c r="Z127" s="130">
        <v>-15</v>
      </c>
      <c r="AA127" s="130">
        <v>1</v>
      </c>
      <c r="AB127" s="130">
        <v>14.6</v>
      </c>
      <c r="AC127" s="130">
        <v>17.399999999999999</v>
      </c>
      <c r="AD127" s="130">
        <v>18.600000000000001</v>
      </c>
      <c r="AE127" s="130">
        <v>26</v>
      </c>
      <c r="AF127" s="130">
        <v>25.9</v>
      </c>
      <c r="AG127" s="127"/>
      <c r="AH127" s="48">
        <f>MAX(B127:AF127)</f>
        <v>26.5</v>
      </c>
      <c r="AI127" s="49">
        <f>MIN(B127:AF127)</f>
        <v>-15</v>
      </c>
    </row>
    <row r="128" spans="1:35" x14ac:dyDescent="0.25">
      <c r="A128" s="128" t="s">
        <v>151</v>
      </c>
      <c r="B128" s="118">
        <v>-20.5</v>
      </c>
      <c r="C128" s="118">
        <v>-17.8</v>
      </c>
      <c r="D128" s="118">
        <v>-16.8</v>
      </c>
      <c r="E128" s="118">
        <v>-15.4</v>
      </c>
      <c r="F128" s="118">
        <v>-16</v>
      </c>
      <c r="G128" s="118">
        <v>-22.1</v>
      </c>
      <c r="H128" s="118">
        <v>-29.2</v>
      </c>
      <c r="I128" s="118">
        <v>-38.1</v>
      </c>
      <c r="J128" s="118">
        <v>-46.3</v>
      </c>
      <c r="K128" s="118">
        <v>-53.1</v>
      </c>
      <c r="L128" s="118">
        <v>-54.8</v>
      </c>
      <c r="M128" s="118">
        <v>-56.4</v>
      </c>
      <c r="N128" s="118">
        <v>-48</v>
      </c>
      <c r="O128" s="118">
        <v>-44</v>
      </c>
      <c r="P128" s="118">
        <v>-40.9</v>
      </c>
      <c r="Q128" s="118">
        <v>-30.6</v>
      </c>
      <c r="R128" s="118">
        <v>-40</v>
      </c>
      <c r="S128" s="118">
        <v>-40</v>
      </c>
      <c r="T128" s="118">
        <v>-53</v>
      </c>
      <c r="U128" s="118">
        <v>-49</v>
      </c>
      <c r="V128" s="118">
        <v>-51</v>
      </c>
      <c r="W128" s="118">
        <v>-52</v>
      </c>
      <c r="X128" s="118">
        <v>-65</v>
      </c>
      <c r="Y128" s="118">
        <v>-64</v>
      </c>
      <c r="Z128" s="118">
        <v>-12</v>
      </c>
      <c r="AA128" s="118">
        <v>-67</v>
      </c>
      <c r="AB128" s="118">
        <v>-53.2</v>
      </c>
      <c r="AC128" s="118">
        <v>-50.5</v>
      </c>
      <c r="AD128" s="118">
        <v>-37</v>
      </c>
      <c r="AE128" s="118">
        <v>-25</v>
      </c>
      <c r="AF128" s="118">
        <v>-20.7</v>
      </c>
      <c r="AG128" s="127"/>
      <c r="AH128" s="48">
        <f>MAX(B128:AF128)</f>
        <v>-12</v>
      </c>
      <c r="AI128" s="49">
        <f>MIN(B128:AF128)</f>
        <v>-67</v>
      </c>
    </row>
    <row r="129" spans="1:37" x14ac:dyDescent="0.25">
      <c r="A129" s="128" t="s">
        <v>152</v>
      </c>
      <c r="B129" s="118">
        <v>-19.100000000000001</v>
      </c>
      <c r="C129" s="118">
        <v>-12.7</v>
      </c>
      <c r="D129" s="118">
        <v>-10.6</v>
      </c>
      <c r="E129" s="118">
        <v>-15.7</v>
      </c>
      <c r="F129" s="118">
        <v>-21.2</v>
      </c>
      <c r="G129" s="118">
        <v>-32.700000000000003</v>
      </c>
      <c r="H129" s="118">
        <v>-25.5</v>
      </c>
      <c r="I129" s="118">
        <v>-26.3</v>
      </c>
      <c r="J129" s="118">
        <v>-24.5</v>
      </c>
      <c r="K129" s="118">
        <v>-18.899999999999999</v>
      </c>
      <c r="L129" s="118">
        <v>-30.8</v>
      </c>
      <c r="M129" s="118">
        <v>-5.0999999999999996</v>
      </c>
      <c r="N129" s="118">
        <v>-33</v>
      </c>
      <c r="O129" s="118">
        <v>-39</v>
      </c>
      <c r="P129" s="118">
        <v>-24.3</v>
      </c>
      <c r="Q129" s="118">
        <v>-22.8</v>
      </c>
      <c r="R129" s="118">
        <v>-24.1</v>
      </c>
      <c r="S129" s="118">
        <v>-24.1</v>
      </c>
      <c r="T129" s="118">
        <v>-26</v>
      </c>
      <c r="U129" s="118">
        <v>-29</v>
      </c>
      <c r="V129" s="118">
        <v>5</v>
      </c>
      <c r="W129" s="118">
        <v>2.4</v>
      </c>
      <c r="X129" s="118">
        <v>5.7</v>
      </c>
      <c r="Y129" s="118">
        <v>5.2</v>
      </c>
      <c r="Z129" s="118">
        <v>11.4</v>
      </c>
      <c r="AA129" s="118">
        <v>6.3</v>
      </c>
      <c r="AB129" s="118">
        <v>-6.9</v>
      </c>
      <c r="AC129" s="118">
        <v>-12.8</v>
      </c>
      <c r="AD129" s="118">
        <v>-23.2</v>
      </c>
      <c r="AE129" s="118">
        <v>-33</v>
      </c>
      <c r="AF129" s="118">
        <v>-29.6</v>
      </c>
      <c r="AG129" s="127"/>
      <c r="AH129" s="48">
        <f>MAX(B129:AF129)</f>
        <v>11.4</v>
      </c>
      <c r="AI129" s="49">
        <f>MIN(B129:AF129)</f>
        <v>-39</v>
      </c>
    </row>
    <row r="130" spans="1:37" ht="15.75" thickBot="1" x14ac:dyDescent="0.3">
      <c r="A130" s="128" t="s">
        <v>153</v>
      </c>
      <c r="B130" s="118">
        <v>108.8</v>
      </c>
      <c r="C130" s="118">
        <v>107.8</v>
      </c>
      <c r="D130" s="118">
        <v>96.8</v>
      </c>
      <c r="E130" s="118">
        <v>102.3</v>
      </c>
      <c r="F130" s="118">
        <v>104.7</v>
      </c>
      <c r="G130" s="118">
        <v>100</v>
      </c>
      <c r="H130" s="118">
        <v>102.9</v>
      </c>
      <c r="I130" s="118">
        <v>108.5</v>
      </c>
      <c r="J130" s="118">
        <v>113</v>
      </c>
      <c r="K130" s="118">
        <v>111.2</v>
      </c>
      <c r="L130" s="118">
        <v>114.6</v>
      </c>
      <c r="M130" s="118">
        <v>114.85</v>
      </c>
      <c r="N130" s="118">
        <v>102.1</v>
      </c>
      <c r="O130" s="118">
        <v>103</v>
      </c>
      <c r="P130" s="118">
        <v>126.3</v>
      </c>
      <c r="Q130" s="118">
        <v>117.1</v>
      </c>
      <c r="R130" s="118">
        <v>117</v>
      </c>
      <c r="S130" s="118">
        <v>117</v>
      </c>
      <c r="T130" s="118">
        <v>128</v>
      </c>
      <c r="U130" s="118">
        <v>130</v>
      </c>
      <c r="V130" s="118">
        <v>115</v>
      </c>
      <c r="W130" s="118">
        <v>112</v>
      </c>
      <c r="X130" s="118">
        <v>116</v>
      </c>
      <c r="Y130" s="118">
        <v>125</v>
      </c>
      <c r="Z130" s="118">
        <v>53</v>
      </c>
      <c r="AA130" s="118">
        <v>122</v>
      </c>
      <c r="AB130" s="118">
        <v>103.8</v>
      </c>
      <c r="AC130" s="118">
        <v>97.2</v>
      </c>
      <c r="AD130" s="118">
        <v>88.4</v>
      </c>
      <c r="AE130" s="118">
        <v>108.1</v>
      </c>
      <c r="AF130" s="118">
        <v>109.8</v>
      </c>
      <c r="AG130" s="127"/>
      <c r="AH130" s="48">
        <f>MAX(B130:AF130)</f>
        <v>130</v>
      </c>
      <c r="AI130" s="49">
        <f>MIN(B130:AF130)</f>
        <v>53</v>
      </c>
    </row>
    <row r="131" spans="1:37" x14ac:dyDescent="0.25">
      <c r="A131" s="132" t="s">
        <v>154</v>
      </c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4"/>
      <c r="AG131" s="44"/>
      <c r="AH131" s="48"/>
      <c r="AI131" s="49"/>
    </row>
    <row r="132" spans="1:37" x14ac:dyDescent="0.25">
      <c r="A132" s="135" t="s">
        <v>155</v>
      </c>
      <c r="B132" s="136">
        <v>1983.98</v>
      </c>
      <c r="C132" s="136">
        <v>1984.12</v>
      </c>
      <c r="D132" s="136">
        <v>1984.3</v>
      </c>
      <c r="E132" s="136">
        <v>1984.55</v>
      </c>
      <c r="F132" s="136">
        <v>1984.75</v>
      </c>
      <c r="G132" s="136">
        <v>1984.9</v>
      </c>
      <c r="H132" s="136"/>
      <c r="I132" s="136">
        <v>1985</v>
      </c>
      <c r="J132" s="136" t="s">
        <v>163</v>
      </c>
      <c r="K132" s="136"/>
      <c r="L132" s="136"/>
      <c r="M132" s="136">
        <v>1984.21</v>
      </c>
      <c r="N132" s="136">
        <v>1983.92</v>
      </c>
      <c r="O132" s="136">
        <v>1984</v>
      </c>
      <c r="P132" s="136">
        <v>1984.15</v>
      </c>
      <c r="Q132" s="136">
        <v>1984.25</v>
      </c>
      <c r="R132" s="136">
        <v>1984.3</v>
      </c>
      <c r="S132" s="136">
        <v>1984.42</v>
      </c>
      <c r="T132" s="136">
        <v>1984.5</v>
      </c>
      <c r="U132" s="136">
        <v>1984.58</v>
      </c>
      <c r="V132" s="136">
        <v>1984.84</v>
      </c>
      <c r="W132" s="136"/>
      <c r="X132" s="136">
        <v>1984.85</v>
      </c>
      <c r="Y132" s="136"/>
      <c r="Z132" s="136">
        <v>1984.68</v>
      </c>
      <c r="AA132" s="136"/>
      <c r="AB132" s="136">
        <v>1983.95</v>
      </c>
      <c r="AC132" s="136"/>
      <c r="AD132" s="136">
        <v>1983.38</v>
      </c>
      <c r="AE132" s="136">
        <v>1983.12</v>
      </c>
      <c r="AF132" s="137">
        <v>1982.98</v>
      </c>
      <c r="AG132" s="138"/>
      <c r="AH132" s="48"/>
      <c r="AI132" s="49"/>
    </row>
    <row r="133" spans="1:37" x14ac:dyDescent="0.25">
      <c r="A133" s="135" t="s">
        <v>156</v>
      </c>
      <c r="B133" s="139">
        <v>519.66</v>
      </c>
      <c r="C133" s="139">
        <v>520.03</v>
      </c>
      <c r="D133" s="139">
        <v>520.4</v>
      </c>
      <c r="E133" s="139">
        <v>520.74</v>
      </c>
      <c r="F133" s="139">
        <v>521.05999999999995</v>
      </c>
      <c r="G133" s="139">
        <v>521.38</v>
      </c>
      <c r="H133" s="139"/>
      <c r="I133" s="139">
        <v>521.55999999999995</v>
      </c>
      <c r="J133" s="139"/>
      <c r="K133" s="139"/>
      <c r="L133" s="139"/>
      <c r="M133" s="139">
        <v>521.34</v>
      </c>
      <c r="N133" s="139">
        <v>521.17999999999995</v>
      </c>
      <c r="O133" s="139">
        <v>521.04999999999995</v>
      </c>
      <c r="P133" s="139">
        <v>521.12</v>
      </c>
      <c r="Q133" s="139">
        <v>521.22</v>
      </c>
      <c r="R133" s="139">
        <v>521.30999999999995</v>
      </c>
      <c r="S133" s="139">
        <v>521.36</v>
      </c>
      <c r="T133" s="139">
        <v>521.37</v>
      </c>
      <c r="U133" s="139">
        <v>521.39</v>
      </c>
      <c r="V133" s="139">
        <v>521.20000000000005</v>
      </c>
      <c r="W133" s="139"/>
      <c r="X133" s="139">
        <v>520.91</v>
      </c>
      <c r="Y133" s="139"/>
      <c r="Z133" s="139">
        <v>520.41999999999996</v>
      </c>
      <c r="AA133" s="139"/>
      <c r="AB133" s="139">
        <v>519.72</v>
      </c>
      <c r="AC133" s="139"/>
      <c r="AD133" s="139">
        <v>519.51</v>
      </c>
      <c r="AE133" s="139">
        <v>519.44000000000005</v>
      </c>
      <c r="AF133" s="140">
        <v>519.44000000000005</v>
      </c>
      <c r="AG133" s="138"/>
      <c r="AH133" s="48"/>
      <c r="AI133" s="49"/>
    </row>
    <row r="134" spans="1:37" x14ac:dyDescent="0.25">
      <c r="A134" s="135" t="s">
        <v>158</v>
      </c>
      <c r="B134" s="139">
        <v>622.15</v>
      </c>
      <c r="C134" s="139">
        <v>622.6</v>
      </c>
      <c r="D134" s="139">
        <v>623.11</v>
      </c>
      <c r="E134" s="139">
        <v>623.54</v>
      </c>
      <c r="F134" s="139">
        <v>623.89</v>
      </c>
      <c r="G134" s="139">
        <v>624.21</v>
      </c>
      <c r="H134" s="139"/>
      <c r="I134" s="139">
        <v>624.25</v>
      </c>
      <c r="J134" s="139"/>
      <c r="K134" s="139"/>
      <c r="L134" s="139"/>
      <c r="M134" s="139">
        <v>623.83000000000004</v>
      </c>
      <c r="N134" s="139">
        <v>623.70000000000005</v>
      </c>
      <c r="O134" s="139">
        <v>623.75</v>
      </c>
      <c r="P134" s="139">
        <v>623.76</v>
      </c>
      <c r="Q134" s="139">
        <v>623.79999999999995</v>
      </c>
      <c r="R134" s="139">
        <v>623.76</v>
      </c>
      <c r="S134" s="139">
        <v>623.75</v>
      </c>
      <c r="T134" s="139">
        <v>623.76</v>
      </c>
      <c r="U134" s="139">
        <v>623.70000000000005</v>
      </c>
      <c r="V134" s="139">
        <v>623.66</v>
      </c>
      <c r="W134" s="139"/>
      <c r="X134" s="139">
        <v>623.66</v>
      </c>
      <c r="Y134" s="139"/>
      <c r="Z134" s="139">
        <v>623.16999999999996</v>
      </c>
      <c r="AA134" s="139"/>
      <c r="AB134" s="139">
        <v>622.31299999999999</v>
      </c>
      <c r="AC134" s="139"/>
      <c r="AD134" s="139">
        <v>621.62</v>
      </c>
      <c r="AE134" s="139">
        <v>621.51</v>
      </c>
      <c r="AF134" s="140">
        <v>622.12</v>
      </c>
      <c r="AG134" s="138"/>
      <c r="AH134" s="48"/>
      <c r="AI134" s="49"/>
    </row>
    <row r="135" spans="1:37" x14ac:dyDescent="0.25">
      <c r="A135" s="135" t="s">
        <v>159</v>
      </c>
      <c r="B135" s="139">
        <v>335.76</v>
      </c>
      <c r="C135" s="139">
        <v>335.93</v>
      </c>
      <c r="D135" s="139">
        <v>336.17</v>
      </c>
      <c r="E135" s="139">
        <v>336.44</v>
      </c>
      <c r="F135" s="139">
        <v>336.53</v>
      </c>
      <c r="G135" s="139">
        <v>336.74</v>
      </c>
      <c r="H135" s="139"/>
      <c r="I135" s="139">
        <v>336.92</v>
      </c>
      <c r="J135" s="139"/>
      <c r="K135" s="139"/>
      <c r="L135" s="139"/>
      <c r="M135" s="139">
        <v>336.49</v>
      </c>
      <c r="N135" s="139">
        <v>336.13</v>
      </c>
      <c r="O135" s="139">
        <v>335.95</v>
      </c>
      <c r="P135" s="139">
        <v>335.74</v>
      </c>
      <c r="Q135" s="139">
        <v>335.47</v>
      </c>
      <c r="R135" s="139">
        <v>335.25</v>
      </c>
      <c r="S135" s="139">
        <v>335.37</v>
      </c>
      <c r="T135" s="139">
        <v>335.39</v>
      </c>
      <c r="U135" s="139">
        <v>335.34</v>
      </c>
      <c r="V135" s="139">
        <v>335.3</v>
      </c>
      <c r="W135" s="139"/>
      <c r="X135" s="139">
        <v>335.15</v>
      </c>
      <c r="Y135" s="139"/>
      <c r="Z135" s="139">
        <v>334.65</v>
      </c>
      <c r="AA135" s="139"/>
      <c r="AB135" s="139">
        <v>334.54</v>
      </c>
      <c r="AC135" s="139"/>
      <c r="AD135" s="139">
        <v>334.47</v>
      </c>
      <c r="AE135" s="139">
        <v>334.39</v>
      </c>
      <c r="AF135" s="140">
        <v>334.36</v>
      </c>
      <c r="AG135" s="138"/>
      <c r="AH135" s="48"/>
      <c r="AI135" s="49"/>
    </row>
    <row r="136" spans="1:37" x14ac:dyDescent="0.25">
      <c r="A136" s="135" t="s">
        <v>160</v>
      </c>
      <c r="B136" s="139">
        <v>881.6</v>
      </c>
      <c r="C136" s="139">
        <v>881.5</v>
      </c>
      <c r="D136" s="139">
        <v>881.4</v>
      </c>
      <c r="E136" s="139">
        <v>882.4</v>
      </c>
      <c r="F136" s="139">
        <v>883.2</v>
      </c>
      <c r="G136" s="139">
        <v>883.8</v>
      </c>
      <c r="H136" s="139"/>
      <c r="I136" s="139">
        <v>884.6</v>
      </c>
      <c r="J136" s="139"/>
      <c r="K136" s="139"/>
      <c r="L136" s="139"/>
      <c r="M136" s="139">
        <v>885.4</v>
      </c>
      <c r="N136" s="139">
        <v>885.1</v>
      </c>
      <c r="O136" s="139">
        <v>884.9</v>
      </c>
      <c r="P136" s="139">
        <v>884.8</v>
      </c>
      <c r="Q136" s="139">
        <v>884.7</v>
      </c>
      <c r="R136" s="139">
        <v>884.6</v>
      </c>
      <c r="S136" s="139">
        <v>884.3</v>
      </c>
      <c r="T136" s="139">
        <v>885.2</v>
      </c>
      <c r="U136" s="139">
        <v>885.7</v>
      </c>
      <c r="V136" s="139">
        <v>885.6</v>
      </c>
      <c r="W136" s="139"/>
      <c r="X136" s="139">
        <v>885.5</v>
      </c>
      <c r="Y136" s="139"/>
      <c r="Z136" s="139">
        <v>885.2</v>
      </c>
      <c r="AA136" s="139"/>
      <c r="AB136" s="139">
        <v>883.6</v>
      </c>
      <c r="AC136" s="139"/>
      <c r="AD136" s="139">
        <v>883.3</v>
      </c>
      <c r="AE136" s="139">
        <v>883.2</v>
      </c>
      <c r="AF136" s="140">
        <v>883.2</v>
      </c>
      <c r="AG136" s="138"/>
      <c r="AH136" s="48"/>
      <c r="AI136" s="49"/>
    </row>
    <row r="137" spans="1:37" ht="15.75" thickBot="1" x14ac:dyDescent="0.3">
      <c r="A137" s="135" t="s">
        <v>161</v>
      </c>
      <c r="B137" s="141">
        <v>1519.66</v>
      </c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>
        <v>1519.67</v>
      </c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  <c r="AF137" s="142"/>
      <c r="AG137" s="138"/>
      <c r="AH137" s="48"/>
      <c r="AI137" s="49"/>
    </row>
    <row r="138" spans="1:37" ht="15.75" thickBot="1" x14ac:dyDescent="0.3">
      <c r="A138" s="143" t="s">
        <v>162</v>
      </c>
      <c r="B138" s="144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152">SUM(B139:B243)</f>
        <v>0</v>
      </c>
      <c r="C244" s="160">
        <f t="shared" si="152"/>
        <v>0</v>
      </c>
      <c r="D244" s="160">
        <f t="shared" si="152"/>
        <v>0</v>
      </c>
      <c r="E244" s="160">
        <f t="shared" si="152"/>
        <v>0</v>
      </c>
      <c r="F244" s="160">
        <f t="shared" si="152"/>
        <v>0</v>
      </c>
      <c r="G244" s="160">
        <f t="shared" si="152"/>
        <v>0</v>
      </c>
      <c r="H244" s="160">
        <f t="shared" si="152"/>
        <v>0</v>
      </c>
      <c r="I244" s="160">
        <f t="shared" si="152"/>
        <v>0</v>
      </c>
      <c r="J244" s="160">
        <f t="shared" si="152"/>
        <v>0</v>
      </c>
      <c r="K244" s="160">
        <f t="shared" si="152"/>
        <v>0</v>
      </c>
      <c r="L244" s="160">
        <f t="shared" si="152"/>
        <v>0</v>
      </c>
      <c r="M244" s="160">
        <f t="shared" si="152"/>
        <v>0</v>
      </c>
      <c r="N244" s="160">
        <f t="shared" si="152"/>
        <v>0</v>
      </c>
      <c r="O244" s="160">
        <f t="shared" si="152"/>
        <v>0</v>
      </c>
      <c r="P244" s="160">
        <f t="shared" si="152"/>
        <v>0</v>
      </c>
      <c r="Q244" s="160">
        <f t="shared" si="152"/>
        <v>0</v>
      </c>
      <c r="R244" s="160">
        <f t="shared" si="152"/>
        <v>0</v>
      </c>
      <c r="S244" s="160">
        <f t="shared" si="152"/>
        <v>0</v>
      </c>
      <c r="T244" s="160">
        <f t="shared" si="152"/>
        <v>0</v>
      </c>
      <c r="U244" s="160">
        <f t="shared" si="152"/>
        <v>0</v>
      </c>
      <c r="V244" s="160">
        <f t="shared" si="152"/>
        <v>0</v>
      </c>
      <c r="W244" s="160">
        <f t="shared" si="152"/>
        <v>0</v>
      </c>
      <c r="X244" s="160">
        <f t="shared" si="152"/>
        <v>0</v>
      </c>
      <c r="Y244" s="160">
        <f t="shared" si="152"/>
        <v>0</v>
      </c>
      <c r="Z244" s="160">
        <f t="shared" si="152"/>
        <v>0</v>
      </c>
      <c r="AA244" s="160">
        <f t="shared" si="152"/>
        <v>0</v>
      </c>
      <c r="AB244" s="160">
        <f t="shared" si="152"/>
        <v>0</v>
      </c>
      <c r="AC244" s="160">
        <f t="shared" si="152"/>
        <v>0</v>
      </c>
      <c r="AD244" s="160">
        <f t="shared" si="152"/>
        <v>0</v>
      </c>
      <c r="AE244" s="160">
        <f t="shared" si="152"/>
        <v>0</v>
      </c>
      <c r="AF244" s="161">
        <f t="shared" si="152"/>
        <v>0</v>
      </c>
      <c r="AG244" s="162">
        <f t="shared" si="152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153">AF246</f>
        <v>0.3</v>
      </c>
      <c r="C246" s="165">
        <v>0.3</v>
      </c>
      <c r="D246" s="165">
        <f t="shared" ref="D246:S251" si="154">C246</f>
        <v>0.3</v>
      </c>
      <c r="E246" s="165">
        <f t="shared" si="154"/>
        <v>0.3</v>
      </c>
      <c r="F246" s="165">
        <f t="shared" si="154"/>
        <v>0.3</v>
      </c>
      <c r="G246" s="165">
        <f t="shared" si="154"/>
        <v>0.3</v>
      </c>
      <c r="H246" s="165">
        <f t="shared" si="154"/>
        <v>0.3</v>
      </c>
      <c r="I246" s="165">
        <f t="shared" si="154"/>
        <v>0.3</v>
      </c>
      <c r="J246" s="165">
        <f t="shared" si="154"/>
        <v>0.3</v>
      </c>
      <c r="K246" s="165">
        <f t="shared" si="154"/>
        <v>0.3</v>
      </c>
      <c r="L246" s="165">
        <f t="shared" si="154"/>
        <v>0.3</v>
      </c>
      <c r="M246" s="165">
        <f t="shared" si="154"/>
        <v>0.3</v>
      </c>
      <c r="N246" s="165">
        <f t="shared" si="154"/>
        <v>0.3</v>
      </c>
      <c r="O246" s="165">
        <f t="shared" si="154"/>
        <v>0.3</v>
      </c>
      <c r="P246" s="165">
        <f t="shared" si="154"/>
        <v>0.3</v>
      </c>
      <c r="Q246" s="165">
        <f t="shared" si="154"/>
        <v>0.3</v>
      </c>
      <c r="R246" s="165">
        <f t="shared" si="154"/>
        <v>0.3</v>
      </c>
      <c r="S246" s="165">
        <f t="shared" si="154"/>
        <v>0.3</v>
      </c>
      <c r="T246" s="165">
        <f t="shared" ref="T246:AF251" si="155">S246</f>
        <v>0.3</v>
      </c>
      <c r="U246" s="165">
        <f t="shared" si="155"/>
        <v>0.3</v>
      </c>
      <c r="V246" s="165">
        <f t="shared" si="155"/>
        <v>0.3</v>
      </c>
      <c r="W246" s="165">
        <f t="shared" si="155"/>
        <v>0.3</v>
      </c>
      <c r="X246" s="165">
        <f t="shared" si="155"/>
        <v>0.3</v>
      </c>
      <c r="Y246" s="165">
        <f t="shared" si="155"/>
        <v>0.3</v>
      </c>
      <c r="Z246" s="165">
        <f t="shared" si="155"/>
        <v>0.3</v>
      </c>
      <c r="AA246" s="165">
        <f t="shared" si="155"/>
        <v>0.3</v>
      </c>
      <c r="AB246" s="165">
        <f t="shared" si="155"/>
        <v>0.3</v>
      </c>
      <c r="AC246" s="165">
        <f t="shared" si="155"/>
        <v>0.3</v>
      </c>
      <c r="AD246" s="165">
        <f t="shared" si="155"/>
        <v>0.3</v>
      </c>
      <c r="AE246" s="165">
        <f t="shared" si="155"/>
        <v>0.3</v>
      </c>
      <c r="AF246" s="165">
        <f t="shared" si="155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153"/>
        <v>0.4</v>
      </c>
      <c r="C247" s="151">
        <v>0.4</v>
      </c>
      <c r="D247" s="151">
        <f t="shared" si="154"/>
        <v>0.4</v>
      </c>
      <c r="E247" s="151">
        <f t="shared" si="154"/>
        <v>0.4</v>
      </c>
      <c r="F247" s="151">
        <f t="shared" si="154"/>
        <v>0.4</v>
      </c>
      <c r="G247" s="151">
        <f t="shared" si="154"/>
        <v>0.4</v>
      </c>
      <c r="H247" s="151">
        <f t="shared" si="154"/>
        <v>0.4</v>
      </c>
      <c r="I247" s="151">
        <f t="shared" si="154"/>
        <v>0.4</v>
      </c>
      <c r="J247" s="151">
        <f t="shared" si="154"/>
        <v>0.4</v>
      </c>
      <c r="K247" s="151">
        <f t="shared" si="154"/>
        <v>0.4</v>
      </c>
      <c r="L247" s="151">
        <f t="shared" si="154"/>
        <v>0.4</v>
      </c>
      <c r="M247" s="151">
        <f t="shared" si="154"/>
        <v>0.4</v>
      </c>
      <c r="N247" s="151">
        <f t="shared" si="154"/>
        <v>0.4</v>
      </c>
      <c r="O247" s="151">
        <f t="shared" si="154"/>
        <v>0.4</v>
      </c>
      <c r="P247" s="151">
        <f t="shared" si="154"/>
        <v>0.4</v>
      </c>
      <c r="Q247" s="151">
        <f t="shared" si="154"/>
        <v>0.4</v>
      </c>
      <c r="R247" s="151">
        <f t="shared" si="154"/>
        <v>0.4</v>
      </c>
      <c r="S247" s="151">
        <f t="shared" si="154"/>
        <v>0.4</v>
      </c>
      <c r="T247" s="151">
        <f t="shared" si="155"/>
        <v>0.4</v>
      </c>
      <c r="U247" s="151">
        <f t="shared" si="155"/>
        <v>0.4</v>
      </c>
      <c r="V247" s="151">
        <f t="shared" si="155"/>
        <v>0.4</v>
      </c>
      <c r="W247" s="151">
        <f t="shared" si="155"/>
        <v>0.4</v>
      </c>
      <c r="X247" s="151">
        <f t="shared" si="155"/>
        <v>0.4</v>
      </c>
      <c r="Y247" s="151">
        <f t="shared" si="155"/>
        <v>0.4</v>
      </c>
      <c r="Z247" s="151">
        <f t="shared" si="155"/>
        <v>0.4</v>
      </c>
      <c r="AA247" s="151">
        <f t="shared" si="155"/>
        <v>0.4</v>
      </c>
      <c r="AB247" s="151">
        <f t="shared" si="155"/>
        <v>0.4</v>
      </c>
      <c r="AC247" s="151">
        <f t="shared" si="155"/>
        <v>0.4</v>
      </c>
      <c r="AD247" s="151">
        <f t="shared" si="155"/>
        <v>0.4</v>
      </c>
      <c r="AE247" s="151">
        <f t="shared" si="155"/>
        <v>0.4</v>
      </c>
      <c r="AF247" s="151">
        <f t="shared" si="155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153"/>
        <v>1.5</v>
      </c>
      <c r="C248" s="151">
        <v>1.5</v>
      </c>
      <c r="D248" s="151">
        <f t="shared" si="154"/>
        <v>1.5</v>
      </c>
      <c r="E248" s="151">
        <f t="shared" si="154"/>
        <v>1.5</v>
      </c>
      <c r="F248" s="151">
        <f t="shared" si="154"/>
        <v>1.5</v>
      </c>
      <c r="G248" s="151">
        <f t="shared" si="154"/>
        <v>1.5</v>
      </c>
      <c r="H248" s="151">
        <f t="shared" si="154"/>
        <v>1.5</v>
      </c>
      <c r="I248" s="151">
        <f t="shared" si="154"/>
        <v>1.5</v>
      </c>
      <c r="J248" s="151">
        <f t="shared" si="154"/>
        <v>1.5</v>
      </c>
      <c r="K248" s="151">
        <f t="shared" si="154"/>
        <v>1.5</v>
      </c>
      <c r="L248" s="151">
        <f t="shared" si="154"/>
        <v>1.5</v>
      </c>
      <c r="M248" s="151">
        <f t="shared" si="154"/>
        <v>1.5</v>
      </c>
      <c r="N248" s="151">
        <f t="shared" si="154"/>
        <v>1.5</v>
      </c>
      <c r="O248" s="151">
        <f t="shared" si="154"/>
        <v>1.5</v>
      </c>
      <c r="P248" s="151">
        <f t="shared" si="154"/>
        <v>1.5</v>
      </c>
      <c r="Q248" s="151">
        <f t="shared" si="154"/>
        <v>1.5</v>
      </c>
      <c r="R248" s="151">
        <f t="shared" si="154"/>
        <v>1.5</v>
      </c>
      <c r="S248" s="151">
        <f t="shared" si="154"/>
        <v>1.5</v>
      </c>
      <c r="T248" s="151">
        <f t="shared" si="155"/>
        <v>1.5</v>
      </c>
      <c r="U248" s="151">
        <f t="shared" si="155"/>
        <v>1.5</v>
      </c>
      <c r="V248" s="151">
        <f t="shared" si="155"/>
        <v>1.5</v>
      </c>
      <c r="W248" s="151">
        <f t="shared" si="155"/>
        <v>1.5</v>
      </c>
      <c r="X248" s="151">
        <f t="shared" si="155"/>
        <v>1.5</v>
      </c>
      <c r="Y248" s="151">
        <f t="shared" si="155"/>
        <v>1.5</v>
      </c>
      <c r="Z248" s="151">
        <f t="shared" si="155"/>
        <v>1.5</v>
      </c>
      <c r="AA248" s="151">
        <f t="shared" si="155"/>
        <v>1.5</v>
      </c>
      <c r="AB248" s="151">
        <f t="shared" si="155"/>
        <v>1.5</v>
      </c>
      <c r="AC248" s="151">
        <f t="shared" si="155"/>
        <v>1.5</v>
      </c>
      <c r="AD248" s="151">
        <f t="shared" si="155"/>
        <v>1.5</v>
      </c>
      <c r="AE248" s="151">
        <f t="shared" si="155"/>
        <v>1.5</v>
      </c>
      <c r="AF248" s="151">
        <f t="shared" si="155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153"/>
        <v>0.3</v>
      </c>
      <c r="C249" s="151">
        <v>0.3</v>
      </c>
      <c r="D249" s="151">
        <f t="shared" si="154"/>
        <v>0.3</v>
      </c>
      <c r="E249" s="151">
        <f t="shared" si="154"/>
        <v>0.3</v>
      </c>
      <c r="F249" s="151">
        <f t="shared" si="154"/>
        <v>0.3</v>
      </c>
      <c r="G249" s="151">
        <f t="shared" si="154"/>
        <v>0.3</v>
      </c>
      <c r="H249" s="151">
        <f t="shared" si="154"/>
        <v>0.3</v>
      </c>
      <c r="I249" s="151">
        <f t="shared" si="154"/>
        <v>0.3</v>
      </c>
      <c r="J249" s="151">
        <f t="shared" si="154"/>
        <v>0.3</v>
      </c>
      <c r="K249" s="151">
        <f t="shared" si="154"/>
        <v>0.3</v>
      </c>
      <c r="L249" s="151">
        <f t="shared" si="154"/>
        <v>0.3</v>
      </c>
      <c r="M249" s="151">
        <f t="shared" si="154"/>
        <v>0.3</v>
      </c>
      <c r="N249" s="151">
        <f t="shared" si="154"/>
        <v>0.3</v>
      </c>
      <c r="O249" s="151">
        <f t="shared" si="154"/>
        <v>0.3</v>
      </c>
      <c r="P249" s="151">
        <f t="shared" si="154"/>
        <v>0.3</v>
      </c>
      <c r="Q249" s="151">
        <f t="shared" si="154"/>
        <v>0.3</v>
      </c>
      <c r="R249" s="151">
        <f t="shared" si="154"/>
        <v>0.3</v>
      </c>
      <c r="S249" s="151">
        <f t="shared" si="154"/>
        <v>0.3</v>
      </c>
      <c r="T249" s="151">
        <f t="shared" si="155"/>
        <v>0.3</v>
      </c>
      <c r="U249" s="151">
        <f t="shared" si="155"/>
        <v>0.3</v>
      </c>
      <c r="V249" s="151">
        <f t="shared" si="155"/>
        <v>0.3</v>
      </c>
      <c r="W249" s="151">
        <f t="shared" si="155"/>
        <v>0.3</v>
      </c>
      <c r="X249" s="151">
        <f t="shared" si="155"/>
        <v>0.3</v>
      </c>
      <c r="Y249" s="151">
        <f t="shared" si="155"/>
        <v>0.3</v>
      </c>
      <c r="Z249" s="151">
        <f t="shared" si="155"/>
        <v>0.3</v>
      </c>
      <c r="AA249" s="151">
        <f t="shared" si="155"/>
        <v>0.3</v>
      </c>
      <c r="AB249" s="151">
        <f t="shared" si="155"/>
        <v>0.3</v>
      </c>
      <c r="AC249" s="151">
        <f t="shared" si="155"/>
        <v>0.3</v>
      </c>
      <c r="AD249" s="151">
        <f t="shared" si="155"/>
        <v>0.3</v>
      </c>
      <c r="AE249" s="151">
        <f t="shared" si="155"/>
        <v>0.3</v>
      </c>
      <c r="AF249" s="151">
        <f t="shared" si="155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153"/>
        <v>0.4</v>
      </c>
      <c r="C250" s="151">
        <v>0.4</v>
      </c>
      <c r="D250" s="151">
        <f t="shared" si="154"/>
        <v>0.4</v>
      </c>
      <c r="E250" s="151">
        <f t="shared" si="154"/>
        <v>0.4</v>
      </c>
      <c r="F250" s="151">
        <f t="shared" si="154"/>
        <v>0.4</v>
      </c>
      <c r="G250" s="151">
        <f t="shared" si="154"/>
        <v>0.4</v>
      </c>
      <c r="H250" s="151">
        <f t="shared" si="154"/>
        <v>0.4</v>
      </c>
      <c r="I250" s="151">
        <f t="shared" si="154"/>
        <v>0.4</v>
      </c>
      <c r="J250" s="151">
        <f t="shared" si="154"/>
        <v>0.4</v>
      </c>
      <c r="K250" s="151">
        <f t="shared" si="154"/>
        <v>0.4</v>
      </c>
      <c r="L250" s="151">
        <f t="shared" si="154"/>
        <v>0.4</v>
      </c>
      <c r="M250" s="151">
        <f t="shared" si="154"/>
        <v>0.4</v>
      </c>
      <c r="N250" s="151">
        <f t="shared" si="154"/>
        <v>0.4</v>
      </c>
      <c r="O250" s="151">
        <f t="shared" si="154"/>
        <v>0.4</v>
      </c>
      <c r="P250" s="151">
        <f t="shared" si="154"/>
        <v>0.4</v>
      </c>
      <c r="Q250" s="151">
        <f t="shared" si="154"/>
        <v>0.4</v>
      </c>
      <c r="R250" s="151">
        <f t="shared" si="154"/>
        <v>0.4</v>
      </c>
      <c r="S250" s="151">
        <f t="shared" si="154"/>
        <v>0.4</v>
      </c>
      <c r="T250" s="151">
        <f t="shared" si="155"/>
        <v>0.4</v>
      </c>
      <c r="U250" s="151">
        <f t="shared" si="155"/>
        <v>0.4</v>
      </c>
      <c r="V250" s="151">
        <f t="shared" si="155"/>
        <v>0.4</v>
      </c>
      <c r="W250" s="151">
        <f t="shared" si="155"/>
        <v>0.4</v>
      </c>
      <c r="X250" s="151">
        <f t="shared" si="155"/>
        <v>0.4</v>
      </c>
      <c r="Y250" s="151">
        <f t="shared" si="155"/>
        <v>0.4</v>
      </c>
      <c r="Z250" s="151">
        <f t="shared" si="155"/>
        <v>0.4</v>
      </c>
      <c r="AA250" s="151">
        <f t="shared" si="155"/>
        <v>0.4</v>
      </c>
      <c r="AB250" s="151">
        <f t="shared" si="155"/>
        <v>0.4</v>
      </c>
      <c r="AC250" s="151">
        <f t="shared" si="155"/>
        <v>0.4</v>
      </c>
      <c r="AD250" s="151">
        <f t="shared" si="155"/>
        <v>0.4</v>
      </c>
      <c r="AE250" s="151">
        <f t="shared" si="155"/>
        <v>0.4</v>
      </c>
      <c r="AF250" s="151">
        <f t="shared" si="155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153"/>
        <v>0.64</v>
      </c>
      <c r="C251" s="156">
        <v>0.64</v>
      </c>
      <c r="D251" s="156">
        <f t="shared" si="154"/>
        <v>0.64</v>
      </c>
      <c r="E251" s="156">
        <f t="shared" si="154"/>
        <v>0.64</v>
      </c>
      <c r="F251" s="156">
        <f t="shared" si="154"/>
        <v>0.64</v>
      </c>
      <c r="G251" s="156">
        <f t="shared" si="154"/>
        <v>0.64</v>
      </c>
      <c r="H251" s="156">
        <f t="shared" si="154"/>
        <v>0.64</v>
      </c>
      <c r="I251" s="156">
        <f t="shared" si="154"/>
        <v>0.64</v>
      </c>
      <c r="J251" s="156">
        <f t="shared" si="154"/>
        <v>0.64</v>
      </c>
      <c r="K251" s="156">
        <f t="shared" si="154"/>
        <v>0.64</v>
      </c>
      <c r="L251" s="156">
        <f t="shared" si="154"/>
        <v>0.64</v>
      </c>
      <c r="M251" s="156">
        <f t="shared" si="154"/>
        <v>0.64</v>
      </c>
      <c r="N251" s="156">
        <f t="shared" si="154"/>
        <v>0.64</v>
      </c>
      <c r="O251" s="156">
        <f t="shared" si="154"/>
        <v>0.64</v>
      </c>
      <c r="P251" s="156">
        <f t="shared" si="154"/>
        <v>0.64</v>
      </c>
      <c r="Q251" s="156">
        <f t="shared" si="154"/>
        <v>0.64</v>
      </c>
      <c r="R251" s="156">
        <f t="shared" si="154"/>
        <v>0.64</v>
      </c>
      <c r="S251" s="156">
        <f t="shared" si="154"/>
        <v>0.64</v>
      </c>
      <c r="T251" s="156">
        <f t="shared" si="155"/>
        <v>0.64</v>
      </c>
      <c r="U251" s="156">
        <f t="shared" si="155"/>
        <v>0.64</v>
      </c>
      <c r="V251" s="156">
        <f t="shared" si="155"/>
        <v>0.64</v>
      </c>
      <c r="W251" s="156">
        <f t="shared" si="155"/>
        <v>0.64</v>
      </c>
      <c r="X251" s="156">
        <f t="shared" si="155"/>
        <v>0.64</v>
      </c>
      <c r="Y251" s="156">
        <f t="shared" si="155"/>
        <v>0.64</v>
      </c>
      <c r="Z251" s="156">
        <f t="shared" si="155"/>
        <v>0.64</v>
      </c>
      <c r="AA251" s="156">
        <f t="shared" si="155"/>
        <v>0.64</v>
      </c>
      <c r="AB251" s="156">
        <f t="shared" si="155"/>
        <v>0.64</v>
      </c>
      <c r="AC251" s="156">
        <f t="shared" si="155"/>
        <v>0.64</v>
      </c>
      <c r="AD251" s="156">
        <f t="shared" si="155"/>
        <v>0.64</v>
      </c>
      <c r="AE251" s="156">
        <f t="shared" si="155"/>
        <v>0.64</v>
      </c>
      <c r="AF251" s="156">
        <f t="shared" si="155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156">SUM(B246:B251)</f>
        <v>3.54</v>
      </c>
      <c r="C252" s="160">
        <f t="shared" si="156"/>
        <v>3.54</v>
      </c>
      <c r="D252" s="160">
        <f t="shared" si="156"/>
        <v>3.54</v>
      </c>
      <c r="E252" s="160">
        <f t="shared" si="156"/>
        <v>3.54</v>
      </c>
      <c r="F252" s="160">
        <f t="shared" si="156"/>
        <v>3.54</v>
      </c>
      <c r="G252" s="160">
        <f t="shared" si="156"/>
        <v>3.54</v>
      </c>
      <c r="H252" s="160">
        <f t="shared" si="156"/>
        <v>3.54</v>
      </c>
      <c r="I252" s="160">
        <f t="shared" si="156"/>
        <v>3.54</v>
      </c>
      <c r="J252" s="160">
        <f t="shared" si="156"/>
        <v>3.54</v>
      </c>
      <c r="K252" s="160">
        <f t="shared" si="156"/>
        <v>3.54</v>
      </c>
      <c r="L252" s="160">
        <f t="shared" si="156"/>
        <v>3.54</v>
      </c>
      <c r="M252" s="160">
        <f t="shared" si="156"/>
        <v>3.54</v>
      </c>
      <c r="N252" s="160">
        <f t="shared" si="156"/>
        <v>3.54</v>
      </c>
      <c r="O252" s="160">
        <f t="shared" si="156"/>
        <v>3.54</v>
      </c>
      <c r="P252" s="160">
        <f t="shared" si="156"/>
        <v>3.54</v>
      </c>
      <c r="Q252" s="160">
        <f t="shared" si="156"/>
        <v>3.54</v>
      </c>
      <c r="R252" s="160">
        <f t="shared" si="156"/>
        <v>3.54</v>
      </c>
      <c r="S252" s="160">
        <f t="shared" si="156"/>
        <v>3.54</v>
      </c>
      <c r="T252" s="160">
        <f t="shared" si="156"/>
        <v>3.54</v>
      </c>
      <c r="U252" s="160">
        <f t="shared" si="156"/>
        <v>3.54</v>
      </c>
      <c r="V252" s="160">
        <f t="shared" si="156"/>
        <v>3.54</v>
      </c>
      <c r="W252" s="160">
        <f t="shared" si="156"/>
        <v>3.54</v>
      </c>
      <c r="X252" s="160">
        <f t="shared" si="156"/>
        <v>3.54</v>
      </c>
      <c r="Y252" s="160">
        <f t="shared" si="156"/>
        <v>3.54</v>
      </c>
      <c r="Z252" s="160">
        <f t="shared" si="156"/>
        <v>3.54</v>
      </c>
      <c r="AA252" s="160">
        <f t="shared" si="156"/>
        <v>3.54</v>
      </c>
      <c r="AB252" s="160">
        <f t="shared" si="156"/>
        <v>3.54</v>
      </c>
      <c r="AC252" s="160">
        <f t="shared" si="156"/>
        <v>3.54</v>
      </c>
      <c r="AD252" s="160">
        <f t="shared" si="156"/>
        <v>3.54</v>
      </c>
      <c r="AE252" s="160">
        <f t="shared" si="156"/>
        <v>3.54</v>
      </c>
      <c r="AF252" s="160">
        <f t="shared" si="156"/>
        <v>3.54</v>
      </c>
      <c r="AG252" s="170">
        <f t="shared" si="156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1670.99</v>
      </c>
      <c r="C256" s="173">
        <f>INDEX(G9:N9,1,MATCH(MAX(G99:N99),G99:N99,0))</f>
        <v>0.3125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2080/10/2)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3917" priority="126">
      <formula>$AH11=0</formula>
    </cfRule>
  </conditionalFormatting>
  <conditionalFormatting sqref="A132:A253">
    <cfRule type="expression" dxfId="3916" priority="127">
      <formula>$AH132=0</formula>
    </cfRule>
  </conditionalFormatting>
  <conditionalFormatting sqref="B8">
    <cfRule type="expression" dxfId="3915" priority="187">
      <formula>C$9&lt;8/24</formula>
    </cfRule>
    <cfRule type="expression" dxfId="3914" priority="186">
      <formula>AND(C$9&gt;=8/24,C$9&lt;14/24)</formula>
    </cfRule>
    <cfRule type="expression" dxfId="3913" priority="185">
      <formula>AND(C$9&gt;=14/24,C$9&lt;20/24)</formula>
    </cfRule>
    <cfRule type="expression" dxfId="3912" priority="188">
      <formula>C$9&gt;=20/24</formula>
    </cfRule>
  </conditionalFormatting>
  <conditionalFormatting sqref="B11:D80 R13:AD55 AE13:AF80 E18:Q55 E11:L17 M13:Q17 AC56:AD80 E57:AA75 AB57:AB80 AG62 E76:U76 V76:AA79 E77:V80 W80:AA80 AG80">
    <cfRule type="expression" dxfId="3911" priority="76">
      <formula>B11&gt;$AG11</formula>
    </cfRule>
  </conditionalFormatting>
  <conditionalFormatting sqref="B11:L17 M13:Q17 R13:AF52 B18:Q52 B59:D74 E69:AF74 B77:AF99 B9:AF10 B101:AF117 B119:AF137 B244:AF244 B246:B252">
    <cfRule type="expression" dxfId="3910" priority="77">
      <formula>B$9&gt;=20/24</formula>
    </cfRule>
  </conditionalFormatting>
  <conditionalFormatting sqref="B9:AF10 B11:L17 M13:Q17 R13:AF52 B18:Q52 B59:D74 E69:AF74 B77:AF99 B101:AF117 B119:AF137 B244:AF244 B246:B252">
    <cfRule type="expression" dxfId="3909" priority="78">
      <formula>AND(B$9&gt;=14/24,B$9&lt;20/24)</formula>
    </cfRule>
    <cfRule type="expression" dxfId="3908" priority="80">
      <formula>B$9&lt;8/24</formula>
    </cfRule>
    <cfRule type="expression" dxfId="3907" priority="79">
      <formula>AND(B$9&gt;=8/24,B$9&lt;14/24)</formula>
    </cfRule>
  </conditionalFormatting>
  <conditionalFormatting sqref="D246:AF252">
    <cfRule type="expression" dxfId="3906" priority="173">
      <formula>D$9&lt;8/24</formula>
    </cfRule>
    <cfRule type="expression" dxfId="3905" priority="170">
      <formula>D$9&gt;=20/24</formula>
    </cfRule>
    <cfRule type="expression" dxfId="3904" priority="172">
      <formula>AND(D$9&gt;=8/24,D$9&lt;14/24)</formula>
    </cfRule>
    <cfRule type="expression" dxfId="3903" priority="171">
      <formula>AND(D$9&gt;=14/24,D$9&lt;20/24)</formula>
    </cfRule>
  </conditionalFormatting>
  <conditionalFormatting sqref="E63:I67 J64:J67 K67">
    <cfRule type="expression" dxfId="3902" priority="93">
      <formula>E$9&lt;8/24</formula>
    </cfRule>
    <cfRule type="expression" dxfId="3901" priority="91">
      <formula>AND(E$9&gt;=14/24,E$9&lt;20/24)</formula>
    </cfRule>
    <cfRule type="expression" dxfId="3900" priority="90">
      <formula>E$9&gt;=20/24</formula>
    </cfRule>
    <cfRule type="expression" dxfId="3899" priority="92">
      <formula>AND(E$9&gt;=8/24,E$9&lt;14/24)</formula>
    </cfRule>
  </conditionalFormatting>
  <conditionalFormatting sqref="E68:K68">
    <cfRule type="expression" dxfId="3898" priority="88">
      <formula>E$9&lt;8/24</formula>
    </cfRule>
    <cfRule type="expression" dxfId="3897" priority="87">
      <formula>AND(E$9&gt;=8/24,E$9&lt;14/24)</formula>
    </cfRule>
    <cfRule type="expression" dxfId="3896" priority="86">
      <formula>AND(E$9&gt;=14/24,E$9&lt;20/24)</formula>
    </cfRule>
    <cfRule type="expression" dxfId="3895" priority="85">
      <formula>E$9&gt;=20/24</formula>
    </cfRule>
  </conditionalFormatting>
  <conditionalFormatting sqref="E53:AB56 AC53:AF55 B53:D57">
    <cfRule type="expression" dxfId="3894" priority="89">
      <formula>B$9&lt;8/24</formula>
    </cfRule>
  </conditionalFormatting>
  <conditionalFormatting sqref="E56:AB56">
    <cfRule type="expression" dxfId="3893" priority="84">
      <formula>AND(E$9&gt;=8/24,E$9&lt;14/24)</formula>
    </cfRule>
    <cfRule type="expression" dxfId="3892" priority="83">
      <formula>AND(E$9&gt;=14/24,E$9&lt;20/24)</formula>
    </cfRule>
    <cfRule type="expression" dxfId="3891" priority="82">
      <formula>E$9&gt;=20/24</formula>
    </cfRule>
    <cfRule type="expression" dxfId="3890" priority="81">
      <formula>E56&gt;$AG56</formula>
    </cfRule>
  </conditionalFormatting>
  <conditionalFormatting sqref="E57:AB57 AC56:AF57">
    <cfRule type="expression" dxfId="3889" priority="100">
      <formula>E$9&gt;=20/24</formula>
    </cfRule>
  </conditionalFormatting>
  <conditionalFormatting sqref="E57:AB57">
    <cfRule type="expression" dxfId="3888" priority="103">
      <formula>E$9&lt;8/24</formula>
    </cfRule>
  </conditionalFormatting>
  <conditionalFormatting sqref="E53:AF55 B53:D57">
    <cfRule type="expression" dxfId="3887" priority="74">
      <formula>AND(B$9&gt;=14/24,B$9&lt;20/24)</formula>
    </cfRule>
    <cfRule type="expression" dxfId="3886" priority="75">
      <formula>AND(B$9&gt;=8/24,B$9&lt;14/24)</formula>
    </cfRule>
    <cfRule type="expression" dxfId="3885" priority="73">
      <formula>B$9&gt;=20/24</formula>
    </cfRule>
  </conditionalFormatting>
  <conditionalFormatting sqref="E59:AF62">
    <cfRule type="expression" dxfId="3884" priority="107">
      <formula>E$9&lt;8/24</formula>
    </cfRule>
    <cfRule type="expression" dxfId="3883" priority="106">
      <formula>AND(E$9&gt;=8/24,E$9&lt;14/24)</formula>
    </cfRule>
    <cfRule type="expression" dxfId="3882" priority="105">
      <formula>AND(E$9&gt;=14/24,E$9&lt;20/24)</formula>
    </cfRule>
    <cfRule type="expression" dxfId="3881" priority="104">
      <formula>E$9&gt;=20/24</formula>
    </cfRule>
  </conditionalFormatting>
  <conditionalFormatting sqref="F63:L65">
    <cfRule type="expression" dxfId="3880" priority="118">
      <formula>F$9&gt;=20/24</formula>
    </cfRule>
    <cfRule type="expression" dxfId="3879" priority="120">
      <formula>AND(F$9&gt;=8/24,F$9&lt;14/24)</formula>
    </cfRule>
    <cfRule type="expression" dxfId="3878" priority="119">
      <formula>AND(F$9&gt;=14/24,F$9&lt;20/24)</formula>
    </cfRule>
    <cfRule type="expression" dxfId="3877" priority="121">
      <formula>F$9&lt;8/24</formula>
    </cfRule>
  </conditionalFormatting>
  <conditionalFormatting sqref="L68:AF68">
    <cfRule type="expression" dxfId="3876" priority="115">
      <formula>AND(L$9&gt;=14/24,L$9&lt;20/24)</formula>
    </cfRule>
    <cfRule type="expression" dxfId="3875" priority="114">
      <formula>L$9&gt;=20/24</formula>
    </cfRule>
    <cfRule type="expression" dxfId="3874" priority="117">
      <formula>L$9&lt;8/24</formula>
    </cfRule>
    <cfRule type="expression" dxfId="3873" priority="116">
      <formula>AND(L$9&gt;=8/24,L$9&lt;14/24)</formula>
    </cfRule>
  </conditionalFormatting>
  <conditionalFormatting sqref="M8 S8 AB8">
    <cfRule type="expression" dxfId="3872" priority="177">
      <formula>AND(N$9&gt;=14/24,N$9&lt;20/24)</formula>
    </cfRule>
    <cfRule type="expression" dxfId="3871" priority="178">
      <formula>AND(N$9&gt;=8/24,N$9&lt;14/24)</formula>
    </cfRule>
    <cfRule type="expression" dxfId="3870" priority="179">
      <formula>N$9&lt;8/24</formula>
    </cfRule>
  </conditionalFormatting>
  <conditionalFormatting sqref="M63:X67">
    <cfRule type="expression" dxfId="3869" priority="122">
      <formula>M$9&gt;=20/24</formula>
    </cfRule>
    <cfRule type="expression" dxfId="3868" priority="123">
      <formula>AND(M$9&gt;=14/24,M$9&lt;20/24)</formula>
    </cfRule>
    <cfRule type="expression" dxfId="3867" priority="124">
      <formula>AND(M$9&gt;=8/24,M$9&lt;14/24)</formula>
    </cfRule>
    <cfRule type="expression" dxfId="3866" priority="125">
      <formula>M$9&lt;8/24</formula>
    </cfRule>
  </conditionalFormatting>
  <conditionalFormatting sqref="M11:AF12">
    <cfRule type="expression" dxfId="3865" priority="94">
      <formula>M11&gt;$AG11</formula>
    </cfRule>
    <cfRule type="expression" dxfId="3864" priority="95">
      <formula>M$9&gt;=20/24</formula>
    </cfRule>
    <cfRule type="expression" dxfId="3863" priority="96">
      <formula>AND(M$9&gt;=14/24,M$9&lt;20/24)</formula>
    </cfRule>
    <cfRule type="expression" dxfId="3862" priority="97">
      <formula>AND(M$9&gt;=8/24,M$9&lt;14/24)</formula>
    </cfRule>
    <cfRule type="expression" dxfId="3861" priority="98">
      <formula>M$9&lt;8/24</formula>
    </cfRule>
  </conditionalFormatting>
  <conditionalFormatting sqref="O3:P3">
    <cfRule type="iconSet" priority="174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860" priority="176">
      <formula>N$9&gt;=20/24</formula>
    </cfRule>
  </conditionalFormatting>
  <conditionalFormatting sqref="S8">
    <cfRule type="expression" dxfId="3859" priority="163">
      <formula>U$9&gt;=20/24</formula>
    </cfRule>
    <cfRule type="expression" dxfId="3858" priority="164">
      <formula>AND(U$9&gt;=14/24,U$9&lt;20/24)</formula>
    </cfRule>
    <cfRule type="expression" dxfId="3857" priority="165">
      <formula>AND(U$9&gt;=8/24,U$9&lt;14/24)</formula>
    </cfRule>
    <cfRule type="expression" dxfId="3856" priority="166">
      <formula>U$9&lt;8/24</formula>
    </cfRule>
  </conditionalFormatting>
  <conditionalFormatting sqref="V3 AB3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W63:AF68">
    <cfRule type="expression" dxfId="3855" priority="109">
      <formula>AND(W$9&gt;=14/24,W$9&lt;20/24)</formula>
    </cfRule>
    <cfRule type="expression" dxfId="3854" priority="110">
      <formula>AND(W$9&gt;=8/24,W$9&lt;14/24)</formula>
    </cfRule>
    <cfRule type="expression" dxfId="3853" priority="111">
      <formula>W$9&lt;8/24</formula>
    </cfRule>
    <cfRule type="expression" dxfId="3852" priority="108">
      <formula>W$9&gt;=20/24</formula>
    </cfRule>
  </conditionalFormatting>
  <conditionalFormatting sqref="Z57:AB57">
    <cfRule type="expression" dxfId="3851" priority="99">
      <formula>Z57&gt;$AG57</formula>
    </cfRule>
  </conditionalFormatting>
  <conditionalFormatting sqref="AB8">
    <cfRule type="expression" dxfId="3850" priority="159">
      <formula>AD$9&gt;=20/24</formula>
    </cfRule>
    <cfRule type="expression" dxfId="3849" priority="161">
      <formula>AND(AD$9&gt;=8/24,AD$9&lt;14/24)</formula>
    </cfRule>
    <cfRule type="expression" dxfId="3848" priority="160">
      <formula>AND(AD$9&gt;=14/24,AD$9&lt;20/24)</formula>
    </cfRule>
    <cfRule type="expression" dxfId="3847" priority="162">
      <formula>AD$9&lt;8/24</formula>
    </cfRule>
  </conditionalFormatting>
  <conditionalFormatting sqref="AC56:AF57 E57:AB57">
    <cfRule type="expression" dxfId="3846" priority="101">
      <formula>AND(E$9&gt;=14/24,E$9&lt;20/24)</formula>
    </cfRule>
    <cfRule type="expression" dxfId="3845" priority="102">
      <formula>AND(E$9&gt;=8/24,E$9&lt;14/24)</formula>
    </cfRule>
  </conditionalFormatting>
  <conditionalFormatting sqref="AC56:AF57">
    <cfRule type="expression" dxfId="3844" priority="112">
      <formula>AC$9&lt;8/24</formula>
    </cfRule>
  </conditionalFormatting>
  <conditionalFormatting sqref="AG58">
    <cfRule type="expression" dxfId="3843" priority="154">
      <formula>AG58&gt;$AG58</formula>
    </cfRule>
  </conditionalFormatting>
  <conditionalFormatting sqref="AG62">
    <cfRule type="expression" dxfId="3842" priority="139">
      <formula>AND(AG$9&gt;=8/24,AG$9&lt;14/24)</formula>
    </cfRule>
    <cfRule type="expression" dxfId="3841" priority="140">
      <formula>AG$9&lt;8/24</formula>
    </cfRule>
    <cfRule type="expression" dxfId="3840" priority="138">
      <formula>AND(AG$9&gt;=14/24,AG$9&lt;20/24)</formula>
    </cfRule>
    <cfRule type="expression" dxfId="3839" priority="137">
      <formula>AG$9&gt;=20/24</formula>
    </cfRule>
  </conditionalFormatting>
  <conditionalFormatting sqref="AG75:AG76">
    <cfRule type="expression" dxfId="3838" priority="132">
      <formula>AG75&gt;$AG75</formula>
    </cfRule>
  </conditionalFormatting>
  <conditionalFormatting sqref="AG80">
    <cfRule type="expression" dxfId="3837" priority="136">
      <formula>AG$9&lt;8/24</formula>
    </cfRule>
    <cfRule type="expression" dxfId="3836" priority="134">
      <formula>AND(AG$9&gt;=14/24,AG$9&lt;20/24)</formula>
    </cfRule>
    <cfRule type="expression" dxfId="3835" priority="133">
      <formula>AG$9&gt;=20/24</formula>
    </cfRule>
    <cfRule type="expression" dxfId="3834" priority="135">
      <formula>AND(AG$9&gt;=8/24,AG$9&lt;14/24)</formula>
    </cfRule>
  </conditionalFormatting>
  <conditionalFormatting sqref="AG97">
    <cfRule type="expression" dxfId="3833" priority="158">
      <formula>AG$9&lt;8/24</formula>
    </cfRule>
    <cfRule type="expression" dxfId="3832" priority="157">
      <formula>AND(AG$9&gt;=8/24,AG$9&lt;14/24)</formula>
    </cfRule>
    <cfRule type="expression" dxfId="3831" priority="156">
      <formula>AND(AG$9&gt;=14/24,AG$9&lt;20/24)</formula>
    </cfRule>
    <cfRule type="expression" dxfId="3830" priority="155">
      <formula>AG$9&gt;=20/24</formula>
    </cfRule>
  </conditionalFormatting>
  <conditionalFormatting sqref="AL4:AL6">
    <cfRule type="iconSet" priority="169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4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5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84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67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829" priority="180">
      <formula>AJ$9&gt;=20/24</formula>
    </cfRule>
    <cfRule type="expression" dxfId="3828" priority="181">
      <formula>AND(AJ$9&gt;=14/24,AJ$9&lt;20/24)</formula>
    </cfRule>
    <cfRule type="expression" dxfId="3827" priority="182">
      <formula>AND(AJ$9&gt;=8/24,AJ$9&lt;14/24)</formula>
    </cfRule>
    <cfRule type="expression" dxfId="3826" priority="183">
      <formula>AJ$9&lt;8/24</formula>
    </cfRule>
  </conditionalFormatting>
  <conditionalFormatting sqref="AL88:AN88 AL94:AN94">
    <cfRule type="expression" dxfId="3825" priority="148">
      <formula>AND(AL$9&gt;=14/24,AL$9&lt;20/24)</formula>
    </cfRule>
    <cfRule type="expression" dxfId="3824" priority="149">
      <formula>AND(AL$9&gt;=8/24,AL$9&lt;14/24)</formula>
    </cfRule>
    <cfRule type="expression" dxfId="3823" priority="150">
      <formula>AL$9&lt;8/24</formula>
    </cfRule>
    <cfRule type="expression" dxfId="3822" priority="147">
      <formula>AL$9&gt;=20/24</formula>
    </cfRule>
  </conditionalFormatting>
  <conditionalFormatting sqref="AM15:AM21 AN16:AR21">
    <cfRule type="expression" dxfId="3821" priority="15">
      <formula>AND(AX$9&gt;=8/24,AX$9&lt;14/24)</formula>
    </cfRule>
    <cfRule type="expression" dxfId="3820" priority="14">
      <formula>AND(AX$9&gt;=14/24,AX$9&lt;20/24)</formula>
    </cfRule>
    <cfRule type="expression" dxfId="3819" priority="13">
      <formula>AX$9&gt;=20/24</formula>
    </cfRule>
    <cfRule type="expression" dxfId="3818" priority="16">
      <formula>AX$9&lt;8/24</formula>
    </cfRule>
  </conditionalFormatting>
  <conditionalFormatting sqref="AN89:AN92">
    <cfRule type="expression" dxfId="3817" priority="145">
      <formula>AND(AN$9&gt;=8/24,AN$9&lt;14/24)</formula>
    </cfRule>
    <cfRule type="expression" dxfId="3816" priority="143">
      <formula>AN$9&gt;=20/24</formula>
    </cfRule>
    <cfRule type="expression" dxfId="3815" priority="144">
      <formula>AND(AN$9&gt;=14/24,AN$9&lt;20/24)</formula>
    </cfRule>
    <cfRule type="expression" dxfId="3814" priority="146">
      <formula>AN$9&lt;8/24</formula>
    </cfRule>
  </conditionalFormatting>
  <conditionalFormatting sqref="AN15:AR15">
    <cfRule type="expression" dxfId="3813" priority="3">
      <formula>AND(U$9&gt;=8/24,U$9&lt;14/24)</formula>
    </cfRule>
    <cfRule type="expression" dxfId="3812" priority="4">
      <formula>U$9&lt;8/24</formula>
    </cfRule>
    <cfRule type="expression" dxfId="3811" priority="1">
      <formula>U$9&gt;=20/24</formula>
    </cfRule>
    <cfRule type="expression" dxfId="3810" priority="2">
      <formula>AND(U$9&gt;=14/24,U$9&lt;20/24)</formula>
    </cfRule>
  </conditionalFormatting>
  <conditionalFormatting sqref="AS15">
    <cfRule type="expression" dxfId="3809" priority="11">
      <formula>AND(AA$9&gt;=8/24,AA$9&lt;14/24)</formula>
    </cfRule>
    <cfRule type="expression" dxfId="3808" priority="10">
      <formula>AND(AA$9&gt;=14/24,AA$9&lt;20/24)</formula>
    </cfRule>
    <cfRule type="expression" dxfId="3807" priority="9">
      <formula>AA$9&gt;=20/24</formula>
    </cfRule>
    <cfRule type="expression" dxfId="3806" priority="12">
      <formula>AA$9&lt;8/24</formula>
    </cfRule>
  </conditionalFormatting>
  <conditionalFormatting sqref="AS16:AS21">
    <cfRule type="expression" dxfId="3805" priority="19">
      <formula>AND(BE$9&gt;=8/24,BE$9&lt;14/24)</formula>
    </cfRule>
    <cfRule type="expression" dxfId="3804" priority="20">
      <formula>BE$9&lt;8/24</formula>
    </cfRule>
    <cfRule type="expression" dxfId="3803" priority="18">
      <formula>AND(BE$9&gt;=14/24,BE$9&lt;20/24)</formula>
    </cfRule>
    <cfRule type="expression" dxfId="3802" priority="17">
      <formula>BE$9&gt;=20/24</formula>
    </cfRule>
  </conditionalFormatting>
  <conditionalFormatting sqref="AT15 AX15 AZ15 BB15 BD15 BF15 BH15 BJ15 BL15 BN15 BP15">
    <cfRule type="expression" dxfId="3801" priority="24">
      <formula>AC$9&lt;8/24</formula>
    </cfRule>
    <cfRule type="expression" dxfId="3800" priority="23">
      <formula>AND(AC$9&gt;=8/24,AC$9&lt;14/24)</formula>
    </cfRule>
    <cfRule type="expression" dxfId="3799" priority="22">
      <formula>AND(AC$9&gt;=14/24,AC$9&lt;20/24)</formula>
    </cfRule>
    <cfRule type="expression" dxfId="3798" priority="21">
      <formula>AC$9&gt;=20/24</formula>
    </cfRule>
  </conditionalFormatting>
  <conditionalFormatting sqref="AT16:AT21">
    <cfRule type="expression" dxfId="3797" priority="25">
      <formula>BG$9&gt;=20/24</formula>
    </cfRule>
    <cfRule type="expression" dxfId="3796" priority="27">
      <formula>AND(BG$9&gt;=8/24,BG$9&lt;14/24)</formula>
    </cfRule>
    <cfRule type="expression" dxfId="3795" priority="28">
      <formula>BG$9&lt;8/24</formula>
    </cfRule>
    <cfRule type="expression" dxfId="3794" priority="26">
      <formula>AND(BG$9&gt;=14/24,BG$9&lt;20/24)</formula>
    </cfRule>
  </conditionalFormatting>
  <conditionalFormatting sqref="AU15:AV15">
    <cfRule type="expression" dxfId="3793" priority="29">
      <formula>AE$9&gt;=20/24</formula>
    </cfRule>
    <cfRule type="expression" dxfId="3792" priority="30">
      <formula>AND(AE$9&gt;=14/24,AE$9&lt;20/24)</formula>
    </cfRule>
    <cfRule type="expression" dxfId="3791" priority="31">
      <formula>AND(AE$9&gt;=8/24,AE$9&lt;14/24)</formula>
    </cfRule>
    <cfRule type="expression" dxfId="3790" priority="32">
      <formula>AE$9&lt;8/24</formula>
    </cfRule>
  </conditionalFormatting>
  <conditionalFormatting sqref="AU16:BQ21">
    <cfRule type="expression" dxfId="3789" priority="33">
      <formula>BI$9&gt;=20/24</formula>
    </cfRule>
    <cfRule type="expression" dxfId="3788" priority="34">
      <formula>AND(BI$9&gt;=14/24,BI$9&lt;20/24)</formula>
    </cfRule>
    <cfRule type="expression" dxfId="3787" priority="35">
      <formula>AND(BI$9&gt;=8/24,BI$9&lt;14/24)</formula>
    </cfRule>
    <cfRule type="expression" dxfId="3786" priority="36">
      <formula>BI$9&lt;8/24</formula>
    </cfRule>
  </conditionalFormatting>
  <conditionalFormatting sqref="AW15 AY15 BA15 BC15 BE15 BG15 BI15 BK15 BM15 BO15 BQ15">
    <cfRule type="expression" dxfId="3785" priority="8">
      <formula>B$9&lt;8/24</formula>
    </cfRule>
    <cfRule type="expression" dxfId="3784" priority="7">
      <formula>AND(B$9&gt;=8/24,B$9&lt;14/24)</formula>
    </cfRule>
    <cfRule type="expression" dxfId="3783" priority="6">
      <formula>AND(B$9&gt;=14/24,B$9&lt;20/24)</formula>
    </cfRule>
    <cfRule type="expression" dxfId="3782" priority="5">
      <formula>B$9&gt;=20/24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E2DC9-9BE2-4F2D-A2C7-E29989296203}">
  <sheetPr codeName="Sheet4"/>
  <dimension ref="A1:CJ294"/>
  <sheetViews>
    <sheetView zoomScale="106" workbookViewId="0">
      <pane xSplit="1" ySplit="10" topLeftCell="B11" activePane="bottomRight" state="frozen"/>
      <selection activeCell="Z63" sqref="Z63"/>
      <selection pane="topRight" activeCell="Z63" sqref="Z63"/>
      <selection pane="bottomLeft" activeCell="Z63" sqref="Z63"/>
      <selection pane="bottomRight" activeCell="U11" sqref="U11:U25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2080/10/3</v>
      </c>
      <c r="C4" s="214"/>
      <c r="D4" s="214"/>
      <c r="E4" s="215" t="str">
        <f ca="1">"2080/"&amp;"10/"&amp;INT(MID(CELL("filename",G6),FIND("]",CELL("filename",G6))+1,200))</f>
        <v>2080/10/3</v>
      </c>
      <c r="F4" s="215"/>
      <c r="G4" s="215"/>
      <c r="H4" s="215" t="str">
        <f ca="1">TEXT(E4,"dddd")</f>
        <v>Thursday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648.59999999999991</v>
      </c>
      <c r="C5" s="30">
        <f t="shared" ref="C5:AE5" si="0">D92</f>
        <v>656.9</v>
      </c>
      <c r="D5" s="30">
        <f t="shared" si="0"/>
        <v>623.20000000000005</v>
      </c>
      <c r="E5" s="30">
        <f t="shared" si="0"/>
        <v>685.7</v>
      </c>
      <c r="F5" s="30">
        <f t="shared" si="0"/>
        <v>696.6</v>
      </c>
      <c r="G5" s="30">
        <f t="shared" si="0"/>
        <v>674</v>
      </c>
      <c r="H5" s="30">
        <f t="shared" si="0"/>
        <v>654</v>
      </c>
      <c r="I5" s="30">
        <f t="shared" si="0"/>
        <v>606</v>
      </c>
      <c r="J5" s="30">
        <f t="shared" si="0"/>
        <v>189</v>
      </c>
      <c r="K5" s="30">
        <f t="shared" si="0"/>
        <v>180</v>
      </c>
      <c r="L5" s="30">
        <f t="shared" si="0"/>
        <v>377</v>
      </c>
      <c r="M5" s="30">
        <f t="shared" si="0"/>
        <v>446.6</v>
      </c>
      <c r="N5" s="30">
        <f t="shared" si="0"/>
        <v>562.79999999999995</v>
      </c>
      <c r="O5" s="30">
        <f t="shared" si="0"/>
        <v>585</v>
      </c>
      <c r="P5" s="30">
        <f t="shared" si="0"/>
        <v>644.6</v>
      </c>
      <c r="Q5" s="30">
        <f t="shared" si="0"/>
        <v>698.2</v>
      </c>
      <c r="R5" s="30">
        <f t="shared" si="0"/>
        <v>693.5</v>
      </c>
      <c r="S5" s="30">
        <f t="shared" si="0"/>
        <v>722.30000000000007</v>
      </c>
      <c r="T5" s="30">
        <f t="shared" si="0"/>
        <v>70</v>
      </c>
      <c r="U5" s="30">
        <f t="shared" si="0"/>
        <v>528.5</v>
      </c>
      <c r="V5" s="30">
        <f t="shared" si="0"/>
        <v>549.29999999999995</v>
      </c>
      <c r="W5" s="30">
        <f t="shared" si="0"/>
        <v>568.90000000000009</v>
      </c>
      <c r="X5" s="30">
        <f t="shared" si="0"/>
        <v>529</v>
      </c>
      <c r="Y5" s="30">
        <f t="shared" si="0"/>
        <v>240.9</v>
      </c>
      <c r="Z5" s="30">
        <f t="shared" si="0"/>
        <v>179.1</v>
      </c>
      <c r="AA5" s="30">
        <f t="shared" si="0"/>
        <v>192.2</v>
      </c>
      <c r="AB5" s="30">
        <f t="shared" si="0"/>
        <v>297</v>
      </c>
      <c r="AC5" s="30">
        <f t="shared" si="0"/>
        <v>537</v>
      </c>
      <c r="AD5" s="30">
        <f t="shared" si="0"/>
        <v>549</v>
      </c>
      <c r="AE5" s="30">
        <f t="shared" si="0"/>
        <v>544</v>
      </c>
      <c r="AF5" s="30">
        <f>B92</f>
        <v>590.5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1569MW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Load=224</v>
      </c>
      <c r="B7" s="35">
        <f>B100</f>
        <v>1288.19</v>
      </c>
      <c r="C7" s="35">
        <f t="shared" ref="C7:AF7" si="1">C100</f>
        <v>1241.29</v>
      </c>
      <c r="D7" s="35">
        <f t="shared" si="1"/>
        <v>1271.0900000000001</v>
      </c>
      <c r="E7" s="35">
        <f t="shared" si="1"/>
        <v>1236.9900000000002</v>
      </c>
      <c r="F7" s="35">
        <f t="shared" si="1"/>
        <v>1276.4900000000002</v>
      </c>
      <c r="G7" s="35">
        <f t="shared" si="1"/>
        <v>1286.3900000000001</v>
      </c>
      <c r="H7" s="35">
        <f t="shared" si="1"/>
        <v>1331.5900000000001</v>
      </c>
      <c r="I7" s="35">
        <f t="shared" si="1"/>
        <v>1430.4900000000002</v>
      </c>
      <c r="J7" s="35">
        <f t="shared" si="1"/>
        <v>1475.4900000000002</v>
      </c>
      <c r="K7" s="35">
        <f t="shared" si="1"/>
        <v>1487.39</v>
      </c>
      <c r="L7" s="35">
        <f t="shared" si="1"/>
        <v>1531.89</v>
      </c>
      <c r="M7" s="35">
        <f t="shared" si="1"/>
        <v>1568.89</v>
      </c>
      <c r="N7" s="35">
        <f t="shared" si="1"/>
        <v>1569.19</v>
      </c>
      <c r="O7" s="35">
        <f t="shared" si="1"/>
        <v>1606.3899999999999</v>
      </c>
      <c r="P7" s="35">
        <f t="shared" si="1"/>
        <v>1534.1890000000001</v>
      </c>
      <c r="Q7" s="35">
        <f t="shared" si="1"/>
        <v>1325.5889999999999</v>
      </c>
      <c r="R7" s="35">
        <f t="shared" si="1"/>
        <v>1342.0889999999999</v>
      </c>
      <c r="S7" s="35">
        <f t="shared" si="1"/>
        <v>1322.789</v>
      </c>
      <c r="T7" s="35">
        <f t="shared" si="1"/>
        <v>1329.3890000000001</v>
      </c>
      <c r="U7" s="35">
        <f t="shared" si="1"/>
        <v>223.54</v>
      </c>
      <c r="V7" s="35">
        <f t="shared" si="1"/>
        <v>1387.289</v>
      </c>
      <c r="W7" s="35">
        <f t="shared" si="1"/>
        <v>1445.489</v>
      </c>
      <c r="X7" s="35">
        <f t="shared" si="1"/>
        <v>1527.2890000000002</v>
      </c>
      <c r="Y7" s="35">
        <f t="shared" si="1"/>
        <v>1701.3889999999999</v>
      </c>
      <c r="Z7" s="35">
        <f t="shared" si="1"/>
        <v>1781.8890000000001</v>
      </c>
      <c r="AA7" s="35">
        <f t="shared" si="1"/>
        <v>1726.5889999999999</v>
      </c>
      <c r="AB7" s="35">
        <f t="shared" si="1"/>
        <v>1612.0890000000002</v>
      </c>
      <c r="AC7" s="35">
        <f t="shared" si="1"/>
        <v>1388.789</v>
      </c>
      <c r="AD7" s="35">
        <f t="shared" si="1"/>
        <v>1351.789</v>
      </c>
      <c r="AE7" s="35">
        <f t="shared" si="1"/>
        <v>1296.789</v>
      </c>
      <c r="AF7" s="35">
        <f t="shared" si="1"/>
        <v>1196.789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1606.39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1606.39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26.1</v>
      </c>
      <c r="C11" s="46">
        <v>26.1</v>
      </c>
      <c r="D11" s="46">
        <v>26.1</v>
      </c>
      <c r="E11" s="46">
        <v>25.7</v>
      </c>
      <c r="F11" s="46">
        <v>25.7</v>
      </c>
      <c r="G11" s="46">
        <v>24.7</v>
      </c>
      <c r="H11" s="46">
        <v>22.4</v>
      </c>
      <c r="I11" s="46">
        <v>22.4</v>
      </c>
      <c r="J11" s="46">
        <v>22.4</v>
      </c>
      <c r="K11" s="46">
        <v>23.7</v>
      </c>
      <c r="L11" s="46">
        <v>23.7</v>
      </c>
      <c r="M11" s="46">
        <v>23.7</v>
      </c>
      <c r="N11" s="46">
        <v>23.7</v>
      </c>
      <c r="O11" s="46">
        <v>23.7</v>
      </c>
      <c r="P11" s="46">
        <v>23.998999999999999</v>
      </c>
      <c r="Q11" s="46">
        <v>23.998999999999999</v>
      </c>
      <c r="R11" s="46">
        <v>23.998999999999999</v>
      </c>
      <c r="S11" s="46">
        <v>23.998999999999999</v>
      </c>
      <c r="T11" s="46">
        <v>23.998999999999999</v>
      </c>
      <c r="U11" s="46" t="s">
        <v>295</v>
      </c>
      <c r="V11" s="46">
        <v>23.998999999999999</v>
      </c>
      <c r="W11" s="46">
        <v>23.998999999999999</v>
      </c>
      <c r="X11" s="46">
        <v>23.998999999999999</v>
      </c>
      <c r="Y11" s="46">
        <v>23.998999999999999</v>
      </c>
      <c r="Z11" s="46">
        <v>23.998999999999999</v>
      </c>
      <c r="AA11" s="46">
        <v>23.998999999999999</v>
      </c>
      <c r="AB11" s="46">
        <v>23.998999999999999</v>
      </c>
      <c r="AC11" s="46">
        <v>23.998999999999999</v>
      </c>
      <c r="AD11" s="46">
        <v>23.998999999999999</v>
      </c>
      <c r="AE11" s="46">
        <v>23.998999999999999</v>
      </c>
      <c r="AF11" s="46">
        <v>23.998999999999999</v>
      </c>
      <c r="AG11" s="47">
        <v>86</v>
      </c>
      <c r="AH11" s="48">
        <f t="shared" ref="AH11:AH16" si="2">MAX(B11:AF11)</f>
        <v>26.1</v>
      </c>
      <c r="AI11" s="49">
        <f t="shared" ref="AI11:AI16" si="3">MIN(B11:AF11)</f>
        <v>22.4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8</v>
      </c>
      <c r="C12" s="46">
        <v>8</v>
      </c>
      <c r="D12" s="46">
        <v>8</v>
      </c>
      <c r="E12" s="46">
        <v>8</v>
      </c>
      <c r="F12" s="46">
        <v>8</v>
      </c>
      <c r="G12" s="46">
        <v>8</v>
      </c>
      <c r="H12" s="46">
        <v>8</v>
      </c>
      <c r="I12" s="46">
        <v>8</v>
      </c>
      <c r="J12" s="46">
        <v>8</v>
      </c>
      <c r="K12" s="46">
        <v>8</v>
      </c>
      <c r="L12" s="46">
        <v>8</v>
      </c>
      <c r="M12" s="46">
        <v>8</v>
      </c>
      <c r="N12" s="46">
        <v>8</v>
      </c>
      <c r="O12" s="46">
        <v>8</v>
      </c>
      <c r="P12" s="46">
        <v>8</v>
      </c>
      <c r="Q12" s="46">
        <v>8</v>
      </c>
      <c r="R12" s="46">
        <v>8</v>
      </c>
      <c r="S12" s="46">
        <v>8</v>
      </c>
      <c r="T12" s="46">
        <v>8</v>
      </c>
      <c r="U12" s="46" t="s">
        <v>296</v>
      </c>
      <c r="V12" s="46">
        <v>8</v>
      </c>
      <c r="W12" s="46">
        <v>8</v>
      </c>
      <c r="X12" s="46">
        <v>8</v>
      </c>
      <c r="Y12" s="46">
        <v>8</v>
      </c>
      <c r="Z12" s="46">
        <v>8</v>
      </c>
      <c r="AA12" s="46">
        <v>8</v>
      </c>
      <c r="AB12" s="46">
        <v>8</v>
      </c>
      <c r="AC12" s="46">
        <v>8</v>
      </c>
      <c r="AD12" s="46">
        <v>8</v>
      </c>
      <c r="AE12" s="46">
        <v>8</v>
      </c>
      <c r="AF12" s="46">
        <v>8</v>
      </c>
      <c r="AG12" s="50">
        <v>54</v>
      </c>
      <c r="AH12" s="48">
        <f t="shared" si="2"/>
        <v>8</v>
      </c>
      <c r="AI12" s="49">
        <f t="shared" si="3"/>
        <v>8</v>
      </c>
      <c r="AK12" s="51"/>
      <c r="AL12" s="52" t="str">
        <f ca="1">MID(CELL("filename",C7),FIND("]",CELL("filename",C7))+1,600)</f>
        <v>3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9.6</v>
      </c>
      <c r="C13" s="46">
        <v>9.6</v>
      </c>
      <c r="D13" s="46">
        <v>9.6</v>
      </c>
      <c r="E13" s="46">
        <v>9.6</v>
      </c>
      <c r="F13" s="46">
        <v>9.6</v>
      </c>
      <c r="G13" s="46">
        <v>9.6</v>
      </c>
      <c r="H13" s="46">
        <v>9.6</v>
      </c>
      <c r="I13" s="46">
        <v>9.6</v>
      </c>
      <c r="J13" s="46">
        <v>9.6</v>
      </c>
      <c r="K13" s="46">
        <v>9.6</v>
      </c>
      <c r="L13" s="46">
        <v>9.6</v>
      </c>
      <c r="M13" s="46">
        <v>9.6</v>
      </c>
      <c r="N13" s="46">
        <v>9.6</v>
      </c>
      <c r="O13" s="46">
        <v>9.6</v>
      </c>
      <c r="P13" s="46">
        <v>9.6</v>
      </c>
      <c r="Q13" s="46">
        <v>9.6</v>
      </c>
      <c r="R13" s="46">
        <v>9.6</v>
      </c>
      <c r="S13" s="46">
        <v>9.6</v>
      </c>
      <c r="T13" s="46">
        <v>9.6</v>
      </c>
      <c r="U13" s="46" t="s">
        <v>295</v>
      </c>
      <c r="V13" s="46">
        <v>9.6</v>
      </c>
      <c r="W13" s="46">
        <v>9.6</v>
      </c>
      <c r="X13" s="46">
        <v>9.6</v>
      </c>
      <c r="Y13" s="46">
        <v>9.6</v>
      </c>
      <c r="Z13" s="46">
        <v>9.6</v>
      </c>
      <c r="AA13" s="46">
        <v>9.6</v>
      </c>
      <c r="AB13" s="46">
        <v>9.6</v>
      </c>
      <c r="AC13" s="46">
        <v>9.6</v>
      </c>
      <c r="AD13" s="46">
        <v>9.6</v>
      </c>
      <c r="AE13" s="46">
        <v>9.6</v>
      </c>
      <c r="AF13" s="46">
        <v>9.6</v>
      </c>
      <c r="AG13" s="50">
        <v>54</v>
      </c>
      <c r="AH13" s="48">
        <f t="shared" si="2"/>
        <v>9.6</v>
      </c>
      <c r="AI13" s="49">
        <f t="shared" si="3"/>
        <v>9.6</v>
      </c>
      <c r="AK13" s="51"/>
      <c r="AL13" s="52" t="str">
        <f ca="1">"Daily Load Curve(Excluding of Export) of Nepal ("&amp;A4&amp;" "&amp;B4&amp;")"</f>
        <v>Daily Load Curve(Excluding of Export) of Nepal (Nepali Date: 2080/10/3)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14.2</v>
      </c>
      <c r="C14" s="46">
        <v>14.2</v>
      </c>
      <c r="D14" s="46">
        <v>14.2</v>
      </c>
      <c r="E14" s="46">
        <v>14.2</v>
      </c>
      <c r="F14" s="46">
        <v>14.2</v>
      </c>
      <c r="G14" s="46">
        <v>14.2</v>
      </c>
      <c r="H14" s="46">
        <v>14.2</v>
      </c>
      <c r="I14" s="46">
        <v>14.2</v>
      </c>
      <c r="J14" s="46">
        <v>14.2</v>
      </c>
      <c r="K14" s="46">
        <v>14.2</v>
      </c>
      <c r="L14" s="46">
        <v>14.2</v>
      </c>
      <c r="M14" s="46">
        <v>14.2</v>
      </c>
      <c r="N14" s="46">
        <v>14.2</v>
      </c>
      <c r="O14" s="46">
        <v>14.2</v>
      </c>
      <c r="P14" s="46">
        <v>14.2</v>
      </c>
      <c r="Q14" s="46">
        <v>14.2</v>
      </c>
      <c r="R14" s="46">
        <v>14.2</v>
      </c>
      <c r="S14" s="46">
        <v>14.2</v>
      </c>
      <c r="T14" s="46">
        <v>14.2</v>
      </c>
      <c r="U14" s="46" t="s">
        <v>297</v>
      </c>
      <c r="V14" s="46">
        <v>14.2</v>
      </c>
      <c r="W14" s="46">
        <v>14.2</v>
      </c>
      <c r="X14" s="46">
        <v>14.2</v>
      </c>
      <c r="Y14" s="46">
        <v>14.2</v>
      </c>
      <c r="Z14" s="46">
        <v>14.2</v>
      </c>
      <c r="AA14" s="46">
        <v>14.2</v>
      </c>
      <c r="AB14" s="46">
        <v>14.2</v>
      </c>
      <c r="AC14" s="46">
        <v>14.2</v>
      </c>
      <c r="AD14" s="46">
        <v>14.2</v>
      </c>
      <c r="AE14" s="46">
        <v>14.2</v>
      </c>
      <c r="AF14" s="46">
        <v>14.2</v>
      </c>
      <c r="AG14" s="47">
        <v>52.4</v>
      </c>
      <c r="AH14" s="48">
        <f t="shared" si="2"/>
        <v>14.2</v>
      </c>
      <c r="AI14" s="49">
        <f t="shared" si="3"/>
        <v>14.2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28.1</v>
      </c>
      <c r="C15" s="46">
        <v>28.1</v>
      </c>
      <c r="D15" s="46">
        <v>28.1</v>
      </c>
      <c r="E15" s="46">
        <v>28.1</v>
      </c>
      <c r="F15" s="46">
        <v>28.1</v>
      </c>
      <c r="G15" s="46">
        <v>28.1</v>
      </c>
      <c r="H15" s="46">
        <v>28.1</v>
      </c>
      <c r="I15" s="46">
        <v>28.1</v>
      </c>
      <c r="J15" s="46">
        <v>28.1</v>
      </c>
      <c r="K15" s="46">
        <v>28.1</v>
      </c>
      <c r="L15" s="46">
        <v>28.1</v>
      </c>
      <c r="M15" s="46">
        <v>28.1</v>
      </c>
      <c r="N15" s="46">
        <v>28.1</v>
      </c>
      <c r="O15" s="46">
        <v>28.1</v>
      </c>
      <c r="P15" s="46">
        <v>28.1</v>
      </c>
      <c r="Q15" s="46">
        <v>28.1</v>
      </c>
      <c r="R15" s="46">
        <v>28.1</v>
      </c>
      <c r="S15" s="46">
        <v>28.1</v>
      </c>
      <c r="T15" s="46">
        <v>28.1</v>
      </c>
      <c r="U15" s="46" t="s">
        <v>298</v>
      </c>
      <c r="V15" s="46">
        <v>28.1</v>
      </c>
      <c r="W15" s="46">
        <v>28.1</v>
      </c>
      <c r="X15" s="46">
        <v>28.1</v>
      </c>
      <c r="Y15" s="46">
        <v>28.1</v>
      </c>
      <c r="Z15" s="46">
        <v>28.1</v>
      </c>
      <c r="AA15" s="46">
        <v>28.1</v>
      </c>
      <c r="AB15" s="46">
        <v>28.1</v>
      </c>
      <c r="AC15" s="46">
        <v>28.1</v>
      </c>
      <c r="AD15" s="46">
        <v>28.1</v>
      </c>
      <c r="AE15" s="46">
        <v>28.1</v>
      </c>
      <c r="AF15" s="46">
        <v>28.1</v>
      </c>
      <c r="AG15" s="50">
        <v>50</v>
      </c>
      <c r="AH15" s="48">
        <f t="shared" si="2"/>
        <v>28.1</v>
      </c>
      <c r="AI15" s="49">
        <f t="shared" si="3"/>
        <v>28.1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16.5</v>
      </c>
      <c r="C16" s="46">
        <v>16.5</v>
      </c>
      <c r="D16" s="46">
        <v>16.5</v>
      </c>
      <c r="E16" s="46">
        <v>16.5</v>
      </c>
      <c r="F16" s="46">
        <v>16.5</v>
      </c>
      <c r="G16" s="46">
        <v>16.5</v>
      </c>
      <c r="H16" s="46">
        <v>16.5</v>
      </c>
      <c r="I16" s="46">
        <v>16.5</v>
      </c>
      <c r="J16" s="46">
        <v>16.5</v>
      </c>
      <c r="K16" s="46">
        <v>16.5</v>
      </c>
      <c r="L16" s="46">
        <v>16.5</v>
      </c>
      <c r="M16" s="46">
        <v>16.5</v>
      </c>
      <c r="N16" s="46">
        <v>16.5</v>
      </c>
      <c r="O16" s="46">
        <v>16.5</v>
      </c>
      <c r="P16" s="46">
        <v>16.5</v>
      </c>
      <c r="Q16" s="46">
        <v>16.5</v>
      </c>
      <c r="R16" s="46">
        <v>16.5</v>
      </c>
      <c r="S16" s="46">
        <v>16.5</v>
      </c>
      <c r="T16" s="46">
        <v>16.5</v>
      </c>
      <c r="U16" s="46" t="s">
        <v>299</v>
      </c>
      <c r="V16" s="46">
        <v>16.5</v>
      </c>
      <c r="W16" s="46">
        <v>16.5</v>
      </c>
      <c r="X16" s="46">
        <v>16.5</v>
      </c>
      <c r="Y16" s="46">
        <v>16.5</v>
      </c>
      <c r="Z16" s="46">
        <v>16.5</v>
      </c>
      <c r="AA16" s="46">
        <v>16.5</v>
      </c>
      <c r="AB16" s="46">
        <v>16.5</v>
      </c>
      <c r="AC16" s="46">
        <v>16.5</v>
      </c>
      <c r="AD16" s="46">
        <v>16.5</v>
      </c>
      <c r="AE16" s="46">
        <v>16.5</v>
      </c>
      <c r="AF16" s="46">
        <v>16.5</v>
      </c>
      <c r="AG16" s="50">
        <v>45</v>
      </c>
      <c r="AH16" s="48">
        <f t="shared" si="2"/>
        <v>16.5</v>
      </c>
      <c r="AI16" s="49">
        <f t="shared" si="3"/>
        <v>16.5</v>
      </c>
      <c r="AK16" s="51"/>
      <c r="AL16" s="54" t="s">
        <v>7</v>
      </c>
      <c r="AM16" s="59">
        <f>B58</f>
        <v>463.35</v>
      </c>
      <c r="AN16" s="59">
        <f t="shared" ref="AN16:AR16" si="4">C58</f>
        <v>463.35</v>
      </c>
      <c r="AO16" s="59">
        <f t="shared" si="4"/>
        <v>463.35</v>
      </c>
      <c r="AP16" s="59">
        <f t="shared" si="4"/>
        <v>462.95000000000005</v>
      </c>
      <c r="AQ16" s="59">
        <f t="shared" si="4"/>
        <v>462.95000000000005</v>
      </c>
      <c r="AR16" s="59">
        <f t="shared" si="4"/>
        <v>461.95000000000005</v>
      </c>
      <c r="AS16" s="59">
        <f>I58</f>
        <v>459.65000000000003</v>
      </c>
      <c r="AT16" s="59">
        <f>K58</f>
        <v>460.95000000000005</v>
      </c>
      <c r="AU16" s="59">
        <f t="shared" ref="AU16:AX16" si="5">M58</f>
        <v>460.95000000000005</v>
      </c>
      <c r="AV16" s="59">
        <f t="shared" si="5"/>
        <v>460.95000000000005</v>
      </c>
      <c r="AW16" s="59">
        <f t="shared" si="5"/>
        <v>460.95000000000005</v>
      </c>
      <c r="AX16" s="59">
        <f t="shared" si="5"/>
        <v>461.24900000000002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14</v>
      </c>
      <c r="C17" s="46">
        <v>14</v>
      </c>
      <c r="D17" s="46">
        <v>14</v>
      </c>
      <c r="E17" s="46">
        <v>14</v>
      </c>
      <c r="F17" s="46">
        <v>14</v>
      </c>
      <c r="G17" s="46">
        <v>14</v>
      </c>
      <c r="H17" s="46">
        <v>14</v>
      </c>
      <c r="I17" s="46">
        <v>14</v>
      </c>
      <c r="J17" s="46">
        <v>14</v>
      </c>
      <c r="K17" s="46">
        <v>14</v>
      </c>
      <c r="L17" s="46">
        <v>14</v>
      </c>
      <c r="M17" s="46">
        <v>14</v>
      </c>
      <c r="N17" s="46">
        <v>14</v>
      </c>
      <c r="O17" s="46">
        <v>14</v>
      </c>
      <c r="P17" s="46">
        <v>14</v>
      </c>
      <c r="Q17" s="46">
        <v>14</v>
      </c>
      <c r="R17" s="46">
        <v>14</v>
      </c>
      <c r="S17" s="46">
        <v>14</v>
      </c>
      <c r="T17" s="46">
        <v>14</v>
      </c>
      <c r="U17" s="46"/>
      <c r="V17" s="46">
        <v>14</v>
      </c>
      <c r="W17" s="46">
        <v>14</v>
      </c>
      <c r="X17" s="46">
        <v>14</v>
      </c>
      <c r="Y17" s="46">
        <v>14</v>
      </c>
      <c r="Z17" s="46">
        <v>14</v>
      </c>
      <c r="AA17" s="46">
        <v>14</v>
      </c>
      <c r="AB17" s="46">
        <v>14</v>
      </c>
      <c r="AC17" s="46">
        <v>14</v>
      </c>
      <c r="AD17" s="46">
        <v>14</v>
      </c>
      <c r="AE17" s="46">
        <v>14</v>
      </c>
      <c r="AF17" s="46">
        <v>14</v>
      </c>
      <c r="AG17" s="50">
        <v>44</v>
      </c>
      <c r="AH17" s="48">
        <f>MAX(B17:AG17)</f>
        <v>44</v>
      </c>
      <c r="AI17" s="49">
        <f>MIN(B17:AG17)</f>
        <v>14</v>
      </c>
      <c r="AK17" s="51"/>
      <c r="AL17" s="54" t="s">
        <v>27</v>
      </c>
      <c r="AM17" s="59">
        <f>B62</f>
        <v>93.4</v>
      </c>
      <c r="AN17" s="59">
        <f t="shared" ref="AN17:AR17" si="6">C62</f>
        <v>37</v>
      </c>
      <c r="AO17" s="59">
        <f t="shared" si="6"/>
        <v>37</v>
      </c>
      <c r="AP17" s="59">
        <f t="shared" si="6"/>
        <v>37</v>
      </c>
      <c r="AQ17" s="59">
        <f t="shared" si="6"/>
        <v>37</v>
      </c>
      <c r="AR17" s="59">
        <f t="shared" si="6"/>
        <v>37</v>
      </c>
      <c r="AS17" s="59">
        <f>I62</f>
        <v>67</v>
      </c>
      <c r="AT17" s="59">
        <f>K62</f>
        <v>317</v>
      </c>
      <c r="AU17" s="59">
        <f t="shared" ref="AU17:AX17" si="7">M62</f>
        <v>207</v>
      </c>
      <c r="AV17" s="59">
        <f t="shared" si="7"/>
        <v>137</v>
      </c>
      <c r="AW17" s="59">
        <f t="shared" si="7"/>
        <v>52</v>
      </c>
      <c r="AX17" s="59">
        <f t="shared" si="7"/>
        <v>37.200000000000003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8</v>
      </c>
      <c r="C18" s="46">
        <v>8</v>
      </c>
      <c r="D18" s="46">
        <v>8</v>
      </c>
      <c r="E18" s="46">
        <v>8</v>
      </c>
      <c r="F18" s="46">
        <v>8</v>
      </c>
      <c r="G18" s="46">
        <v>8</v>
      </c>
      <c r="H18" s="46">
        <v>8</v>
      </c>
      <c r="I18" s="46">
        <v>8</v>
      </c>
      <c r="J18" s="46">
        <v>8</v>
      </c>
      <c r="K18" s="46">
        <v>8</v>
      </c>
      <c r="L18" s="46">
        <v>8</v>
      </c>
      <c r="M18" s="46">
        <v>8</v>
      </c>
      <c r="N18" s="46">
        <v>8</v>
      </c>
      <c r="O18" s="46">
        <v>8</v>
      </c>
      <c r="P18" s="46">
        <v>8</v>
      </c>
      <c r="Q18" s="46">
        <v>8</v>
      </c>
      <c r="R18" s="46">
        <v>8</v>
      </c>
      <c r="S18" s="46">
        <v>8</v>
      </c>
      <c r="T18" s="46">
        <v>8</v>
      </c>
      <c r="U18" s="46" t="s">
        <v>300</v>
      </c>
      <c r="V18" s="46">
        <v>8</v>
      </c>
      <c r="W18" s="46">
        <v>8</v>
      </c>
      <c r="X18" s="46">
        <v>8</v>
      </c>
      <c r="Y18" s="46">
        <v>8</v>
      </c>
      <c r="Z18" s="46">
        <v>8</v>
      </c>
      <c r="AA18" s="46">
        <v>8</v>
      </c>
      <c r="AB18" s="46">
        <v>8</v>
      </c>
      <c r="AC18" s="46">
        <v>8</v>
      </c>
      <c r="AD18" s="46">
        <v>8</v>
      </c>
      <c r="AE18" s="46">
        <v>8</v>
      </c>
      <c r="AF18" s="46">
        <v>8</v>
      </c>
      <c r="AG18" s="50">
        <v>42</v>
      </c>
      <c r="AH18" s="48">
        <f t="shared" ref="AH18:AH81" si="8">MAX(B18:AF18)</f>
        <v>8</v>
      </c>
      <c r="AI18" s="49">
        <f t="shared" ref="AI18:AI81" si="9">MIN(B18:AF18)</f>
        <v>8</v>
      </c>
      <c r="AK18" s="51"/>
      <c r="AL18" s="54" t="s">
        <v>29</v>
      </c>
      <c r="AM18" s="59">
        <f>B76</f>
        <v>140.94</v>
      </c>
      <c r="AN18" s="59">
        <f t="shared" ref="AN18:AR18" si="10">C76</f>
        <v>92.34</v>
      </c>
      <c r="AO18" s="59">
        <f t="shared" si="10"/>
        <v>113.84</v>
      </c>
      <c r="AP18" s="59">
        <f t="shared" si="10"/>
        <v>113.84</v>
      </c>
      <c r="AQ18" s="59">
        <f t="shared" si="10"/>
        <v>90.84</v>
      </c>
      <c r="AR18" s="59">
        <f t="shared" si="10"/>
        <v>90.84</v>
      </c>
      <c r="AS18" s="59">
        <f>I76</f>
        <v>179.84</v>
      </c>
      <c r="AT18" s="59">
        <f>K76</f>
        <v>270.44</v>
      </c>
      <c r="AU18" s="59">
        <f t="shared" ref="AU18:AX18" si="11">M76</f>
        <v>273.94</v>
      </c>
      <c r="AV18" s="59">
        <f t="shared" si="11"/>
        <v>274.64</v>
      </c>
      <c r="AW18" s="59">
        <f t="shared" si="11"/>
        <v>280.64</v>
      </c>
      <c r="AX18" s="59">
        <f t="shared" si="11"/>
        <v>200.74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11</v>
      </c>
      <c r="C19" s="46">
        <v>11</v>
      </c>
      <c r="D19" s="46">
        <v>11</v>
      </c>
      <c r="E19" s="46">
        <v>11</v>
      </c>
      <c r="F19" s="46">
        <v>11</v>
      </c>
      <c r="G19" s="46">
        <v>11</v>
      </c>
      <c r="H19" s="46">
        <v>11</v>
      </c>
      <c r="I19" s="46">
        <v>11</v>
      </c>
      <c r="J19" s="46">
        <v>11</v>
      </c>
      <c r="K19" s="46">
        <v>11</v>
      </c>
      <c r="L19" s="46">
        <v>11</v>
      </c>
      <c r="M19" s="46">
        <v>11</v>
      </c>
      <c r="N19" s="46">
        <v>11</v>
      </c>
      <c r="O19" s="46">
        <v>11</v>
      </c>
      <c r="P19" s="46">
        <v>11</v>
      </c>
      <c r="Q19" s="46">
        <v>11</v>
      </c>
      <c r="R19" s="46">
        <v>11</v>
      </c>
      <c r="S19" s="46">
        <v>11</v>
      </c>
      <c r="T19" s="46">
        <v>11</v>
      </c>
      <c r="U19" s="46" t="s">
        <v>301</v>
      </c>
      <c r="V19" s="46">
        <v>11</v>
      </c>
      <c r="W19" s="46">
        <v>11</v>
      </c>
      <c r="X19" s="46">
        <v>11</v>
      </c>
      <c r="Y19" s="46">
        <v>11</v>
      </c>
      <c r="Z19" s="46">
        <v>11</v>
      </c>
      <c r="AA19" s="46">
        <v>11</v>
      </c>
      <c r="AB19" s="46">
        <v>11</v>
      </c>
      <c r="AC19" s="46">
        <v>11</v>
      </c>
      <c r="AD19" s="46">
        <v>11</v>
      </c>
      <c r="AE19" s="46">
        <v>11</v>
      </c>
      <c r="AF19" s="46">
        <v>11</v>
      </c>
      <c r="AG19" s="50">
        <v>38.46</v>
      </c>
      <c r="AH19" s="48">
        <f t="shared" si="8"/>
        <v>11</v>
      </c>
      <c r="AI19" s="49">
        <f t="shared" si="9"/>
        <v>11</v>
      </c>
      <c r="AK19" s="51"/>
      <c r="AL19" s="54" t="s">
        <v>31</v>
      </c>
      <c r="AM19" s="59">
        <f>B92</f>
        <v>590.5</v>
      </c>
      <c r="AN19" s="59">
        <f t="shared" ref="AN19:AR19" si="12">C92</f>
        <v>648.59999999999991</v>
      </c>
      <c r="AO19" s="59">
        <f t="shared" si="12"/>
        <v>656.9</v>
      </c>
      <c r="AP19" s="59">
        <f t="shared" si="12"/>
        <v>623.20000000000005</v>
      </c>
      <c r="AQ19" s="59">
        <f t="shared" si="12"/>
        <v>685.7</v>
      </c>
      <c r="AR19" s="59">
        <f t="shared" si="12"/>
        <v>696.6</v>
      </c>
      <c r="AS19" s="59">
        <f>I92</f>
        <v>654</v>
      </c>
      <c r="AT19" s="59">
        <f>K92</f>
        <v>189</v>
      </c>
      <c r="AU19" s="59">
        <f t="shared" ref="AU19:AX19" si="13">M92</f>
        <v>377</v>
      </c>
      <c r="AV19" s="59">
        <f t="shared" si="13"/>
        <v>446.6</v>
      </c>
      <c r="AW19" s="59">
        <f t="shared" si="13"/>
        <v>562.79999999999995</v>
      </c>
      <c r="AX19" s="59">
        <f t="shared" si="13"/>
        <v>585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7.8</v>
      </c>
      <c r="C20" s="46">
        <v>7.8</v>
      </c>
      <c r="D20" s="46">
        <v>7.8</v>
      </c>
      <c r="E20" s="46">
        <v>7.8</v>
      </c>
      <c r="F20" s="46">
        <v>7.8</v>
      </c>
      <c r="G20" s="46">
        <v>7.8</v>
      </c>
      <c r="H20" s="46">
        <v>7.8</v>
      </c>
      <c r="I20" s="46">
        <v>7.8</v>
      </c>
      <c r="J20" s="46">
        <v>7.8</v>
      </c>
      <c r="K20" s="46">
        <v>7.8</v>
      </c>
      <c r="L20" s="46">
        <v>7.8</v>
      </c>
      <c r="M20" s="46">
        <v>7.8</v>
      </c>
      <c r="N20" s="46">
        <v>7.8</v>
      </c>
      <c r="O20" s="46">
        <v>7.8</v>
      </c>
      <c r="P20" s="46">
        <v>7.8</v>
      </c>
      <c r="Q20" s="46">
        <v>7.8</v>
      </c>
      <c r="R20" s="46">
        <v>7.8</v>
      </c>
      <c r="S20" s="46">
        <v>7.8</v>
      </c>
      <c r="T20" s="46">
        <v>7.8</v>
      </c>
      <c r="U20" s="46" t="s">
        <v>302</v>
      </c>
      <c r="V20" s="46">
        <v>7.8</v>
      </c>
      <c r="W20" s="46">
        <v>7.8</v>
      </c>
      <c r="X20" s="46">
        <v>7.8</v>
      </c>
      <c r="Y20" s="46">
        <v>7.8</v>
      </c>
      <c r="Z20" s="46">
        <v>7.8</v>
      </c>
      <c r="AA20" s="46">
        <v>7.8</v>
      </c>
      <c r="AB20" s="46">
        <v>7.8</v>
      </c>
      <c r="AC20" s="46">
        <v>7.8</v>
      </c>
      <c r="AD20" s="46">
        <v>7.8</v>
      </c>
      <c r="AE20" s="46">
        <v>7.8</v>
      </c>
      <c r="AF20" s="46">
        <v>7.8</v>
      </c>
      <c r="AG20" s="50">
        <v>38.46</v>
      </c>
      <c r="AH20" s="48">
        <f t="shared" si="8"/>
        <v>7.8</v>
      </c>
      <c r="AI20" s="49">
        <f t="shared" si="9"/>
        <v>7.8</v>
      </c>
      <c r="AK20" s="51"/>
      <c r="AL20" s="54" t="s">
        <v>33</v>
      </c>
      <c r="AM20" s="59">
        <f>B80</f>
        <v>0</v>
      </c>
      <c r="AN20" s="59">
        <f t="shared" ref="AN20:AR20" si="14">C80</f>
        <v>0</v>
      </c>
      <c r="AO20" s="59">
        <f t="shared" si="14"/>
        <v>0</v>
      </c>
      <c r="AP20" s="59">
        <f t="shared" si="14"/>
        <v>0</v>
      </c>
      <c r="AQ20" s="59">
        <f t="shared" si="14"/>
        <v>0</v>
      </c>
      <c r="AR20" s="59">
        <f t="shared" si="14"/>
        <v>0</v>
      </c>
      <c r="AS20" s="59">
        <f>I80</f>
        <v>0</v>
      </c>
      <c r="AT20" s="59">
        <f>K80</f>
        <v>0</v>
      </c>
      <c r="AU20" s="59">
        <f t="shared" ref="AU20:AX20" si="15">M80</f>
        <v>0</v>
      </c>
      <c r="AV20" s="59">
        <f t="shared" si="15"/>
        <v>0</v>
      </c>
      <c r="AW20" s="59">
        <f t="shared" si="15"/>
        <v>0</v>
      </c>
      <c r="AX20" s="59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13</v>
      </c>
      <c r="C21" s="46">
        <v>13</v>
      </c>
      <c r="D21" s="46">
        <v>13</v>
      </c>
      <c r="E21" s="46">
        <v>13</v>
      </c>
      <c r="F21" s="46">
        <v>13</v>
      </c>
      <c r="G21" s="46">
        <v>13</v>
      </c>
      <c r="H21" s="46">
        <v>13</v>
      </c>
      <c r="I21" s="46">
        <v>13</v>
      </c>
      <c r="J21" s="46">
        <v>13</v>
      </c>
      <c r="K21" s="46">
        <v>13</v>
      </c>
      <c r="L21" s="46">
        <v>13</v>
      </c>
      <c r="M21" s="46">
        <v>13</v>
      </c>
      <c r="N21" s="46">
        <v>13</v>
      </c>
      <c r="O21" s="46">
        <v>13</v>
      </c>
      <c r="P21" s="46">
        <v>13</v>
      </c>
      <c r="Q21" s="46">
        <v>13</v>
      </c>
      <c r="R21" s="46">
        <v>13</v>
      </c>
      <c r="S21" s="46">
        <v>13</v>
      </c>
      <c r="T21" s="46">
        <v>13</v>
      </c>
      <c r="U21" s="46" t="s">
        <v>302</v>
      </c>
      <c r="V21" s="46">
        <v>13</v>
      </c>
      <c r="W21" s="46">
        <v>13</v>
      </c>
      <c r="X21" s="46">
        <v>13</v>
      </c>
      <c r="Y21" s="46">
        <v>13</v>
      </c>
      <c r="Z21" s="46">
        <v>13</v>
      </c>
      <c r="AA21" s="46">
        <v>13</v>
      </c>
      <c r="AB21" s="46">
        <v>13</v>
      </c>
      <c r="AC21" s="46">
        <v>13</v>
      </c>
      <c r="AD21" s="46">
        <v>13</v>
      </c>
      <c r="AE21" s="46">
        <v>13</v>
      </c>
      <c r="AF21" s="46">
        <v>13</v>
      </c>
      <c r="AG21" s="50">
        <v>36</v>
      </c>
      <c r="AH21" s="48">
        <f t="shared" si="8"/>
        <v>13</v>
      </c>
      <c r="AI21" s="49">
        <f t="shared" si="9"/>
        <v>13</v>
      </c>
      <c r="AK21" s="51"/>
      <c r="AL21" s="54" t="s">
        <v>35</v>
      </c>
      <c r="AM21" s="59">
        <f>B98</f>
        <v>0</v>
      </c>
      <c r="AN21" s="59">
        <f t="shared" ref="AN21:AR21" si="16">C98</f>
        <v>0</v>
      </c>
      <c r="AO21" s="59">
        <f t="shared" si="16"/>
        <v>0</v>
      </c>
      <c r="AP21" s="59">
        <f t="shared" si="16"/>
        <v>0</v>
      </c>
      <c r="AQ21" s="59">
        <f t="shared" si="16"/>
        <v>0</v>
      </c>
      <c r="AR21" s="59">
        <f t="shared" si="16"/>
        <v>0</v>
      </c>
      <c r="AS21" s="59">
        <f>I98</f>
        <v>70</v>
      </c>
      <c r="AT21" s="59">
        <f>K98</f>
        <v>250</v>
      </c>
      <c r="AU21" s="59">
        <f t="shared" ref="AU21:AX21" si="17">M98</f>
        <v>250</v>
      </c>
      <c r="AV21" s="59">
        <f t="shared" si="17"/>
        <v>250</v>
      </c>
      <c r="AW21" s="59">
        <f t="shared" si="17"/>
        <v>250</v>
      </c>
      <c r="AX21" s="59">
        <f t="shared" si="17"/>
        <v>250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6.9</v>
      </c>
      <c r="C22" s="46">
        <v>6.9</v>
      </c>
      <c r="D22" s="46">
        <v>6.9</v>
      </c>
      <c r="E22" s="46">
        <v>6.9</v>
      </c>
      <c r="F22" s="46">
        <v>6.9</v>
      </c>
      <c r="G22" s="46">
        <v>6.9</v>
      </c>
      <c r="H22" s="46">
        <v>6.9</v>
      </c>
      <c r="I22" s="46">
        <v>6.9</v>
      </c>
      <c r="J22" s="46">
        <v>6.9</v>
      </c>
      <c r="K22" s="46">
        <v>6.9</v>
      </c>
      <c r="L22" s="46">
        <v>6.9</v>
      </c>
      <c r="M22" s="46">
        <v>6.9</v>
      </c>
      <c r="N22" s="46">
        <v>6.9</v>
      </c>
      <c r="O22" s="46">
        <v>6.9</v>
      </c>
      <c r="P22" s="46">
        <v>6.9</v>
      </c>
      <c r="Q22" s="46">
        <v>6.9</v>
      </c>
      <c r="R22" s="46">
        <v>6.9</v>
      </c>
      <c r="S22" s="46">
        <v>6.9</v>
      </c>
      <c r="T22" s="46">
        <v>6.9</v>
      </c>
      <c r="U22" s="46" t="s">
        <v>303</v>
      </c>
      <c r="V22" s="46">
        <v>6.9</v>
      </c>
      <c r="W22" s="46">
        <v>6.9</v>
      </c>
      <c r="X22" s="46">
        <v>6.9</v>
      </c>
      <c r="Y22" s="46">
        <v>6.9</v>
      </c>
      <c r="Z22" s="46">
        <v>6.9</v>
      </c>
      <c r="AA22" s="46">
        <v>6.9</v>
      </c>
      <c r="AB22" s="46">
        <v>6.9</v>
      </c>
      <c r="AC22" s="46">
        <v>6.9</v>
      </c>
      <c r="AD22" s="46">
        <v>6.9</v>
      </c>
      <c r="AE22" s="46">
        <v>6.9</v>
      </c>
      <c r="AF22" s="46">
        <v>6.9</v>
      </c>
      <c r="AG22" s="60">
        <v>30</v>
      </c>
      <c r="AH22" s="48">
        <f t="shared" si="8"/>
        <v>6.9</v>
      </c>
      <c r="AI22" s="49">
        <f t="shared" si="9"/>
        <v>6.9</v>
      </c>
      <c r="AK22" s="51"/>
      <c r="AL22" s="61" t="s">
        <v>37</v>
      </c>
      <c r="AM22" s="62">
        <f>SUM(AM16:AM21)</f>
        <v>1288.19</v>
      </c>
      <c r="AN22" s="62">
        <f t="shared" ref="AN22:AX22" si="18">SUM(AN16:AN21)</f>
        <v>1241.29</v>
      </c>
      <c r="AO22" s="62">
        <f t="shared" si="18"/>
        <v>1271.0900000000001</v>
      </c>
      <c r="AP22" s="62">
        <f t="shared" si="18"/>
        <v>1236.9900000000002</v>
      </c>
      <c r="AQ22" s="62">
        <f t="shared" si="18"/>
        <v>1276.4900000000002</v>
      </c>
      <c r="AR22" s="62">
        <f t="shared" si="18"/>
        <v>1286.3900000000001</v>
      </c>
      <c r="AS22" s="62">
        <f t="shared" si="18"/>
        <v>1430.4900000000002</v>
      </c>
      <c r="AT22" s="62">
        <f t="shared" si="18"/>
        <v>1487.39</v>
      </c>
      <c r="AU22" s="62">
        <f t="shared" si="18"/>
        <v>1568.89</v>
      </c>
      <c r="AV22" s="62">
        <f t="shared" si="18"/>
        <v>1569.19</v>
      </c>
      <c r="AW22" s="62">
        <f t="shared" si="18"/>
        <v>1606.3899999999999</v>
      </c>
      <c r="AX22" s="62">
        <f t="shared" si="18"/>
        <v>1534.1890000000001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5.5</v>
      </c>
      <c r="C23" s="46">
        <v>5.5</v>
      </c>
      <c r="D23" s="46">
        <v>5.5</v>
      </c>
      <c r="E23" s="46">
        <v>5.5</v>
      </c>
      <c r="F23" s="46">
        <v>5.5</v>
      </c>
      <c r="G23" s="46">
        <v>5.5</v>
      </c>
      <c r="H23" s="46">
        <v>5.5</v>
      </c>
      <c r="I23" s="46">
        <v>5.5</v>
      </c>
      <c r="J23" s="46">
        <v>5.5</v>
      </c>
      <c r="K23" s="46">
        <v>5.5</v>
      </c>
      <c r="L23" s="46">
        <v>5.5</v>
      </c>
      <c r="M23" s="46">
        <v>5.5</v>
      </c>
      <c r="N23" s="46">
        <v>5.5</v>
      </c>
      <c r="O23" s="46">
        <v>5.5</v>
      </c>
      <c r="P23" s="46">
        <v>5.5</v>
      </c>
      <c r="Q23" s="46">
        <v>5.5</v>
      </c>
      <c r="R23" s="46">
        <v>5.5</v>
      </c>
      <c r="S23" s="46">
        <v>5.5</v>
      </c>
      <c r="T23" s="46">
        <v>5.5</v>
      </c>
      <c r="U23" s="46" t="s">
        <v>295</v>
      </c>
      <c r="V23" s="46">
        <v>5.5</v>
      </c>
      <c r="W23" s="46">
        <v>5.5</v>
      </c>
      <c r="X23" s="46">
        <v>5.5</v>
      </c>
      <c r="Y23" s="46">
        <v>5.5</v>
      </c>
      <c r="Z23" s="46">
        <v>5.5</v>
      </c>
      <c r="AA23" s="46">
        <v>5.5</v>
      </c>
      <c r="AB23" s="46">
        <v>5.5</v>
      </c>
      <c r="AC23" s="46">
        <v>5.5</v>
      </c>
      <c r="AD23" s="46">
        <v>5.5</v>
      </c>
      <c r="AE23" s="46">
        <v>5.5</v>
      </c>
      <c r="AF23" s="46">
        <v>5.5</v>
      </c>
      <c r="AG23" s="50">
        <v>24.2</v>
      </c>
      <c r="AH23" s="48">
        <f t="shared" si="8"/>
        <v>5.5</v>
      </c>
      <c r="AI23" s="49">
        <f t="shared" si="9"/>
        <v>5.5</v>
      </c>
      <c r="AK23" s="51"/>
      <c r="AL23" s="61" t="s">
        <v>39</v>
      </c>
      <c r="AM23" s="62">
        <f>B107*-1</f>
        <v>0</v>
      </c>
      <c r="AN23" s="62">
        <f t="shared" ref="AN23:AR23" si="19">C107*-1</f>
        <v>0</v>
      </c>
      <c r="AO23" s="62">
        <f t="shared" si="19"/>
        <v>0</v>
      </c>
      <c r="AP23" s="62">
        <f t="shared" si="19"/>
        <v>0</v>
      </c>
      <c r="AQ23" s="62">
        <f t="shared" si="19"/>
        <v>0</v>
      </c>
      <c r="AR23" s="62">
        <f t="shared" si="19"/>
        <v>0</v>
      </c>
      <c r="AS23" s="62">
        <f>I107*-1</f>
        <v>0</v>
      </c>
      <c r="AT23" s="62">
        <f>K107*-1</f>
        <v>0</v>
      </c>
      <c r="AU23" s="62">
        <f t="shared" ref="AU23:AX23" si="20">M107*-1</f>
        <v>0</v>
      </c>
      <c r="AV23" s="62">
        <f t="shared" si="20"/>
        <v>0</v>
      </c>
      <c r="AW23" s="62">
        <f t="shared" si="20"/>
        <v>0</v>
      </c>
      <c r="AX23" s="62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7.4</v>
      </c>
      <c r="C24" s="46">
        <v>7.4</v>
      </c>
      <c r="D24" s="46">
        <v>7.4</v>
      </c>
      <c r="E24" s="46">
        <v>7.4</v>
      </c>
      <c r="F24" s="46">
        <v>7.4</v>
      </c>
      <c r="G24" s="46">
        <v>7.4</v>
      </c>
      <c r="H24" s="46">
        <v>7.4</v>
      </c>
      <c r="I24" s="46">
        <v>7.4</v>
      </c>
      <c r="J24" s="46">
        <v>7.4</v>
      </c>
      <c r="K24" s="46">
        <v>7.4</v>
      </c>
      <c r="L24" s="46">
        <v>7.4</v>
      </c>
      <c r="M24" s="46">
        <v>7.4</v>
      </c>
      <c r="N24" s="46">
        <v>7.4</v>
      </c>
      <c r="O24" s="46">
        <v>7.4</v>
      </c>
      <c r="P24" s="46">
        <v>7.4</v>
      </c>
      <c r="Q24" s="46">
        <v>7.4</v>
      </c>
      <c r="R24" s="46">
        <v>7.4</v>
      </c>
      <c r="S24" s="46">
        <v>7.4</v>
      </c>
      <c r="T24" s="46">
        <v>7.4</v>
      </c>
      <c r="U24" s="46" t="s">
        <v>304</v>
      </c>
      <c r="V24" s="46">
        <v>7.4</v>
      </c>
      <c r="W24" s="46">
        <v>7.4</v>
      </c>
      <c r="X24" s="46">
        <v>7.4</v>
      </c>
      <c r="Y24" s="46">
        <v>7.4</v>
      </c>
      <c r="Z24" s="46">
        <v>7.4</v>
      </c>
      <c r="AA24" s="46">
        <v>7.4</v>
      </c>
      <c r="AB24" s="46">
        <v>7.4</v>
      </c>
      <c r="AC24" s="46">
        <v>7.4</v>
      </c>
      <c r="AD24" s="46">
        <v>7.4</v>
      </c>
      <c r="AE24" s="46">
        <v>7.4</v>
      </c>
      <c r="AF24" s="46">
        <v>7.4</v>
      </c>
      <c r="AG24" s="50">
        <v>28</v>
      </c>
      <c r="AH24" s="48">
        <f t="shared" si="8"/>
        <v>7.4</v>
      </c>
      <c r="AI24" s="49">
        <f t="shared" si="9"/>
        <v>7.4</v>
      </c>
      <c r="AK24" s="51"/>
      <c r="AL24" s="61" t="s">
        <v>41</v>
      </c>
      <c r="AM24" s="62">
        <f>AM22+AM23</f>
        <v>1288.19</v>
      </c>
      <c r="AN24" s="62">
        <f t="shared" ref="AN24:AX24" si="21">AN22+AN23</f>
        <v>1241.29</v>
      </c>
      <c r="AO24" s="62">
        <f t="shared" si="21"/>
        <v>1271.0900000000001</v>
      </c>
      <c r="AP24" s="62">
        <f t="shared" si="21"/>
        <v>1236.9900000000002</v>
      </c>
      <c r="AQ24" s="62">
        <f t="shared" si="21"/>
        <v>1276.4900000000002</v>
      </c>
      <c r="AR24" s="62">
        <f t="shared" si="21"/>
        <v>1286.3900000000001</v>
      </c>
      <c r="AS24" s="62">
        <f t="shared" si="21"/>
        <v>1430.4900000000002</v>
      </c>
      <c r="AT24" s="62">
        <f t="shared" si="21"/>
        <v>1487.39</v>
      </c>
      <c r="AU24" s="62">
        <f t="shared" si="21"/>
        <v>1568.89</v>
      </c>
      <c r="AV24" s="62">
        <f t="shared" si="21"/>
        <v>1569.19</v>
      </c>
      <c r="AW24" s="62">
        <f t="shared" si="21"/>
        <v>1606.3899999999999</v>
      </c>
      <c r="AX24" s="62">
        <f t="shared" si="21"/>
        <v>1534.1890000000001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4.8</v>
      </c>
      <c r="C25" s="46">
        <v>4.8</v>
      </c>
      <c r="D25" s="46">
        <v>4.8</v>
      </c>
      <c r="E25" s="46">
        <v>4.8</v>
      </c>
      <c r="F25" s="46">
        <v>4.8</v>
      </c>
      <c r="G25" s="46">
        <v>4.8</v>
      </c>
      <c r="H25" s="46">
        <v>4.8</v>
      </c>
      <c r="I25" s="46">
        <v>4.8</v>
      </c>
      <c r="J25" s="46">
        <v>4.8</v>
      </c>
      <c r="K25" s="46">
        <v>4.8</v>
      </c>
      <c r="L25" s="46">
        <v>4.8</v>
      </c>
      <c r="M25" s="46">
        <v>4.8</v>
      </c>
      <c r="N25" s="46">
        <v>4.8</v>
      </c>
      <c r="O25" s="46">
        <v>4.8</v>
      </c>
      <c r="P25" s="46">
        <v>4.8</v>
      </c>
      <c r="Q25" s="46">
        <v>4.8</v>
      </c>
      <c r="R25" s="46">
        <v>4.8</v>
      </c>
      <c r="S25" s="46">
        <v>4.8</v>
      </c>
      <c r="T25" s="46">
        <v>4.8</v>
      </c>
      <c r="U25" s="46" t="s">
        <v>298</v>
      </c>
      <c r="V25" s="46">
        <v>4.8</v>
      </c>
      <c r="W25" s="46">
        <v>4.8</v>
      </c>
      <c r="X25" s="46">
        <v>4.8</v>
      </c>
      <c r="Y25" s="46">
        <v>4.8</v>
      </c>
      <c r="Z25" s="46">
        <v>4.8</v>
      </c>
      <c r="AA25" s="46">
        <v>4.8</v>
      </c>
      <c r="AB25" s="46">
        <v>4.8</v>
      </c>
      <c r="AC25" s="46">
        <v>4.8</v>
      </c>
      <c r="AD25" s="46">
        <v>4.8</v>
      </c>
      <c r="AE25" s="46">
        <v>4.8</v>
      </c>
      <c r="AF25" s="46">
        <v>4.8</v>
      </c>
      <c r="AG25" s="60">
        <v>30</v>
      </c>
      <c r="AH25" s="48">
        <f t="shared" si="8"/>
        <v>4.8</v>
      </c>
      <c r="AI25" s="49">
        <f t="shared" si="9"/>
        <v>4.8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8.6</v>
      </c>
      <c r="C26" s="46">
        <v>8.6</v>
      </c>
      <c r="D26" s="46">
        <v>8.6</v>
      </c>
      <c r="E26" s="46">
        <v>8.6</v>
      </c>
      <c r="F26" s="46">
        <v>8.6</v>
      </c>
      <c r="G26" s="46">
        <v>8.6</v>
      </c>
      <c r="H26" s="46">
        <v>8.6</v>
      </c>
      <c r="I26" s="46">
        <v>8.6</v>
      </c>
      <c r="J26" s="46">
        <v>8.6</v>
      </c>
      <c r="K26" s="46">
        <v>8.6</v>
      </c>
      <c r="L26" s="46">
        <v>8.6</v>
      </c>
      <c r="M26" s="46">
        <v>8.6</v>
      </c>
      <c r="N26" s="46">
        <v>8.6</v>
      </c>
      <c r="O26" s="46">
        <v>8.6</v>
      </c>
      <c r="P26" s="46">
        <v>8.6</v>
      </c>
      <c r="Q26" s="46">
        <v>8.6</v>
      </c>
      <c r="R26" s="46">
        <v>8.6</v>
      </c>
      <c r="S26" s="46">
        <v>8.6</v>
      </c>
      <c r="T26" s="46">
        <v>8.6</v>
      </c>
      <c r="U26" s="46"/>
      <c r="V26" s="46">
        <v>8.6</v>
      </c>
      <c r="W26" s="46">
        <v>8.6</v>
      </c>
      <c r="X26" s="46">
        <v>8.6</v>
      </c>
      <c r="Y26" s="46">
        <v>8.6</v>
      </c>
      <c r="Z26" s="46">
        <v>8.6</v>
      </c>
      <c r="AA26" s="46">
        <v>8.6</v>
      </c>
      <c r="AB26" s="46">
        <v>8.6</v>
      </c>
      <c r="AC26" s="46">
        <v>8.6</v>
      </c>
      <c r="AD26" s="46">
        <v>8.6</v>
      </c>
      <c r="AE26" s="46">
        <v>8.6</v>
      </c>
      <c r="AF26" s="46">
        <v>8.6</v>
      </c>
      <c r="AG26" s="50">
        <v>25</v>
      </c>
      <c r="AH26" s="48">
        <f t="shared" si="8"/>
        <v>8.6</v>
      </c>
      <c r="AI26" s="49">
        <f t="shared" si="9"/>
        <v>8.6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5</v>
      </c>
      <c r="N27" s="46">
        <v>5</v>
      </c>
      <c r="O27" s="46">
        <v>5</v>
      </c>
      <c r="P27" s="46">
        <v>5</v>
      </c>
      <c r="Q27" s="46">
        <v>5</v>
      </c>
      <c r="R27" s="46">
        <v>5</v>
      </c>
      <c r="S27" s="46">
        <v>5</v>
      </c>
      <c r="T27" s="46">
        <v>5</v>
      </c>
      <c r="U27" s="46"/>
      <c r="V27" s="46">
        <v>5</v>
      </c>
      <c r="W27" s="46">
        <v>5</v>
      </c>
      <c r="X27" s="46">
        <v>5</v>
      </c>
      <c r="Y27" s="46">
        <v>5</v>
      </c>
      <c r="Z27" s="46">
        <v>5</v>
      </c>
      <c r="AA27" s="46">
        <v>5</v>
      </c>
      <c r="AB27" s="46">
        <v>5</v>
      </c>
      <c r="AC27" s="46">
        <v>5</v>
      </c>
      <c r="AD27" s="46">
        <v>5</v>
      </c>
      <c r="AE27" s="46">
        <v>5</v>
      </c>
      <c r="AF27" s="46">
        <v>5</v>
      </c>
      <c r="AG27" s="50">
        <v>25</v>
      </c>
      <c r="AH27" s="48">
        <f t="shared" si="8"/>
        <v>5</v>
      </c>
      <c r="AI27" s="49">
        <f t="shared" si="9"/>
        <v>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6</v>
      </c>
      <c r="C28" s="46">
        <v>6</v>
      </c>
      <c r="D28" s="46">
        <v>6</v>
      </c>
      <c r="E28" s="46">
        <v>6</v>
      </c>
      <c r="F28" s="46">
        <v>6</v>
      </c>
      <c r="G28" s="46">
        <v>6</v>
      </c>
      <c r="H28" s="46">
        <v>6</v>
      </c>
      <c r="I28" s="46">
        <v>6</v>
      </c>
      <c r="J28" s="46">
        <v>6</v>
      </c>
      <c r="K28" s="46">
        <v>6</v>
      </c>
      <c r="L28" s="46">
        <v>6</v>
      </c>
      <c r="M28" s="46">
        <v>6</v>
      </c>
      <c r="N28" s="46">
        <v>6</v>
      </c>
      <c r="O28" s="46">
        <v>6</v>
      </c>
      <c r="P28" s="46">
        <v>6</v>
      </c>
      <c r="Q28" s="46">
        <v>6</v>
      </c>
      <c r="R28" s="46">
        <v>6</v>
      </c>
      <c r="S28" s="46">
        <v>6</v>
      </c>
      <c r="T28" s="46">
        <v>6</v>
      </c>
      <c r="U28" s="46"/>
      <c r="V28" s="46">
        <v>6</v>
      </c>
      <c r="W28" s="46">
        <v>6</v>
      </c>
      <c r="X28" s="46">
        <v>6</v>
      </c>
      <c r="Y28" s="46">
        <v>6</v>
      </c>
      <c r="Z28" s="46">
        <v>6</v>
      </c>
      <c r="AA28" s="46">
        <v>6</v>
      </c>
      <c r="AB28" s="46">
        <v>6</v>
      </c>
      <c r="AC28" s="46">
        <v>6</v>
      </c>
      <c r="AD28" s="46">
        <v>6</v>
      </c>
      <c r="AE28" s="46">
        <v>6</v>
      </c>
      <c r="AF28" s="46">
        <v>6</v>
      </c>
      <c r="AG28" s="50">
        <v>25</v>
      </c>
      <c r="AH28" s="48">
        <f t="shared" si="8"/>
        <v>6</v>
      </c>
      <c r="AI28" s="49">
        <f t="shared" si="9"/>
        <v>6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6.4</v>
      </c>
      <c r="C29" s="46">
        <v>6.4</v>
      </c>
      <c r="D29" s="46">
        <v>6.4</v>
      </c>
      <c r="E29" s="46">
        <v>6.4</v>
      </c>
      <c r="F29" s="46">
        <v>6.4</v>
      </c>
      <c r="G29" s="46">
        <v>6.4</v>
      </c>
      <c r="H29" s="46">
        <v>6.4</v>
      </c>
      <c r="I29" s="46">
        <v>6.4</v>
      </c>
      <c r="J29" s="46">
        <v>6.4</v>
      </c>
      <c r="K29" s="46">
        <v>6.4</v>
      </c>
      <c r="L29" s="46">
        <v>6.4</v>
      </c>
      <c r="M29" s="46">
        <v>6.4</v>
      </c>
      <c r="N29" s="46">
        <v>6.4</v>
      </c>
      <c r="O29" s="46">
        <v>6.4</v>
      </c>
      <c r="P29" s="46">
        <v>6.4</v>
      </c>
      <c r="Q29" s="46">
        <v>6.4</v>
      </c>
      <c r="R29" s="46">
        <v>6.4</v>
      </c>
      <c r="S29" s="46">
        <v>6.4</v>
      </c>
      <c r="T29" s="46">
        <v>6.4</v>
      </c>
      <c r="U29" s="46"/>
      <c r="V29" s="46">
        <v>6.4</v>
      </c>
      <c r="W29" s="46">
        <v>6.4</v>
      </c>
      <c r="X29" s="46">
        <v>6.4</v>
      </c>
      <c r="Y29" s="46">
        <v>6.4</v>
      </c>
      <c r="Z29" s="46">
        <v>6.4</v>
      </c>
      <c r="AA29" s="46">
        <v>6.4</v>
      </c>
      <c r="AB29" s="46">
        <v>6.4</v>
      </c>
      <c r="AC29" s="46">
        <v>6.4</v>
      </c>
      <c r="AD29" s="46">
        <v>6.4</v>
      </c>
      <c r="AE29" s="46">
        <v>6.4</v>
      </c>
      <c r="AF29" s="46">
        <v>6.4</v>
      </c>
      <c r="AG29" s="50">
        <v>25</v>
      </c>
      <c r="AH29" s="48">
        <f t="shared" si="8"/>
        <v>6.4</v>
      </c>
      <c r="AI29" s="49">
        <f t="shared" si="9"/>
        <v>6.4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6.6</v>
      </c>
      <c r="C30" s="46">
        <v>6.6</v>
      </c>
      <c r="D30" s="46">
        <v>6.6</v>
      </c>
      <c r="E30" s="46">
        <v>6.6</v>
      </c>
      <c r="F30" s="46">
        <v>6.6</v>
      </c>
      <c r="G30" s="46">
        <v>6.6</v>
      </c>
      <c r="H30" s="46">
        <v>6.6</v>
      </c>
      <c r="I30" s="46">
        <v>6.6</v>
      </c>
      <c r="J30" s="46">
        <v>6.6</v>
      </c>
      <c r="K30" s="46">
        <v>6.6</v>
      </c>
      <c r="L30" s="46">
        <v>6.6</v>
      </c>
      <c r="M30" s="46">
        <v>6.6</v>
      </c>
      <c r="N30" s="46">
        <v>6.6</v>
      </c>
      <c r="O30" s="46">
        <v>6.6</v>
      </c>
      <c r="P30" s="46">
        <v>6.6</v>
      </c>
      <c r="Q30" s="46">
        <v>6.6</v>
      </c>
      <c r="R30" s="46">
        <v>6.6</v>
      </c>
      <c r="S30" s="46">
        <v>6.6</v>
      </c>
      <c r="T30" s="46">
        <v>6.6</v>
      </c>
      <c r="U30" s="46"/>
      <c r="V30" s="46">
        <v>6.6</v>
      </c>
      <c r="W30" s="46">
        <v>6.6</v>
      </c>
      <c r="X30" s="46">
        <v>6.6</v>
      </c>
      <c r="Y30" s="46">
        <v>6.6</v>
      </c>
      <c r="Z30" s="46">
        <v>6.6</v>
      </c>
      <c r="AA30" s="46">
        <v>6.6</v>
      </c>
      <c r="AB30" s="46">
        <v>6.6</v>
      </c>
      <c r="AC30" s="46">
        <v>6.6</v>
      </c>
      <c r="AD30" s="46">
        <v>6.6</v>
      </c>
      <c r="AE30" s="46">
        <v>6.6</v>
      </c>
      <c r="AF30" s="46">
        <v>6.6</v>
      </c>
      <c r="AG30" s="50">
        <v>23.5</v>
      </c>
      <c r="AH30" s="48">
        <f t="shared" si="8"/>
        <v>6.6</v>
      </c>
      <c r="AI30" s="49">
        <f t="shared" si="9"/>
        <v>6.6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/>
      <c r="V31" s="46">
        <v>3</v>
      </c>
      <c r="W31" s="46">
        <v>3</v>
      </c>
      <c r="X31" s="46">
        <v>3</v>
      </c>
      <c r="Y31" s="46">
        <v>3</v>
      </c>
      <c r="Z31" s="46">
        <v>3</v>
      </c>
      <c r="AA31" s="46">
        <v>3</v>
      </c>
      <c r="AB31" s="46">
        <v>3</v>
      </c>
      <c r="AC31" s="46">
        <v>3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8"/>
        <v>3</v>
      </c>
      <c r="AI31" s="49">
        <f t="shared" si="9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5.5</v>
      </c>
      <c r="Q32" s="46">
        <v>5.5</v>
      </c>
      <c r="R32" s="46">
        <v>5.5</v>
      </c>
      <c r="S32" s="46">
        <v>5.5</v>
      </c>
      <c r="T32" s="46">
        <v>5.5</v>
      </c>
      <c r="U32" s="46"/>
      <c r="V32" s="46">
        <v>5.5</v>
      </c>
      <c r="W32" s="46">
        <v>5.5</v>
      </c>
      <c r="X32" s="46">
        <v>5.5</v>
      </c>
      <c r="Y32" s="46">
        <v>5.5</v>
      </c>
      <c r="Z32" s="46">
        <v>5.5</v>
      </c>
      <c r="AA32" s="46">
        <v>5.5</v>
      </c>
      <c r="AB32" s="46">
        <v>5.5</v>
      </c>
      <c r="AC32" s="46">
        <v>5.5</v>
      </c>
      <c r="AD32" s="46">
        <v>5.5</v>
      </c>
      <c r="AE32" s="46">
        <v>5.5</v>
      </c>
      <c r="AF32" s="46">
        <v>5.5</v>
      </c>
      <c r="AG32" s="50">
        <v>22.1</v>
      </c>
      <c r="AH32" s="48">
        <f t="shared" si="8"/>
        <v>5.5</v>
      </c>
      <c r="AI32" s="49">
        <f t="shared" si="9"/>
        <v>5.5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6</v>
      </c>
      <c r="C33" s="46">
        <v>6</v>
      </c>
      <c r="D33" s="46">
        <v>6</v>
      </c>
      <c r="E33" s="46">
        <v>6</v>
      </c>
      <c r="F33" s="46">
        <v>6</v>
      </c>
      <c r="G33" s="46">
        <v>6</v>
      </c>
      <c r="H33" s="46">
        <v>6</v>
      </c>
      <c r="I33" s="46">
        <v>6</v>
      </c>
      <c r="J33" s="46">
        <v>6</v>
      </c>
      <c r="K33" s="46">
        <v>6</v>
      </c>
      <c r="L33" s="46">
        <v>6</v>
      </c>
      <c r="M33" s="46">
        <v>6</v>
      </c>
      <c r="N33" s="46">
        <v>6</v>
      </c>
      <c r="O33" s="46">
        <v>6</v>
      </c>
      <c r="P33" s="46">
        <v>6</v>
      </c>
      <c r="Q33" s="46">
        <v>6</v>
      </c>
      <c r="R33" s="46">
        <v>6</v>
      </c>
      <c r="S33" s="46">
        <v>6</v>
      </c>
      <c r="T33" s="46">
        <v>6</v>
      </c>
      <c r="U33" s="46"/>
      <c r="V33" s="46">
        <v>6</v>
      </c>
      <c r="W33" s="46">
        <v>6</v>
      </c>
      <c r="X33" s="46">
        <v>6</v>
      </c>
      <c r="Y33" s="46">
        <v>6</v>
      </c>
      <c r="Z33" s="46">
        <v>6</v>
      </c>
      <c r="AA33" s="46">
        <v>6</v>
      </c>
      <c r="AB33" s="46">
        <v>6</v>
      </c>
      <c r="AC33" s="46">
        <v>6</v>
      </c>
      <c r="AD33" s="46">
        <v>6</v>
      </c>
      <c r="AE33" s="46">
        <v>6</v>
      </c>
      <c r="AF33" s="46">
        <v>6</v>
      </c>
      <c r="AG33" s="50">
        <v>22</v>
      </c>
      <c r="AH33" s="48">
        <f t="shared" si="8"/>
        <v>6</v>
      </c>
      <c r="AI33" s="49">
        <f t="shared" si="9"/>
        <v>6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9.9</v>
      </c>
      <c r="C34" s="46">
        <v>9.9</v>
      </c>
      <c r="D34" s="46">
        <v>9.9</v>
      </c>
      <c r="E34" s="46">
        <v>9.9</v>
      </c>
      <c r="F34" s="46">
        <v>9.9</v>
      </c>
      <c r="G34" s="46">
        <v>9.9</v>
      </c>
      <c r="H34" s="46">
        <v>9.9</v>
      </c>
      <c r="I34" s="46">
        <v>9.9</v>
      </c>
      <c r="J34" s="46">
        <v>9.9</v>
      </c>
      <c r="K34" s="46">
        <v>9.9</v>
      </c>
      <c r="L34" s="46">
        <v>9.9</v>
      </c>
      <c r="M34" s="46">
        <v>9.9</v>
      </c>
      <c r="N34" s="46">
        <v>9.9</v>
      </c>
      <c r="O34" s="46">
        <v>9.9</v>
      </c>
      <c r="P34" s="46">
        <v>9.9</v>
      </c>
      <c r="Q34" s="46">
        <v>9.9</v>
      </c>
      <c r="R34" s="46">
        <v>9.9</v>
      </c>
      <c r="S34" s="46">
        <v>9.9</v>
      </c>
      <c r="T34" s="46">
        <v>9.9</v>
      </c>
      <c r="U34" s="46"/>
      <c r="V34" s="46">
        <v>9.9</v>
      </c>
      <c r="W34" s="46">
        <v>9.9</v>
      </c>
      <c r="X34" s="46">
        <v>9.9</v>
      </c>
      <c r="Y34" s="46">
        <v>9.9</v>
      </c>
      <c r="Z34" s="46">
        <v>9.9</v>
      </c>
      <c r="AA34" s="46">
        <v>9.9</v>
      </c>
      <c r="AB34" s="46">
        <v>9.9</v>
      </c>
      <c r="AC34" s="46">
        <v>9.9</v>
      </c>
      <c r="AD34" s="46">
        <v>9.9</v>
      </c>
      <c r="AE34" s="46">
        <v>9.9</v>
      </c>
      <c r="AF34" s="46">
        <v>9.9</v>
      </c>
      <c r="AG34" s="50">
        <v>22</v>
      </c>
      <c r="AH34" s="48">
        <f t="shared" si="8"/>
        <v>9.9</v>
      </c>
      <c r="AI34" s="49">
        <f t="shared" si="9"/>
        <v>9.9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/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8"/>
        <v>4</v>
      </c>
      <c r="AI35" s="49">
        <f t="shared" si="9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/>
      <c r="V36" s="46">
        <v>4</v>
      </c>
      <c r="W36" s="46">
        <v>4</v>
      </c>
      <c r="X36" s="46">
        <v>4</v>
      </c>
      <c r="Y36" s="46">
        <v>4</v>
      </c>
      <c r="Z36" s="46">
        <v>4</v>
      </c>
      <c r="AA36" s="46">
        <v>4</v>
      </c>
      <c r="AB36" s="46">
        <v>4</v>
      </c>
      <c r="AC36" s="46">
        <v>4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8"/>
        <v>4</v>
      </c>
      <c r="AI36" s="49">
        <f t="shared" si="9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/>
      <c r="V37" s="46">
        <v>5.7</v>
      </c>
      <c r="W37" s="46">
        <v>5.7</v>
      </c>
      <c r="X37" s="46">
        <v>5.7</v>
      </c>
      <c r="Y37" s="46">
        <v>5.7</v>
      </c>
      <c r="Z37" s="46">
        <v>5.7</v>
      </c>
      <c r="AA37" s="46">
        <v>5.7</v>
      </c>
      <c r="AB37" s="46">
        <v>5.7</v>
      </c>
      <c r="AC37" s="46">
        <v>5.7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8"/>
        <v>5.7</v>
      </c>
      <c r="AI37" s="49">
        <f t="shared" si="9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7.2</v>
      </c>
      <c r="Q38" s="46">
        <v>7.2</v>
      </c>
      <c r="R38" s="46">
        <v>7.2</v>
      </c>
      <c r="S38" s="46">
        <v>7.2</v>
      </c>
      <c r="T38" s="46">
        <v>7.2</v>
      </c>
      <c r="U38" s="46"/>
      <c r="V38" s="46">
        <v>7.2</v>
      </c>
      <c r="W38" s="46">
        <v>7.2</v>
      </c>
      <c r="X38" s="46">
        <v>7.2</v>
      </c>
      <c r="Y38" s="46">
        <v>7.2</v>
      </c>
      <c r="Z38" s="46">
        <v>7.2</v>
      </c>
      <c r="AA38" s="46">
        <v>7.2</v>
      </c>
      <c r="AB38" s="46">
        <v>7.2</v>
      </c>
      <c r="AC38" s="46">
        <v>7.2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8"/>
        <v>7.2</v>
      </c>
      <c r="AI38" s="49">
        <f t="shared" si="9"/>
        <v>7.2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/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5</v>
      </c>
      <c r="C40" s="46">
        <v>5</v>
      </c>
      <c r="D40" s="46">
        <v>5</v>
      </c>
      <c r="E40" s="46">
        <v>5</v>
      </c>
      <c r="F40" s="46">
        <v>5</v>
      </c>
      <c r="G40" s="46">
        <v>5</v>
      </c>
      <c r="H40" s="46">
        <v>5</v>
      </c>
      <c r="I40" s="46">
        <v>5</v>
      </c>
      <c r="J40" s="46">
        <v>5</v>
      </c>
      <c r="K40" s="46">
        <v>5</v>
      </c>
      <c r="L40" s="46">
        <v>5</v>
      </c>
      <c r="M40" s="46">
        <v>5</v>
      </c>
      <c r="N40" s="46">
        <v>5</v>
      </c>
      <c r="O40" s="46">
        <v>5</v>
      </c>
      <c r="P40" s="46">
        <v>5</v>
      </c>
      <c r="Q40" s="46">
        <v>5</v>
      </c>
      <c r="R40" s="46">
        <v>5</v>
      </c>
      <c r="S40" s="46">
        <v>5</v>
      </c>
      <c r="T40" s="46">
        <v>5</v>
      </c>
      <c r="U40" s="46"/>
      <c r="V40" s="46">
        <v>5</v>
      </c>
      <c r="W40" s="46">
        <v>5</v>
      </c>
      <c r="X40" s="46">
        <v>5</v>
      </c>
      <c r="Y40" s="46">
        <v>5</v>
      </c>
      <c r="Z40" s="46">
        <v>5</v>
      </c>
      <c r="AA40" s="46">
        <v>5</v>
      </c>
      <c r="AB40" s="46">
        <v>5</v>
      </c>
      <c r="AC40" s="46">
        <v>5</v>
      </c>
      <c r="AD40" s="46">
        <v>5</v>
      </c>
      <c r="AE40" s="46">
        <v>5</v>
      </c>
      <c r="AF40" s="46">
        <v>5</v>
      </c>
      <c r="AG40" s="50">
        <v>14.9</v>
      </c>
      <c r="AH40" s="48">
        <f t="shared" si="8"/>
        <v>5</v>
      </c>
      <c r="AI40" s="49">
        <f t="shared" si="9"/>
        <v>5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/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8"/>
        <v>4</v>
      </c>
      <c r="AI41" s="49">
        <f t="shared" si="9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/>
      <c r="V42" s="46">
        <v>1.8</v>
      </c>
      <c r="W42" s="46">
        <v>1.8</v>
      </c>
      <c r="X42" s="46">
        <v>1.8</v>
      </c>
      <c r="Y42" s="46">
        <v>1.8</v>
      </c>
      <c r="Z42" s="46">
        <v>1.8</v>
      </c>
      <c r="AA42" s="46">
        <v>1.8</v>
      </c>
      <c r="AB42" s="46">
        <v>1.8</v>
      </c>
      <c r="AC42" s="46">
        <v>1.8</v>
      </c>
      <c r="AD42" s="46">
        <v>1.8</v>
      </c>
      <c r="AE42" s="46">
        <v>1.8</v>
      </c>
      <c r="AF42" s="46">
        <v>1.8</v>
      </c>
      <c r="AG42" s="50">
        <v>13.6</v>
      </c>
      <c r="AH42" s="48">
        <f t="shared" si="8"/>
        <v>1.8</v>
      </c>
      <c r="AI42" s="49">
        <f t="shared" si="9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/>
      <c r="V43" s="46">
        <v>3.8</v>
      </c>
      <c r="W43" s="46">
        <v>3.8</v>
      </c>
      <c r="X43" s="46">
        <v>3.8</v>
      </c>
      <c r="Y43" s="46">
        <v>3.8</v>
      </c>
      <c r="Z43" s="46">
        <v>3.8</v>
      </c>
      <c r="AA43" s="46">
        <v>3.8</v>
      </c>
      <c r="AB43" s="46">
        <v>3.8</v>
      </c>
      <c r="AC43" s="46">
        <v>3.8</v>
      </c>
      <c r="AD43" s="46">
        <v>3.8</v>
      </c>
      <c r="AE43" s="46">
        <v>3.8</v>
      </c>
      <c r="AF43" s="46">
        <v>3.8</v>
      </c>
      <c r="AG43" s="50">
        <v>13</v>
      </c>
      <c r="AH43" s="48">
        <f t="shared" si="8"/>
        <v>3.8</v>
      </c>
      <c r="AI43" s="49">
        <f t="shared" si="9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2.5</v>
      </c>
      <c r="C44" s="46">
        <v>2.5</v>
      </c>
      <c r="D44" s="46">
        <v>2.5</v>
      </c>
      <c r="E44" s="46">
        <v>2.5</v>
      </c>
      <c r="F44" s="46">
        <v>2.5</v>
      </c>
      <c r="G44" s="46">
        <v>2.5</v>
      </c>
      <c r="H44" s="46">
        <v>2.5</v>
      </c>
      <c r="I44" s="46">
        <v>2.5</v>
      </c>
      <c r="J44" s="46">
        <v>2.5</v>
      </c>
      <c r="K44" s="46">
        <v>2.5</v>
      </c>
      <c r="L44" s="46">
        <v>2.5</v>
      </c>
      <c r="M44" s="46">
        <v>2.5</v>
      </c>
      <c r="N44" s="46">
        <v>2.5</v>
      </c>
      <c r="O44" s="46">
        <v>2.5</v>
      </c>
      <c r="P44" s="46">
        <v>2.5</v>
      </c>
      <c r="Q44" s="46">
        <v>2.5</v>
      </c>
      <c r="R44" s="46">
        <v>2.5</v>
      </c>
      <c r="S44" s="46">
        <v>2.5</v>
      </c>
      <c r="T44" s="46">
        <v>2.5</v>
      </c>
      <c r="U44" s="46"/>
      <c r="V44" s="46">
        <v>2.5</v>
      </c>
      <c r="W44" s="46">
        <v>2.5</v>
      </c>
      <c r="X44" s="46">
        <v>2.5</v>
      </c>
      <c r="Y44" s="46">
        <v>2.5</v>
      </c>
      <c r="Z44" s="46">
        <v>2.5</v>
      </c>
      <c r="AA44" s="46">
        <v>2.5</v>
      </c>
      <c r="AB44" s="46">
        <v>2.5</v>
      </c>
      <c r="AC44" s="46">
        <v>2.5</v>
      </c>
      <c r="AD44" s="46">
        <v>2.5</v>
      </c>
      <c r="AE44" s="46">
        <v>2.5</v>
      </c>
      <c r="AF44" s="46">
        <v>2.5</v>
      </c>
      <c r="AG44" s="50">
        <v>12</v>
      </c>
      <c r="AH44" s="48">
        <f t="shared" si="8"/>
        <v>2.5</v>
      </c>
      <c r="AI44" s="49">
        <f t="shared" si="9"/>
        <v>2.5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/>
      <c r="V45" s="46">
        <v>9</v>
      </c>
      <c r="W45" s="46">
        <v>9</v>
      </c>
      <c r="X45" s="46">
        <v>9</v>
      </c>
      <c r="Y45" s="46">
        <v>9</v>
      </c>
      <c r="Z45" s="46">
        <v>9</v>
      </c>
      <c r="AA45" s="46">
        <v>9</v>
      </c>
      <c r="AB45" s="46">
        <v>9</v>
      </c>
      <c r="AC45" s="46">
        <v>9</v>
      </c>
      <c r="AD45" s="46">
        <v>9</v>
      </c>
      <c r="AE45" s="46">
        <v>9</v>
      </c>
      <c r="AF45" s="46">
        <v>9</v>
      </c>
      <c r="AG45" s="50">
        <v>12</v>
      </c>
      <c r="AH45" s="48">
        <f t="shared" si="8"/>
        <v>9</v>
      </c>
      <c r="AI45" s="49">
        <f t="shared" si="9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/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/>
      <c r="V47" s="46">
        <v>3.5</v>
      </c>
      <c r="W47" s="46">
        <v>3.5</v>
      </c>
      <c r="X47" s="46">
        <v>3.5</v>
      </c>
      <c r="Y47" s="46">
        <v>3.5</v>
      </c>
      <c r="Z47" s="46">
        <v>3.5</v>
      </c>
      <c r="AA47" s="46">
        <v>3.5</v>
      </c>
      <c r="AB47" s="46">
        <v>3.5</v>
      </c>
      <c r="AC47" s="46">
        <v>3.5</v>
      </c>
      <c r="AD47" s="46">
        <v>3.5</v>
      </c>
      <c r="AE47" s="46">
        <v>3.5</v>
      </c>
      <c r="AF47" s="46">
        <v>3.5</v>
      </c>
      <c r="AG47" s="63">
        <v>22</v>
      </c>
      <c r="AH47" s="48">
        <f t="shared" si="8"/>
        <v>3.5</v>
      </c>
      <c r="AI47" s="49">
        <f t="shared" si="9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/>
      <c r="V48" s="46">
        <v>5</v>
      </c>
      <c r="W48" s="46">
        <v>5</v>
      </c>
      <c r="X48" s="46">
        <v>5</v>
      </c>
      <c r="Y48" s="46">
        <v>5</v>
      </c>
      <c r="Z48" s="46">
        <v>5</v>
      </c>
      <c r="AA48" s="46">
        <v>5</v>
      </c>
      <c r="AB48" s="46">
        <v>5</v>
      </c>
      <c r="AC48" s="46">
        <v>5</v>
      </c>
      <c r="AD48" s="46">
        <v>5</v>
      </c>
      <c r="AE48" s="46">
        <v>5</v>
      </c>
      <c r="AF48" s="46">
        <v>5</v>
      </c>
      <c r="AG48" s="60">
        <v>11.88</v>
      </c>
      <c r="AH48" s="48">
        <f t="shared" si="8"/>
        <v>5</v>
      </c>
      <c r="AI48" s="49">
        <f t="shared" si="9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/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5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4" t="s">
        <v>67</v>
      </c>
      <c r="B50" s="46">
        <v>2.4500000000000002</v>
      </c>
      <c r="C50" s="46">
        <v>2.4500000000000002</v>
      </c>
      <c r="D50" s="46">
        <v>2.4500000000000002</v>
      </c>
      <c r="E50" s="46">
        <v>2.4500000000000002</v>
      </c>
      <c r="F50" s="46">
        <v>2.4500000000000002</v>
      </c>
      <c r="G50" s="46">
        <v>2.4500000000000002</v>
      </c>
      <c r="H50" s="46">
        <v>2.4500000000000002</v>
      </c>
      <c r="I50" s="46">
        <v>2.4500000000000002</v>
      </c>
      <c r="J50" s="46">
        <v>2.4500000000000002</v>
      </c>
      <c r="K50" s="46">
        <v>2.4500000000000002</v>
      </c>
      <c r="L50" s="46">
        <v>2.4500000000000002</v>
      </c>
      <c r="M50" s="46">
        <v>2.4500000000000002</v>
      </c>
      <c r="N50" s="46">
        <v>2.4500000000000002</v>
      </c>
      <c r="O50" s="46">
        <v>2.4500000000000002</v>
      </c>
      <c r="P50" s="46">
        <v>2.4500000000000002</v>
      </c>
      <c r="Q50" s="46">
        <v>2.4500000000000002</v>
      </c>
      <c r="R50" s="46">
        <v>2.4500000000000002</v>
      </c>
      <c r="S50" s="46">
        <v>2.4500000000000002</v>
      </c>
      <c r="T50" s="46">
        <v>2.4500000000000002</v>
      </c>
      <c r="U50" s="46"/>
      <c r="V50" s="46">
        <v>2.4500000000000002</v>
      </c>
      <c r="W50" s="46">
        <v>2.4500000000000002</v>
      </c>
      <c r="X50" s="46">
        <v>2.4500000000000002</v>
      </c>
      <c r="Y50" s="46">
        <v>2.4500000000000002</v>
      </c>
      <c r="Z50" s="46">
        <v>2.4500000000000002</v>
      </c>
      <c r="AA50" s="46">
        <v>2.4500000000000002</v>
      </c>
      <c r="AB50" s="46">
        <v>2.4500000000000002</v>
      </c>
      <c r="AC50" s="46">
        <v>2.4500000000000002</v>
      </c>
      <c r="AD50" s="46">
        <v>2.4500000000000002</v>
      </c>
      <c r="AE50" s="46">
        <v>2.4500000000000002</v>
      </c>
      <c r="AF50" s="46">
        <v>2.4500000000000002</v>
      </c>
      <c r="AG50" s="65">
        <v>11</v>
      </c>
      <c r="AH50" s="48">
        <f t="shared" si="8"/>
        <v>2.4500000000000002</v>
      </c>
      <c r="AI50" s="49">
        <f t="shared" si="9"/>
        <v>2.4500000000000002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/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65">
        <v>11</v>
      </c>
      <c r="AH51" s="48">
        <f t="shared" si="8"/>
        <v>3</v>
      </c>
      <c r="AI51" s="49">
        <f t="shared" si="9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/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5">
        <v>10</v>
      </c>
      <c r="AH52" s="48">
        <f t="shared" si="8"/>
        <v>4</v>
      </c>
      <c r="AI52" s="49">
        <f t="shared" si="9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/>
      <c r="V53" s="46">
        <v>4.5</v>
      </c>
      <c r="W53" s="46">
        <v>4.5</v>
      </c>
      <c r="X53" s="46">
        <v>4.5</v>
      </c>
      <c r="Y53" s="46">
        <v>4.5</v>
      </c>
      <c r="Z53" s="46">
        <v>4.5</v>
      </c>
      <c r="AA53" s="46">
        <v>4.5</v>
      </c>
      <c r="AB53" s="46">
        <v>4.5</v>
      </c>
      <c r="AC53" s="46">
        <v>4.5</v>
      </c>
      <c r="AD53" s="46">
        <v>4.5</v>
      </c>
      <c r="AE53" s="46">
        <v>4.5</v>
      </c>
      <c r="AF53" s="46">
        <v>4.5</v>
      </c>
      <c r="AG53" s="65">
        <v>10</v>
      </c>
      <c r="AH53" s="48">
        <f t="shared" si="8"/>
        <v>4.5</v>
      </c>
      <c r="AI53" s="49">
        <f t="shared" si="9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/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5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/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5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>
        <v>150</v>
      </c>
      <c r="W56" s="67">
        <v>150</v>
      </c>
      <c r="X56" s="67">
        <v>150</v>
      </c>
      <c r="Y56" s="67">
        <v>150</v>
      </c>
      <c r="Z56" s="67">
        <v>150</v>
      </c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8" t="s">
        <v>74</v>
      </c>
      <c r="B57" s="67">
        <f>6.3+14.2</f>
        <v>20.5</v>
      </c>
      <c r="C57" s="67">
        <v>20.399999999999999</v>
      </c>
      <c r="D57" s="67">
        <f>5.8+12.9</f>
        <v>18.7</v>
      </c>
      <c r="E57" s="67">
        <f>10.8+5.4</f>
        <v>16.200000000000003</v>
      </c>
      <c r="F57" s="67">
        <f>12.5+5.8</f>
        <v>18.3</v>
      </c>
      <c r="G57" s="67">
        <f>11.8+5.6</f>
        <v>17.399999999999999</v>
      </c>
      <c r="H57" s="67">
        <f>12.1+5.5</f>
        <v>17.600000000000001</v>
      </c>
      <c r="I57" s="67">
        <f>13.6+5.6</f>
        <v>19.2</v>
      </c>
      <c r="J57" s="67">
        <v>19</v>
      </c>
      <c r="K57" s="53">
        <f>12.7+5.7</f>
        <v>18.399999999999999</v>
      </c>
      <c r="L57" s="53">
        <f>12.8+5.7</f>
        <v>18.5</v>
      </c>
      <c r="M57" s="53">
        <f t="shared" ref="M57:N57" si="22">12.8+5.7</f>
        <v>18.5</v>
      </c>
      <c r="N57" s="53">
        <f t="shared" si="22"/>
        <v>18.5</v>
      </c>
      <c r="O57" s="53">
        <v>17.8</v>
      </c>
      <c r="P57" s="53">
        <v>18.600000000000001</v>
      </c>
      <c r="Q57" s="53">
        <v>17.899999999999999</v>
      </c>
      <c r="R57" s="53">
        <v>17.899999999999999</v>
      </c>
      <c r="S57" s="53">
        <v>17.899999999999999</v>
      </c>
      <c r="T57" s="53">
        <v>17.899999999999999</v>
      </c>
      <c r="U57" s="53">
        <v>17.899999999999999</v>
      </c>
      <c r="V57" s="53">
        <v>17.899999999999999</v>
      </c>
      <c r="W57" s="53">
        <v>17.899999999999999</v>
      </c>
      <c r="X57" s="53">
        <v>17.899999999999999</v>
      </c>
      <c r="Y57" s="53">
        <v>17.899999999999999</v>
      </c>
      <c r="Z57" s="53">
        <v>17.899999999999999</v>
      </c>
      <c r="AA57" s="53">
        <v>17.899999999999999</v>
      </c>
      <c r="AB57" s="53">
        <v>17.899999999999999</v>
      </c>
      <c r="AC57" s="53">
        <v>17.899999999999999</v>
      </c>
      <c r="AD57" s="53">
        <v>17.899999999999999</v>
      </c>
      <c r="AE57" s="53">
        <v>17.899999999999999</v>
      </c>
      <c r="AF57" s="53">
        <v>17.899999999999999</v>
      </c>
      <c r="AG57" s="65">
        <v>240</v>
      </c>
      <c r="AH57" s="48">
        <f t="shared" si="8"/>
        <v>20.5</v>
      </c>
      <c r="AI57" s="49">
        <f t="shared" si="9"/>
        <v>16.200000000000003</v>
      </c>
      <c r="AK57" s="51"/>
    </row>
    <row r="58" spans="1:88" ht="15.75" thickBot="1" x14ac:dyDescent="0.3">
      <c r="A58" s="69" t="s">
        <v>75</v>
      </c>
      <c r="B58" s="70">
        <f t="shared" ref="B58:D58" si="23">SUM(B11:B56)</f>
        <v>463.35</v>
      </c>
      <c r="C58" s="70">
        <f t="shared" si="23"/>
        <v>463.35</v>
      </c>
      <c r="D58" s="70">
        <f t="shared" si="23"/>
        <v>463.35</v>
      </c>
      <c r="E58" s="70">
        <f t="shared" ref="E58:AC58" si="24">SUM(E11:E56)</f>
        <v>462.95000000000005</v>
      </c>
      <c r="F58" s="70">
        <f t="shared" si="24"/>
        <v>462.95000000000005</v>
      </c>
      <c r="G58" s="70">
        <f t="shared" si="24"/>
        <v>461.95000000000005</v>
      </c>
      <c r="H58" s="70">
        <f t="shared" si="24"/>
        <v>459.65000000000003</v>
      </c>
      <c r="I58" s="70">
        <f t="shared" si="24"/>
        <v>459.65000000000003</v>
      </c>
      <c r="J58" s="70">
        <f t="shared" si="24"/>
        <v>459.65000000000003</v>
      </c>
      <c r="K58" s="70">
        <f t="shared" si="24"/>
        <v>460.95000000000005</v>
      </c>
      <c r="L58" s="70">
        <f t="shared" si="24"/>
        <v>460.95000000000005</v>
      </c>
      <c r="M58" s="70">
        <f t="shared" si="24"/>
        <v>460.95000000000005</v>
      </c>
      <c r="N58" s="70">
        <f t="shared" si="24"/>
        <v>460.95000000000005</v>
      </c>
      <c r="O58" s="70">
        <f t="shared" si="24"/>
        <v>460.95000000000005</v>
      </c>
      <c r="P58" s="70">
        <f t="shared" si="24"/>
        <v>461.24900000000002</v>
      </c>
      <c r="Q58" s="70">
        <f t="shared" si="24"/>
        <v>461.24900000000002</v>
      </c>
      <c r="R58" s="70">
        <f t="shared" si="24"/>
        <v>461.24900000000002</v>
      </c>
      <c r="S58" s="70">
        <f t="shared" ref="S58:T58" si="25">SUM(S11:S56)</f>
        <v>461.24900000000002</v>
      </c>
      <c r="T58" s="70">
        <f t="shared" si="25"/>
        <v>461.24900000000002</v>
      </c>
      <c r="U58" s="70">
        <f t="shared" ref="U58:V58" si="26">SUM(U11:U56)</f>
        <v>150</v>
      </c>
      <c r="V58" s="70">
        <f t="shared" si="26"/>
        <v>461.24900000000002</v>
      </c>
      <c r="W58" s="70">
        <f t="shared" ref="W58:X58" si="27">SUM(W11:W56)</f>
        <v>461.24900000000002</v>
      </c>
      <c r="X58" s="70">
        <f t="shared" si="27"/>
        <v>461.24900000000002</v>
      </c>
      <c r="Y58" s="70">
        <f t="shared" ref="Y58:Z58" si="28">SUM(Y11:Y56)</f>
        <v>461.24900000000002</v>
      </c>
      <c r="Z58" s="70">
        <f t="shared" si="28"/>
        <v>461.24900000000002</v>
      </c>
      <c r="AA58" s="70">
        <f t="shared" ref="AA58" si="29">SUM(AA11:AA56)</f>
        <v>461.24900000000002</v>
      </c>
      <c r="AB58" s="70">
        <f t="shared" si="24"/>
        <v>461.24900000000002</v>
      </c>
      <c r="AC58" s="70">
        <f t="shared" si="24"/>
        <v>461.24900000000002</v>
      </c>
      <c r="AD58" s="70">
        <f t="shared" ref="AD58:AE58" si="30">SUM(AD11:AD56)</f>
        <v>461.24900000000002</v>
      </c>
      <c r="AE58" s="70">
        <f t="shared" si="30"/>
        <v>461.24900000000002</v>
      </c>
      <c r="AF58" s="70">
        <f t="shared" ref="AF58" si="31">SUM(AF11:AF56)</f>
        <v>461.24900000000002</v>
      </c>
      <c r="AG58" s="71">
        <f>SUM(AG14:AG56)</f>
        <v>1042.4000000000001</v>
      </c>
      <c r="AH58" s="48">
        <f t="shared" si="8"/>
        <v>463.35</v>
      </c>
      <c r="AI58" s="49">
        <f t="shared" si="9"/>
        <v>150</v>
      </c>
      <c r="AK58" s="51"/>
    </row>
    <row r="59" spans="1:88" x14ac:dyDescent="0.25">
      <c r="A59" s="72" t="s">
        <v>76</v>
      </c>
      <c r="B59" s="46">
        <v>56.4</v>
      </c>
      <c r="C59" s="46">
        <v>0</v>
      </c>
      <c r="D59" s="46">
        <v>0</v>
      </c>
      <c r="E59" s="46">
        <v>0</v>
      </c>
      <c r="F59" s="46">
        <v>0</v>
      </c>
      <c r="G59" s="46">
        <v>0</v>
      </c>
      <c r="H59" s="46">
        <v>0</v>
      </c>
      <c r="I59" s="46">
        <v>30</v>
      </c>
      <c r="J59" s="46">
        <v>70</v>
      </c>
      <c r="K59" s="46">
        <v>280</v>
      </c>
      <c r="L59" s="46">
        <v>330</v>
      </c>
      <c r="M59" s="46">
        <v>170</v>
      </c>
      <c r="N59" s="73">
        <v>100</v>
      </c>
      <c r="O59" s="73">
        <v>15</v>
      </c>
      <c r="P59" s="73">
        <v>0</v>
      </c>
      <c r="Q59" s="73">
        <v>0</v>
      </c>
      <c r="R59" s="73">
        <v>0</v>
      </c>
      <c r="S59" s="73">
        <v>0</v>
      </c>
      <c r="T59" s="73">
        <v>0</v>
      </c>
      <c r="U59" s="73"/>
      <c r="V59" s="73">
        <v>0</v>
      </c>
      <c r="W59" s="73">
        <v>0</v>
      </c>
      <c r="X59" s="73">
        <v>0</v>
      </c>
      <c r="Y59" s="73">
        <v>120.8</v>
      </c>
      <c r="Z59" s="73">
        <v>433.6</v>
      </c>
      <c r="AA59" s="73">
        <v>409.5</v>
      </c>
      <c r="AB59" s="73">
        <v>314</v>
      </c>
      <c r="AC59" s="73">
        <v>141</v>
      </c>
      <c r="AD59" s="73">
        <v>90</v>
      </c>
      <c r="AE59" s="73">
        <v>50</v>
      </c>
      <c r="AF59" s="73">
        <v>0</v>
      </c>
      <c r="AG59" s="60">
        <v>456</v>
      </c>
      <c r="AH59" s="48">
        <f t="shared" si="8"/>
        <v>433.6</v>
      </c>
      <c r="AI59" s="49">
        <f t="shared" si="9"/>
        <v>0</v>
      </c>
      <c r="AK59" s="51"/>
    </row>
    <row r="60" spans="1:88" x14ac:dyDescent="0.25">
      <c r="A60" s="74" t="s">
        <v>77</v>
      </c>
      <c r="B60" s="75">
        <v>27</v>
      </c>
      <c r="C60" s="75">
        <v>27</v>
      </c>
      <c r="D60" s="75">
        <v>27</v>
      </c>
      <c r="E60" s="75">
        <v>27</v>
      </c>
      <c r="F60" s="75">
        <v>27</v>
      </c>
      <c r="G60" s="75">
        <v>27</v>
      </c>
      <c r="H60" s="75">
        <v>27</v>
      </c>
      <c r="I60" s="75">
        <v>27</v>
      </c>
      <c r="J60" s="75">
        <v>27</v>
      </c>
      <c r="K60" s="75">
        <v>27</v>
      </c>
      <c r="L60" s="75">
        <v>27</v>
      </c>
      <c r="M60" s="75">
        <v>27</v>
      </c>
      <c r="N60" s="75">
        <v>27</v>
      </c>
      <c r="O60" s="75">
        <v>27</v>
      </c>
      <c r="P60" s="75">
        <v>27</v>
      </c>
      <c r="Q60" s="75">
        <v>27</v>
      </c>
      <c r="R60" s="75">
        <v>27</v>
      </c>
      <c r="S60" s="75">
        <v>27</v>
      </c>
      <c r="T60" s="75">
        <v>27</v>
      </c>
      <c r="U60" s="75"/>
      <c r="V60" s="75">
        <v>27</v>
      </c>
      <c r="W60" s="75">
        <v>27</v>
      </c>
      <c r="X60" s="75">
        <v>27</v>
      </c>
      <c r="Y60" s="75">
        <v>27</v>
      </c>
      <c r="Z60" s="75">
        <v>27</v>
      </c>
      <c r="AA60" s="75">
        <v>27</v>
      </c>
      <c r="AB60" s="75">
        <v>27</v>
      </c>
      <c r="AC60" s="75">
        <v>27</v>
      </c>
      <c r="AD60" s="75">
        <v>27</v>
      </c>
      <c r="AE60" s="75">
        <v>27</v>
      </c>
      <c r="AF60" s="75">
        <v>27</v>
      </c>
      <c r="AG60" s="65">
        <v>60</v>
      </c>
      <c r="AH60" s="48">
        <f t="shared" si="8"/>
        <v>27</v>
      </c>
      <c r="AI60" s="49">
        <f t="shared" si="9"/>
        <v>27</v>
      </c>
      <c r="AK60" s="51"/>
    </row>
    <row r="61" spans="1:88" ht="15.75" thickBot="1" x14ac:dyDescent="0.3">
      <c r="A61" s="76" t="s">
        <v>78</v>
      </c>
      <c r="B61" s="77">
        <v>10</v>
      </c>
      <c r="C61" s="77">
        <v>10</v>
      </c>
      <c r="D61" s="77">
        <v>10</v>
      </c>
      <c r="E61" s="77">
        <v>10</v>
      </c>
      <c r="F61" s="77">
        <v>10</v>
      </c>
      <c r="G61" s="77">
        <v>10</v>
      </c>
      <c r="H61" s="77">
        <v>10.1</v>
      </c>
      <c r="I61" s="77">
        <v>10</v>
      </c>
      <c r="J61" s="77">
        <v>10</v>
      </c>
      <c r="K61" s="77">
        <v>10</v>
      </c>
      <c r="L61" s="77">
        <v>10</v>
      </c>
      <c r="M61" s="77">
        <v>10</v>
      </c>
      <c r="N61" s="77">
        <v>10</v>
      </c>
      <c r="O61" s="77">
        <v>10</v>
      </c>
      <c r="P61" s="77">
        <v>10.199999999999999</v>
      </c>
      <c r="Q61" s="77">
        <v>10</v>
      </c>
      <c r="R61" s="77">
        <v>10</v>
      </c>
      <c r="S61" s="77">
        <v>10</v>
      </c>
      <c r="T61" s="77">
        <v>10</v>
      </c>
      <c r="U61" s="77"/>
      <c r="V61" s="77">
        <v>10</v>
      </c>
      <c r="W61" s="77">
        <v>10</v>
      </c>
      <c r="X61" s="77">
        <v>10</v>
      </c>
      <c r="Y61" s="77">
        <v>10</v>
      </c>
      <c r="Z61" s="77">
        <v>10</v>
      </c>
      <c r="AA61" s="77">
        <v>10</v>
      </c>
      <c r="AB61" s="77">
        <v>10</v>
      </c>
      <c r="AC61" s="77">
        <v>10</v>
      </c>
      <c r="AD61" s="77">
        <v>10</v>
      </c>
      <c r="AE61" s="77">
        <v>10</v>
      </c>
      <c r="AF61" s="77">
        <v>10</v>
      </c>
      <c r="AG61" s="78">
        <v>22.1</v>
      </c>
      <c r="AH61" s="48">
        <f t="shared" si="8"/>
        <v>10.199999999999999</v>
      </c>
      <c r="AI61" s="49">
        <f t="shared" si="9"/>
        <v>10</v>
      </c>
      <c r="AK61" s="51"/>
    </row>
    <row r="62" spans="1:88" ht="15.75" thickBot="1" x14ac:dyDescent="0.3">
      <c r="A62" s="79" t="s">
        <v>79</v>
      </c>
      <c r="B62" s="70">
        <f t="shared" ref="B62:D62" si="32">SUM(B59:B61)</f>
        <v>93.4</v>
      </c>
      <c r="C62" s="70">
        <f t="shared" si="32"/>
        <v>37</v>
      </c>
      <c r="D62" s="70">
        <f t="shared" si="32"/>
        <v>37</v>
      </c>
      <c r="E62" s="70">
        <f t="shared" ref="E62:AG62" si="33">SUM(E59:E61)</f>
        <v>37</v>
      </c>
      <c r="F62" s="70">
        <f t="shared" si="33"/>
        <v>37</v>
      </c>
      <c r="G62" s="70">
        <f t="shared" si="33"/>
        <v>37</v>
      </c>
      <c r="H62" s="70">
        <f t="shared" si="33"/>
        <v>37.1</v>
      </c>
      <c r="I62" s="70">
        <f t="shared" si="33"/>
        <v>67</v>
      </c>
      <c r="J62" s="70">
        <f t="shared" si="33"/>
        <v>107</v>
      </c>
      <c r="K62" s="70">
        <f t="shared" si="33"/>
        <v>317</v>
      </c>
      <c r="L62" s="70">
        <f t="shared" si="33"/>
        <v>367</v>
      </c>
      <c r="M62" s="70">
        <f t="shared" si="33"/>
        <v>207</v>
      </c>
      <c r="N62" s="70">
        <f t="shared" si="33"/>
        <v>137</v>
      </c>
      <c r="O62" s="70">
        <f t="shared" si="33"/>
        <v>52</v>
      </c>
      <c r="P62" s="70">
        <f t="shared" si="33"/>
        <v>37.200000000000003</v>
      </c>
      <c r="Q62" s="70">
        <f t="shared" si="33"/>
        <v>37</v>
      </c>
      <c r="R62" s="70">
        <f t="shared" ref="R62:S62" si="34">SUM(R59:R61)</f>
        <v>37</v>
      </c>
      <c r="S62" s="70">
        <f t="shared" si="34"/>
        <v>37</v>
      </c>
      <c r="T62" s="70">
        <f t="shared" ref="T62:U62" si="35">SUM(T59:T61)</f>
        <v>37</v>
      </c>
      <c r="U62" s="70">
        <f t="shared" si="35"/>
        <v>0</v>
      </c>
      <c r="V62" s="70">
        <f t="shared" ref="V62:W62" si="36">SUM(V59:V61)</f>
        <v>37</v>
      </c>
      <c r="W62" s="70">
        <f t="shared" si="36"/>
        <v>37</v>
      </c>
      <c r="X62" s="70">
        <f t="shared" ref="X62:Y62" si="37">SUM(X59:X61)</f>
        <v>37</v>
      </c>
      <c r="Y62" s="70">
        <f t="shared" si="37"/>
        <v>157.80000000000001</v>
      </c>
      <c r="Z62" s="70">
        <f t="shared" ref="Z62:AA62" si="38">SUM(Z59:Z61)</f>
        <v>470.6</v>
      </c>
      <c r="AA62" s="70">
        <f t="shared" si="38"/>
        <v>446.5</v>
      </c>
      <c r="AB62" s="70">
        <f t="shared" si="33"/>
        <v>351</v>
      </c>
      <c r="AC62" s="70">
        <f t="shared" si="33"/>
        <v>178</v>
      </c>
      <c r="AD62" s="70">
        <f t="shared" ref="AD62:AE62" si="39">SUM(AD59:AD61)</f>
        <v>127</v>
      </c>
      <c r="AE62" s="70">
        <f t="shared" si="39"/>
        <v>87</v>
      </c>
      <c r="AF62" s="70">
        <f t="shared" ref="AF62" si="40">SUM(AF59:AF61)</f>
        <v>37</v>
      </c>
      <c r="AG62" s="71">
        <f t="shared" si="33"/>
        <v>538.1</v>
      </c>
      <c r="AH62" s="48">
        <f t="shared" si="8"/>
        <v>470.6</v>
      </c>
      <c r="AI62" s="49">
        <f t="shared" si="9"/>
        <v>0</v>
      </c>
      <c r="AK62" s="51"/>
    </row>
    <row r="63" spans="1:88" x14ac:dyDescent="0.25">
      <c r="A63" s="45" t="s">
        <v>80</v>
      </c>
      <c r="B63" s="46">
        <v>48.6</v>
      </c>
      <c r="C63" s="46">
        <v>0</v>
      </c>
      <c r="D63" s="46">
        <v>0</v>
      </c>
      <c r="E63" s="46">
        <v>0</v>
      </c>
      <c r="F63" s="46">
        <v>0</v>
      </c>
      <c r="G63" s="46">
        <v>0</v>
      </c>
      <c r="H63" s="46">
        <v>0</v>
      </c>
      <c r="I63" s="46">
        <v>40</v>
      </c>
      <c r="J63" s="46">
        <v>60</v>
      </c>
      <c r="K63" s="46">
        <v>91.2</v>
      </c>
      <c r="L63" s="46">
        <v>91.1</v>
      </c>
      <c r="M63" s="46">
        <v>91.1</v>
      </c>
      <c r="N63" s="46">
        <v>91.1</v>
      </c>
      <c r="O63" s="46">
        <v>91.1</v>
      </c>
      <c r="P63" s="46">
        <v>36</v>
      </c>
      <c r="Q63" s="46">
        <v>36</v>
      </c>
      <c r="R63" s="46">
        <v>0</v>
      </c>
      <c r="S63" s="46">
        <v>0</v>
      </c>
      <c r="T63" s="46">
        <v>0</v>
      </c>
      <c r="U63" s="46"/>
      <c r="V63" s="46">
        <v>49.3</v>
      </c>
      <c r="W63" s="46">
        <v>71.599999999999994</v>
      </c>
      <c r="X63" s="46">
        <v>92.5</v>
      </c>
      <c r="Y63" s="46">
        <v>120</v>
      </c>
      <c r="Z63" s="46">
        <v>135.80000000000001</v>
      </c>
      <c r="AA63" s="46">
        <v>136.4</v>
      </c>
      <c r="AB63" s="46">
        <v>136.4</v>
      </c>
      <c r="AC63" s="46">
        <v>120</v>
      </c>
      <c r="AD63" s="46">
        <v>90</v>
      </c>
      <c r="AE63" s="46">
        <v>61</v>
      </c>
      <c r="AF63" s="46">
        <v>30</v>
      </c>
      <c r="AG63" s="60">
        <v>144</v>
      </c>
      <c r="AH63" s="48">
        <f t="shared" si="8"/>
        <v>136.4</v>
      </c>
      <c r="AI63" s="49">
        <f t="shared" si="9"/>
        <v>0</v>
      </c>
      <c r="AK63" s="51"/>
    </row>
    <row r="64" spans="1:88" x14ac:dyDescent="0.25">
      <c r="A64" s="64" t="s">
        <v>81</v>
      </c>
      <c r="B64" s="46">
        <v>0</v>
      </c>
      <c r="C64" s="46">
        <v>0</v>
      </c>
      <c r="D64" s="46">
        <v>23</v>
      </c>
      <c r="E64" s="46">
        <v>23</v>
      </c>
      <c r="F64" s="46">
        <v>0</v>
      </c>
      <c r="G64" s="46">
        <v>0</v>
      </c>
      <c r="H64" s="46">
        <v>0</v>
      </c>
      <c r="I64" s="75">
        <v>25</v>
      </c>
      <c r="J64" s="75">
        <v>45</v>
      </c>
      <c r="K64" s="75">
        <v>45</v>
      </c>
      <c r="L64" s="75">
        <v>45</v>
      </c>
      <c r="M64" s="75">
        <v>45</v>
      </c>
      <c r="N64" s="75">
        <v>45</v>
      </c>
      <c r="O64" s="75">
        <v>45</v>
      </c>
      <c r="P64" s="75">
        <v>25.2</v>
      </c>
      <c r="Q64" s="75">
        <v>25.1</v>
      </c>
      <c r="R64" s="75">
        <v>24</v>
      </c>
      <c r="S64" s="75">
        <v>26.4</v>
      </c>
      <c r="T64" s="75">
        <v>26.4</v>
      </c>
      <c r="U64" s="75"/>
      <c r="V64" s="75">
        <v>34.9</v>
      </c>
      <c r="W64" s="75">
        <v>0</v>
      </c>
      <c r="X64" s="75">
        <v>0</v>
      </c>
      <c r="Y64" s="75">
        <v>34.700000000000003</v>
      </c>
      <c r="Z64" s="75">
        <v>59.6</v>
      </c>
      <c r="AA64" s="75">
        <v>65.099999999999994</v>
      </c>
      <c r="AB64" s="75">
        <v>60</v>
      </c>
      <c r="AC64" s="75">
        <v>45</v>
      </c>
      <c r="AD64" s="75">
        <v>24</v>
      </c>
      <c r="AE64" s="75">
        <v>24</v>
      </c>
      <c r="AF64" s="75">
        <v>25</v>
      </c>
      <c r="AG64" s="65">
        <v>70</v>
      </c>
      <c r="AH64" s="48">
        <f t="shared" si="8"/>
        <v>65.099999999999994</v>
      </c>
      <c r="AI64" s="49">
        <f t="shared" si="9"/>
        <v>0</v>
      </c>
      <c r="AK64" s="51"/>
    </row>
    <row r="65" spans="1:75" x14ac:dyDescent="0.25">
      <c r="A65" s="64" t="s">
        <v>82</v>
      </c>
      <c r="B65" s="46">
        <v>17.5</v>
      </c>
      <c r="C65" s="46">
        <v>17.5</v>
      </c>
      <c r="D65" s="46">
        <v>16</v>
      </c>
      <c r="E65" s="46">
        <v>16</v>
      </c>
      <c r="F65" s="46">
        <v>16</v>
      </c>
      <c r="G65" s="46">
        <v>16</v>
      </c>
      <c r="H65" s="46">
        <v>16</v>
      </c>
      <c r="I65" s="75">
        <v>30</v>
      </c>
      <c r="J65" s="75">
        <v>43</v>
      </c>
      <c r="K65" s="75">
        <v>46</v>
      </c>
      <c r="L65" s="75">
        <v>46</v>
      </c>
      <c r="M65" s="75">
        <v>46</v>
      </c>
      <c r="N65" s="75">
        <v>46</v>
      </c>
      <c r="O65" s="75">
        <v>46</v>
      </c>
      <c r="P65" s="75">
        <v>32.4</v>
      </c>
      <c r="Q65" s="75">
        <v>16.5</v>
      </c>
      <c r="R65" s="75">
        <v>16.5</v>
      </c>
      <c r="S65" s="75">
        <v>17.2</v>
      </c>
      <c r="T65" s="75">
        <v>0</v>
      </c>
      <c r="U65" s="75"/>
      <c r="V65" s="75">
        <v>0</v>
      </c>
      <c r="W65" s="75">
        <v>0</v>
      </c>
      <c r="X65" s="75">
        <v>33</v>
      </c>
      <c r="Y65" s="75">
        <v>45</v>
      </c>
      <c r="Z65" s="75">
        <v>60.8</v>
      </c>
      <c r="AA65" s="75">
        <v>70.2</v>
      </c>
      <c r="AB65" s="75">
        <v>61</v>
      </c>
      <c r="AC65" s="75">
        <v>51</v>
      </c>
      <c r="AD65" s="75">
        <v>32</v>
      </c>
      <c r="AE65" s="75">
        <v>33</v>
      </c>
      <c r="AF65" s="75">
        <v>17</v>
      </c>
      <c r="AG65" s="65">
        <v>69</v>
      </c>
      <c r="AH65" s="48">
        <f t="shared" si="8"/>
        <v>70.2</v>
      </c>
      <c r="AI65" s="49">
        <f t="shared" si="9"/>
        <v>0</v>
      </c>
      <c r="AK65" s="51"/>
    </row>
    <row r="66" spans="1:75" x14ac:dyDescent="0.25">
      <c r="A66" s="64" t="s">
        <v>83</v>
      </c>
      <c r="B66" s="46">
        <v>34.299999999999997</v>
      </c>
      <c r="C66" s="46">
        <v>34.299999999999997</v>
      </c>
      <c r="D66" s="46">
        <v>34.299999999999997</v>
      </c>
      <c r="E66" s="46">
        <v>34.299999999999997</v>
      </c>
      <c r="F66" s="46">
        <v>34.299999999999997</v>
      </c>
      <c r="G66" s="46">
        <v>34.299999999999997</v>
      </c>
      <c r="H66" s="46">
        <v>34.299999999999997</v>
      </c>
      <c r="I66" s="46">
        <v>34.299999999999997</v>
      </c>
      <c r="J66" s="46">
        <v>34.299999999999997</v>
      </c>
      <c r="K66" s="67">
        <v>34.5</v>
      </c>
      <c r="L66" s="67">
        <v>34.799999999999997</v>
      </c>
      <c r="M66" s="75">
        <v>34.799999999999997</v>
      </c>
      <c r="N66" s="75">
        <v>34.799999999999997</v>
      </c>
      <c r="O66" s="75">
        <v>34.799999999999997</v>
      </c>
      <c r="P66" s="75">
        <v>33.700000000000003</v>
      </c>
      <c r="Q66" s="75">
        <v>34.799999999999997</v>
      </c>
      <c r="R66" s="75">
        <v>34.799999999999997</v>
      </c>
      <c r="S66" s="75">
        <v>33.700000000000003</v>
      </c>
      <c r="T66" s="75">
        <v>33.700000000000003</v>
      </c>
      <c r="U66" s="75"/>
      <c r="V66" s="75">
        <v>33.700000000000003</v>
      </c>
      <c r="W66" s="75">
        <v>33.700000000000003</v>
      </c>
      <c r="X66" s="75">
        <v>33.700000000000003</v>
      </c>
      <c r="Y66" s="75">
        <v>33.700000000000003</v>
      </c>
      <c r="Z66" s="75">
        <v>33.700000000000003</v>
      </c>
      <c r="AA66" s="75">
        <v>33.700000000000003</v>
      </c>
      <c r="AB66" s="75">
        <v>31</v>
      </c>
      <c r="AC66" s="75">
        <v>31</v>
      </c>
      <c r="AD66" s="75">
        <v>31</v>
      </c>
      <c r="AE66" s="75">
        <v>31</v>
      </c>
      <c r="AF66" s="75">
        <v>31</v>
      </c>
      <c r="AG66" s="65">
        <v>60</v>
      </c>
      <c r="AH66" s="48">
        <f t="shared" si="8"/>
        <v>34.799999999999997</v>
      </c>
      <c r="AI66" s="49">
        <f t="shared" si="9"/>
        <v>31</v>
      </c>
      <c r="AK66" s="51"/>
    </row>
    <row r="67" spans="1:75" x14ac:dyDescent="0.25">
      <c r="A67" s="64" t="s">
        <v>84</v>
      </c>
      <c r="B67" s="46">
        <v>0</v>
      </c>
      <c r="C67" s="46">
        <v>0</v>
      </c>
      <c r="D67" s="46">
        <v>0</v>
      </c>
      <c r="E67" s="46">
        <v>0</v>
      </c>
      <c r="F67" s="46">
        <v>0</v>
      </c>
      <c r="G67" s="46">
        <v>0</v>
      </c>
      <c r="H67" s="46">
        <v>0</v>
      </c>
      <c r="I67" s="46">
        <v>10</v>
      </c>
      <c r="J67" s="46">
        <v>10</v>
      </c>
      <c r="K67" s="75">
        <v>10</v>
      </c>
      <c r="L67" s="67">
        <v>13</v>
      </c>
      <c r="M67" s="75">
        <v>13</v>
      </c>
      <c r="N67" s="75">
        <v>13</v>
      </c>
      <c r="O67" s="75">
        <v>13</v>
      </c>
      <c r="P67" s="75">
        <v>15</v>
      </c>
      <c r="Q67" s="75">
        <v>10.6</v>
      </c>
      <c r="R67" s="75">
        <v>10.6</v>
      </c>
      <c r="S67" s="75">
        <v>0</v>
      </c>
      <c r="T67" s="75">
        <v>0</v>
      </c>
      <c r="U67" s="75"/>
      <c r="V67" s="75">
        <v>0</v>
      </c>
      <c r="W67" s="75">
        <v>0</v>
      </c>
      <c r="X67" s="75">
        <v>10.1</v>
      </c>
      <c r="Y67" s="75">
        <v>29.4</v>
      </c>
      <c r="Z67" s="75">
        <v>28.7</v>
      </c>
      <c r="AA67" s="75">
        <v>28.7</v>
      </c>
      <c r="AB67" s="75">
        <v>28.7</v>
      </c>
      <c r="AC67" s="75">
        <v>15</v>
      </c>
      <c r="AD67" s="75">
        <v>10</v>
      </c>
      <c r="AE67" s="75">
        <v>10</v>
      </c>
      <c r="AF67" s="75">
        <v>10</v>
      </c>
      <c r="AG67" s="65">
        <v>30</v>
      </c>
      <c r="AH67" s="48">
        <f t="shared" si="8"/>
        <v>29.4</v>
      </c>
      <c r="AI67" s="49">
        <f t="shared" si="9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</row>
    <row r="68" spans="1:75" x14ac:dyDescent="0.25">
      <c r="A68" s="64" t="s">
        <v>85</v>
      </c>
      <c r="B68" s="75">
        <v>0</v>
      </c>
      <c r="C68" s="75">
        <v>0</v>
      </c>
      <c r="D68" s="75">
        <v>0</v>
      </c>
      <c r="E68" s="75">
        <v>0</v>
      </c>
      <c r="F68" s="75">
        <v>0</v>
      </c>
      <c r="G68" s="75">
        <v>0</v>
      </c>
      <c r="H68" s="75">
        <v>0</v>
      </c>
      <c r="I68" s="75">
        <v>0</v>
      </c>
      <c r="J68" s="75">
        <v>0</v>
      </c>
      <c r="K68" s="46">
        <v>3.2</v>
      </c>
      <c r="L68" s="75">
        <v>3.5</v>
      </c>
      <c r="M68" s="75">
        <v>3.5</v>
      </c>
      <c r="N68" s="75">
        <v>4.2</v>
      </c>
      <c r="O68" s="75">
        <v>10.199999999999999</v>
      </c>
      <c r="P68" s="75">
        <v>17.899999999999999</v>
      </c>
      <c r="Q68" s="75">
        <v>19.2</v>
      </c>
      <c r="R68" s="75">
        <v>19.2</v>
      </c>
      <c r="S68" s="75">
        <v>13.2</v>
      </c>
      <c r="T68" s="75">
        <v>8.1999999999999993</v>
      </c>
      <c r="U68" s="75"/>
      <c r="V68" s="75">
        <v>2.1</v>
      </c>
      <c r="W68" s="75">
        <v>2.1</v>
      </c>
      <c r="X68" s="75">
        <v>0.3</v>
      </c>
      <c r="Y68" s="75">
        <v>0</v>
      </c>
      <c r="Z68" s="75">
        <v>0</v>
      </c>
      <c r="AA68" s="75">
        <v>0</v>
      </c>
      <c r="AB68" s="75">
        <v>0</v>
      </c>
      <c r="AC68" s="75">
        <v>0</v>
      </c>
      <c r="AD68" s="75">
        <v>0</v>
      </c>
      <c r="AE68" s="75">
        <v>0</v>
      </c>
      <c r="AF68" s="75">
        <v>0</v>
      </c>
      <c r="AG68" s="65">
        <v>25</v>
      </c>
      <c r="AH68" s="48">
        <f t="shared" si="8"/>
        <v>19.2</v>
      </c>
      <c r="AI68" s="49">
        <f t="shared" si="9"/>
        <v>0</v>
      </c>
      <c r="AK68" s="51"/>
      <c r="AY68" s="1" t="s">
        <v>86</v>
      </c>
      <c r="AZ68" s="81">
        <f>ROUND(C81,0)</f>
        <v>54</v>
      </c>
      <c r="BA68" s="80">
        <f t="shared" ref="BA68:BD72" si="41">D81</f>
        <v>56.4</v>
      </c>
      <c r="BB68" s="80">
        <f t="shared" si="41"/>
        <v>45.4</v>
      </c>
      <c r="BC68" s="80">
        <f t="shared" si="41"/>
        <v>56.7</v>
      </c>
      <c r="BD68" s="80">
        <f t="shared" si="41"/>
        <v>58</v>
      </c>
      <c r="BE68" s="81">
        <f>I81</f>
        <v>60</v>
      </c>
      <c r="BF68" s="81">
        <f>K81</f>
        <v>48</v>
      </c>
      <c r="BG68" s="81">
        <f t="shared" ref="BG68:BP72" si="42">M81</f>
        <v>45</v>
      </c>
      <c r="BH68" s="81">
        <f t="shared" si="42"/>
        <v>55</v>
      </c>
      <c r="BI68" s="81">
        <f t="shared" si="42"/>
        <v>51</v>
      </c>
      <c r="BJ68" s="81">
        <f t="shared" si="42"/>
        <v>62</v>
      </c>
      <c r="BK68" s="81">
        <f t="shared" si="42"/>
        <v>49.8</v>
      </c>
      <c r="BL68" s="81">
        <f t="shared" si="42"/>
        <v>56.8</v>
      </c>
      <c r="BM68" s="81">
        <f t="shared" si="42"/>
        <v>45.1</v>
      </c>
      <c r="BN68" s="81">
        <f t="shared" si="42"/>
        <v>63.7</v>
      </c>
      <c r="BO68" s="81">
        <f t="shared" si="42"/>
        <v>0</v>
      </c>
      <c r="BP68" s="81">
        <f t="shared" si="42"/>
        <v>43</v>
      </c>
      <c r="BQ68" s="81">
        <f>X81</f>
        <v>49.6</v>
      </c>
      <c r="BR68" s="81">
        <f>Z81</f>
        <v>53.9</v>
      </c>
      <c r="BS68" s="80">
        <f>AB81</f>
        <v>41.2</v>
      </c>
      <c r="BT68" s="80">
        <f>AD81</f>
        <v>58</v>
      </c>
      <c r="BU68" s="80">
        <f>AE81</f>
        <v>56</v>
      </c>
      <c r="BV68" s="80">
        <f>AF81</f>
        <v>50</v>
      </c>
      <c r="BW68" s="80">
        <f>B81</f>
        <v>53.9</v>
      </c>
    </row>
    <row r="69" spans="1:75" x14ac:dyDescent="0.25">
      <c r="A69" s="64" t="s">
        <v>87</v>
      </c>
      <c r="B69" s="75">
        <v>15</v>
      </c>
      <c r="C69" s="75">
        <v>15</v>
      </c>
      <c r="D69" s="75">
        <v>15</v>
      </c>
      <c r="E69" s="75">
        <v>15</v>
      </c>
      <c r="F69" s="75">
        <v>15</v>
      </c>
      <c r="G69" s="75">
        <v>15</v>
      </c>
      <c r="H69" s="75">
        <v>15</v>
      </c>
      <c r="I69" s="75">
        <v>15</v>
      </c>
      <c r="J69" s="75">
        <v>15</v>
      </c>
      <c r="K69" s="75">
        <v>15</v>
      </c>
      <c r="L69" s="75">
        <v>15</v>
      </c>
      <c r="M69" s="75">
        <v>15</v>
      </c>
      <c r="N69" s="75">
        <v>15</v>
      </c>
      <c r="O69" s="75">
        <v>15</v>
      </c>
      <c r="P69" s="75">
        <v>15</v>
      </c>
      <c r="Q69" s="75">
        <v>15</v>
      </c>
      <c r="R69" s="75">
        <v>15</v>
      </c>
      <c r="S69" s="75">
        <v>15</v>
      </c>
      <c r="T69" s="75">
        <v>15</v>
      </c>
      <c r="U69" s="75"/>
      <c r="V69" s="75">
        <v>15</v>
      </c>
      <c r="W69" s="75">
        <v>15</v>
      </c>
      <c r="X69" s="75">
        <v>15</v>
      </c>
      <c r="Y69" s="75">
        <v>15</v>
      </c>
      <c r="Z69" s="75">
        <v>15</v>
      </c>
      <c r="AA69" s="75">
        <v>15</v>
      </c>
      <c r="AB69" s="75">
        <v>15</v>
      </c>
      <c r="AC69" s="75">
        <v>15</v>
      </c>
      <c r="AD69" s="75">
        <v>15</v>
      </c>
      <c r="AE69" s="75">
        <v>15</v>
      </c>
      <c r="AF69" s="75">
        <v>15</v>
      </c>
      <c r="AG69" s="65">
        <v>24</v>
      </c>
      <c r="AH69" s="48">
        <f t="shared" si="8"/>
        <v>15</v>
      </c>
      <c r="AI69" s="49">
        <f t="shared" si="9"/>
        <v>15</v>
      </c>
      <c r="AK69" s="51"/>
      <c r="AY69" s="1" t="s">
        <v>88</v>
      </c>
      <c r="AZ69" s="81">
        <f>ROUND(C82,0)</f>
        <v>0</v>
      </c>
      <c r="BA69" s="80">
        <f t="shared" si="41"/>
        <v>0</v>
      </c>
      <c r="BB69" s="80">
        <f t="shared" si="41"/>
        <v>0</v>
      </c>
      <c r="BC69" s="80">
        <f t="shared" si="41"/>
        <v>0</v>
      </c>
      <c r="BD69" s="80">
        <f t="shared" si="41"/>
        <v>0</v>
      </c>
      <c r="BE69" s="81">
        <f t="shared" ref="BE69:BE72" si="43">I82</f>
        <v>0</v>
      </c>
      <c r="BF69" s="81">
        <f t="shared" ref="BF69:BF72" si="44">K82</f>
        <v>0</v>
      </c>
      <c r="BG69" s="81">
        <f t="shared" si="42"/>
        <v>0</v>
      </c>
      <c r="BH69" s="81">
        <f t="shared" si="42"/>
        <v>0</v>
      </c>
      <c r="BI69" s="81">
        <f t="shared" si="42"/>
        <v>0</v>
      </c>
      <c r="BJ69" s="81">
        <f t="shared" si="42"/>
        <v>0</v>
      </c>
      <c r="BK69" s="81">
        <f t="shared" si="42"/>
        <v>0</v>
      </c>
      <c r="BL69" s="81">
        <f t="shared" si="42"/>
        <v>0</v>
      </c>
      <c r="BM69" s="81">
        <f t="shared" si="42"/>
        <v>0</v>
      </c>
      <c r="BN69" s="81">
        <f t="shared" si="42"/>
        <v>0</v>
      </c>
      <c r="BO69" s="81">
        <f t="shared" si="42"/>
        <v>0</v>
      </c>
      <c r="BP69" s="81">
        <f t="shared" si="42"/>
        <v>0</v>
      </c>
      <c r="BQ69" s="81">
        <f t="shared" ref="BQ69:BQ72" si="45">X82</f>
        <v>0</v>
      </c>
      <c r="BR69" s="81">
        <f t="shared" ref="BR69:BR72" si="46">Z82</f>
        <v>0</v>
      </c>
      <c r="BS69" s="80">
        <f t="shared" ref="BS69:BS72" si="47">AB82</f>
        <v>0</v>
      </c>
      <c r="BT69" s="80">
        <f t="shared" ref="BT69:BV72" si="48">AD82</f>
        <v>0</v>
      </c>
      <c r="BU69" s="80">
        <f t="shared" si="48"/>
        <v>0</v>
      </c>
      <c r="BV69" s="80">
        <f t="shared" si="48"/>
        <v>0</v>
      </c>
      <c r="BW69" s="80">
        <f t="shared" ref="BW69:BW72" si="49">B82</f>
        <v>0</v>
      </c>
    </row>
    <row r="70" spans="1:75" x14ac:dyDescent="0.25">
      <c r="A70" s="64" t="s">
        <v>89</v>
      </c>
      <c r="B70" s="75">
        <v>4</v>
      </c>
      <c r="C70" s="75">
        <v>4</v>
      </c>
      <c r="D70" s="75">
        <v>4</v>
      </c>
      <c r="E70" s="75">
        <v>4</v>
      </c>
      <c r="F70" s="75">
        <v>4</v>
      </c>
      <c r="G70" s="75">
        <v>4</v>
      </c>
      <c r="H70" s="75">
        <v>4</v>
      </c>
      <c r="I70" s="75">
        <v>4</v>
      </c>
      <c r="J70" s="75">
        <v>4</v>
      </c>
      <c r="K70" s="75">
        <v>4</v>
      </c>
      <c r="L70" s="75">
        <v>4</v>
      </c>
      <c r="M70" s="75">
        <v>4</v>
      </c>
      <c r="N70" s="75">
        <v>4</v>
      </c>
      <c r="O70" s="75">
        <v>4</v>
      </c>
      <c r="P70" s="75">
        <v>4</v>
      </c>
      <c r="Q70" s="75">
        <v>4</v>
      </c>
      <c r="R70" s="75">
        <v>4</v>
      </c>
      <c r="S70" s="75">
        <v>4</v>
      </c>
      <c r="T70" s="75">
        <v>4</v>
      </c>
      <c r="U70" s="75"/>
      <c r="V70" s="75">
        <v>4</v>
      </c>
      <c r="W70" s="75">
        <v>4</v>
      </c>
      <c r="X70" s="75">
        <v>4</v>
      </c>
      <c r="Y70" s="75">
        <v>4</v>
      </c>
      <c r="Z70" s="75">
        <v>4</v>
      </c>
      <c r="AA70" s="75">
        <v>4</v>
      </c>
      <c r="AB70" s="75">
        <v>4</v>
      </c>
      <c r="AC70" s="75">
        <v>4</v>
      </c>
      <c r="AD70" s="75">
        <v>4</v>
      </c>
      <c r="AE70" s="75">
        <v>4</v>
      </c>
      <c r="AF70" s="75">
        <v>4</v>
      </c>
      <c r="AG70" s="65">
        <v>15</v>
      </c>
      <c r="AH70" s="48">
        <f t="shared" si="8"/>
        <v>4</v>
      </c>
      <c r="AI70" s="49">
        <f t="shared" si="9"/>
        <v>4</v>
      </c>
      <c r="AK70" s="51"/>
      <c r="AL70" s="82"/>
      <c r="AO70" s="82"/>
      <c r="AY70" s="1" t="s">
        <v>90</v>
      </c>
      <c r="AZ70" s="81">
        <f>ROUND(C83,0)</f>
        <v>401</v>
      </c>
      <c r="BA70" s="80">
        <f t="shared" si="41"/>
        <v>389</v>
      </c>
      <c r="BB70" s="80">
        <f t="shared" si="41"/>
        <v>385.6</v>
      </c>
      <c r="BC70" s="80">
        <f t="shared" si="41"/>
        <v>432</v>
      </c>
      <c r="BD70" s="80">
        <f t="shared" si="41"/>
        <v>460</v>
      </c>
      <c r="BE70" s="81">
        <f t="shared" si="43"/>
        <v>470</v>
      </c>
      <c r="BF70" s="81">
        <f t="shared" si="44"/>
        <v>60</v>
      </c>
      <c r="BG70" s="81">
        <f t="shared" si="42"/>
        <v>250</v>
      </c>
      <c r="BH70" s="81">
        <f t="shared" si="42"/>
        <v>286</v>
      </c>
      <c r="BI70" s="81">
        <f t="shared" si="42"/>
        <v>399</v>
      </c>
      <c r="BJ70" s="81">
        <f t="shared" si="42"/>
        <v>412</v>
      </c>
      <c r="BK70" s="81">
        <f t="shared" si="42"/>
        <v>399</v>
      </c>
      <c r="BL70" s="81">
        <f t="shared" si="42"/>
        <v>432</v>
      </c>
      <c r="BM70" s="81">
        <f t="shared" si="42"/>
        <v>458.5</v>
      </c>
      <c r="BN70" s="81">
        <f t="shared" si="42"/>
        <v>462.1</v>
      </c>
      <c r="BO70" s="81">
        <f t="shared" si="42"/>
        <v>0</v>
      </c>
      <c r="BP70" s="81">
        <f t="shared" si="42"/>
        <v>427.5</v>
      </c>
      <c r="BQ70" s="81">
        <f t="shared" si="45"/>
        <v>457.3</v>
      </c>
      <c r="BR70" s="81">
        <f t="shared" si="46"/>
        <v>125</v>
      </c>
      <c r="BS70" s="80">
        <f t="shared" si="47"/>
        <v>151</v>
      </c>
      <c r="BT70" s="80">
        <f t="shared" si="48"/>
        <v>320</v>
      </c>
      <c r="BU70" s="80">
        <f t="shared" si="48"/>
        <v>358</v>
      </c>
      <c r="BV70" s="80">
        <f t="shared" si="48"/>
        <v>370</v>
      </c>
      <c r="BW70" s="80">
        <f t="shared" si="49"/>
        <v>400.8</v>
      </c>
    </row>
    <row r="71" spans="1:75" s="82" customFormat="1" x14ac:dyDescent="0.25">
      <c r="A71" s="64" t="s">
        <v>91</v>
      </c>
      <c r="B71" s="75">
        <v>9.6</v>
      </c>
      <c r="C71" s="75">
        <v>9.6</v>
      </c>
      <c r="D71" s="75">
        <v>9.6</v>
      </c>
      <c r="E71" s="75">
        <v>9.6</v>
      </c>
      <c r="F71" s="75">
        <v>9.6</v>
      </c>
      <c r="G71" s="75">
        <v>9.6</v>
      </c>
      <c r="H71" s="75">
        <v>9.6</v>
      </c>
      <c r="I71" s="75">
        <v>9.6</v>
      </c>
      <c r="J71" s="75">
        <v>9.6</v>
      </c>
      <c r="K71" s="75">
        <v>9.6</v>
      </c>
      <c r="L71" s="75">
        <v>9.6</v>
      </c>
      <c r="M71" s="75">
        <v>9.6</v>
      </c>
      <c r="N71" s="75">
        <v>9.6</v>
      </c>
      <c r="O71" s="75">
        <v>9.6</v>
      </c>
      <c r="P71" s="75">
        <v>9.6</v>
      </c>
      <c r="Q71" s="75">
        <v>9.6</v>
      </c>
      <c r="R71" s="75">
        <v>9.6</v>
      </c>
      <c r="S71" s="75">
        <v>9.6</v>
      </c>
      <c r="T71" s="75">
        <v>9.6</v>
      </c>
      <c r="U71" s="75"/>
      <c r="V71" s="75">
        <v>9.6</v>
      </c>
      <c r="W71" s="75">
        <v>9.6</v>
      </c>
      <c r="X71" s="75">
        <v>9.6</v>
      </c>
      <c r="Y71" s="75">
        <v>9.6</v>
      </c>
      <c r="Z71" s="75">
        <v>9.6</v>
      </c>
      <c r="AA71" s="75">
        <v>9.6</v>
      </c>
      <c r="AB71" s="75">
        <v>9.6</v>
      </c>
      <c r="AC71" s="75">
        <v>9.6</v>
      </c>
      <c r="AD71" s="75">
        <v>9.6</v>
      </c>
      <c r="AE71" s="75">
        <v>9.6</v>
      </c>
      <c r="AF71" s="75">
        <v>9.6</v>
      </c>
      <c r="AG71" s="65">
        <v>14.1</v>
      </c>
      <c r="AH71" s="48">
        <f t="shared" si="8"/>
        <v>9.6</v>
      </c>
      <c r="AI71" s="49">
        <f t="shared" si="9"/>
        <v>9.6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4</v>
      </c>
      <c r="BA71" s="80">
        <f t="shared" si="41"/>
        <v>4</v>
      </c>
      <c r="BB71" s="80">
        <f t="shared" si="41"/>
        <v>4.2</v>
      </c>
      <c r="BC71" s="80">
        <f t="shared" si="41"/>
        <v>4</v>
      </c>
      <c r="BD71" s="80">
        <f t="shared" si="41"/>
        <v>4</v>
      </c>
      <c r="BE71" s="81">
        <f t="shared" si="43"/>
        <v>4</v>
      </c>
      <c r="BF71" s="81">
        <f t="shared" si="44"/>
        <v>23</v>
      </c>
      <c r="BG71" s="81">
        <f t="shared" si="42"/>
        <v>30</v>
      </c>
      <c r="BH71" s="81">
        <f t="shared" si="42"/>
        <v>36.799999999999997</v>
      </c>
      <c r="BI71" s="81">
        <f t="shared" si="42"/>
        <v>38.700000000000003</v>
      </c>
      <c r="BJ71" s="81">
        <f t="shared" si="42"/>
        <v>43</v>
      </c>
      <c r="BK71" s="81">
        <f t="shared" si="42"/>
        <v>33.299999999999997</v>
      </c>
      <c r="BL71" s="81">
        <f t="shared" si="42"/>
        <v>38.9</v>
      </c>
      <c r="BM71" s="81">
        <f t="shared" si="42"/>
        <v>36.299999999999997</v>
      </c>
      <c r="BN71" s="81">
        <f t="shared" si="42"/>
        <v>38.1</v>
      </c>
      <c r="BO71" s="81">
        <f t="shared" si="42"/>
        <v>0</v>
      </c>
      <c r="BP71" s="81">
        <f t="shared" si="42"/>
        <v>0</v>
      </c>
      <c r="BQ71" s="81">
        <f t="shared" si="45"/>
        <v>0</v>
      </c>
      <c r="BR71" s="81">
        <f t="shared" si="46"/>
        <v>0</v>
      </c>
      <c r="BS71" s="80">
        <f t="shared" si="47"/>
        <v>0</v>
      </c>
      <c r="BT71" s="80">
        <f t="shared" si="48"/>
        <v>47</v>
      </c>
      <c r="BU71" s="80">
        <f t="shared" si="48"/>
        <v>47</v>
      </c>
      <c r="BV71" s="80">
        <f t="shared" si="48"/>
        <v>36</v>
      </c>
      <c r="BW71" s="80">
        <f t="shared" si="49"/>
        <v>33.799999999999997</v>
      </c>
    </row>
    <row r="72" spans="1:75" x14ac:dyDescent="0.25">
      <c r="A72" s="83" t="s">
        <v>93</v>
      </c>
      <c r="B72" s="75">
        <v>3.4</v>
      </c>
      <c r="C72" s="75">
        <v>3.4</v>
      </c>
      <c r="D72" s="75">
        <v>3.4</v>
      </c>
      <c r="E72" s="75">
        <v>3.4</v>
      </c>
      <c r="F72" s="75">
        <v>3.4</v>
      </c>
      <c r="G72" s="75">
        <v>3.4</v>
      </c>
      <c r="H72" s="75">
        <v>3.4</v>
      </c>
      <c r="I72" s="75">
        <v>3.4</v>
      </c>
      <c r="J72" s="75">
        <v>3.4</v>
      </c>
      <c r="K72" s="75">
        <v>3.4</v>
      </c>
      <c r="L72" s="75">
        <v>3.4</v>
      </c>
      <c r="M72" s="75">
        <v>3.4</v>
      </c>
      <c r="N72" s="75">
        <v>3.4</v>
      </c>
      <c r="O72" s="75">
        <v>3.4</v>
      </c>
      <c r="P72" s="75">
        <v>3.4</v>
      </c>
      <c r="Q72" s="75">
        <v>3.4</v>
      </c>
      <c r="R72" s="75">
        <v>3.4</v>
      </c>
      <c r="S72" s="75">
        <v>3.4</v>
      </c>
      <c r="T72" s="75">
        <v>3.4</v>
      </c>
      <c r="U72" s="75"/>
      <c r="V72" s="75">
        <v>3.4</v>
      </c>
      <c r="W72" s="75">
        <v>3.4</v>
      </c>
      <c r="X72" s="75">
        <v>3.4</v>
      </c>
      <c r="Y72" s="75">
        <v>3.4</v>
      </c>
      <c r="Z72" s="75">
        <v>3.4</v>
      </c>
      <c r="AA72" s="75">
        <v>3.4</v>
      </c>
      <c r="AB72" s="75">
        <v>3.4</v>
      </c>
      <c r="AC72" s="75">
        <v>3.4</v>
      </c>
      <c r="AD72" s="75">
        <v>3.4</v>
      </c>
      <c r="AE72" s="75">
        <v>3.4</v>
      </c>
      <c r="AF72" s="75">
        <v>3.4</v>
      </c>
      <c r="AG72" s="65">
        <v>14</v>
      </c>
      <c r="AH72" s="48">
        <f t="shared" si="8"/>
        <v>3.4</v>
      </c>
      <c r="AI72" s="49">
        <f t="shared" si="9"/>
        <v>3.4</v>
      </c>
      <c r="AK72" s="51"/>
      <c r="AY72" s="1" t="s">
        <v>94</v>
      </c>
      <c r="AZ72" s="81">
        <f>ROUND(C85,0)</f>
        <v>120</v>
      </c>
      <c r="BA72" s="80">
        <f t="shared" si="41"/>
        <v>129</v>
      </c>
      <c r="BB72" s="80">
        <f t="shared" si="41"/>
        <v>118</v>
      </c>
      <c r="BC72" s="80">
        <f t="shared" si="41"/>
        <v>116</v>
      </c>
      <c r="BD72" s="80">
        <f t="shared" si="41"/>
        <v>100</v>
      </c>
      <c r="BE72" s="81">
        <f t="shared" si="43"/>
        <v>40</v>
      </c>
      <c r="BF72" s="81">
        <f t="shared" si="44"/>
        <v>0</v>
      </c>
      <c r="BG72" s="81">
        <f t="shared" si="42"/>
        <v>0</v>
      </c>
      <c r="BH72" s="81">
        <f t="shared" si="42"/>
        <v>0</v>
      </c>
      <c r="BI72" s="81">
        <f t="shared" si="42"/>
        <v>0</v>
      </c>
      <c r="BJ72" s="81">
        <f t="shared" si="42"/>
        <v>0</v>
      </c>
      <c r="BK72" s="81">
        <f t="shared" si="42"/>
        <v>94.5</v>
      </c>
      <c r="BL72" s="81">
        <f t="shared" si="42"/>
        <v>90.5</v>
      </c>
      <c r="BM72" s="81">
        <f t="shared" si="42"/>
        <v>85.6</v>
      </c>
      <c r="BN72" s="81">
        <f t="shared" si="42"/>
        <v>88.4</v>
      </c>
      <c r="BO72" s="81">
        <f t="shared" si="42"/>
        <v>0</v>
      </c>
      <c r="BP72" s="81">
        <f t="shared" si="42"/>
        <v>0</v>
      </c>
      <c r="BQ72" s="81">
        <f t="shared" si="45"/>
        <v>0</v>
      </c>
      <c r="BR72" s="81">
        <f t="shared" si="46"/>
        <v>0</v>
      </c>
      <c r="BS72" s="80">
        <f t="shared" si="47"/>
        <v>0</v>
      </c>
      <c r="BT72" s="80">
        <f t="shared" si="48"/>
        <v>112</v>
      </c>
      <c r="BU72" s="80">
        <f t="shared" si="48"/>
        <v>88</v>
      </c>
      <c r="BV72" s="80">
        <f t="shared" si="48"/>
        <v>88</v>
      </c>
      <c r="BW72" s="80">
        <f t="shared" si="49"/>
        <v>102</v>
      </c>
    </row>
    <row r="73" spans="1:75" x14ac:dyDescent="0.25">
      <c r="A73" s="64" t="s">
        <v>95</v>
      </c>
      <c r="B73" s="75">
        <v>3</v>
      </c>
      <c r="C73" s="75">
        <v>3</v>
      </c>
      <c r="D73" s="75">
        <v>3</v>
      </c>
      <c r="E73" s="75">
        <v>3</v>
      </c>
      <c r="F73" s="75">
        <v>3</v>
      </c>
      <c r="G73" s="75">
        <v>3</v>
      </c>
      <c r="H73" s="75">
        <v>3</v>
      </c>
      <c r="I73" s="75">
        <v>3</v>
      </c>
      <c r="J73" s="75">
        <v>3</v>
      </c>
      <c r="K73" s="75">
        <v>3</v>
      </c>
      <c r="L73" s="75">
        <v>3</v>
      </c>
      <c r="M73" s="75">
        <v>3</v>
      </c>
      <c r="N73" s="75">
        <v>3</v>
      </c>
      <c r="O73" s="75">
        <v>3</v>
      </c>
      <c r="P73" s="75">
        <v>3</v>
      </c>
      <c r="Q73" s="75">
        <v>3</v>
      </c>
      <c r="R73" s="75">
        <v>3</v>
      </c>
      <c r="S73" s="75">
        <v>3</v>
      </c>
      <c r="T73" s="75">
        <v>3</v>
      </c>
      <c r="U73" s="75"/>
      <c r="V73" s="75">
        <v>3</v>
      </c>
      <c r="W73" s="75">
        <v>3</v>
      </c>
      <c r="X73" s="75">
        <v>3</v>
      </c>
      <c r="Y73" s="75">
        <v>3</v>
      </c>
      <c r="Z73" s="75">
        <v>3</v>
      </c>
      <c r="AA73" s="75">
        <v>3</v>
      </c>
      <c r="AB73" s="75">
        <v>3</v>
      </c>
      <c r="AC73" s="75">
        <v>3</v>
      </c>
      <c r="AD73" s="75">
        <v>3</v>
      </c>
      <c r="AE73" s="75">
        <v>3</v>
      </c>
      <c r="AF73" s="75">
        <v>3</v>
      </c>
      <c r="AG73" s="65">
        <v>10.050000000000001</v>
      </c>
      <c r="AH73" s="48">
        <f t="shared" si="8"/>
        <v>3</v>
      </c>
      <c r="AI73" s="49">
        <f t="shared" si="9"/>
        <v>3</v>
      </c>
      <c r="AK73" s="51"/>
      <c r="AY73" s="1" t="s">
        <v>96</v>
      </c>
      <c r="AZ73" s="81">
        <f>ROUND(C91,0)</f>
        <v>70</v>
      </c>
      <c r="BA73" s="81">
        <f>D91</f>
        <v>78.5</v>
      </c>
      <c r="BB73" s="81">
        <f>E91</f>
        <v>70</v>
      </c>
      <c r="BC73" s="81">
        <f>F91</f>
        <v>77</v>
      </c>
      <c r="BD73" s="81">
        <f>G91</f>
        <v>74.599999999999994</v>
      </c>
      <c r="BE73" s="81">
        <f>I91</f>
        <v>80</v>
      </c>
      <c r="BF73" s="81">
        <f>K91</f>
        <v>58</v>
      </c>
      <c r="BG73" s="81">
        <f t="shared" ref="BG73:BP73" si="50">M91</f>
        <v>52</v>
      </c>
      <c r="BH73" s="81">
        <f t="shared" si="50"/>
        <v>68.8</v>
      </c>
      <c r="BI73" s="81">
        <f t="shared" si="50"/>
        <v>74.099999999999994</v>
      </c>
      <c r="BJ73" s="81">
        <f t="shared" si="50"/>
        <v>68</v>
      </c>
      <c r="BK73" s="81">
        <f t="shared" si="50"/>
        <v>68</v>
      </c>
      <c r="BL73" s="81">
        <f t="shared" si="50"/>
        <v>80</v>
      </c>
      <c r="BM73" s="81">
        <f t="shared" si="50"/>
        <v>68</v>
      </c>
      <c r="BN73" s="81">
        <f t="shared" si="50"/>
        <v>70</v>
      </c>
      <c r="BO73" s="81">
        <f t="shared" si="50"/>
        <v>70</v>
      </c>
      <c r="BP73" s="81">
        <f t="shared" si="50"/>
        <v>58</v>
      </c>
      <c r="BQ73" s="81">
        <f>X91</f>
        <v>62</v>
      </c>
      <c r="BR73" s="81">
        <f>Z91</f>
        <v>62</v>
      </c>
      <c r="BS73" s="81">
        <f>AB91</f>
        <v>0</v>
      </c>
      <c r="BT73" s="81">
        <f>AD91</f>
        <v>0</v>
      </c>
      <c r="BU73" s="81">
        <f>AE91</f>
        <v>0</v>
      </c>
      <c r="BV73" s="81">
        <f>AF91</f>
        <v>0</v>
      </c>
      <c r="BW73" s="81">
        <f>B91</f>
        <v>0</v>
      </c>
    </row>
    <row r="74" spans="1:75" x14ac:dyDescent="0.25">
      <c r="A74" s="64" t="s">
        <v>97</v>
      </c>
      <c r="B74" s="75">
        <v>2</v>
      </c>
      <c r="C74" s="75">
        <v>2</v>
      </c>
      <c r="D74" s="75">
        <v>2</v>
      </c>
      <c r="E74" s="75">
        <v>2</v>
      </c>
      <c r="F74" s="75">
        <v>2</v>
      </c>
      <c r="G74" s="75">
        <v>2</v>
      </c>
      <c r="H74" s="75">
        <v>2</v>
      </c>
      <c r="I74" s="75">
        <v>2</v>
      </c>
      <c r="J74" s="75">
        <v>2</v>
      </c>
      <c r="K74" s="75">
        <v>2</v>
      </c>
      <c r="L74" s="75">
        <v>2</v>
      </c>
      <c r="M74" s="75">
        <v>2</v>
      </c>
      <c r="N74" s="75">
        <v>2</v>
      </c>
      <c r="O74" s="75">
        <v>2</v>
      </c>
      <c r="P74" s="75">
        <v>2</v>
      </c>
      <c r="Q74" s="75">
        <v>2</v>
      </c>
      <c r="R74" s="75">
        <v>2</v>
      </c>
      <c r="S74" s="75">
        <v>2</v>
      </c>
      <c r="T74" s="75">
        <v>2</v>
      </c>
      <c r="U74" s="75"/>
      <c r="V74" s="75">
        <v>2</v>
      </c>
      <c r="W74" s="75">
        <v>2</v>
      </c>
      <c r="X74" s="75">
        <v>2</v>
      </c>
      <c r="Y74" s="75">
        <v>2</v>
      </c>
      <c r="Z74" s="75">
        <v>2</v>
      </c>
      <c r="AA74" s="75">
        <v>2</v>
      </c>
      <c r="AB74" s="75">
        <v>2</v>
      </c>
      <c r="AC74" s="75">
        <v>2</v>
      </c>
      <c r="AD74" s="75">
        <v>2</v>
      </c>
      <c r="AE74" s="75">
        <v>2</v>
      </c>
      <c r="AF74" s="75">
        <v>2</v>
      </c>
      <c r="AG74" s="65">
        <v>6.2</v>
      </c>
      <c r="AH74" s="48">
        <f t="shared" si="8"/>
        <v>2</v>
      </c>
      <c r="AI74" s="49">
        <f t="shared" si="9"/>
        <v>2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</row>
    <row r="75" spans="1:75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>
        <v>3.54</v>
      </c>
      <c r="W75" s="84">
        <v>3.54</v>
      </c>
      <c r="X75" s="84">
        <v>3.54</v>
      </c>
      <c r="Y75" s="84">
        <v>3.54</v>
      </c>
      <c r="Z75" s="84">
        <v>3.54</v>
      </c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8"/>
        <v>3.54</v>
      </c>
      <c r="AI75" s="49">
        <f t="shared" si="9"/>
        <v>3.54</v>
      </c>
      <c r="AK75" s="51"/>
      <c r="AZ75" s="81">
        <f>VALUE(AZ68)</f>
        <v>54</v>
      </c>
      <c r="BA75" s="81">
        <f t="shared" ref="BA75:BW75" si="51">VALUE(BA68)</f>
        <v>56.4</v>
      </c>
      <c r="BB75" s="81">
        <f t="shared" si="51"/>
        <v>45.4</v>
      </c>
      <c r="BC75" s="81">
        <f t="shared" si="51"/>
        <v>56.7</v>
      </c>
      <c r="BD75" s="81">
        <f t="shared" si="51"/>
        <v>58</v>
      </c>
      <c r="BE75" s="81">
        <f t="shared" si="51"/>
        <v>60</v>
      </c>
      <c r="BF75" s="81">
        <f t="shared" si="51"/>
        <v>48</v>
      </c>
      <c r="BG75" s="81">
        <f t="shared" si="51"/>
        <v>45</v>
      </c>
      <c r="BH75" s="81">
        <f t="shared" si="51"/>
        <v>55</v>
      </c>
      <c r="BI75" s="81">
        <f t="shared" si="51"/>
        <v>51</v>
      </c>
      <c r="BJ75" s="81">
        <f t="shared" si="51"/>
        <v>62</v>
      </c>
      <c r="BK75" s="81">
        <f t="shared" si="51"/>
        <v>49.8</v>
      </c>
      <c r="BL75" s="81">
        <f t="shared" si="51"/>
        <v>56.8</v>
      </c>
      <c r="BM75" s="81">
        <f t="shared" si="51"/>
        <v>45.1</v>
      </c>
      <c r="BN75" s="81">
        <f t="shared" si="51"/>
        <v>63.7</v>
      </c>
      <c r="BO75" s="81">
        <f t="shared" si="51"/>
        <v>0</v>
      </c>
      <c r="BP75" s="81">
        <f t="shared" si="51"/>
        <v>43</v>
      </c>
      <c r="BQ75" s="81">
        <f t="shared" si="51"/>
        <v>49.6</v>
      </c>
      <c r="BR75" s="81">
        <f t="shared" si="51"/>
        <v>53.9</v>
      </c>
      <c r="BS75" s="81">
        <f t="shared" si="51"/>
        <v>41.2</v>
      </c>
      <c r="BT75" s="81">
        <f t="shared" si="51"/>
        <v>58</v>
      </c>
      <c r="BU75" s="81">
        <f t="shared" si="51"/>
        <v>56</v>
      </c>
      <c r="BV75" s="81">
        <f t="shared" si="51"/>
        <v>50</v>
      </c>
      <c r="BW75" s="81">
        <f t="shared" si="51"/>
        <v>53.9</v>
      </c>
    </row>
    <row r="76" spans="1:75" ht="15.75" thickBot="1" x14ac:dyDescent="0.3">
      <c r="A76" s="86" t="s">
        <v>99</v>
      </c>
      <c r="B76" s="70">
        <f t="shared" ref="B76:D76" si="52">SUM(B63:B75)</f>
        <v>140.94</v>
      </c>
      <c r="C76" s="70">
        <f t="shared" si="52"/>
        <v>92.34</v>
      </c>
      <c r="D76" s="70">
        <f t="shared" si="52"/>
        <v>113.84</v>
      </c>
      <c r="E76" s="70">
        <f t="shared" ref="E76:AG76" si="53">SUM(E63:E75)</f>
        <v>113.84</v>
      </c>
      <c r="F76" s="70">
        <f t="shared" si="53"/>
        <v>90.84</v>
      </c>
      <c r="G76" s="70">
        <f t="shared" si="53"/>
        <v>90.84</v>
      </c>
      <c r="H76" s="70">
        <f t="shared" si="53"/>
        <v>90.84</v>
      </c>
      <c r="I76" s="70">
        <f t="shared" si="53"/>
        <v>179.84</v>
      </c>
      <c r="J76" s="70">
        <f t="shared" si="53"/>
        <v>232.84</v>
      </c>
      <c r="K76" s="70">
        <f t="shared" si="53"/>
        <v>270.44</v>
      </c>
      <c r="L76" s="70">
        <f t="shared" si="53"/>
        <v>273.94</v>
      </c>
      <c r="M76" s="70">
        <f t="shared" si="53"/>
        <v>273.94</v>
      </c>
      <c r="N76" s="70">
        <f t="shared" si="53"/>
        <v>274.64</v>
      </c>
      <c r="O76" s="70">
        <f t="shared" si="53"/>
        <v>280.64</v>
      </c>
      <c r="P76" s="70">
        <f t="shared" si="53"/>
        <v>200.74</v>
      </c>
      <c r="Q76" s="70">
        <f t="shared" si="53"/>
        <v>182.73999999999998</v>
      </c>
      <c r="R76" s="70">
        <f t="shared" si="53"/>
        <v>145.63999999999999</v>
      </c>
      <c r="S76" s="70">
        <f t="shared" ref="S76:T76" si="54">SUM(S63:S75)</f>
        <v>131.04</v>
      </c>
      <c r="T76" s="70">
        <f t="shared" si="54"/>
        <v>108.84</v>
      </c>
      <c r="U76" s="70">
        <f t="shared" ref="U76:V76" si="55">SUM(U63:U75)</f>
        <v>3.54</v>
      </c>
      <c r="V76" s="70">
        <f t="shared" si="55"/>
        <v>160.54</v>
      </c>
      <c r="W76" s="70">
        <f t="shared" ref="W76:X76" si="56">SUM(W63:W75)</f>
        <v>147.94</v>
      </c>
      <c r="X76" s="70">
        <f t="shared" si="56"/>
        <v>210.14</v>
      </c>
      <c r="Y76" s="70">
        <f t="shared" ref="Y76:Z76" si="57">SUM(Y63:Y75)</f>
        <v>303.33999999999997</v>
      </c>
      <c r="Z76" s="70">
        <f t="shared" si="57"/>
        <v>359.14</v>
      </c>
      <c r="AA76" s="70">
        <f t="shared" ref="AA76" si="58">SUM(AA63:AA75)</f>
        <v>374.64</v>
      </c>
      <c r="AB76" s="70">
        <f t="shared" si="53"/>
        <v>357.64</v>
      </c>
      <c r="AC76" s="70">
        <f t="shared" si="53"/>
        <v>302.54000000000002</v>
      </c>
      <c r="AD76" s="70">
        <f t="shared" ref="AD76:AE76" si="59">SUM(AD63:AD75)</f>
        <v>227.54</v>
      </c>
      <c r="AE76" s="70">
        <f t="shared" si="59"/>
        <v>199.54</v>
      </c>
      <c r="AF76" s="70">
        <f t="shared" ref="AF76" si="60">SUM(AF63:AF75)</f>
        <v>153.54</v>
      </c>
      <c r="AG76" s="71">
        <f t="shared" si="53"/>
        <v>489.91</v>
      </c>
      <c r="AH76" s="48">
        <f t="shared" si="8"/>
        <v>374.64</v>
      </c>
      <c r="AI76" s="49">
        <f t="shared" si="9"/>
        <v>3.54</v>
      </c>
      <c r="AK76" s="51"/>
      <c r="AZ76" s="81">
        <f t="shared" ref="AZ76:BW80" si="61">VALUE(AZ69)</f>
        <v>0</v>
      </c>
      <c r="BA76" s="81">
        <f t="shared" si="61"/>
        <v>0</v>
      </c>
      <c r="BB76" s="81">
        <f t="shared" si="61"/>
        <v>0</v>
      </c>
      <c r="BC76" s="81">
        <f t="shared" si="61"/>
        <v>0</v>
      </c>
      <c r="BD76" s="81">
        <f t="shared" si="61"/>
        <v>0</v>
      </c>
      <c r="BE76" s="81">
        <f t="shared" si="61"/>
        <v>0</v>
      </c>
      <c r="BF76" s="81">
        <f t="shared" si="61"/>
        <v>0</v>
      </c>
      <c r="BG76" s="81">
        <f t="shared" si="61"/>
        <v>0</v>
      </c>
      <c r="BH76" s="81">
        <f t="shared" si="61"/>
        <v>0</v>
      </c>
      <c r="BI76" s="81">
        <f t="shared" si="61"/>
        <v>0</v>
      </c>
      <c r="BJ76" s="81">
        <f t="shared" si="61"/>
        <v>0</v>
      </c>
      <c r="BK76" s="81">
        <f t="shared" si="61"/>
        <v>0</v>
      </c>
      <c r="BL76" s="81">
        <f t="shared" si="61"/>
        <v>0</v>
      </c>
      <c r="BM76" s="81">
        <f t="shared" si="61"/>
        <v>0</v>
      </c>
      <c r="BN76" s="81">
        <f t="shared" si="61"/>
        <v>0</v>
      </c>
      <c r="BO76" s="81">
        <f t="shared" si="61"/>
        <v>0</v>
      </c>
      <c r="BP76" s="81">
        <f t="shared" si="61"/>
        <v>0</v>
      </c>
      <c r="BQ76" s="81">
        <f t="shared" si="61"/>
        <v>0</v>
      </c>
      <c r="BR76" s="81">
        <f t="shared" si="61"/>
        <v>0</v>
      </c>
      <c r="BS76" s="81">
        <f t="shared" si="61"/>
        <v>0</v>
      </c>
      <c r="BT76" s="81">
        <f t="shared" si="61"/>
        <v>0</v>
      </c>
      <c r="BU76" s="81">
        <f t="shared" si="61"/>
        <v>0</v>
      </c>
      <c r="BV76" s="81">
        <f t="shared" si="61"/>
        <v>0</v>
      </c>
      <c r="BW76" s="81">
        <f t="shared" si="61"/>
        <v>0</v>
      </c>
    </row>
    <row r="77" spans="1:75" x14ac:dyDescent="0.25">
      <c r="A77" s="45" t="s">
        <v>100</v>
      </c>
      <c r="B77" s="46">
        <v>0</v>
      </c>
      <c r="C77" s="46">
        <v>0</v>
      </c>
      <c r="D77" s="46">
        <v>0</v>
      </c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>
        <v>10</v>
      </c>
      <c r="AB77" s="46"/>
      <c r="AC77" s="46"/>
      <c r="AD77" s="46"/>
      <c r="AE77" s="46"/>
      <c r="AF77" s="46"/>
      <c r="AG77" s="60">
        <v>60</v>
      </c>
      <c r="AH77" s="48">
        <f t="shared" si="8"/>
        <v>10</v>
      </c>
      <c r="AI77" s="49">
        <f t="shared" si="9"/>
        <v>0</v>
      </c>
      <c r="AK77" s="51"/>
      <c r="AZ77" s="81">
        <f t="shared" si="61"/>
        <v>401</v>
      </c>
      <c r="BA77" s="81">
        <f t="shared" si="61"/>
        <v>389</v>
      </c>
      <c r="BB77" s="81">
        <f t="shared" si="61"/>
        <v>385.6</v>
      </c>
      <c r="BC77" s="81">
        <f t="shared" si="61"/>
        <v>432</v>
      </c>
      <c r="BD77" s="81">
        <f t="shared" si="61"/>
        <v>460</v>
      </c>
      <c r="BE77" s="81">
        <f t="shared" si="61"/>
        <v>470</v>
      </c>
      <c r="BF77" s="81">
        <f t="shared" si="61"/>
        <v>60</v>
      </c>
      <c r="BG77" s="81">
        <f t="shared" si="61"/>
        <v>250</v>
      </c>
      <c r="BH77" s="81">
        <f t="shared" si="61"/>
        <v>286</v>
      </c>
      <c r="BI77" s="81">
        <f t="shared" si="61"/>
        <v>399</v>
      </c>
      <c r="BJ77" s="81">
        <f t="shared" si="61"/>
        <v>412</v>
      </c>
      <c r="BK77" s="81">
        <f t="shared" si="61"/>
        <v>399</v>
      </c>
      <c r="BL77" s="81">
        <f t="shared" si="61"/>
        <v>432</v>
      </c>
      <c r="BM77" s="81">
        <f t="shared" si="61"/>
        <v>458.5</v>
      </c>
      <c r="BN77" s="81">
        <f t="shared" si="61"/>
        <v>462.1</v>
      </c>
      <c r="BO77" s="81">
        <f t="shared" si="61"/>
        <v>0</v>
      </c>
      <c r="BP77" s="81">
        <f t="shared" si="61"/>
        <v>427.5</v>
      </c>
      <c r="BQ77" s="81">
        <f t="shared" si="61"/>
        <v>457.3</v>
      </c>
      <c r="BR77" s="81">
        <f t="shared" si="61"/>
        <v>125</v>
      </c>
      <c r="BS77" s="81">
        <f t="shared" si="61"/>
        <v>151</v>
      </c>
      <c r="BT77" s="81">
        <f t="shared" si="61"/>
        <v>320</v>
      </c>
      <c r="BU77" s="81">
        <f t="shared" si="61"/>
        <v>358</v>
      </c>
      <c r="BV77" s="81">
        <f t="shared" si="61"/>
        <v>370</v>
      </c>
      <c r="BW77" s="81">
        <f t="shared" si="61"/>
        <v>400.8</v>
      </c>
    </row>
    <row r="78" spans="1:75" x14ac:dyDescent="0.25">
      <c r="A78" s="64" t="s">
        <v>101</v>
      </c>
      <c r="B78" s="75">
        <v>0</v>
      </c>
      <c r="C78" s="75">
        <v>0</v>
      </c>
      <c r="D78" s="75">
        <v>0</v>
      </c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>
        <v>3.7</v>
      </c>
      <c r="AB78" s="75"/>
      <c r="AC78" s="75"/>
      <c r="AD78" s="75"/>
      <c r="AE78" s="75"/>
      <c r="AF78" s="75"/>
      <c r="AG78" s="65">
        <v>32</v>
      </c>
      <c r="AH78" s="48">
        <f t="shared" si="8"/>
        <v>3.7</v>
      </c>
      <c r="AI78" s="49">
        <f t="shared" si="9"/>
        <v>0</v>
      </c>
      <c r="AK78" s="51"/>
      <c r="AZ78" s="81">
        <f t="shared" si="61"/>
        <v>4</v>
      </c>
      <c r="BA78" s="81">
        <f t="shared" si="61"/>
        <v>4</v>
      </c>
      <c r="BB78" s="81">
        <f t="shared" si="61"/>
        <v>4.2</v>
      </c>
      <c r="BC78" s="81">
        <f t="shared" si="61"/>
        <v>4</v>
      </c>
      <c r="BD78" s="81">
        <f t="shared" si="61"/>
        <v>4</v>
      </c>
      <c r="BE78" s="81">
        <f t="shared" si="61"/>
        <v>4</v>
      </c>
      <c r="BF78" s="81">
        <f t="shared" si="61"/>
        <v>23</v>
      </c>
      <c r="BG78" s="81">
        <f t="shared" si="61"/>
        <v>30</v>
      </c>
      <c r="BH78" s="81">
        <f t="shared" si="61"/>
        <v>36.799999999999997</v>
      </c>
      <c r="BI78" s="81">
        <f t="shared" si="61"/>
        <v>38.700000000000003</v>
      </c>
      <c r="BJ78" s="81">
        <f t="shared" si="61"/>
        <v>43</v>
      </c>
      <c r="BK78" s="81">
        <f t="shared" si="61"/>
        <v>33.299999999999997</v>
      </c>
      <c r="BL78" s="81">
        <f t="shared" si="61"/>
        <v>38.9</v>
      </c>
      <c r="BM78" s="81">
        <f t="shared" si="61"/>
        <v>36.299999999999997</v>
      </c>
      <c r="BN78" s="81">
        <f t="shared" si="61"/>
        <v>38.1</v>
      </c>
      <c r="BO78" s="81">
        <f t="shared" si="61"/>
        <v>0</v>
      </c>
      <c r="BP78" s="81">
        <f t="shared" si="61"/>
        <v>0</v>
      </c>
      <c r="BQ78" s="81">
        <f t="shared" si="61"/>
        <v>0</v>
      </c>
      <c r="BR78" s="81">
        <f t="shared" si="61"/>
        <v>0</v>
      </c>
      <c r="BS78" s="81">
        <f t="shared" si="61"/>
        <v>0</v>
      </c>
      <c r="BT78" s="81">
        <f t="shared" si="61"/>
        <v>47</v>
      </c>
      <c r="BU78" s="81">
        <f t="shared" si="61"/>
        <v>47</v>
      </c>
      <c r="BV78" s="81">
        <f t="shared" si="61"/>
        <v>36</v>
      </c>
      <c r="BW78" s="81">
        <f t="shared" si="61"/>
        <v>33.799999999999997</v>
      </c>
    </row>
    <row r="79" spans="1:75" ht="15.75" thickBot="1" x14ac:dyDescent="0.3">
      <c r="A79" s="83" t="s">
        <v>102</v>
      </c>
      <c r="B79" s="77">
        <v>0</v>
      </c>
      <c r="C79" s="77">
        <v>0</v>
      </c>
      <c r="D79" s="77">
        <v>0</v>
      </c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>
        <v>1.4</v>
      </c>
      <c r="AB79" s="77"/>
      <c r="AC79" s="77"/>
      <c r="AD79" s="77"/>
      <c r="AE79" s="77"/>
      <c r="AF79" s="77"/>
      <c r="AG79" s="78">
        <v>14</v>
      </c>
      <c r="AH79" s="48">
        <f t="shared" si="8"/>
        <v>1.4</v>
      </c>
      <c r="AI79" s="49">
        <f t="shared" si="9"/>
        <v>0</v>
      </c>
      <c r="AK79" s="51"/>
      <c r="AZ79" s="81">
        <f t="shared" si="61"/>
        <v>120</v>
      </c>
      <c r="BA79" s="81">
        <f t="shared" si="61"/>
        <v>129</v>
      </c>
      <c r="BB79" s="81">
        <f t="shared" si="61"/>
        <v>118</v>
      </c>
      <c r="BC79" s="81">
        <f t="shared" si="61"/>
        <v>116</v>
      </c>
      <c r="BD79" s="81">
        <f t="shared" si="61"/>
        <v>100</v>
      </c>
      <c r="BE79" s="81">
        <f t="shared" si="61"/>
        <v>40</v>
      </c>
      <c r="BF79" s="81">
        <f t="shared" si="61"/>
        <v>0</v>
      </c>
      <c r="BG79" s="81">
        <f t="shared" si="61"/>
        <v>0</v>
      </c>
      <c r="BH79" s="81">
        <f t="shared" si="61"/>
        <v>0</v>
      </c>
      <c r="BI79" s="81">
        <f t="shared" si="61"/>
        <v>0</v>
      </c>
      <c r="BJ79" s="81">
        <f t="shared" si="61"/>
        <v>0</v>
      </c>
      <c r="BK79" s="81">
        <f t="shared" si="61"/>
        <v>94.5</v>
      </c>
      <c r="BL79" s="81">
        <f t="shared" si="61"/>
        <v>90.5</v>
      </c>
      <c r="BM79" s="81">
        <f t="shared" si="61"/>
        <v>85.6</v>
      </c>
      <c r="BN79" s="81">
        <f t="shared" si="61"/>
        <v>88.4</v>
      </c>
      <c r="BO79" s="81">
        <f t="shared" si="61"/>
        <v>0</v>
      </c>
      <c r="BP79" s="81">
        <f t="shared" si="61"/>
        <v>0</v>
      </c>
      <c r="BQ79" s="81">
        <f t="shared" si="61"/>
        <v>0</v>
      </c>
      <c r="BR79" s="81">
        <f t="shared" si="61"/>
        <v>0</v>
      </c>
      <c r="BS79" s="81">
        <f t="shared" si="61"/>
        <v>0</v>
      </c>
      <c r="BT79" s="81">
        <f t="shared" si="61"/>
        <v>112</v>
      </c>
      <c r="BU79" s="81">
        <f t="shared" si="61"/>
        <v>88</v>
      </c>
      <c r="BV79" s="81">
        <f t="shared" si="61"/>
        <v>88</v>
      </c>
      <c r="BW79" s="81">
        <f t="shared" si="61"/>
        <v>102</v>
      </c>
    </row>
    <row r="80" spans="1:75" ht="15.75" thickBot="1" x14ac:dyDescent="0.3">
      <c r="A80" s="86" t="s">
        <v>103</v>
      </c>
      <c r="B80" s="70">
        <f t="shared" ref="B80:D80" si="62">B77+B78+B79</f>
        <v>0</v>
      </c>
      <c r="C80" s="70">
        <f t="shared" si="62"/>
        <v>0</v>
      </c>
      <c r="D80" s="70">
        <f t="shared" si="62"/>
        <v>0</v>
      </c>
      <c r="E80" s="70">
        <f t="shared" ref="E80:AC80" si="63">E77+E78+E79</f>
        <v>0</v>
      </c>
      <c r="F80" s="70">
        <f t="shared" si="63"/>
        <v>0</v>
      </c>
      <c r="G80" s="70">
        <f t="shared" si="63"/>
        <v>0</v>
      </c>
      <c r="H80" s="70">
        <f t="shared" si="63"/>
        <v>0</v>
      </c>
      <c r="I80" s="70">
        <f t="shared" si="63"/>
        <v>0</v>
      </c>
      <c r="J80" s="70">
        <f t="shared" si="63"/>
        <v>0</v>
      </c>
      <c r="K80" s="70">
        <f t="shared" si="63"/>
        <v>0</v>
      </c>
      <c r="L80" s="70">
        <f t="shared" si="63"/>
        <v>0</v>
      </c>
      <c r="M80" s="70">
        <f t="shared" si="63"/>
        <v>0</v>
      </c>
      <c r="N80" s="70">
        <f t="shared" si="63"/>
        <v>0</v>
      </c>
      <c r="O80" s="70">
        <f t="shared" si="63"/>
        <v>0</v>
      </c>
      <c r="P80" s="70">
        <f t="shared" si="63"/>
        <v>0</v>
      </c>
      <c r="Q80" s="70">
        <f t="shared" si="63"/>
        <v>0</v>
      </c>
      <c r="R80" s="70">
        <f t="shared" si="63"/>
        <v>0</v>
      </c>
      <c r="S80" s="70">
        <f t="shared" ref="S80:T80" si="64">S77+S78+S79</f>
        <v>0</v>
      </c>
      <c r="T80" s="70">
        <f t="shared" si="64"/>
        <v>0</v>
      </c>
      <c r="U80" s="70">
        <f t="shared" ref="U80:V80" si="65">U77+U78+U79</f>
        <v>0</v>
      </c>
      <c r="V80" s="70">
        <f t="shared" si="65"/>
        <v>0</v>
      </c>
      <c r="W80" s="70">
        <f t="shared" ref="W80:X80" si="66">W77+W78+W79</f>
        <v>0</v>
      </c>
      <c r="X80" s="70">
        <f t="shared" si="66"/>
        <v>0</v>
      </c>
      <c r="Y80" s="70">
        <f t="shared" ref="Y80:Z80" si="67">Y77+Y78+Y79</f>
        <v>0</v>
      </c>
      <c r="Z80" s="70">
        <f t="shared" si="67"/>
        <v>0</v>
      </c>
      <c r="AA80" s="70">
        <f t="shared" ref="AA80" si="68">AA77+AA78+AA79</f>
        <v>15.1</v>
      </c>
      <c r="AB80" s="70">
        <f t="shared" si="63"/>
        <v>0</v>
      </c>
      <c r="AC80" s="70">
        <f t="shared" si="63"/>
        <v>0</v>
      </c>
      <c r="AD80" s="70">
        <f t="shared" ref="AD80:AE80" si="69">AD77+AD78+AD79</f>
        <v>0</v>
      </c>
      <c r="AE80" s="70">
        <f t="shared" si="69"/>
        <v>0</v>
      </c>
      <c r="AF80" s="70">
        <f t="shared" ref="AF80" si="70">AF77+AF78+AF79</f>
        <v>0</v>
      </c>
      <c r="AG80" s="71">
        <f>SUM(AG77:AG79)</f>
        <v>106</v>
      </c>
      <c r="AH80" s="48">
        <f t="shared" si="8"/>
        <v>15.1</v>
      </c>
      <c r="AI80" s="49">
        <f t="shared" si="9"/>
        <v>0</v>
      </c>
      <c r="AK80" s="51"/>
      <c r="AZ80" s="81">
        <f t="shared" si="61"/>
        <v>70</v>
      </c>
      <c r="BA80" s="81">
        <f t="shared" si="61"/>
        <v>78.5</v>
      </c>
      <c r="BB80" s="81">
        <f t="shared" si="61"/>
        <v>70</v>
      </c>
      <c r="BC80" s="81">
        <f t="shared" si="61"/>
        <v>77</v>
      </c>
      <c r="BD80" s="81">
        <f t="shared" si="61"/>
        <v>74.599999999999994</v>
      </c>
      <c r="BE80" s="81">
        <f t="shared" si="61"/>
        <v>80</v>
      </c>
      <c r="BF80" s="81">
        <f t="shared" si="61"/>
        <v>58</v>
      </c>
      <c r="BG80" s="81">
        <f t="shared" si="61"/>
        <v>52</v>
      </c>
      <c r="BH80" s="81">
        <f t="shared" si="61"/>
        <v>68.8</v>
      </c>
      <c r="BI80" s="81">
        <f t="shared" si="61"/>
        <v>74.099999999999994</v>
      </c>
      <c r="BJ80" s="81">
        <f t="shared" si="61"/>
        <v>68</v>
      </c>
      <c r="BK80" s="81">
        <f t="shared" si="61"/>
        <v>68</v>
      </c>
      <c r="BL80" s="81">
        <f t="shared" si="61"/>
        <v>80</v>
      </c>
      <c r="BM80" s="81">
        <f t="shared" si="61"/>
        <v>68</v>
      </c>
      <c r="BN80" s="81">
        <f t="shared" si="61"/>
        <v>70</v>
      </c>
      <c r="BO80" s="81">
        <f t="shared" si="61"/>
        <v>70</v>
      </c>
      <c r="BP80" s="81">
        <f t="shared" si="61"/>
        <v>58</v>
      </c>
      <c r="BQ80" s="81">
        <f t="shared" si="61"/>
        <v>62</v>
      </c>
      <c r="BR80" s="81">
        <f t="shared" si="61"/>
        <v>62</v>
      </c>
      <c r="BS80" s="81">
        <f t="shared" si="61"/>
        <v>0</v>
      </c>
      <c r="BT80" s="81">
        <f t="shared" si="61"/>
        <v>0</v>
      </c>
      <c r="BU80" s="81">
        <f t="shared" si="61"/>
        <v>0</v>
      </c>
      <c r="BV80" s="81">
        <f t="shared" si="61"/>
        <v>0</v>
      </c>
      <c r="BW80" s="81">
        <f t="shared" si="61"/>
        <v>0</v>
      </c>
    </row>
    <row r="81" spans="1:64" x14ac:dyDescent="0.25">
      <c r="A81" s="45" t="s">
        <v>104</v>
      </c>
      <c r="B81" s="46">
        <v>53.9</v>
      </c>
      <c r="C81" s="46">
        <v>53.9</v>
      </c>
      <c r="D81" s="46">
        <v>56.4</v>
      </c>
      <c r="E81" s="46">
        <v>45.4</v>
      </c>
      <c r="F81" s="46">
        <v>56.7</v>
      </c>
      <c r="G81" s="46">
        <v>58</v>
      </c>
      <c r="H81" s="46">
        <v>63</v>
      </c>
      <c r="I81" s="46">
        <v>60</v>
      </c>
      <c r="J81" s="46">
        <v>60</v>
      </c>
      <c r="K81" s="46">
        <v>48</v>
      </c>
      <c r="L81" s="46">
        <v>48</v>
      </c>
      <c r="M81" s="46">
        <v>45</v>
      </c>
      <c r="N81" s="46">
        <v>55</v>
      </c>
      <c r="O81" s="46">
        <v>51</v>
      </c>
      <c r="P81" s="46">
        <v>62</v>
      </c>
      <c r="Q81" s="46">
        <v>49.8</v>
      </c>
      <c r="R81" s="46">
        <v>56.8</v>
      </c>
      <c r="S81" s="46">
        <v>45.1</v>
      </c>
      <c r="T81" s="46">
        <v>63.7</v>
      </c>
      <c r="U81" s="46"/>
      <c r="V81" s="46">
        <v>43</v>
      </c>
      <c r="W81" s="46">
        <v>60.7</v>
      </c>
      <c r="X81" s="46">
        <v>49.6</v>
      </c>
      <c r="Y81" s="46">
        <v>40.799999999999997</v>
      </c>
      <c r="Z81" s="46">
        <v>53.9</v>
      </c>
      <c r="AA81" s="46">
        <v>53.3</v>
      </c>
      <c r="AB81" s="46">
        <v>41.2</v>
      </c>
      <c r="AC81" s="46">
        <v>57</v>
      </c>
      <c r="AD81" s="46">
        <v>58</v>
      </c>
      <c r="AE81" s="46">
        <v>56</v>
      </c>
      <c r="AF81" s="46">
        <v>50</v>
      </c>
      <c r="AG81" s="60"/>
      <c r="AH81" s="48">
        <f t="shared" si="8"/>
        <v>63.7</v>
      </c>
      <c r="AI81" s="49">
        <f t="shared" si="9"/>
        <v>40.799999999999997</v>
      </c>
      <c r="AK81" s="51"/>
      <c r="AY81" s="81"/>
    </row>
    <row r="82" spans="1:64" x14ac:dyDescent="0.25">
      <c r="A82" s="64" t="s">
        <v>105</v>
      </c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65"/>
      <c r="AH82" s="48">
        <f t="shared" ref="AH82:AH123" si="71">MAX(B82:AF82)</f>
        <v>0</v>
      </c>
      <c r="AI82" s="49">
        <f t="shared" ref="AI82:AI123" si="72">MIN(B82:AF82)</f>
        <v>0</v>
      </c>
      <c r="AK82" s="51"/>
      <c r="AY82" s="81"/>
      <c r="BF82" s="81"/>
      <c r="BG82" s="81"/>
      <c r="BH82" s="81"/>
      <c r="BI82" s="81"/>
      <c r="BJ82" s="81"/>
      <c r="BK82" s="81"/>
    </row>
    <row r="83" spans="1:64" x14ac:dyDescent="0.25">
      <c r="A83" s="64" t="s">
        <v>106</v>
      </c>
      <c r="B83" s="75">
        <v>400.8</v>
      </c>
      <c r="C83" s="75">
        <v>400.8</v>
      </c>
      <c r="D83" s="75">
        <v>389</v>
      </c>
      <c r="E83" s="75">
        <v>385.6</v>
      </c>
      <c r="F83" s="75">
        <v>432</v>
      </c>
      <c r="G83" s="75">
        <v>460</v>
      </c>
      <c r="H83" s="75">
        <v>490</v>
      </c>
      <c r="I83" s="75">
        <v>470</v>
      </c>
      <c r="J83" s="75">
        <v>419</v>
      </c>
      <c r="K83" s="75">
        <v>60</v>
      </c>
      <c r="L83" s="75">
        <v>53</v>
      </c>
      <c r="M83" s="75">
        <v>250</v>
      </c>
      <c r="N83" s="75">
        <v>286</v>
      </c>
      <c r="O83" s="75">
        <v>399</v>
      </c>
      <c r="P83" s="75">
        <v>412</v>
      </c>
      <c r="Q83" s="75">
        <v>399</v>
      </c>
      <c r="R83" s="75">
        <v>432</v>
      </c>
      <c r="S83" s="75">
        <v>458.5</v>
      </c>
      <c r="T83" s="75">
        <v>462.1</v>
      </c>
      <c r="U83" s="75"/>
      <c r="V83" s="75">
        <v>427.5</v>
      </c>
      <c r="W83" s="75">
        <v>430.6</v>
      </c>
      <c r="X83" s="75">
        <v>457.3</v>
      </c>
      <c r="Y83" s="75">
        <v>426.2</v>
      </c>
      <c r="Z83" s="75">
        <v>125</v>
      </c>
      <c r="AA83" s="75">
        <v>125.8</v>
      </c>
      <c r="AB83" s="75">
        <v>151</v>
      </c>
      <c r="AC83" s="75">
        <v>240</v>
      </c>
      <c r="AD83" s="75">
        <v>320</v>
      </c>
      <c r="AE83" s="75">
        <v>358</v>
      </c>
      <c r="AF83" s="75">
        <v>370</v>
      </c>
      <c r="AG83" s="87"/>
      <c r="AH83" s="48">
        <f t="shared" si="71"/>
        <v>490</v>
      </c>
      <c r="AI83" s="49">
        <f t="shared" si="72"/>
        <v>53</v>
      </c>
      <c r="AK83" s="51"/>
      <c r="AY83" s="81"/>
      <c r="BF83" s="80"/>
      <c r="BG83" s="80"/>
      <c r="BH83" s="80"/>
      <c r="BI83" s="80"/>
      <c r="BJ83" s="80"/>
      <c r="BK83" s="81"/>
    </row>
    <row r="84" spans="1:64" x14ac:dyDescent="0.25">
      <c r="A84" s="64" t="s">
        <v>107</v>
      </c>
      <c r="B84" s="88">
        <v>33.799999999999997</v>
      </c>
      <c r="C84" s="88">
        <v>4.0999999999999996</v>
      </c>
      <c r="D84" s="88">
        <v>4</v>
      </c>
      <c r="E84" s="88">
        <v>4.2</v>
      </c>
      <c r="F84" s="88">
        <v>4</v>
      </c>
      <c r="G84" s="88">
        <v>4</v>
      </c>
      <c r="H84" s="88">
        <v>4</v>
      </c>
      <c r="I84" s="88">
        <v>4</v>
      </c>
      <c r="J84" s="88">
        <v>4</v>
      </c>
      <c r="K84" s="88">
        <v>23</v>
      </c>
      <c r="L84" s="88">
        <v>24</v>
      </c>
      <c r="M84" s="88">
        <v>30</v>
      </c>
      <c r="N84" s="88">
        <v>36.799999999999997</v>
      </c>
      <c r="O84" s="88">
        <v>38.700000000000003</v>
      </c>
      <c r="P84" s="88">
        <v>43</v>
      </c>
      <c r="Q84" s="88">
        <v>33.299999999999997</v>
      </c>
      <c r="R84" s="88">
        <v>38.9</v>
      </c>
      <c r="S84" s="88">
        <v>36.299999999999997</v>
      </c>
      <c r="T84" s="88">
        <v>38.1</v>
      </c>
      <c r="U84" s="88"/>
      <c r="V84" s="88">
        <v>0</v>
      </c>
      <c r="W84" s="88">
        <v>0</v>
      </c>
      <c r="X84" s="88">
        <v>0</v>
      </c>
      <c r="Y84" s="88">
        <v>0</v>
      </c>
      <c r="Z84" s="88">
        <v>0</v>
      </c>
      <c r="AA84" s="88">
        <v>0</v>
      </c>
      <c r="AB84" s="88"/>
      <c r="AC84" s="88"/>
      <c r="AD84" s="88">
        <v>47</v>
      </c>
      <c r="AE84" s="88">
        <v>47</v>
      </c>
      <c r="AF84" s="88">
        <v>36</v>
      </c>
      <c r="AG84" s="87"/>
      <c r="AH84" s="48">
        <f t="shared" si="71"/>
        <v>47</v>
      </c>
      <c r="AI84" s="49">
        <f t="shared" si="72"/>
        <v>0</v>
      </c>
      <c r="AK84" s="51"/>
      <c r="AY84" s="81"/>
      <c r="BF84" s="80"/>
      <c r="BG84" s="81">
        <f t="array" ref="BG84:BL107">TRANSPOSE(AZ68:BW73)</f>
        <v>54</v>
      </c>
      <c r="BH84" s="81">
        <v>0</v>
      </c>
      <c r="BI84" s="81">
        <v>401</v>
      </c>
      <c r="BJ84" s="81">
        <v>4</v>
      </c>
      <c r="BK84" s="81">
        <v>120</v>
      </c>
      <c r="BL84" s="81">
        <v>70</v>
      </c>
    </row>
    <row r="85" spans="1:64" x14ac:dyDescent="0.25">
      <c r="A85" s="64" t="s">
        <v>108</v>
      </c>
      <c r="B85" s="46">
        <v>102</v>
      </c>
      <c r="C85" s="46">
        <v>120</v>
      </c>
      <c r="D85" s="46">
        <v>129</v>
      </c>
      <c r="E85" s="46">
        <f>59*2</f>
        <v>118</v>
      </c>
      <c r="F85" s="46">
        <f>58*2</f>
        <v>116</v>
      </c>
      <c r="G85" s="46">
        <v>100</v>
      </c>
      <c r="H85" s="46">
        <v>39</v>
      </c>
      <c r="I85" s="46">
        <v>40</v>
      </c>
      <c r="J85" s="46">
        <v>44</v>
      </c>
      <c r="K85" s="46">
        <v>0</v>
      </c>
      <c r="L85" s="46"/>
      <c r="M85" s="46">
        <v>0</v>
      </c>
      <c r="N85" s="46">
        <v>0</v>
      </c>
      <c r="O85" s="46">
        <v>0</v>
      </c>
      <c r="P85" s="46">
        <v>0</v>
      </c>
      <c r="Q85" s="46">
        <v>94.5</v>
      </c>
      <c r="R85" s="46">
        <v>90.5</v>
      </c>
      <c r="S85" s="46">
        <v>85.6</v>
      </c>
      <c r="T85" s="46">
        <v>88.4</v>
      </c>
      <c r="U85" s="46"/>
      <c r="V85" s="46">
        <v>0</v>
      </c>
      <c r="W85" s="46">
        <v>0</v>
      </c>
      <c r="X85" s="46">
        <v>0</v>
      </c>
      <c r="Y85" s="46">
        <v>0</v>
      </c>
      <c r="Z85" s="46">
        <v>0</v>
      </c>
      <c r="AA85" s="46">
        <v>0</v>
      </c>
      <c r="AB85" s="46"/>
      <c r="AC85" s="46"/>
      <c r="AD85" s="46">
        <v>112</v>
      </c>
      <c r="AE85" s="46">
        <v>88</v>
      </c>
      <c r="AF85" s="46">
        <v>88</v>
      </c>
      <c r="AG85" s="87"/>
      <c r="AH85" s="48">
        <f t="shared" si="71"/>
        <v>129</v>
      </c>
      <c r="AI85" s="49">
        <f t="shared" si="72"/>
        <v>0</v>
      </c>
      <c r="AK85" s="51"/>
      <c r="AY85" s="81"/>
      <c r="BF85" s="80"/>
      <c r="BG85" s="81">
        <v>56.4</v>
      </c>
      <c r="BH85" s="81">
        <v>0</v>
      </c>
      <c r="BI85" s="81">
        <v>389</v>
      </c>
      <c r="BJ85" s="81">
        <v>4</v>
      </c>
      <c r="BK85" s="81">
        <v>129</v>
      </c>
      <c r="BL85" s="81">
        <v>78.5</v>
      </c>
    </row>
    <row r="86" spans="1:64" x14ac:dyDescent="0.25">
      <c r="A86" s="64" t="s">
        <v>109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7"/>
      <c r="AH86" s="48">
        <f t="shared" si="71"/>
        <v>0</v>
      </c>
      <c r="AI86" s="49">
        <f t="shared" si="72"/>
        <v>0</v>
      </c>
      <c r="AK86" s="51"/>
      <c r="AY86" s="81"/>
      <c r="BF86" s="80"/>
      <c r="BG86" s="81">
        <v>45.4</v>
      </c>
      <c r="BH86" s="81">
        <v>0</v>
      </c>
      <c r="BI86" s="81">
        <v>385.6</v>
      </c>
      <c r="BJ86" s="81">
        <v>4.2</v>
      </c>
      <c r="BK86" s="81">
        <v>118</v>
      </c>
      <c r="BL86" s="81">
        <v>70</v>
      </c>
    </row>
    <row r="87" spans="1:64" ht="15.75" thickBot="1" x14ac:dyDescent="0.3">
      <c r="A87" s="64" t="s">
        <v>110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7"/>
      <c r="AH87" s="48">
        <f t="shared" si="71"/>
        <v>0</v>
      </c>
      <c r="AI87" s="49">
        <f t="shared" si="72"/>
        <v>0</v>
      </c>
      <c r="AK87" s="51"/>
      <c r="AL87" s="90" t="s">
        <v>111</v>
      </c>
      <c r="AM87" s="90"/>
      <c r="AY87" s="81"/>
      <c r="BF87" s="81"/>
      <c r="BG87" s="81">
        <v>56.7</v>
      </c>
      <c r="BH87" s="81">
        <v>0</v>
      </c>
      <c r="BI87" s="81">
        <v>432</v>
      </c>
      <c r="BJ87" s="81">
        <v>4</v>
      </c>
      <c r="BK87" s="81">
        <v>116</v>
      </c>
      <c r="BL87" s="81">
        <v>77</v>
      </c>
    </row>
    <row r="88" spans="1:64" x14ac:dyDescent="0.25">
      <c r="A88" s="64" t="s">
        <v>112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7"/>
      <c r="AH88" s="48">
        <f t="shared" si="71"/>
        <v>0</v>
      </c>
      <c r="AI88" s="49">
        <f t="shared" si="72"/>
        <v>0</v>
      </c>
      <c r="AK88" s="91"/>
      <c r="AL88" s="92"/>
      <c r="AM88" s="92"/>
      <c r="AN88" s="93"/>
      <c r="AY88" s="81"/>
      <c r="BF88" s="81"/>
      <c r="BG88" s="81">
        <v>58</v>
      </c>
      <c r="BH88" s="81">
        <v>0</v>
      </c>
      <c r="BI88" s="81">
        <v>460</v>
      </c>
      <c r="BJ88" s="81">
        <v>4</v>
      </c>
      <c r="BK88" s="81">
        <v>100</v>
      </c>
      <c r="BL88" s="81">
        <v>74.599999999999994</v>
      </c>
    </row>
    <row r="89" spans="1:64" x14ac:dyDescent="0.25">
      <c r="A89" s="64" t="s">
        <v>113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7"/>
      <c r="AH89" s="48">
        <f t="shared" si="71"/>
        <v>0</v>
      </c>
      <c r="AI89" s="49">
        <f t="shared" si="72"/>
        <v>0</v>
      </c>
      <c r="AK89" s="94" t="s">
        <v>114</v>
      </c>
      <c r="AL89" s="75"/>
      <c r="AM89" s="88"/>
      <c r="AN89" s="95"/>
      <c r="AY89" s="81"/>
      <c r="BF89" s="81"/>
      <c r="BG89" s="81">
        <v>60</v>
      </c>
      <c r="BH89" s="81">
        <v>0</v>
      </c>
      <c r="BI89" s="81">
        <v>470</v>
      </c>
      <c r="BJ89" s="81">
        <v>4</v>
      </c>
      <c r="BK89" s="81">
        <v>40</v>
      </c>
      <c r="BL89" s="81">
        <v>80</v>
      </c>
    </row>
    <row r="90" spans="1:64" x14ac:dyDescent="0.25">
      <c r="A90" s="96" t="s">
        <v>115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97"/>
      <c r="AH90" s="48">
        <f t="shared" si="71"/>
        <v>0</v>
      </c>
      <c r="AI90" s="49">
        <f t="shared" si="72"/>
        <v>0</v>
      </c>
      <c r="AK90" s="94" t="s">
        <v>116</v>
      </c>
      <c r="AL90" s="88"/>
      <c r="AM90" s="88"/>
      <c r="AN90" s="95"/>
      <c r="AY90" s="81"/>
      <c r="BF90" s="81"/>
      <c r="BG90" s="81">
        <v>48</v>
      </c>
      <c r="BH90" s="81">
        <v>0</v>
      </c>
      <c r="BI90" s="81">
        <v>60</v>
      </c>
      <c r="BJ90" s="81">
        <v>23</v>
      </c>
      <c r="BK90" s="81">
        <v>0</v>
      </c>
      <c r="BL90" s="81">
        <v>58</v>
      </c>
    </row>
    <row r="91" spans="1:64" ht="15.75" thickBot="1" x14ac:dyDescent="0.3">
      <c r="A91" s="96" t="s">
        <v>117</v>
      </c>
      <c r="B91" s="89">
        <v>0</v>
      </c>
      <c r="C91" s="89">
        <v>69.8</v>
      </c>
      <c r="D91" s="89">
        <v>78.5</v>
      </c>
      <c r="E91" s="89">
        <v>70</v>
      </c>
      <c r="F91" s="89">
        <v>77</v>
      </c>
      <c r="G91" s="89">
        <v>74.599999999999994</v>
      </c>
      <c r="H91" s="89">
        <v>78</v>
      </c>
      <c r="I91" s="89">
        <v>80</v>
      </c>
      <c r="J91" s="89">
        <v>79</v>
      </c>
      <c r="K91" s="89">
        <v>58</v>
      </c>
      <c r="L91" s="89">
        <v>55</v>
      </c>
      <c r="M91" s="89">
        <v>52</v>
      </c>
      <c r="N91" s="89">
        <v>68.8</v>
      </c>
      <c r="O91" s="89">
        <v>74.099999999999994</v>
      </c>
      <c r="P91" s="89">
        <v>68</v>
      </c>
      <c r="Q91" s="89">
        <v>68</v>
      </c>
      <c r="R91" s="89">
        <v>80</v>
      </c>
      <c r="S91" s="89">
        <v>68</v>
      </c>
      <c r="T91" s="89">
        <v>70</v>
      </c>
      <c r="U91" s="89">
        <v>70</v>
      </c>
      <c r="V91" s="89">
        <v>58</v>
      </c>
      <c r="W91" s="89">
        <v>58</v>
      </c>
      <c r="X91" s="89">
        <v>62</v>
      </c>
      <c r="Y91" s="89">
        <v>62</v>
      </c>
      <c r="Z91" s="89">
        <v>62</v>
      </c>
      <c r="AA91" s="89">
        <v>0</v>
      </c>
      <c r="AB91" s="89">
        <v>0</v>
      </c>
      <c r="AC91" s="89">
        <v>0</v>
      </c>
      <c r="AD91" s="89">
        <v>0</v>
      </c>
      <c r="AE91" s="89">
        <v>0</v>
      </c>
      <c r="AF91" s="89">
        <v>0</v>
      </c>
      <c r="AG91" s="97"/>
      <c r="AH91" s="48">
        <f t="shared" si="71"/>
        <v>80</v>
      </c>
      <c r="AI91" s="49">
        <f t="shared" si="72"/>
        <v>0</v>
      </c>
      <c r="AK91" s="98"/>
      <c r="AL91" s="46"/>
      <c r="AM91" s="46"/>
      <c r="AN91" s="99"/>
      <c r="AY91" s="81"/>
      <c r="BF91" s="81"/>
      <c r="BG91" s="81">
        <v>45</v>
      </c>
      <c r="BH91" s="81">
        <v>0</v>
      </c>
      <c r="BI91" s="81">
        <v>250</v>
      </c>
      <c r="BJ91" s="81">
        <v>30</v>
      </c>
      <c r="BK91" s="81">
        <v>0</v>
      </c>
      <c r="BL91" s="81">
        <v>52</v>
      </c>
    </row>
    <row r="92" spans="1:64" ht="15.75" thickBot="1" x14ac:dyDescent="0.3">
      <c r="A92" s="86" t="s">
        <v>118</v>
      </c>
      <c r="B92" s="70">
        <f t="shared" ref="B92:D92" si="73">SUMIF(B81:B91,"&gt;0")</f>
        <v>590.5</v>
      </c>
      <c r="C92" s="70">
        <f t="shared" si="73"/>
        <v>648.59999999999991</v>
      </c>
      <c r="D92" s="70">
        <f t="shared" si="73"/>
        <v>656.9</v>
      </c>
      <c r="E92" s="70">
        <f t="shared" ref="E92:AC92" si="74">SUMIF(E81:E91,"&gt;0")</f>
        <v>623.20000000000005</v>
      </c>
      <c r="F92" s="70">
        <f t="shared" si="74"/>
        <v>685.7</v>
      </c>
      <c r="G92" s="70">
        <f t="shared" si="74"/>
        <v>696.6</v>
      </c>
      <c r="H92" s="70">
        <f t="shared" si="74"/>
        <v>674</v>
      </c>
      <c r="I92" s="70">
        <f t="shared" si="74"/>
        <v>654</v>
      </c>
      <c r="J92" s="70">
        <f t="shared" si="74"/>
        <v>606</v>
      </c>
      <c r="K92" s="70">
        <f t="shared" si="74"/>
        <v>189</v>
      </c>
      <c r="L92" s="70">
        <f t="shared" si="74"/>
        <v>180</v>
      </c>
      <c r="M92" s="70">
        <f t="shared" si="74"/>
        <v>377</v>
      </c>
      <c r="N92" s="70">
        <f t="shared" si="74"/>
        <v>446.6</v>
      </c>
      <c r="O92" s="70">
        <f t="shared" si="74"/>
        <v>562.79999999999995</v>
      </c>
      <c r="P92" s="70">
        <f t="shared" si="74"/>
        <v>585</v>
      </c>
      <c r="Q92" s="70">
        <f t="shared" si="74"/>
        <v>644.6</v>
      </c>
      <c r="R92" s="70">
        <f t="shared" si="74"/>
        <v>698.2</v>
      </c>
      <c r="S92" s="70">
        <f t="shared" ref="S92:T92" si="75">SUMIF(S81:S91,"&gt;0")</f>
        <v>693.5</v>
      </c>
      <c r="T92" s="70">
        <f t="shared" si="75"/>
        <v>722.30000000000007</v>
      </c>
      <c r="U92" s="70">
        <f t="shared" ref="U92:V92" si="76">SUMIF(U81:U91,"&gt;0")</f>
        <v>70</v>
      </c>
      <c r="V92" s="70">
        <f t="shared" si="76"/>
        <v>528.5</v>
      </c>
      <c r="W92" s="70">
        <f t="shared" ref="W92:X92" si="77">SUMIF(W81:W91,"&gt;0")</f>
        <v>549.29999999999995</v>
      </c>
      <c r="X92" s="70">
        <f t="shared" si="77"/>
        <v>568.90000000000009</v>
      </c>
      <c r="Y92" s="70">
        <f t="shared" ref="Y92:Z92" si="78">SUMIF(Y81:Y91,"&gt;0")</f>
        <v>529</v>
      </c>
      <c r="Z92" s="70">
        <f t="shared" si="78"/>
        <v>240.9</v>
      </c>
      <c r="AA92" s="70">
        <f t="shared" ref="AA92" si="79">SUMIF(AA81:AA91,"&gt;0")</f>
        <v>179.1</v>
      </c>
      <c r="AB92" s="70">
        <f t="shared" si="74"/>
        <v>192.2</v>
      </c>
      <c r="AC92" s="70">
        <f t="shared" si="74"/>
        <v>297</v>
      </c>
      <c r="AD92" s="70">
        <f t="shared" ref="AD92:AE92" si="80">SUMIF(AD81:AD91,"&gt;0")</f>
        <v>537</v>
      </c>
      <c r="AE92" s="70">
        <f t="shared" si="80"/>
        <v>549</v>
      </c>
      <c r="AF92" s="70">
        <f t="shared" ref="AF92" si="81">SUMIF(AF81:AF91,"&gt;0")</f>
        <v>544</v>
      </c>
      <c r="AG92" s="100">
        <f>SUM(AG81:AG91)</f>
        <v>0</v>
      </c>
      <c r="AH92" s="48">
        <f t="shared" si="71"/>
        <v>722.30000000000007</v>
      </c>
      <c r="AI92" s="49">
        <f t="shared" si="72"/>
        <v>70</v>
      </c>
      <c r="AK92" s="98"/>
      <c r="AL92" s="89"/>
      <c r="AM92" s="101"/>
      <c r="AN92" s="202"/>
      <c r="AY92" s="81"/>
      <c r="BF92" s="81"/>
      <c r="BG92" s="81">
        <v>55</v>
      </c>
      <c r="BH92" s="81">
        <v>0</v>
      </c>
      <c r="BI92" s="81">
        <v>286</v>
      </c>
      <c r="BJ92" s="81">
        <v>36.799999999999997</v>
      </c>
      <c r="BK92" s="81">
        <v>0</v>
      </c>
      <c r="BL92" s="81">
        <v>68.8</v>
      </c>
    </row>
    <row r="93" spans="1:64" x14ac:dyDescent="0.25">
      <c r="A93" s="45" t="s">
        <v>119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71"/>
        <v>0</v>
      </c>
      <c r="AI93" s="49">
        <f t="shared" si="72"/>
        <v>0</v>
      </c>
      <c r="AK93" s="98"/>
      <c r="AL93" s="89"/>
      <c r="AM93" s="89"/>
      <c r="AN93" s="203"/>
      <c r="BF93" s="81"/>
      <c r="BG93" s="81">
        <v>51</v>
      </c>
      <c r="BH93" s="81">
        <v>0</v>
      </c>
      <c r="BI93" s="81">
        <v>399</v>
      </c>
      <c r="BJ93" s="81">
        <v>38.700000000000003</v>
      </c>
      <c r="BK93" s="81">
        <v>0</v>
      </c>
      <c r="BL93" s="81">
        <v>74.099999999999994</v>
      </c>
    </row>
    <row r="94" spans="1:64" ht="15.75" thickBot="1" x14ac:dyDescent="0.3">
      <c r="A94" s="64" t="s">
        <v>120</v>
      </c>
      <c r="B94" s="89">
        <v>0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71"/>
        <v>0</v>
      </c>
      <c r="AI94" s="49">
        <f t="shared" si="72"/>
        <v>0</v>
      </c>
      <c r="AK94" s="103"/>
      <c r="AL94" s="104"/>
      <c r="AM94" s="104"/>
      <c r="AN94" s="105"/>
      <c r="BF94" s="81"/>
      <c r="BG94" s="81">
        <v>62</v>
      </c>
      <c r="BH94" s="81">
        <v>0</v>
      </c>
      <c r="BI94" s="81">
        <v>412</v>
      </c>
      <c r="BJ94" s="81">
        <v>43</v>
      </c>
      <c r="BK94" s="81">
        <v>0</v>
      </c>
      <c r="BL94" s="81">
        <v>68</v>
      </c>
    </row>
    <row r="95" spans="1:64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0</v>
      </c>
      <c r="Y95" s="106">
        <v>0</v>
      </c>
      <c r="Z95" s="106">
        <v>0</v>
      </c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71"/>
        <v>0</v>
      </c>
      <c r="AI95" s="49">
        <f t="shared" si="72"/>
        <v>0</v>
      </c>
      <c r="BF95" s="81"/>
      <c r="BG95" s="81">
        <v>49.8</v>
      </c>
      <c r="BH95" s="81">
        <v>0</v>
      </c>
      <c r="BI95" s="81">
        <v>399</v>
      </c>
      <c r="BJ95" s="81">
        <v>33.299999999999997</v>
      </c>
      <c r="BK95" s="81">
        <v>94.5</v>
      </c>
      <c r="BL95" s="81">
        <v>68</v>
      </c>
    </row>
    <row r="96" spans="1:64" ht="15.75" thickBot="1" x14ac:dyDescent="0.3">
      <c r="A96" s="86" t="s">
        <v>122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100">
        <f>SUM(AG93:AG95)</f>
        <v>55.4</v>
      </c>
      <c r="AH96" s="48">
        <f t="shared" si="71"/>
        <v>0</v>
      </c>
      <c r="AI96" s="49">
        <f t="shared" si="72"/>
        <v>0</v>
      </c>
      <c r="BF96" s="81"/>
      <c r="BG96" s="81">
        <v>56.8</v>
      </c>
      <c r="BH96" s="81">
        <v>0</v>
      </c>
      <c r="BI96" s="81">
        <v>432</v>
      </c>
      <c r="BJ96" s="81">
        <v>38.9</v>
      </c>
      <c r="BK96" s="81">
        <v>90.5</v>
      </c>
      <c r="BL96" s="81">
        <v>80</v>
      </c>
    </row>
    <row r="97" spans="1:64" ht="15.75" thickBot="1" x14ac:dyDescent="0.3">
      <c r="A97" s="86" t="s">
        <v>123</v>
      </c>
      <c r="B97" s="107">
        <f t="shared" ref="B97:D97" si="82">B58+B62+B80+B76+B92+B96</f>
        <v>1288.19</v>
      </c>
      <c r="C97" s="107">
        <f t="shared" si="82"/>
        <v>1241.29</v>
      </c>
      <c r="D97" s="107">
        <f t="shared" si="82"/>
        <v>1271.0900000000001</v>
      </c>
      <c r="E97" s="107">
        <f t="shared" ref="E97:AG97" si="83">E58+E62+E80+E76+E92+E96</f>
        <v>1236.9900000000002</v>
      </c>
      <c r="F97" s="107">
        <f t="shared" si="83"/>
        <v>1276.4900000000002</v>
      </c>
      <c r="G97" s="107">
        <f t="shared" si="83"/>
        <v>1286.3900000000001</v>
      </c>
      <c r="H97" s="107">
        <f t="shared" si="83"/>
        <v>1261.5900000000001</v>
      </c>
      <c r="I97" s="107">
        <f t="shared" si="83"/>
        <v>1360.4900000000002</v>
      </c>
      <c r="J97" s="107">
        <f t="shared" si="83"/>
        <v>1405.4900000000002</v>
      </c>
      <c r="K97" s="107">
        <f t="shared" si="83"/>
        <v>1237.3900000000001</v>
      </c>
      <c r="L97" s="107">
        <f t="shared" si="83"/>
        <v>1281.8900000000001</v>
      </c>
      <c r="M97" s="107">
        <f t="shared" si="83"/>
        <v>1318.89</v>
      </c>
      <c r="N97" s="107">
        <f t="shared" si="83"/>
        <v>1319.19</v>
      </c>
      <c r="O97" s="107">
        <f t="shared" si="83"/>
        <v>1356.3899999999999</v>
      </c>
      <c r="P97" s="107">
        <f t="shared" si="83"/>
        <v>1284.1890000000001</v>
      </c>
      <c r="Q97" s="107">
        <f t="shared" si="83"/>
        <v>1325.5889999999999</v>
      </c>
      <c r="R97" s="107">
        <f t="shared" si="83"/>
        <v>1342.0889999999999</v>
      </c>
      <c r="S97" s="107">
        <f t="shared" ref="S97:T97" si="84">S58+S62+S80+S76+S92+S96</f>
        <v>1322.789</v>
      </c>
      <c r="T97" s="107">
        <f t="shared" si="84"/>
        <v>1329.3890000000001</v>
      </c>
      <c r="U97" s="107">
        <f t="shared" ref="U97:V97" si="85">U58+U62+U80+U76+U92+U96</f>
        <v>223.54</v>
      </c>
      <c r="V97" s="107">
        <f t="shared" si="85"/>
        <v>1187.289</v>
      </c>
      <c r="W97" s="107">
        <f t="shared" ref="W97:X97" si="86">W58+W62+W80+W76+W92+W96</f>
        <v>1195.489</v>
      </c>
      <c r="X97" s="107">
        <f t="shared" si="86"/>
        <v>1277.2890000000002</v>
      </c>
      <c r="Y97" s="107">
        <f t="shared" ref="Y97:Z97" si="87">Y58+Y62+Y80+Y76+Y92+Y96</f>
        <v>1451.3889999999999</v>
      </c>
      <c r="Z97" s="107">
        <f t="shared" si="87"/>
        <v>1531.8890000000001</v>
      </c>
      <c r="AA97" s="107">
        <f t="shared" ref="AA97" si="88">AA58+AA62+AA80+AA76+AA92+AA96</f>
        <v>1476.5889999999999</v>
      </c>
      <c r="AB97" s="107">
        <f t="shared" si="83"/>
        <v>1362.0890000000002</v>
      </c>
      <c r="AC97" s="107">
        <f t="shared" si="83"/>
        <v>1238.789</v>
      </c>
      <c r="AD97" s="107">
        <f t="shared" ref="AD97:AE97" si="89">AD58+AD62+AD80+AD76+AD92+AD96</f>
        <v>1352.789</v>
      </c>
      <c r="AE97" s="107">
        <f t="shared" si="89"/>
        <v>1296.789</v>
      </c>
      <c r="AF97" s="107">
        <f t="shared" ref="AF97" si="90">AF58+AF62+AF80+AF76+AF92+AF96</f>
        <v>1195.789</v>
      </c>
      <c r="AG97" s="71">
        <f t="shared" si="83"/>
        <v>2231.81</v>
      </c>
      <c r="AH97" s="48">
        <f t="shared" si="71"/>
        <v>1531.8890000000001</v>
      </c>
      <c r="AI97" s="49">
        <f t="shared" si="72"/>
        <v>223.54</v>
      </c>
      <c r="BF97" s="81"/>
      <c r="BG97" s="81">
        <v>45.1</v>
      </c>
      <c r="BH97" s="81">
        <v>0</v>
      </c>
      <c r="BI97" s="81">
        <v>458.5</v>
      </c>
      <c r="BJ97" s="81">
        <v>36.299999999999997</v>
      </c>
      <c r="BK97" s="81">
        <v>85.6</v>
      </c>
      <c r="BL97" s="81">
        <v>68</v>
      </c>
    </row>
    <row r="98" spans="1:64" ht="15.75" thickBot="1" x14ac:dyDescent="0.3">
      <c r="A98" s="108" t="s">
        <v>124</v>
      </c>
      <c r="B98" s="109"/>
      <c r="C98" s="109"/>
      <c r="D98" s="109"/>
      <c r="E98" s="109"/>
      <c r="F98" s="109"/>
      <c r="G98" s="109"/>
      <c r="H98" s="109">
        <v>70</v>
      </c>
      <c r="I98" s="109">
        <v>70</v>
      </c>
      <c r="J98" s="109">
        <v>70</v>
      </c>
      <c r="K98" s="109">
        <v>250</v>
      </c>
      <c r="L98" s="109">
        <v>250</v>
      </c>
      <c r="M98" s="109">
        <v>250</v>
      </c>
      <c r="N98" s="109">
        <v>250</v>
      </c>
      <c r="O98" s="109">
        <v>250</v>
      </c>
      <c r="P98" s="109">
        <v>250</v>
      </c>
      <c r="Q98" s="109"/>
      <c r="R98" s="109"/>
      <c r="S98" s="109"/>
      <c r="T98" s="109"/>
      <c r="U98" s="109"/>
      <c r="V98" s="109">
        <v>200</v>
      </c>
      <c r="W98" s="109">
        <v>250</v>
      </c>
      <c r="X98" s="109">
        <v>250</v>
      </c>
      <c r="Y98" s="109">
        <v>250</v>
      </c>
      <c r="Z98" s="109">
        <v>250</v>
      </c>
      <c r="AA98" s="109">
        <v>250</v>
      </c>
      <c r="AB98" s="109">
        <v>250</v>
      </c>
      <c r="AC98" s="109">
        <v>150</v>
      </c>
      <c r="AD98" s="109">
        <v>0</v>
      </c>
      <c r="AE98" s="109">
        <v>0</v>
      </c>
      <c r="AF98" s="109">
        <v>1</v>
      </c>
      <c r="AG98" s="100"/>
      <c r="AH98" s="48">
        <f t="shared" si="71"/>
        <v>250</v>
      </c>
      <c r="AI98" s="49">
        <f t="shared" si="72"/>
        <v>0</v>
      </c>
      <c r="BF98" s="81"/>
      <c r="BG98" s="81">
        <v>63.7</v>
      </c>
      <c r="BH98" s="81">
        <v>0</v>
      </c>
      <c r="BI98" s="81">
        <v>462.1</v>
      </c>
      <c r="BJ98" s="81">
        <v>38.1</v>
      </c>
      <c r="BK98" s="81">
        <v>88.4</v>
      </c>
      <c r="BL98" s="81">
        <v>70</v>
      </c>
    </row>
    <row r="99" spans="1:64" ht="15.75" thickBot="1" x14ac:dyDescent="0.3">
      <c r="A99" s="86" t="s">
        <v>125</v>
      </c>
      <c r="B99" s="107">
        <f t="shared" ref="B99:D99" si="91">B97+B98</f>
        <v>1288.19</v>
      </c>
      <c r="C99" s="107">
        <f t="shared" si="91"/>
        <v>1241.29</v>
      </c>
      <c r="D99" s="107">
        <f t="shared" si="91"/>
        <v>1271.0900000000001</v>
      </c>
      <c r="E99" s="107">
        <f t="shared" ref="E99:AC99" si="92">E97+E98</f>
        <v>1236.9900000000002</v>
      </c>
      <c r="F99" s="107">
        <f t="shared" si="92"/>
        <v>1276.4900000000002</v>
      </c>
      <c r="G99" s="107">
        <f t="shared" si="92"/>
        <v>1286.3900000000001</v>
      </c>
      <c r="H99" s="107">
        <f t="shared" si="92"/>
        <v>1331.5900000000001</v>
      </c>
      <c r="I99" s="107">
        <f t="shared" si="92"/>
        <v>1430.4900000000002</v>
      </c>
      <c r="J99" s="107">
        <f t="shared" si="92"/>
        <v>1475.4900000000002</v>
      </c>
      <c r="K99" s="107">
        <f t="shared" si="92"/>
        <v>1487.39</v>
      </c>
      <c r="L99" s="107">
        <f t="shared" si="92"/>
        <v>1531.89</v>
      </c>
      <c r="M99" s="107">
        <f t="shared" si="92"/>
        <v>1568.89</v>
      </c>
      <c r="N99" s="107">
        <f t="shared" si="92"/>
        <v>1569.19</v>
      </c>
      <c r="O99" s="107">
        <f t="shared" si="92"/>
        <v>1606.3899999999999</v>
      </c>
      <c r="P99" s="107">
        <f t="shared" si="92"/>
        <v>1534.1890000000001</v>
      </c>
      <c r="Q99" s="107">
        <f t="shared" si="92"/>
        <v>1325.5889999999999</v>
      </c>
      <c r="R99" s="107">
        <f t="shared" si="92"/>
        <v>1342.0889999999999</v>
      </c>
      <c r="S99" s="107">
        <f t="shared" ref="S99:T99" si="93">S97+S98</f>
        <v>1322.789</v>
      </c>
      <c r="T99" s="107">
        <f t="shared" si="93"/>
        <v>1329.3890000000001</v>
      </c>
      <c r="U99" s="107">
        <f t="shared" ref="U99:V99" si="94">U97+U98</f>
        <v>223.54</v>
      </c>
      <c r="V99" s="107">
        <f t="shared" si="94"/>
        <v>1387.289</v>
      </c>
      <c r="W99" s="107">
        <f t="shared" ref="W99:X99" si="95">W97+W98</f>
        <v>1445.489</v>
      </c>
      <c r="X99" s="107">
        <f t="shared" si="95"/>
        <v>1527.2890000000002</v>
      </c>
      <c r="Y99" s="107">
        <f t="shared" ref="Y99:Z99" si="96">Y97+Y98</f>
        <v>1701.3889999999999</v>
      </c>
      <c r="Z99" s="107">
        <f t="shared" si="96"/>
        <v>1781.8890000000001</v>
      </c>
      <c r="AA99" s="107">
        <f t="shared" ref="AA99" si="97">AA97+AA98</f>
        <v>1726.5889999999999</v>
      </c>
      <c r="AB99" s="107">
        <f t="shared" si="92"/>
        <v>1612.0890000000002</v>
      </c>
      <c r="AC99" s="107">
        <f t="shared" si="92"/>
        <v>1388.789</v>
      </c>
      <c r="AD99" s="107">
        <f t="shared" ref="AD99:AE99" si="98">AD97+AD98</f>
        <v>1352.789</v>
      </c>
      <c r="AE99" s="107">
        <f t="shared" si="98"/>
        <v>1296.789</v>
      </c>
      <c r="AF99" s="107">
        <f t="shared" ref="AF99" si="99">AF97+AF98</f>
        <v>1196.789</v>
      </c>
      <c r="AG99" s="100">
        <f>AG96+AG92+AG80+AG76+AG58+AG98</f>
        <v>1693.71</v>
      </c>
      <c r="AH99" s="48">
        <f t="shared" si="71"/>
        <v>1781.8890000000001</v>
      </c>
      <c r="AI99" s="49">
        <f t="shared" si="72"/>
        <v>223.54</v>
      </c>
      <c r="BF99" s="81"/>
      <c r="BG99" s="81">
        <v>0</v>
      </c>
      <c r="BH99" s="81">
        <v>0</v>
      </c>
      <c r="BI99" s="81">
        <v>0</v>
      </c>
      <c r="BJ99" s="81">
        <v>0</v>
      </c>
      <c r="BK99" s="81">
        <v>0</v>
      </c>
      <c r="BL99" s="81">
        <v>70</v>
      </c>
    </row>
    <row r="100" spans="1:64" ht="15.75" thickBot="1" x14ac:dyDescent="0.3">
      <c r="A100" s="86" t="s">
        <v>126</v>
      </c>
      <c r="B100" s="107">
        <f t="shared" ref="B100:D100" si="100">B99-(B107)</f>
        <v>1288.19</v>
      </c>
      <c r="C100" s="107">
        <f t="shared" si="100"/>
        <v>1241.29</v>
      </c>
      <c r="D100" s="107">
        <f t="shared" si="100"/>
        <v>1271.0900000000001</v>
      </c>
      <c r="E100" s="107">
        <f t="shared" ref="E100:M100" si="101">E99-(E107)</f>
        <v>1236.9900000000002</v>
      </c>
      <c r="F100" s="107">
        <f t="shared" si="101"/>
        <v>1276.4900000000002</v>
      </c>
      <c r="G100" s="107">
        <f t="shared" si="101"/>
        <v>1286.3900000000001</v>
      </c>
      <c r="H100" s="107">
        <f t="shared" si="101"/>
        <v>1331.5900000000001</v>
      </c>
      <c r="I100" s="107">
        <f t="shared" si="101"/>
        <v>1430.4900000000002</v>
      </c>
      <c r="J100" s="107">
        <f t="shared" si="101"/>
        <v>1475.4900000000002</v>
      </c>
      <c r="K100" s="107">
        <f t="shared" si="101"/>
        <v>1487.39</v>
      </c>
      <c r="L100" s="107">
        <f t="shared" si="101"/>
        <v>1531.89</v>
      </c>
      <c r="M100" s="107">
        <f t="shared" si="101"/>
        <v>1568.89</v>
      </c>
      <c r="N100" s="107">
        <f>N99-(N107)</f>
        <v>1569.19</v>
      </c>
      <c r="O100" s="107">
        <f t="shared" ref="O100:AC100" si="102">O99-(O107)</f>
        <v>1606.3899999999999</v>
      </c>
      <c r="P100" s="107">
        <f t="shared" si="102"/>
        <v>1534.1890000000001</v>
      </c>
      <c r="Q100" s="107">
        <f t="shared" si="102"/>
        <v>1325.5889999999999</v>
      </c>
      <c r="R100" s="107">
        <f t="shared" si="102"/>
        <v>1342.0889999999999</v>
      </c>
      <c r="S100" s="107">
        <f t="shared" ref="S100:T100" si="103">S99-(S107)</f>
        <v>1322.789</v>
      </c>
      <c r="T100" s="107">
        <f t="shared" si="103"/>
        <v>1329.3890000000001</v>
      </c>
      <c r="U100" s="107">
        <f t="shared" ref="U100:V100" si="104">U99-(U107)</f>
        <v>223.54</v>
      </c>
      <c r="V100" s="107">
        <f t="shared" si="104"/>
        <v>1387.289</v>
      </c>
      <c r="W100" s="107">
        <f t="shared" ref="W100:X100" si="105">W99-(W107)</f>
        <v>1445.489</v>
      </c>
      <c r="X100" s="107">
        <f t="shared" si="105"/>
        <v>1527.2890000000002</v>
      </c>
      <c r="Y100" s="107">
        <f t="shared" ref="Y100:Z100" si="106">Y99-(Y107)</f>
        <v>1701.3889999999999</v>
      </c>
      <c r="Z100" s="107">
        <f t="shared" si="106"/>
        <v>1781.8890000000001</v>
      </c>
      <c r="AA100" s="107">
        <f t="shared" ref="AA100" si="107">AA99-(AA107)</f>
        <v>1726.5889999999999</v>
      </c>
      <c r="AB100" s="107">
        <f t="shared" si="102"/>
        <v>1612.0890000000002</v>
      </c>
      <c r="AC100" s="107">
        <f t="shared" si="102"/>
        <v>1388.789</v>
      </c>
      <c r="AD100" s="107">
        <f t="shared" ref="AD100:AE100" si="108">AD99-(AD107)</f>
        <v>1351.789</v>
      </c>
      <c r="AE100" s="107">
        <f t="shared" si="108"/>
        <v>1296.789</v>
      </c>
      <c r="AF100" s="107">
        <f t="shared" ref="AF100" si="109">AF99-(AF107)</f>
        <v>1196.789</v>
      </c>
      <c r="AG100" s="100"/>
      <c r="AH100" s="48">
        <f t="shared" si="71"/>
        <v>1781.8890000000001</v>
      </c>
      <c r="AI100" s="49">
        <f t="shared" si="72"/>
        <v>223.54</v>
      </c>
      <c r="BF100" s="81"/>
      <c r="BG100" s="81">
        <v>43</v>
      </c>
      <c r="BH100" s="81">
        <v>0</v>
      </c>
      <c r="BI100" s="81">
        <v>427.5</v>
      </c>
      <c r="BJ100" s="81">
        <v>0</v>
      </c>
      <c r="BK100" s="81">
        <v>0</v>
      </c>
      <c r="BL100" s="81">
        <v>58</v>
      </c>
    </row>
    <row r="101" spans="1:64" x14ac:dyDescent="0.25">
      <c r="A101" s="45" t="s">
        <v>107</v>
      </c>
      <c r="B101" s="88">
        <f t="shared" ref="B101:D101" si="110">IF(B84&lt;0,B84*-1,0)</f>
        <v>0</v>
      </c>
      <c r="C101" s="88">
        <f t="shared" si="110"/>
        <v>0</v>
      </c>
      <c r="D101" s="88">
        <f t="shared" si="110"/>
        <v>0</v>
      </c>
      <c r="E101" s="88">
        <f t="shared" ref="E101:AC101" si="111">IF(E84&lt;0,E84*-1,0)</f>
        <v>0</v>
      </c>
      <c r="F101" s="88">
        <f t="shared" si="111"/>
        <v>0</v>
      </c>
      <c r="G101" s="88">
        <f t="shared" si="111"/>
        <v>0</v>
      </c>
      <c r="H101" s="88">
        <f t="shared" si="111"/>
        <v>0</v>
      </c>
      <c r="I101" s="88">
        <f t="shared" si="111"/>
        <v>0</v>
      </c>
      <c r="J101" s="88">
        <f t="shared" si="111"/>
        <v>0</v>
      </c>
      <c r="K101" s="88">
        <f t="shared" si="111"/>
        <v>0</v>
      </c>
      <c r="L101" s="88">
        <f t="shared" si="111"/>
        <v>0</v>
      </c>
      <c r="M101" s="88">
        <f t="shared" si="111"/>
        <v>0</v>
      </c>
      <c r="N101" s="88">
        <f t="shared" si="111"/>
        <v>0</v>
      </c>
      <c r="O101" s="88">
        <f t="shared" si="111"/>
        <v>0</v>
      </c>
      <c r="P101" s="88">
        <f t="shared" si="111"/>
        <v>0</v>
      </c>
      <c r="Q101" s="88">
        <f t="shared" si="111"/>
        <v>0</v>
      </c>
      <c r="R101" s="88">
        <f t="shared" si="111"/>
        <v>0</v>
      </c>
      <c r="S101" s="88">
        <f t="shared" ref="S101:T101" si="112">IF(S84&lt;0,S84*-1,0)</f>
        <v>0</v>
      </c>
      <c r="T101" s="88">
        <f t="shared" si="112"/>
        <v>0</v>
      </c>
      <c r="U101" s="88">
        <f t="shared" ref="U101:V101" si="113">IF(U84&lt;0,U84*-1,0)</f>
        <v>0</v>
      </c>
      <c r="V101" s="88">
        <f t="shared" si="113"/>
        <v>0</v>
      </c>
      <c r="W101" s="88">
        <f t="shared" ref="W101:X101" si="114">IF(W84&lt;0,W84*-1,0)</f>
        <v>0</v>
      </c>
      <c r="X101" s="88">
        <f t="shared" si="114"/>
        <v>0</v>
      </c>
      <c r="Y101" s="88">
        <f t="shared" ref="Y101:Z101" si="115">IF(Y84&lt;0,Y84*-1,0)</f>
        <v>0</v>
      </c>
      <c r="Z101" s="88">
        <f t="shared" si="115"/>
        <v>0</v>
      </c>
      <c r="AA101" s="88">
        <f t="shared" ref="AA101" si="116">IF(AA84&lt;0,AA84*-1,0)</f>
        <v>0</v>
      </c>
      <c r="AB101" s="88">
        <f t="shared" si="111"/>
        <v>0</v>
      </c>
      <c r="AC101" s="88">
        <f t="shared" si="111"/>
        <v>0</v>
      </c>
      <c r="AD101" s="88">
        <f t="shared" ref="AD101:AE101" si="117">IF(AD84&lt;0,AD84*-1,0)</f>
        <v>0</v>
      </c>
      <c r="AE101" s="88">
        <f t="shared" si="117"/>
        <v>0</v>
      </c>
      <c r="AF101" s="88">
        <f t="shared" ref="AF101" si="118">IF(AF84&lt;0,AF84*-1,0)</f>
        <v>0</v>
      </c>
      <c r="AG101" s="60"/>
      <c r="AH101" s="48">
        <f t="shared" si="71"/>
        <v>0</v>
      </c>
      <c r="AI101" s="49">
        <f t="shared" si="72"/>
        <v>0</v>
      </c>
      <c r="BF101" s="80"/>
      <c r="BG101" s="81">
        <v>49.6</v>
      </c>
      <c r="BH101" s="81">
        <v>0</v>
      </c>
      <c r="BI101" s="81">
        <v>457.3</v>
      </c>
      <c r="BJ101" s="81">
        <v>0</v>
      </c>
      <c r="BK101" s="81">
        <v>0</v>
      </c>
      <c r="BL101" s="81">
        <v>62</v>
      </c>
    </row>
    <row r="102" spans="1:64" x14ac:dyDescent="0.25">
      <c r="A102" s="64" t="s">
        <v>105</v>
      </c>
      <c r="B102" s="88">
        <f t="shared" ref="B102:D102" si="119">IF(B82&lt;0,B82*-1,0)</f>
        <v>0</v>
      </c>
      <c r="C102" s="88">
        <f t="shared" si="119"/>
        <v>0</v>
      </c>
      <c r="D102" s="88">
        <f t="shared" si="119"/>
        <v>0</v>
      </c>
      <c r="E102" s="88">
        <f t="shared" ref="E102:AC102" si="120">IF(E82&lt;0,E82*-1,0)</f>
        <v>0</v>
      </c>
      <c r="F102" s="88">
        <f t="shared" si="120"/>
        <v>0</v>
      </c>
      <c r="G102" s="88">
        <f t="shared" si="120"/>
        <v>0</v>
      </c>
      <c r="H102" s="88">
        <f t="shared" si="120"/>
        <v>0</v>
      </c>
      <c r="I102" s="88">
        <f t="shared" si="120"/>
        <v>0</v>
      </c>
      <c r="J102" s="88">
        <f t="shared" si="120"/>
        <v>0</v>
      </c>
      <c r="K102" s="88">
        <f t="shared" si="120"/>
        <v>0</v>
      </c>
      <c r="L102" s="88">
        <f t="shared" si="120"/>
        <v>0</v>
      </c>
      <c r="M102" s="88">
        <f t="shared" si="120"/>
        <v>0</v>
      </c>
      <c r="N102" s="88">
        <f t="shared" si="120"/>
        <v>0</v>
      </c>
      <c r="O102" s="88">
        <f t="shared" si="120"/>
        <v>0</v>
      </c>
      <c r="P102" s="88">
        <f t="shared" si="120"/>
        <v>0</v>
      </c>
      <c r="Q102" s="88">
        <f t="shared" si="120"/>
        <v>0</v>
      </c>
      <c r="R102" s="88">
        <f t="shared" si="120"/>
        <v>0</v>
      </c>
      <c r="S102" s="88">
        <f t="shared" ref="S102:T102" si="121">IF(S82&lt;0,S82*-1,0)</f>
        <v>0</v>
      </c>
      <c r="T102" s="88">
        <f t="shared" si="121"/>
        <v>0</v>
      </c>
      <c r="U102" s="88">
        <f t="shared" ref="U102:V102" si="122">IF(U82&lt;0,U82*-1,0)</f>
        <v>0</v>
      </c>
      <c r="V102" s="88">
        <f t="shared" si="122"/>
        <v>0</v>
      </c>
      <c r="W102" s="88">
        <f t="shared" ref="W102:X102" si="123">IF(W82&lt;0,W82*-1,0)</f>
        <v>0</v>
      </c>
      <c r="X102" s="88">
        <f t="shared" si="123"/>
        <v>0</v>
      </c>
      <c r="Y102" s="88">
        <f t="shared" ref="Y102:Z102" si="124">IF(Y82&lt;0,Y82*-1,0)</f>
        <v>0</v>
      </c>
      <c r="Z102" s="88">
        <f t="shared" si="124"/>
        <v>0</v>
      </c>
      <c r="AA102" s="88">
        <f t="shared" ref="AA102" si="125">IF(AA82&lt;0,AA82*-1,0)</f>
        <v>0</v>
      </c>
      <c r="AB102" s="88">
        <f t="shared" si="120"/>
        <v>0</v>
      </c>
      <c r="AC102" s="88">
        <f t="shared" si="120"/>
        <v>0</v>
      </c>
      <c r="AD102" s="88">
        <f t="shared" ref="AD102:AE102" si="126">IF(AD82&lt;0,AD82*-1,0)</f>
        <v>0</v>
      </c>
      <c r="AE102" s="88">
        <f t="shared" si="126"/>
        <v>0</v>
      </c>
      <c r="AF102" s="88">
        <f t="shared" ref="AF102" si="127">IF(AF82&lt;0,AF82*-1,0)</f>
        <v>0</v>
      </c>
      <c r="AG102" s="65"/>
      <c r="AH102" s="48">
        <f t="shared" si="71"/>
        <v>0</v>
      </c>
      <c r="AI102" s="49">
        <f t="shared" si="72"/>
        <v>0</v>
      </c>
      <c r="BF102" s="80"/>
      <c r="BG102" s="81">
        <v>53.9</v>
      </c>
      <c r="BH102" s="81">
        <v>0</v>
      </c>
      <c r="BI102" s="81">
        <v>125</v>
      </c>
      <c r="BJ102" s="81">
        <v>0</v>
      </c>
      <c r="BK102" s="81">
        <v>0</v>
      </c>
      <c r="BL102" s="81">
        <v>62</v>
      </c>
    </row>
    <row r="103" spans="1:64" x14ac:dyDescent="0.25">
      <c r="A103" s="96" t="s">
        <v>127</v>
      </c>
      <c r="B103" s="88">
        <f t="shared" ref="B103:D103" si="128">IF(B85&lt;0,B85*-1,0)</f>
        <v>0</v>
      </c>
      <c r="C103" s="88">
        <f t="shared" si="128"/>
        <v>0</v>
      </c>
      <c r="D103" s="88">
        <f t="shared" si="128"/>
        <v>0</v>
      </c>
      <c r="E103" s="88">
        <f t="shared" ref="E103:AC103" si="129">IF(E85&lt;0,E85*-1,0)</f>
        <v>0</v>
      </c>
      <c r="F103" s="88">
        <f t="shared" si="129"/>
        <v>0</v>
      </c>
      <c r="G103" s="88">
        <f t="shared" si="129"/>
        <v>0</v>
      </c>
      <c r="H103" s="88">
        <f t="shared" si="129"/>
        <v>0</v>
      </c>
      <c r="I103" s="88">
        <f t="shared" si="129"/>
        <v>0</v>
      </c>
      <c r="J103" s="88">
        <f t="shared" si="129"/>
        <v>0</v>
      </c>
      <c r="K103" s="88">
        <f t="shared" si="129"/>
        <v>0</v>
      </c>
      <c r="L103" s="88">
        <f t="shared" si="129"/>
        <v>0</v>
      </c>
      <c r="M103" s="88">
        <f t="shared" si="129"/>
        <v>0</v>
      </c>
      <c r="N103" s="88">
        <f t="shared" si="129"/>
        <v>0</v>
      </c>
      <c r="O103" s="88">
        <f t="shared" si="129"/>
        <v>0</v>
      </c>
      <c r="P103" s="88">
        <f t="shared" si="129"/>
        <v>0</v>
      </c>
      <c r="Q103" s="88">
        <f t="shared" si="129"/>
        <v>0</v>
      </c>
      <c r="R103" s="88">
        <f t="shared" si="129"/>
        <v>0</v>
      </c>
      <c r="S103" s="88">
        <f t="shared" ref="S103:T103" si="130">IF(S85&lt;0,S85*-1,0)</f>
        <v>0</v>
      </c>
      <c r="T103" s="88">
        <f t="shared" si="130"/>
        <v>0</v>
      </c>
      <c r="U103" s="88">
        <f t="shared" ref="U103:V103" si="131">IF(U85&lt;0,U85*-1,0)</f>
        <v>0</v>
      </c>
      <c r="V103" s="88">
        <f t="shared" si="131"/>
        <v>0</v>
      </c>
      <c r="W103" s="88">
        <f t="shared" ref="W103:X103" si="132">IF(W85&lt;0,W85*-1,0)</f>
        <v>0</v>
      </c>
      <c r="X103" s="88">
        <f t="shared" si="132"/>
        <v>0</v>
      </c>
      <c r="Y103" s="88">
        <f t="shared" ref="Y103:Z103" si="133">IF(Y85&lt;0,Y85*-1,0)</f>
        <v>0</v>
      </c>
      <c r="Z103" s="88">
        <f t="shared" si="133"/>
        <v>0</v>
      </c>
      <c r="AA103" s="88">
        <f t="shared" ref="AA103" si="134">IF(AA85&lt;0,AA85*-1,0)</f>
        <v>0</v>
      </c>
      <c r="AB103" s="88">
        <f t="shared" si="129"/>
        <v>0</v>
      </c>
      <c r="AC103" s="88">
        <f t="shared" si="129"/>
        <v>0</v>
      </c>
      <c r="AD103" s="88">
        <f t="shared" ref="AD103:AE103" si="135">IF(AD85&lt;0,AD85*-1,0)</f>
        <v>0</v>
      </c>
      <c r="AE103" s="88">
        <f t="shared" si="135"/>
        <v>0</v>
      </c>
      <c r="AF103" s="88">
        <f t="shared" ref="AF103" si="136">IF(AF85&lt;0,AF85*-1,0)</f>
        <v>0</v>
      </c>
      <c r="AG103" s="110"/>
      <c r="AH103" s="48">
        <f t="shared" si="71"/>
        <v>0</v>
      </c>
      <c r="AI103" s="49">
        <f t="shared" si="72"/>
        <v>0</v>
      </c>
      <c r="BF103" s="80"/>
      <c r="BG103" s="81">
        <v>41.2</v>
      </c>
      <c r="BH103" s="81">
        <v>0</v>
      </c>
      <c r="BI103" s="81">
        <v>151</v>
      </c>
      <c r="BJ103" s="81">
        <v>0</v>
      </c>
      <c r="BK103" s="81">
        <v>0</v>
      </c>
      <c r="BL103" s="81">
        <v>0</v>
      </c>
    </row>
    <row r="104" spans="1:64" x14ac:dyDescent="0.25">
      <c r="A104" s="96" t="s">
        <v>128</v>
      </c>
      <c r="B104" s="88">
        <f t="shared" ref="B104:D104" si="137">IF(B83&lt;0,B83*-1,0)</f>
        <v>0</v>
      </c>
      <c r="C104" s="88">
        <f t="shared" si="137"/>
        <v>0</v>
      </c>
      <c r="D104" s="88">
        <f t="shared" si="137"/>
        <v>0</v>
      </c>
      <c r="E104" s="88">
        <f t="shared" ref="E104:AC104" si="138">IF(E83&lt;0,E83*-1,0)</f>
        <v>0</v>
      </c>
      <c r="F104" s="88">
        <f t="shared" si="138"/>
        <v>0</v>
      </c>
      <c r="G104" s="88">
        <f t="shared" si="138"/>
        <v>0</v>
      </c>
      <c r="H104" s="88">
        <f t="shared" si="138"/>
        <v>0</v>
      </c>
      <c r="I104" s="88">
        <f t="shared" si="138"/>
        <v>0</v>
      </c>
      <c r="J104" s="88">
        <f t="shared" si="138"/>
        <v>0</v>
      </c>
      <c r="K104" s="88">
        <f t="shared" si="138"/>
        <v>0</v>
      </c>
      <c r="L104" s="88">
        <f t="shared" si="138"/>
        <v>0</v>
      </c>
      <c r="M104" s="88">
        <f t="shared" si="138"/>
        <v>0</v>
      </c>
      <c r="N104" s="88">
        <f t="shared" si="138"/>
        <v>0</v>
      </c>
      <c r="O104" s="88">
        <f t="shared" si="138"/>
        <v>0</v>
      </c>
      <c r="P104" s="88">
        <f t="shared" si="138"/>
        <v>0</v>
      </c>
      <c r="Q104" s="88">
        <f t="shared" si="138"/>
        <v>0</v>
      </c>
      <c r="R104" s="88">
        <f t="shared" si="138"/>
        <v>0</v>
      </c>
      <c r="S104" s="88">
        <f t="shared" ref="S104:T104" si="139">IF(S83&lt;0,S83*-1,0)</f>
        <v>0</v>
      </c>
      <c r="T104" s="88">
        <f t="shared" si="139"/>
        <v>0</v>
      </c>
      <c r="U104" s="88">
        <f t="shared" ref="U104:V104" si="140">IF(U83&lt;0,U83*-1,0)</f>
        <v>0</v>
      </c>
      <c r="V104" s="88">
        <f t="shared" si="140"/>
        <v>0</v>
      </c>
      <c r="W104" s="88">
        <f t="shared" ref="W104:X104" si="141">IF(W83&lt;0,W83*-1,0)</f>
        <v>0</v>
      </c>
      <c r="X104" s="88">
        <f t="shared" si="141"/>
        <v>0</v>
      </c>
      <c r="Y104" s="88">
        <f t="shared" ref="Y104:Z104" si="142">IF(Y83&lt;0,Y83*-1,0)</f>
        <v>0</v>
      </c>
      <c r="Z104" s="88">
        <f t="shared" si="142"/>
        <v>0</v>
      </c>
      <c r="AA104" s="88">
        <f t="shared" ref="AA104" si="143">IF(AA83&lt;0,AA83*-1,0)</f>
        <v>0</v>
      </c>
      <c r="AB104" s="88">
        <f t="shared" si="138"/>
        <v>0</v>
      </c>
      <c r="AC104" s="88">
        <f t="shared" si="138"/>
        <v>0</v>
      </c>
      <c r="AD104" s="88">
        <f t="shared" ref="AD104:AE104" si="144">IF(AD83&lt;0,AD83*-1,0)</f>
        <v>0</v>
      </c>
      <c r="AE104" s="88">
        <f t="shared" si="144"/>
        <v>0</v>
      </c>
      <c r="AF104" s="88">
        <f t="shared" ref="AF104" si="145">IF(AF83&lt;0,AF83*-1,0)</f>
        <v>0</v>
      </c>
      <c r="AG104" s="110"/>
      <c r="AH104" s="48">
        <f t="shared" si="71"/>
        <v>0</v>
      </c>
      <c r="AI104" s="49">
        <f t="shared" si="72"/>
        <v>0</v>
      </c>
      <c r="BF104" s="80"/>
      <c r="BG104" s="81">
        <v>58</v>
      </c>
      <c r="BH104" s="81">
        <v>0</v>
      </c>
      <c r="BI104" s="81">
        <v>320</v>
      </c>
      <c r="BJ104" s="81">
        <v>47</v>
      </c>
      <c r="BK104" s="81">
        <v>112</v>
      </c>
      <c r="BL104" s="81">
        <v>0</v>
      </c>
    </row>
    <row r="105" spans="1:64" x14ac:dyDescent="0.25">
      <c r="A105" s="96" t="s">
        <v>104</v>
      </c>
      <c r="B105" s="88">
        <f t="shared" ref="B105:D105" si="146">IF(B81&lt;0,B81*-1,0)</f>
        <v>0</v>
      </c>
      <c r="C105" s="88">
        <f t="shared" si="146"/>
        <v>0</v>
      </c>
      <c r="D105" s="88">
        <f t="shared" si="146"/>
        <v>0</v>
      </c>
      <c r="E105" s="88">
        <f t="shared" ref="E105:AC105" si="147">IF(E81&lt;0,E81*-1,0)</f>
        <v>0</v>
      </c>
      <c r="F105" s="88">
        <f t="shared" si="147"/>
        <v>0</v>
      </c>
      <c r="G105" s="88">
        <f t="shared" si="147"/>
        <v>0</v>
      </c>
      <c r="H105" s="88">
        <f t="shared" si="147"/>
        <v>0</v>
      </c>
      <c r="I105" s="88">
        <f t="shared" si="147"/>
        <v>0</v>
      </c>
      <c r="J105" s="88">
        <f t="shared" si="147"/>
        <v>0</v>
      </c>
      <c r="K105" s="88">
        <f t="shared" si="147"/>
        <v>0</v>
      </c>
      <c r="L105" s="88">
        <f t="shared" si="147"/>
        <v>0</v>
      </c>
      <c r="M105" s="88">
        <f t="shared" si="147"/>
        <v>0</v>
      </c>
      <c r="N105" s="88">
        <f t="shared" si="147"/>
        <v>0</v>
      </c>
      <c r="O105" s="88">
        <f t="shared" si="147"/>
        <v>0</v>
      </c>
      <c r="P105" s="88">
        <f t="shared" si="147"/>
        <v>0</v>
      </c>
      <c r="Q105" s="88">
        <f t="shared" si="147"/>
        <v>0</v>
      </c>
      <c r="R105" s="88">
        <f t="shared" si="147"/>
        <v>0</v>
      </c>
      <c r="S105" s="88">
        <f t="shared" ref="S105:T105" si="148">IF(S81&lt;0,S81*-1,0)</f>
        <v>0</v>
      </c>
      <c r="T105" s="88">
        <f t="shared" si="148"/>
        <v>0</v>
      </c>
      <c r="U105" s="88">
        <f t="shared" ref="U105:V105" si="149">IF(U81&lt;0,U81*-1,0)</f>
        <v>0</v>
      </c>
      <c r="V105" s="88">
        <f t="shared" si="149"/>
        <v>0</v>
      </c>
      <c r="W105" s="88">
        <f t="shared" ref="W105:X105" si="150">IF(W81&lt;0,W81*-1,0)</f>
        <v>0</v>
      </c>
      <c r="X105" s="88">
        <f t="shared" si="150"/>
        <v>0</v>
      </c>
      <c r="Y105" s="88">
        <f t="shared" ref="Y105:Z105" si="151">IF(Y81&lt;0,Y81*-1,0)</f>
        <v>0</v>
      </c>
      <c r="Z105" s="88">
        <f t="shared" si="151"/>
        <v>0</v>
      </c>
      <c r="AA105" s="88">
        <f t="shared" ref="AA105" si="152">IF(AA81&lt;0,AA81*-1,0)</f>
        <v>0</v>
      </c>
      <c r="AB105" s="88">
        <f t="shared" si="147"/>
        <v>0</v>
      </c>
      <c r="AC105" s="88">
        <f t="shared" si="147"/>
        <v>0</v>
      </c>
      <c r="AD105" s="88">
        <f t="shared" ref="AD105:AE105" si="153">IF(AD81&lt;0,AD81*-1,0)</f>
        <v>0</v>
      </c>
      <c r="AE105" s="88">
        <f t="shared" si="153"/>
        <v>0</v>
      </c>
      <c r="AF105" s="88">
        <f t="shared" ref="AF105" si="154">IF(AF81&lt;0,AF81*-1,0)</f>
        <v>0</v>
      </c>
      <c r="AG105" s="110"/>
      <c r="AH105" s="48">
        <f t="shared" si="71"/>
        <v>0</v>
      </c>
      <c r="AI105" s="49">
        <f t="shared" si="72"/>
        <v>0</v>
      </c>
      <c r="BF105" s="80"/>
      <c r="BG105" s="81">
        <v>56</v>
      </c>
      <c r="BH105" s="81">
        <v>0</v>
      </c>
      <c r="BI105" s="81">
        <v>358</v>
      </c>
      <c r="BJ105" s="81">
        <v>47</v>
      </c>
      <c r="BK105" s="81">
        <v>88</v>
      </c>
      <c r="BL105" s="81">
        <v>0</v>
      </c>
    </row>
    <row r="106" spans="1:64" ht="15.75" thickBot="1" x14ac:dyDescent="0.3">
      <c r="A106" s="96" t="s">
        <v>129</v>
      </c>
      <c r="B106" s="106">
        <v>0</v>
      </c>
      <c r="C106" s="106">
        <v>0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0</v>
      </c>
      <c r="Y106" s="106">
        <v>0</v>
      </c>
      <c r="Z106" s="106">
        <v>0</v>
      </c>
      <c r="AA106" s="106">
        <v>0</v>
      </c>
      <c r="AB106" s="106">
        <v>0</v>
      </c>
      <c r="AC106" s="106">
        <v>0</v>
      </c>
      <c r="AD106" s="106">
        <v>1</v>
      </c>
      <c r="AE106" s="106">
        <v>0</v>
      </c>
      <c r="AF106" s="106">
        <v>0</v>
      </c>
      <c r="AG106" s="97"/>
      <c r="AH106" s="48">
        <f t="shared" si="71"/>
        <v>1</v>
      </c>
      <c r="AI106" s="49">
        <f t="shared" si="72"/>
        <v>0</v>
      </c>
      <c r="BG106" s="81">
        <v>50</v>
      </c>
      <c r="BH106" s="81">
        <v>0</v>
      </c>
      <c r="BI106" s="81">
        <v>370</v>
      </c>
      <c r="BJ106" s="81">
        <v>36</v>
      </c>
      <c r="BK106" s="81">
        <v>88</v>
      </c>
      <c r="BL106" s="81">
        <v>0</v>
      </c>
    </row>
    <row r="107" spans="1:64" ht="15.75" thickBot="1" x14ac:dyDescent="0.3">
      <c r="A107" s="111" t="s">
        <v>130</v>
      </c>
      <c r="B107" s="70">
        <f t="shared" ref="B107:D107" si="155">SUM(B101:B106)</f>
        <v>0</v>
      </c>
      <c r="C107" s="70">
        <f t="shared" si="155"/>
        <v>0</v>
      </c>
      <c r="D107" s="70">
        <f t="shared" si="155"/>
        <v>0</v>
      </c>
      <c r="E107" s="70">
        <f t="shared" ref="E107:AC107" si="156">SUM(E101:E106)</f>
        <v>0</v>
      </c>
      <c r="F107" s="70">
        <f t="shared" si="156"/>
        <v>0</v>
      </c>
      <c r="G107" s="70">
        <f t="shared" si="156"/>
        <v>0</v>
      </c>
      <c r="H107" s="70">
        <f t="shared" si="156"/>
        <v>0</v>
      </c>
      <c r="I107" s="70">
        <f t="shared" si="156"/>
        <v>0</v>
      </c>
      <c r="J107" s="70">
        <f t="shared" si="156"/>
        <v>0</v>
      </c>
      <c r="K107" s="70">
        <f t="shared" si="156"/>
        <v>0</v>
      </c>
      <c r="L107" s="70">
        <f t="shared" si="156"/>
        <v>0</v>
      </c>
      <c r="M107" s="70">
        <f t="shared" si="156"/>
        <v>0</v>
      </c>
      <c r="N107" s="70">
        <f t="shared" si="156"/>
        <v>0</v>
      </c>
      <c r="O107" s="70">
        <f t="shared" si="156"/>
        <v>0</v>
      </c>
      <c r="P107" s="70">
        <f t="shared" si="156"/>
        <v>0</v>
      </c>
      <c r="Q107" s="70">
        <f t="shared" si="156"/>
        <v>0</v>
      </c>
      <c r="R107" s="70">
        <f t="shared" si="156"/>
        <v>0</v>
      </c>
      <c r="S107" s="70">
        <f t="shared" ref="S107:T107" si="157">SUM(S101:S106)</f>
        <v>0</v>
      </c>
      <c r="T107" s="70">
        <f t="shared" si="157"/>
        <v>0</v>
      </c>
      <c r="U107" s="70">
        <f t="shared" ref="U107:V107" si="158">SUM(U101:U106)</f>
        <v>0</v>
      </c>
      <c r="V107" s="70">
        <f t="shared" si="158"/>
        <v>0</v>
      </c>
      <c r="W107" s="70">
        <f t="shared" ref="W107:X107" si="159">SUM(W101:W106)</f>
        <v>0</v>
      </c>
      <c r="X107" s="70">
        <f t="shared" si="159"/>
        <v>0</v>
      </c>
      <c r="Y107" s="70">
        <f t="shared" ref="Y107:Z107" si="160">SUM(Y101:Y106)</f>
        <v>0</v>
      </c>
      <c r="Z107" s="70">
        <f t="shared" si="160"/>
        <v>0</v>
      </c>
      <c r="AA107" s="70">
        <f t="shared" ref="AA107" si="161">SUM(AA101:AA106)</f>
        <v>0</v>
      </c>
      <c r="AB107" s="70">
        <f t="shared" si="156"/>
        <v>0</v>
      </c>
      <c r="AC107" s="70">
        <f t="shared" si="156"/>
        <v>0</v>
      </c>
      <c r="AD107" s="70">
        <f t="shared" ref="AD107:AE107" si="162">SUM(AD101:AD106)</f>
        <v>1</v>
      </c>
      <c r="AE107" s="70">
        <f t="shared" si="162"/>
        <v>0</v>
      </c>
      <c r="AF107" s="70">
        <f t="shared" ref="AF107" si="163">SUM(AF101:AF106)</f>
        <v>0</v>
      </c>
      <c r="AG107" s="100"/>
      <c r="AH107" s="48">
        <f t="shared" si="71"/>
        <v>1</v>
      </c>
      <c r="AI107" s="49">
        <f t="shared" si="72"/>
        <v>0</v>
      </c>
      <c r="AK107" s="51"/>
      <c r="BG107" s="81">
        <v>53.9</v>
      </c>
      <c r="BH107" s="81">
        <v>0</v>
      </c>
      <c r="BI107" s="81">
        <v>400.8</v>
      </c>
      <c r="BJ107" s="81">
        <v>33.799999999999997</v>
      </c>
      <c r="BK107" s="81">
        <v>102</v>
      </c>
      <c r="BL107" s="81">
        <v>0</v>
      </c>
    </row>
    <row r="108" spans="1:64" ht="15.75" thickBot="1" x14ac:dyDescent="0.3">
      <c r="A108" s="86" t="s">
        <v>131</v>
      </c>
      <c r="B108" s="70">
        <f t="shared" ref="B108:D108" si="164">B92-B107</f>
        <v>590.5</v>
      </c>
      <c r="C108" s="70">
        <f t="shared" si="164"/>
        <v>648.59999999999991</v>
      </c>
      <c r="D108" s="70">
        <f t="shared" si="164"/>
        <v>656.9</v>
      </c>
      <c r="E108" s="70">
        <f t="shared" ref="E108:AC108" si="165">E92-E107</f>
        <v>623.20000000000005</v>
      </c>
      <c r="F108" s="70">
        <f t="shared" si="165"/>
        <v>685.7</v>
      </c>
      <c r="G108" s="70">
        <f t="shared" si="165"/>
        <v>696.6</v>
      </c>
      <c r="H108" s="70">
        <f t="shared" si="165"/>
        <v>674</v>
      </c>
      <c r="I108" s="70">
        <f t="shared" si="165"/>
        <v>654</v>
      </c>
      <c r="J108" s="70">
        <f t="shared" si="165"/>
        <v>606</v>
      </c>
      <c r="K108" s="70">
        <f t="shared" si="165"/>
        <v>189</v>
      </c>
      <c r="L108" s="70">
        <f t="shared" si="165"/>
        <v>180</v>
      </c>
      <c r="M108" s="70">
        <f t="shared" si="165"/>
        <v>377</v>
      </c>
      <c r="N108" s="70">
        <f t="shared" si="165"/>
        <v>446.6</v>
      </c>
      <c r="O108" s="70">
        <f t="shared" si="165"/>
        <v>562.79999999999995</v>
      </c>
      <c r="P108" s="70">
        <f t="shared" si="165"/>
        <v>585</v>
      </c>
      <c r="Q108" s="70">
        <f t="shared" si="165"/>
        <v>644.6</v>
      </c>
      <c r="R108" s="70">
        <f t="shared" si="165"/>
        <v>698.2</v>
      </c>
      <c r="S108" s="70">
        <f t="shared" ref="S108:T108" si="166">S92-S107</f>
        <v>693.5</v>
      </c>
      <c r="T108" s="70">
        <f t="shared" si="166"/>
        <v>722.30000000000007</v>
      </c>
      <c r="U108" s="70">
        <f t="shared" ref="U108:V108" si="167">U92-U107</f>
        <v>70</v>
      </c>
      <c r="V108" s="70">
        <f t="shared" si="167"/>
        <v>528.5</v>
      </c>
      <c r="W108" s="70">
        <f t="shared" ref="W108:X108" si="168">W92-W107</f>
        <v>549.29999999999995</v>
      </c>
      <c r="X108" s="70">
        <f t="shared" si="168"/>
        <v>568.90000000000009</v>
      </c>
      <c r="Y108" s="70">
        <f t="shared" ref="Y108:Z108" si="169">Y92-Y107</f>
        <v>529</v>
      </c>
      <c r="Z108" s="70">
        <f t="shared" si="169"/>
        <v>240.9</v>
      </c>
      <c r="AA108" s="70">
        <f t="shared" ref="AA108" si="170">AA92-AA107</f>
        <v>179.1</v>
      </c>
      <c r="AB108" s="70">
        <f t="shared" si="165"/>
        <v>192.2</v>
      </c>
      <c r="AC108" s="70">
        <f t="shared" si="165"/>
        <v>297</v>
      </c>
      <c r="AD108" s="70">
        <f t="shared" ref="AD108:AE108" si="171">AD92-AD107</f>
        <v>536</v>
      </c>
      <c r="AE108" s="70">
        <f t="shared" si="171"/>
        <v>549</v>
      </c>
      <c r="AF108" s="70">
        <f t="shared" ref="AF108" si="172">AF92-AF107</f>
        <v>544</v>
      </c>
      <c r="AG108" s="100"/>
      <c r="AH108" s="48">
        <f t="shared" si="71"/>
        <v>722.30000000000007</v>
      </c>
      <c r="AI108" s="49">
        <f t="shared" si="72"/>
        <v>70</v>
      </c>
    </row>
    <row r="109" spans="1:64" x14ac:dyDescent="0.25">
      <c r="A109" s="112" t="s">
        <v>132</v>
      </c>
      <c r="B109" s="113">
        <v>50.03</v>
      </c>
      <c r="C109" s="113">
        <v>50</v>
      </c>
      <c r="D109" s="113">
        <v>50.06</v>
      </c>
      <c r="E109" s="113">
        <v>50.06</v>
      </c>
      <c r="F109" s="113">
        <v>50.017000000000003</v>
      </c>
      <c r="G109" s="113">
        <v>49.957000000000001</v>
      </c>
      <c r="H109" s="113">
        <v>50.048000000000002</v>
      </c>
      <c r="I109" s="113">
        <v>49.991</v>
      </c>
      <c r="J109" s="113">
        <v>50.03</v>
      </c>
      <c r="K109" s="113">
        <v>50.061999999999998</v>
      </c>
      <c r="L109" s="113">
        <v>50.051000000000002</v>
      </c>
      <c r="M109" s="113">
        <v>50.051000000000002</v>
      </c>
      <c r="N109" s="113">
        <v>50.051000000000002</v>
      </c>
      <c r="O109" s="113">
        <v>49.963000000000001</v>
      </c>
      <c r="P109" s="113">
        <v>50.04</v>
      </c>
      <c r="Q109" s="113">
        <v>50.000999999999998</v>
      </c>
      <c r="R109" s="113">
        <v>49.923999999999999</v>
      </c>
      <c r="S109" s="113">
        <v>49.9</v>
      </c>
      <c r="T109" s="113">
        <v>49.9</v>
      </c>
      <c r="U109" s="113"/>
      <c r="V109" s="113">
        <v>50.01</v>
      </c>
      <c r="W109" s="113">
        <v>50.04</v>
      </c>
      <c r="X109" s="113">
        <v>50.07</v>
      </c>
      <c r="Y109" s="113">
        <v>50.07</v>
      </c>
      <c r="Z109" s="113">
        <v>50.02</v>
      </c>
      <c r="AA109" s="113">
        <v>49.98</v>
      </c>
      <c r="AB109" s="113">
        <v>50.061999999999998</v>
      </c>
      <c r="AC109" s="113">
        <v>50.048000000000002</v>
      </c>
      <c r="AD109" s="113">
        <v>50.015000000000001</v>
      </c>
      <c r="AE109" s="113">
        <v>50.08</v>
      </c>
      <c r="AF109" s="113">
        <v>49.88</v>
      </c>
      <c r="AG109" s="114"/>
      <c r="AH109" s="48">
        <f t="shared" si="71"/>
        <v>50.08</v>
      </c>
      <c r="AI109" s="49">
        <f t="shared" si="72"/>
        <v>49.88</v>
      </c>
    </row>
    <row r="110" spans="1:64" x14ac:dyDescent="0.25">
      <c r="A110" s="115" t="s">
        <v>133</v>
      </c>
      <c r="B110" s="75">
        <v>129.1</v>
      </c>
      <c r="C110" s="75">
        <v>128.9</v>
      </c>
      <c r="D110" s="75">
        <v>131</v>
      </c>
      <c r="E110" s="75">
        <v>130.5</v>
      </c>
      <c r="F110" s="75">
        <v>129.9</v>
      </c>
      <c r="G110" s="75">
        <v>128.19999999999999</v>
      </c>
      <c r="H110" s="75">
        <v>126.8</v>
      </c>
      <c r="I110" s="75">
        <v>126.6</v>
      </c>
      <c r="J110" s="75">
        <v>125.6</v>
      </c>
      <c r="K110" s="75">
        <v>126.8</v>
      </c>
      <c r="L110" s="75">
        <v>126.7</v>
      </c>
      <c r="M110" s="75">
        <v>126.7</v>
      </c>
      <c r="N110" s="75">
        <v>126.7</v>
      </c>
      <c r="O110" s="75">
        <v>127.9</v>
      </c>
      <c r="P110" s="75">
        <v>127.9</v>
      </c>
      <c r="Q110" s="75">
        <v>127.6</v>
      </c>
      <c r="R110" s="75">
        <v>126.6</v>
      </c>
      <c r="S110" s="75">
        <v>126.2</v>
      </c>
      <c r="T110" s="75">
        <v>126</v>
      </c>
      <c r="U110" s="75"/>
      <c r="V110" s="75">
        <v>124.8</v>
      </c>
      <c r="W110" s="75">
        <v>126.1</v>
      </c>
      <c r="X110" s="75">
        <v>126.7</v>
      </c>
      <c r="Y110" s="75">
        <v>125.9</v>
      </c>
      <c r="Z110" s="75">
        <v>126.4</v>
      </c>
      <c r="AA110" s="75">
        <v>126.4</v>
      </c>
      <c r="AB110" s="75">
        <v>128.1</v>
      </c>
      <c r="AC110" s="75">
        <v>130.6</v>
      </c>
      <c r="AD110" s="75">
        <v>130</v>
      </c>
      <c r="AE110" s="75">
        <v>130</v>
      </c>
      <c r="AF110" s="75">
        <v>130</v>
      </c>
      <c r="AG110" s="116"/>
      <c r="AH110" s="48">
        <f t="shared" si="71"/>
        <v>131</v>
      </c>
      <c r="AI110" s="49">
        <f t="shared" si="72"/>
        <v>124.8</v>
      </c>
    </row>
    <row r="111" spans="1:64" x14ac:dyDescent="0.25">
      <c r="A111" s="115" t="s">
        <v>134</v>
      </c>
      <c r="B111" s="75">
        <v>132.5</v>
      </c>
      <c r="C111" s="75">
        <v>132.80000000000001</v>
      </c>
      <c r="D111" s="75">
        <v>134</v>
      </c>
      <c r="E111" s="75">
        <v>133.80000000000001</v>
      </c>
      <c r="F111" s="75">
        <v>133</v>
      </c>
      <c r="G111" s="75">
        <v>131.30000000000001</v>
      </c>
      <c r="H111" s="75">
        <v>129.80000000000001</v>
      </c>
      <c r="I111" s="75">
        <v>129.1</v>
      </c>
      <c r="J111" s="75">
        <v>129.1</v>
      </c>
      <c r="K111" s="75">
        <v>129.30000000000001</v>
      </c>
      <c r="L111" s="75">
        <v>129.19999999999999</v>
      </c>
      <c r="M111" s="75">
        <v>129.19999999999999</v>
      </c>
      <c r="N111" s="75">
        <v>129.19999999999999</v>
      </c>
      <c r="O111" s="75">
        <v>131.69999999999999</v>
      </c>
      <c r="P111" s="75">
        <v>130.4</v>
      </c>
      <c r="Q111" s="75">
        <v>130</v>
      </c>
      <c r="R111" s="75">
        <v>129.4</v>
      </c>
      <c r="S111" s="75">
        <v>128.80000000000001</v>
      </c>
      <c r="T111" s="75">
        <v>128.5</v>
      </c>
      <c r="U111" s="75"/>
      <c r="V111" s="75">
        <v>129.5</v>
      </c>
      <c r="W111" s="75">
        <v>129.6</v>
      </c>
      <c r="X111" s="75">
        <v>129.5</v>
      </c>
      <c r="Y111" s="75">
        <v>128.69999999999999</v>
      </c>
      <c r="Z111" s="75">
        <v>128.5</v>
      </c>
      <c r="AA111" s="75">
        <v>128.69999999999999</v>
      </c>
      <c r="AB111" s="75">
        <v>130.6</v>
      </c>
      <c r="AC111" s="75">
        <v>132.4</v>
      </c>
      <c r="AD111" s="75">
        <v>132</v>
      </c>
      <c r="AE111" s="75">
        <v>133</v>
      </c>
      <c r="AF111" s="75">
        <v>133</v>
      </c>
      <c r="AG111" s="116"/>
      <c r="AH111" s="48">
        <f t="shared" si="71"/>
        <v>134</v>
      </c>
      <c r="AI111" s="49">
        <f t="shared" si="72"/>
        <v>128.5</v>
      </c>
    </row>
    <row r="112" spans="1:64" x14ac:dyDescent="0.25">
      <c r="A112" s="115" t="s">
        <v>135</v>
      </c>
      <c r="B112" s="75">
        <v>128.4</v>
      </c>
      <c r="C112" s="75">
        <v>128.5</v>
      </c>
      <c r="D112" s="75">
        <v>128.30000000000001</v>
      </c>
      <c r="E112" s="75">
        <v>128.80000000000001</v>
      </c>
      <c r="F112" s="75">
        <v>128.1</v>
      </c>
      <c r="G112" s="75">
        <v>127.5</v>
      </c>
      <c r="H112" s="75">
        <v>124.4</v>
      </c>
      <c r="I112" s="75">
        <v>122.4</v>
      </c>
      <c r="J112" s="75">
        <v>123</v>
      </c>
      <c r="K112" s="75">
        <v>125.3</v>
      </c>
      <c r="L112" s="75">
        <v>125.6</v>
      </c>
      <c r="M112" s="75">
        <v>125.6</v>
      </c>
      <c r="N112" s="75">
        <v>125.6</v>
      </c>
      <c r="O112" s="75">
        <v>126.5</v>
      </c>
      <c r="P112" s="75">
        <v>126.2</v>
      </c>
      <c r="Q112" s="75">
        <v>126.8</v>
      </c>
      <c r="R112" s="75">
        <v>124.4</v>
      </c>
      <c r="S112" s="75">
        <v>126.4</v>
      </c>
      <c r="T112" s="75">
        <v>129.80000000000001</v>
      </c>
      <c r="U112" s="75"/>
      <c r="V112" s="75">
        <v>131.69999999999999</v>
      </c>
      <c r="W112" s="75">
        <v>128.5</v>
      </c>
      <c r="X112" s="75">
        <v>127.1</v>
      </c>
      <c r="Y112" s="75">
        <v>126.3</v>
      </c>
      <c r="Z112" s="75">
        <v>129.6</v>
      </c>
      <c r="AA112" s="75">
        <v>128</v>
      </c>
      <c r="AB112" s="75">
        <v>130</v>
      </c>
      <c r="AC112" s="75">
        <v>130.6</v>
      </c>
      <c r="AD112" s="75">
        <v>130.6</v>
      </c>
      <c r="AE112" s="75">
        <v>128</v>
      </c>
      <c r="AF112" s="75">
        <v>131</v>
      </c>
      <c r="AG112" s="116"/>
      <c r="AH112" s="48">
        <f t="shared" si="71"/>
        <v>131.69999999999999</v>
      </c>
      <c r="AI112" s="49">
        <f t="shared" si="72"/>
        <v>122.4</v>
      </c>
    </row>
    <row r="113" spans="1:35" x14ac:dyDescent="0.25">
      <c r="A113" s="117" t="s">
        <v>136</v>
      </c>
      <c r="B113" s="75">
        <v>130.80000000000001</v>
      </c>
      <c r="C113" s="75">
        <v>131.30000000000001</v>
      </c>
      <c r="D113" s="75">
        <v>130.69999999999999</v>
      </c>
      <c r="E113" s="75">
        <v>130</v>
      </c>
      <c r="F113" s="75">
        <v>129.4</v>
      </c>
      <c r="G113" s="75">
        <v>127.7</v>
      </c>
      <c r="H113" s="75">
        <v>125</v>
      </c>
      <c r="I113" s="75">
        <v>120.2</v>
      </c>
      <c r="J113" s="75">
        <v>122</v>
      </c>
      <c r="K113" s="75">
        <v>122.2</v>
      </c>
      <c r="L113" s="75">
        <v>122.2</v>
      </c>
      <c r="M113" s="75">
        <v>122.2</v>
      </c>
      <c r="N113" s="75">
        <v>122.2</v>
      </c>
      <c r="O113" s="75">
        <v>125.3</v>
      </c>
      <c r="P113" s="75">
        <v>126.5</v>
      </c>
      <c r="Q113" s="75">
        <v>127.4</v>
      </c>
      <c r="R113" s="75">
        <v>125.5</v>
      </c>
      <c r="S113" s="75">
        <v>125.2</v>
      </c>
      <c r="T113" s="75">
        <v>130.30000000000001</v>
      </c>
      <c r="U113" s="75"/>
      <c r="V113" s="75">
        <v>129.6</v>
      </c>
      <c r="W113" s="75">
        <v>125.9</v>
      </c>
      <c r="X113" s="75">
        <v>123.7</v>
      </c>
      <c r="Y113" s="75">
        <v>123.5</v>
      </c>
      <c r="Z113" s="75">
        <v>127.2</v>
      </c>
      <c r="AA113" s="75">
        <v>127.7</v>
      </c>
      <c r="AB113" s="75">
        <v>130.1</v>
      </c>
      <c r="AC113" s="75">
        <v>130.80000000000001</v>
      </c>
      <c r="AD113" s="75">
        <v>132.6</v>
      </c>
      <c r="AE113" s="75">
        <v>130</v>
      </c>
      <c r="AF113" s="75">
        <v>132.9</v>
      </c>
      <c r="AG113" s="116"/>
      <c r="AH113" s="48">
        <f t="shared" si="71"/>
        <v>132.9</v>
      </c>
      <c r="AI113" s="49">
        <f t="shared" si="72"/>
        <v>120.2</v>
      </c>
    </row>
    <row r="114" spans="1:35" x14ac:dyDescent="0.25">
      <c r="A114" s="117" t="s">
        <v>137</v>
      </c>
      <c r="B114" s="118">
        <v>134.80000000000001</v>
      </c>
      <c r="C114" s="118">
        <v>135</v>
      </c>
      <c r="D114" s="118">
        <v>135.30000000000001</v>
      </c>
      <c r="E114" s="118">
        <v>136.19999999999999</v>
      </c>
      <c r="F114" s="118">
        <v>135.69999999999999</v>
      </c>
      <c r="G114" s="118">
        <v>132.5</v>
      </c>
      <c r="H114" s="118">
        <v>131.5</v>
      </c>
      <c r="I114" s="118">
        <v>131.30000000000001</v>
      </c>
      <c r="J114" s="118">
        <v>132</v>
      </c>
      <c r="K114" s="118">
        <v>134.1</v>
      </c>
      <c r="L114" s="118">
        <v>134.19999999999999</v>
      </c>
      <c r="M114" s="118">
        <v>134.19999999999999</v>
      </c>
      <c r="N114" s="118">
        <v>134.19999999999999</v>
      </c>
      <c r="O114" s="118">
        <v>135.69999999999999</v>
      </c>
      <c r="P114" s="118">
        <v>136.69999999999999</v>
      </c>
      <c r="Q114" s="118">
        <v>135</v>
      </c>
      <c r="R114" s="118">
        <v>132.80000000000001</v>
      </c>
      <c r="S114" s="118">
        <v>130.19999999999999</v>
      </c>
      <c r="T114" s="118">
        <v>130</v>
      </c>
      <c r="U114" s="118"/>
      <c r="V114" s="118">
        <v>135.19999999999999</v>
      </c>
      <c r="W114" s="118">
        <v>134.5</v>
      </c>
      <c r="X114" s="118">
        <v>136</v>
      </c>
      <c r="Y114" s="118">
        <v>135.30000000000001</v>
      </c>
      <c r="Z114" s="118">
        <v>135.9</v>
      </c>
      <c r="AA114" s="118">
        <v>130.5</v>
      </c>
      <c r="AB114" s="118">
        <v>133.4</v>
      </c>
      <c r="AC114" s="118">
        <v>133</v>
      </c>
      <c r="AD114" s="118">
        <v>131.30000000000001</v>
      </c>
      <c r="AE114" s="118">
        <v>133</v>
      </c>
      <c r="AF114" s="118">
        <v>130</v>
      </c>
      <c r="AG114" s="119"/>
      <c r="AH114" s="48">
        <f t="shared" si="71"/>
        <v>136.69999999999999</v>
      </c>
      <c r="AI114" s="49">
        <f t="shared" si="72"/>
        <v>130</v>
      </c>
    </row>
    <row r="115" spans="1:35" x14ac:dyDescent="0.25">
      <c r="A115" s="115" t="s">
        <v>138</v>
      </c>
      <c r="B115" s="75">
        <v>128.6</v>
      </c>
      <c r="C115" s="75">
        <v>127.9</v>
      </c>
      <c r="D115" s="75">
        <v>126.9</v>
      </c>
      <c r="E115" s="75">
        <v>132.1</v>
      </c>
      <c r="F115" s="75">
        <v>127.2</v>
      </c>
      <c r="G115" s="75">
        <v>126.2</v>
      </c>
      <c r="H115" s="75">
        <v>129.19999999999999</v>
      </c>
      <c r="I115" s="75">
        <v>130.19999999999999</v>
      </c>
      <c r="J115" s="75">
        <v>130</v>
      </c>
      <c r="K115" s="75">
        <v>129.30000000000001</v>
      </c>
      <c r="L115" s="75">
        <v>129.4</v>
      </c>
      <c r="M115" s="75">
        <v>129.4</v>
      </c>
      <c r="N115" s="75">
        <v>129.4</v>
      </c>
      <c r="O115" s="75">
        <v>129.4</v>
      </c>
      <c r="P115" s="75">
        <v>132.6</v>
      </c>
      <c r="Q115" s="75">
        <v>133.30000000000001</v>
      </c>
      <c r="R115" s="75">
        <v>131.30000000000001</v>
      </c>
      <c r="S115" s="75">
        <v>130.19999999999999</v>
      </c>
      <c r="T115" s="75">
        <v>126.2</v>
      </c>
      <c r="U115" s="75"/>
      <c r="V115" s="75">
        <v>132</v>
      </c>
      <c r="W115" s="75">
        <v>128.6</v>
      </c>
      <c r="X115" s="75">
        <v>128.5</v>
      </c>
      <c r="Y115" s="75">
        <v>128.5</v>
      </c>
      <c r="Z115" s="75">
        <v>126.5</v>
      </c>
      <c r="AA115" s="75">
        <v>129.1</v>
      </c>
      <c r="AB115" s="75">
        <v>136</v>
      </c>
      <c r="AC115" s="75">
        <v>130.4</v>
      </c>
      <c r="AD115" s="75">
        <v>129</v>
      </c>
      <c r="AE115" s="75">
        <v>128.5</v>
      </c>
      <c r="AF115" s="75">
        <v>128</v>
      </c>
      <c r="AG115" s="116"/>
      <c r="AH115" s="48">
        <f t="shared" si="71"/>
        <v>136</v>
      </c>
      <c r="AI115" s="49">
        <f t="shared" si="72"/>
        <v>126.2</v>
      </c>
    </row>
    <row r="116" spans="1:35" ht="15.75" thickBot="1" x14ac:dyDescent="0.3">
      <c r="A116" s="115" t="s">
        <v>139</v>
      </c>
      <c r="B116" s="104">
        <v>66.5</v>
      </c>
      <c r="C116" s="104">
        <v>66.7</v>
      </c>
      <c r="D116" s="104">
        <v>67.2</v>
      </c>
      <c r="E116" s="104">
        <v>67.2</v>
      </c>
      <c r="F116" s="104">
        <v>66.8</v>
      </c>
      <c r="G116" s="104">
        <v>66</v>
      </c>
      <c r="H116" s="104">
        <v>65.2</v>
      </c>
      <c r="I116" s="104">
        <v>64.599999999999994</v>
      </c>
      <c r="J116" s="104">
        <v>65</v>
      </c>
      <c r="K116" s="104">
        <v>64.8</v>
      </c>
      <c r="L116" s="104">
        <v>64.8</v>
      </c>
      <c r="M116" s="104">
        <v>64.8</v>
      </c>
      <c r="N116" s="104">
        <v>64.8</v>
      </c>
      <c r="O116" s="104">
        <v>66.099999999999994</v>
      </c>
      <c r="P116" s="104">
        <v>65.7</v>
      </c>
      <c r="Q116" s="104">
        <v>65.5</v>
      </c>
      <c r="R116" s="104">
        <v>65.2</v>
      </c>
      <c r="S116" s="104">
        <v>65</v>
      </c>
      <c r="T116" s="104">
        <v>64.8</v>
      </c>
      <c r="U116" s="104"/>
      <c r="V116" s="104">
        <v>64.900000000000006</v>
      </c>
      <c r="W116" s="104">
        <v>65.400000000000006</v>
      </c>
      <c r="X116" s="104">
        <v>65.3</v>
      </c>
      <c r="Y116" s="104">
        <v>65</v>
      </c>
      <c r="Z116" s="104">
        <v>64.8</v>
      </c>
      <c r="AA116" s="104">
        <v>64.7</v>
      </c>
      <c r="AB116" s="104">
        <v>65.5</v>
      </c>
      <c r="AC116" s="104">
        <v>66.5</v>
      </c>
      <c r="AD116" s="104">
        <v>66.3</v>
      </c>
      <c r="AE116" s="104">
        <v>66.900000000000006</v>
      </c>
      <c r="AF116" s="104">
        <v>67</v>
      </c>
      <c r="AG116" s="120"/>
      <c r="AH116" s="48">
        <f t="shared" si="71"/>
        <v>67.2</v>
      </c>
      <c r="AI116" s="49">
        <f t="shared" si="72"/>
        <v>64.599999999999994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71"/>
        <v>0</v>
      </c>
      <c r="AI117" s="49">
        <f t="shared" si="72"/>
        <v>0</v>
      </c>
    </row>
    <row r="118" spans="1:35" ht="15.75" thickBot="1" x14ac:dyDescent="0.3">
      <c r="A118" s="122" t="s">
        <v>141</v>
      </c>
      <c r="B118" s="123">
        <f t="shared" ref="B118:D118" si="173">SUM(B22,B28,B31:B32,B66,B68:B69,B71,B73,B119:B123,B155,B161,B167,B176,B178,B190,B197,B200:B201,B208,B210,B212,B216:B218,B220:B222,B227,B233:B234,B236:B238,B246,B251)</f>
        <v>145.73999999999998</v>
      </c>
      <c r="C118" s="123">
        <f t="shared" si="173"/>
        <v>134.82</v>
      </c>
      <c r="D118" s="123">
        <f t="shared" si="173"/>
        <v>129.63999999999999</v>
      </c>
      <c r="E118" s="123">
        <f t="shared" ref="E118:O118" si="174">SUM(E22,E28,E31:E32,E66,E68:E69,E71,E73,E119:E123,E155,E161,E167,E176,E178,E190,E197,E200:E201,E208,E210,E212,E216:E218,E220:E222,E227,E233:E234,E236:E238,E246,E251)</f>
        <v>132.39999999999998</v>
      </c>
      <c r="F118" s="123">
        <f t="shared" si="174"/>
        <v>139.03999999999996</v>
      </c>
      <c r="G118" s="123">
        <f t="shared" si="174"/>
        <v>167.29999999999998</v>
      </c>
      <c r="H118" s="123">
        <f t="shared" si="174"/>
        <v>191.35999999999999</v>
      </c>
      <c r="I118" s="123">
        <f t="shared" si="174"/>
        <v>186.44</v>
      </c>
      <c r="J118" s="123">
        <f t="shared" si="174"/>
        <v>253.27999999999997</v>
      </c>
      <c r="K118" s="123">
        <f t="shared" si="174"/>
        <v>257.68</v>
      </c>
      <c r="L118" s="123">
        <f t="shared" si="174"/>
        <v>297.62</v>
      </c>
      <c r="M118" s="123">
        <f t="shared" si="174"/>
        <v>298.62</v>
      </c>
      <c r="N118" s="123">
        <f t="shared" si="174"/>
        <v>290.92</v>
      </c>
      <c r="O118" s="123">
        <f t="shared" si="174"/>
        <v>307.42799999999994</v>
      </c>
      <c r="P118" s="123">
        <v>42</v>
      </c>
      <c r="Q118" s="123">
        <f t="shared" ref="Q118:AC118" si="175">SUM(Q22,Q28,Q31:Q32,Q66,Q68:Q69,Q71,Q73,Q119:Q123,Q155,Q161,Q167,Q176,Q178,Q190,Q197,Q200:Q201,Q208,Q210,Q212,Q216:Q218,Q220:Q222,Q227,Q233:Q234,Q236:Q238,Q246,Q251)</f>
        <v>251.98400000000001</v>
      </c>
      <c r="R118" s="123">
        <f t="shared" si="175"/>
        <v>249.18799999999999</v>
      </c>
      <c r="S118" s="123">
        <f t="shared" ref="S118:T118" si="176">SUM(S22,S28,S31:S32,S66,S68:S69,S71,S73,S119:S123,S155,S161,S167,S176,S178,S190,S197,S200:S201,S208,S210,S212,S216:S218,S220:S222,S227,S233:S234,S236:S238,S246,S251)</f>
        <v>237.48000000000002</v>
      </c>
      <c r="T118" s="123">
        <f t="shared" si="176"/>
        <v>244.29999999999998</v>
      </c>
      <c r="U118" s="123">
        <f t="shared" ref="U118:V118" si="177">SUM(U22,U28,U31:U32,U66,U68:U69,U71,U73,U119:U123,U155,U161,U167,U176,U178,U190,U197,U200:U201,U208,U210,U212,U216:U218,U220:U222,U227,U233:U234,U236:U238,U246,U251)</f>
        <v>0.94</v>
      </c>
      <c r="V118" s="123">
        <f t="shared" si="177"/>
        <v>242.74</v>
      </c>
      <c r="W118" s="123">
        <f t="shared" ref="W118:X118" si="178">SUM(W22,W28,W31:W32,W66,W68:W69,W71,W73,W119:W123,W155,W161,W167,W176,W178,W190,W197,W200:W201,W208,W210,W212,W216:W218,W220:W222,W227,W233:W234,W236:W238,W246,W251)</f>
        <v>244.62</v>
      </c>
      <c r="X118" s="123">
        <f t="shared" si="178"/>
        <v>257.36</v>
      </c>
      <c r="Y118" s="123">
        <f t="shared" ref="Y118" si="179">SUM(Y22,Y28,Y31:Y32,Y66,Y68:Y69,Y71,Y73,Y119:Y123,Y155,Y161,Y167,Y176,Y178,Y190,Y197,Y200:Y201,Y208,Y210,Y212,Y216:Y218,Y220:Y222,Y227,Y233:Y234,Y236:Y238,Y246,Y251)</f>
        <v>321.97999999999996</v>
      </c>
      <c r="Z118" s="123">
        <f t="shared" ref="Z118" si="180">SUM(Z20,Z26,Z37:Z38,Z66,Z68:Z69,Z71,Z73,Z119:Z123,Z148,Z154,Z160,Z169,Z171,Z183,Z190,Z193:Z194,Z201,Z203,Z205,Z209:Z211,Z213:Z215,Z220,Z226:Z227,Z229:Z231,Z239,Z244)</f>
        <v>363.92</v>
      </c>
      <c r="AA118" s="123">
        <f t="shared" ref="AA118" si="181">SUM(AA20,AA26,AA37:AA38,AA66,AA68:AA69,AA71,AA73,AA119:AA123,AA148,AA154,AA160,AA169,AA171,AA183,AA190,AA193:AA194,AA201,AA203,AA205,AA209:AA211,AA213:AA215,AA220,AA226:AA227,AA229:AA231,AA239,AA244)</f>
        <v>353.46</v>
      </c>
      <c r="AB118" s="123">
        <f t="shared" si="175"/>
        <v>306.44</v>
      </c>
      <c r="AC118" s="123">
        <f t="shared" si="175"/>
        <v>285.54000000000002</v>
      </c>
      <c r="AD118" s="123">
        <f t="shared" ref="AD118:AE118" si="182">SUM(AD22,AD28,AD31:AD32,AD66,AD68:AD69,AD71,AD73,AD119:AD123,AD155,AD161,AD167,AD176,AD178,AD190,AD197,AD200:AD201,AD208,AD210,AD212,AD216:AD218,AD220:AD222,AD227,AD233:AD234,AD236:AD238,AD246,AD251)</f>
        <v>226.94</v>
      </c>
      <c r="AE118" s="123">
        <f t="shared" si="182"/>
        <v>169.94</v>
      </c>
      <c r="AF118" s="123">
        <f t="shared" ref="AF118" si="183">SUM(AF22,AF28,AF31:AF32,AF66,AF68:AF69,AF71,AF73,AF119:AF123,AF155,AF161,AF167,AF176,AF178,AF190,AF197,AF200:AF201,AF208,AF210,AF212,AF216:AF218,AF220:AF222,AF227,AF233:AF234,AF236:AF238,AF246,AF251)</f>
        <v>133.94</v>
      </c>
      <c r="AG118" s="124"/>
      <c r="AH118" s="48">
        <f t="shared" si="71"/>
        <v>363.92</v>
      </c>
      <c r="AI118" s="49">
        <f t="shared" si="72"/>
        <v>0.94</v>
      </c>
    </row>
    <row r="119" spans="1:35" x14ac:dyDescent="0.25">
      <c r="A119" s="125" t="s">
        <v>142</v>
      </c>
      <c r="B119" s="126">
        <v>-9.1999999999999993</v>
      </c>
      <c r="C119" s="126">
        <v>-3</v>
      </c>
      <c r="D119" s="126">
        <v>-2.2999999999999998</v>
      </c>
      <c r="E119" s="126">
        <v>-2.2000000000000002</v>
      </c>
      <c r="F119" s="126">
        <v>-5.7</v>
      </c>
      <c r="G119" s="126">
        <v>-2.2999999999999998</v>
      </c>
      <c r="H119" s="126">
        <v>-3.6</v>
      </c>
      <c r="I119" s="126">
        <v>-3.6</v>
      </c>
      <c r="J119" s="126">
        <v>14</v>
      </c>
      <c r="K119" s="126">
        <v>14</v>
      </c>
      <c r="L119" s="126">
        <v>36</v>
      </c>
      <c r="M119" s="126">
        <v>36</v>
      </c>
      <c r="N119" s="126">
        <v>31</v>
      </c>
      <c r="O119" s="126">
        <v>31</v>
      </c>
      <c r="P119" s="126">
        <v>30.7</v>
      </c>
      <c r="Q119" s="126">
        <v>11.9</v>
      </c>
      <c r="R119" s="126">
        <v>6.1</v>
      </c>
      <c r="S119" s="126">
        <v>0.8</v>
      </c>
      <c r="T119" s="126">
        <v>-4.3</v>
      </c>
      <c r="U119" s="126"/>
      <c r="V119" s="126">
        <v>6.8</v>
      </c>
      <c r="W119" s="126">
        <v>2.2999999999999998</v>
      </c>
      <c r="X119" s="126">
        <v>10.199999999999999</v>
      </c>
      <c r="Y119" s="126">
        <v>24.2</v>
      </c>
      <c r="Z119" s="126">
        <v>33</v>
      </c>
      <c r="AA119" s="126">
        <v>30.5</v>
      </c>
      <c r="AB119" s="126">
        <v>31.8</v>
      </c>
      <c r="AC119" s="126">
        <v>32.1</v>
      </c>
      <c r="AD119" s="126">
        <v>11</v>
      </c>
      <c r="AE119" s="126">
        <v>3</v>
      </c>
      <c r="AF119" s="126">
        <v>-7</v>
      </c>
      <c r="AG119" s="127">
        <v>75</v>
      </c>
      <c r="AH119" s="48">
        <f t="shared" si="71"/>
        <v>36</v>
      </c>
      <c r="AI119" s="49">
        <f t="shared" si="72"/>
        <v>-9.1999999999999993</v>
      </c>
    </row>
    <row r="120" spans="1:35" x14ac:dyDescent="0.25">
      <c r="A120" s="128" t="s">
        <v>143</v>
      </c>
      <c r="B120" s="129">
        <v>-18.3</v>
      </c>
      <c r="C120" s="129">
        <v>-7.6</v>
      </c>
      <c r="D120" s="129">
        <v>-6.1</v>
      </c>
      <c r="E120" s="129">
        <v>-6.5</v>
      </c>
      <c r="F120" s="129">
        <v>-13.9</v>
      </c>
      <c r="G120" s="129">
        <v>-7.5</v>
      </c>
      <c r="H120" s="129">
        <v>-10</v>
      </c>
      <c r="I120" s="129">
        <v>-10</v>
      </c>
      <c r="J120" s="129">
        <v>14.9</v>
      </c>
      <c r="K120" s="129">
        <v>14.9</v>
      </c>
      <c r="L120" s="129">
        <v>51.4</v>
      </c>
      <c r="M120" s="129">
        <v>51.4</v>
      </c>
      <c r="N120" s="129">
        <v>47</v>
      </c>
      <c r="O120" s="129">
        <v>45.9</v>
      </c>
      <c r="P120" s="129">
        <v>40.299999999999997</v>
      </c>
      <c r="Q120" s="129">
        <v>16.100000000000001</v>
      </c>
      <c r="R120" s="129">
        <v>7.9</v>
      </c>
      <c r="S120" s="129">
        <v>0.8</v>
      </c>
      <c r="T120" s="129">
        <v>-4.3</v>
      </c>
      <c r="U120" s="129"/>
      <c r="V120" s="129">
        <v>12.9</v>
      </c>
      <c r="W120" s="129">
        <v>6</v>
      </c>
      <c r="X120" s="129">
        <v>13.9</v>
      </c>
      <c r="Y120" s="129">
        <v>34.299999999999997</v>
      </c>
      <c r="Z120" s="129">
        <v>46.4</v>
      </c>
      <c r="AA120" s="129">
        <v>43.3</v>
      </c>
      <c r="AB120" s="129">
        <v>46.4</v>
      </c>
      <c r="AC120" s="129">
        <v>46.1</v>
      </c>
      <c r="AD120" s="129">
        <v>15</v>
      </c>
      <c r="AE120" s="129">
        <v>4</v>
      </c>
      <c r="AF120" s="129">
        <v>-7</v>
      </c>
      <c r="AG120" s="127">
        <v>240</v>
      </c>
      <c r="AH120" s="48">
        <f t="shared" si="71"/>
        <v>51.4</v>
      </c>
      <c r="AI120" s="49">
        <f t="shared" si="72"/>
        <v>-18.3</v>
      </c>
    </row>
    <row r="121" spans="1:35" x14ac:dyDescent="0.25">
      <c r="A121" s="128" t="s">
        <v>144</v>
      </c>
      <c r="B121" s="129">
        <f>-4.3-4.9</f>
        <v>-9.1999999999999993</v>
      </c>
      <c r="C121" s="129">
        <v>-15</v>
      </c>
      <c r="D121" s="129">
        <f>-9-9.7</f>
        <v>-18.7</v>
      </c>
      <c r="E121" s="129">
        <v>-18.7</v>
      </c>
      <c r="F121" s="129">
        <f>-5-7</f>
        <v>-12</v>
      </c>
      <c r="G121" s="129">
        <f>-1-4</f>
        <v>-5</v>
      </c>
      <c r="H121" s="129">
        <v>5</v>
      </c>
      <c r="I121" s="129">
        <v>5</v>
      </c>
      <c r="J121" s="129">
        <f>5.2+5.8</f>
        <v>11</v>
      </c>
      <c r="K121" s="129">
        <f>5.2+5.8</f>
        <v>11</v>
      </c>
      <c r="L121" s="129">
        <f>3.1+3.3</f>
        <v>6.4</v>
      </c>
      <c r="M121" s="129">
        <f t="shared" ref="M121:N121" si="184">3.1+3.3</f>
        <v>6.4</v>
      </c>
      <c r="N121" s="129">
        <f t="shared" si="184"/>
        <v>6.4</v>
      </c>
      <c r="O121" s="129">
        <v>-15.9</v>
      </c>
      <c r="P121" s="129">
        <v>14.6</v>
      </c>
      <c r="Q121" s="129">
        <v>13</v>
      </c>
      <c r="R121" s="129">
        <v>14</v>
      </c>
      <c r="S121" s="129">
        <v>15</v>
      </c>
      <c r="T121" s="129">
        <v>35</v>
      </c>
      <c r="U121" s="129"/>
      <c r="V121" s="129">
        <v>16</v>
      </c>
      <c r="W121" s="129">
        <v>19</v>
      </c>
      <c r="X121" s="129">
        <v>20</v>
      </c>
      <c r="Y121" s="129">
        <v>25.5</v>
      </c>
      <c r="Z121" s="129">
        <v>23</v>
      </c>
      <c r="AA121" s="129">
        <v>18</v>
      </c>
      <c r="AB121" s="129">
        <v>8</v>
      </c>
      <c r="AC121" s="129">
        <v>23</v>
      </c>
      <c r="AD121" s="129">
        <v>22</v>
      </c>
      <c r="AE121" s="129">
        <v>0</v>
      </c>
      <c r="AF121" s="129">
        <v>-9</v>
      </c>
      <c r="AG121" s="127">
        <v>240</v>
      </c>
      <c r="AH121" s="48">
        <f t="shared" si="71"/>
        <v>35</v>
      </c>
      <c r="AI121" s="49">
        <f t="shared" si="72"/>
        <v>-18.7</v>
      </c>
    </row>
    <row r="122" spans="1:35" ht="15.75" thickBot="1" x14ac:dyDescent="0.3">
      <c r="A122" s="128" t="s">
        <v>145</v>
      </c>
      <c r="B122" s="129">
        <v>-9.8000000000000007</v>
      </c>
      <c r="C122" s="129">
        <v>-10.7</v>
      </c>
      <c r="D122" s="129">
        <v>-7.5</v>
      </c>
      <c r="E122" s="129">
        <v>-13</v>
      </c>
      <c r="F122" s="129">
        <v>-12</v>
      </c>
      <c r="G122" s="129">
        <v>-7.1</v>
      </c>
      <c r="H122" s="129">
        <v>-4</v>
      </c>
      <c r="I122" s="129">
        <v>-4</v>
      </c>
      <c r="J122" s="129">
        <v>4.5</v>
      </c>
      <c r="K122" s="129">
        <v>5.5</v>
      </c>
      <c r="L122" s="129">
        <v>13.9</v>
      </c>
      <c r="M122" s="129">
        <v>14.9</v>
      </c>
      <c r="N122" s="129">
        <v>15.9</v>
      </c>
      <c r="O122" s="129">
        <v>5.2</v>
      </c>
      <c r="P122" s="129">
        <v>11.7</v>
      </c>
      <c r="Q122" s="129">
        <v>9.3000000000000007</v>
      </c>
      <c r="R122" s="129">
        <v>9.5</v>
      </c>
      <c r="S122" s="129">
        <v>8.1999999999999993</v>
      </c>
      <c r="T122" s="129">
        <v>9.1</v>
      </c>
      <c r="U122" s="129"/>
      <c r="V122" s="129">
        <v>9.3000000000000007</v>
      </c>
      <c r="W122" s="129">
        <v>10.3</v>
      </c>
      <c r="X122" s="129">
        <v>12.2</v>
      </c>
      <c r="Y122" s="129">
        <v>14.5</v>
      </c>
      <c r="Z122" s="129">
        <v>16.52</v>
      </c>
      <c r="AA122" s="129">
        <v>20.5</v>
      </c>
      <c r="AB122" s="129">
        <v>14.5</v>
      </c>
      <c r="AC122" s="129">
        <v>17</v>
      </c>
      <c r="AD122" s="129">
        <v>13</v>
      </c>
      <c r="AE122" s="129">
        <v>7</v>
      </c>
      <c r="AF122" s="129">
        <v>6</v>
      </c>
      <c r="AG122" s="127">
        <v>60</v>
      </c>
      <c r="AH122" s="48">
        <f t="shared" si="71"/>
        <v>20.5</v>
      </c>
      <c r="AI122" s="49">
        <f t="shared" si="72"/>
        <v>-13</v>
      </c>
    </row>
    <row r="123" spans="1:35" x14ac:dyDescent="0.25">
      <c r="A123" s="125" t="s">
        <v>146</v>
      </c>
      <c r="B123" s="130">
        <f>67.5*1.6</f>
        <v>108</v>
      </c>
      <c r="C123" s="130">
        <v>86.88</v>
      </c>
      <c r="D123" s="130">
        <v>80</v>
      </c>
      <c r="E123" s="130">
        <f>54*1.64</f>
        <v>88.559999999999988</v>
      </c>
      <c r="F123" s="130">
        <f>60*1.64</f>
        <v>98.399999999999991</v>
      </c>
      <c r="G123" s="130">
        <f>64*1.64</f>
        <v>104.96</v>
      </c>
      <c r="H123" s="130">
        <f>73*1.64</f>
        <v>119.72</v>
      </c>
      <c r="I123" s="130">
        <f>70*1.64</f>
        <v>114.8</v>
      </c>
      <c r="J123" s="130">
        <f>76*1.64</f>
        <v>124.63999999999999</v>
      </c>
      <c r="K123" s="130">
        <f>76*1.64</f>
        <v>124.63999999999999</v>
      </c>
      <c r="L123" s="130">
        <f>62*1.64</f>
        <v>101.67999999999999</v>
      </c>
      <c r="M123" s="130">
        <f t="shared" ref="M123:N123" si="185">62*1.64</f>
        <v>101.67999999999999</v>
      </c>
      <c r="N123" s="130">
        <f t="shared" si="185"/>
        <v>101.67999999999999</v>
      </c>
      <c r="O123" s="130">
        <f>1.64*89.2</f>
        <v>146.28799999999998</v>
      </c>
      <c r="P123" s="130">
        <f>1.64*56.5</f>
        <v>92.66</v>
      </c>
      <c r="Q123" s="130">
        <f>1.64*59.6</f>
        <v>97.744</v>
      </c>
      <c r="R123" s="130">
        <f>1.64*65.7</f>
        <v>107.748</v>
      </c>
      <c r="S123" s="130">
        <f>72.4*1.6</f>
        <v>115.84000000000002</v>
      </c>
      <c r="T123" s="130">
        <f>73.1*1.6</f>
        <v>116.96</v>
      </c>
      <c r="U123" s="130"/>
      <c r="V123" s="130">
        <f>70*1.6</f>
        <v>112</v>
      </c>
      <c r="W123" s="130">
        <f>75.8*1.6</f>
        <v>121.28</v>
      </c>
      <c r="X123" s="130">
        <f>73.2*1.6</f>
        <v>117.12</v>
      </c>
      <c r="Y123" s="130">
        <f>87.4*1.6</f>
        <v>139.84</v>
      </c>
      <c r="Z123" s="130">
        <f>96.5*1.6</f>
        <v>154.4</v>
      </c>
      <c r="AA123" s="130">
        <f>94.1*1.6</f>
        <v>150.56</v>
      </c>
      <c r="AB123" s="130">
        <f>78*1.6</f>
        <v>124.80000000000001</v>
      </c>
      <c r="AC123" s="130">
        <f>54*1.6</f>
        <v>86.4</v>
      </c>
      <c r="AD123" s="130">
        <v>85</v>
      </c>
      <c r="AE123" s="130">
        <v>75</v>
      </c>
      <c r="AF123" s="130">
        <v>70</v>
      </c>
      <c r="AG123" s="131">
        <v>120</v>
      </c>
      <c r="AH123" s="48">
        <f t="shared" si="71"/>
        <v>154.4</v>
      </c>
      <c r="AI123" s="49">
        <f t="shared" si="72"/>
        <v>70</v>
      </c>
    </row>
    <row r="124" spans="1:35" x14ac:dyDescent="0.25">
      <c r="A124" s="128" t="s">
        <v>147</v>
      </c>
      <c r="B124" s="130">
        <v>77.2</v>
      </c>
      <c r="C124" s="130">
        <v>65.3</v>
      </c>
      <c r="D124" s="130">
        <v>62.7</v>
      </c>
      <c r="E124" s="130">
        <v>65</v>
      </c>
      <c r="F124" s="130">
        <v>70.599999999999994</v>
      </c>
      <c r="G124" s="130">
        <v>72.400000000000006</v>
      </c>
      <c r="H124" s="130">
        <v>79.7</v>
      </c>
      <c r="I124" s="130">
        <v>80</v>
      </c>
      <c r="J124" s="130">
        <v>82.2</v>
      </c>
      <c r="K124" s="130">
        <v>82.2</v>
      </c>
      <c r="L124" s="130">
        <v>71.2</v>
      </c>
      <c r="M124" s="130">
        <v>71.2</v>
      </c>
      <c r="N124" s="130">
        <v>71.2</v>
      </c>
      <c r="O124" s="130">
        <v>92.1</v>
      </c>
      <c r="P124" s="130">
        <v>62</v>
      </c>
      <c r="Q124" s="130">
        <v>67.5</v>
      </c>
      <c r="R124" s="130">
        <v>72.3</v>
      </c>
      <c r="S124" s="130">
        <v>76.599999999999994</v>
      </c>
      <c r="T124" s="130">
        <v>77.7</v>
      </c>
      <c r="U124" s="130"/>
      <c r="V124" s="130">
        <v>70.099999999999994</v>
      </c>
      <c r="W124" s="130">
        <v>81.8</v>
      </c>
      <c r="X124" s="130">
        <v>81.7</v>
      </c>
      <c r="Y124" s="130">
        <v>90.1</v>
      </c>
      <c r="Z124" s="130">
        <v>97.6</v>
      </c>
      <c r="AA124" s="130">
        <v>95.6</v>
      </c>
      <c r="AB124" s="130">
        <v>83</v>
      </c>
      <c r="AC124" s="130">
        <v>63</v>
      </c>
      <c r="AD124" s="130">
        <v>76</v>
      </c>
      <c r="AE124" s="130">
        <v>67</v>
      </c>
      <c r="AF124" s="130">
        <v>62</v>
      </c>
      <c r="AG124" s="131"/>
      <c r="AH124" s="48"/>
      <c r="AI124" s="49"/>
    </row>
    <row r="125" spans="1:35" x14ac:dyDescent="0.25">
      <c r="A125" s="128" t="s">
        <v>148</v>
      </c>
      <c r="B125" s="130">
        <v>64.099999999999994</v>
      </c>
      <c r="C125" s="130">
        <v>50.1</v>
      </c>
      <c r="D125" s="130">
        <v>47.8</v>
      </c>
      <c r="E125" s="130">
        <v>49.7</v>
      </c>
      <c r="F125" s="130">
        <v>56.5</v>
      </c>
      <c r="G125" s="130">
        <v>46.9</v>
      </c>
      <c r="H125" s="130">
        <v>45.5</v>
      </c>
      <c r="I125" s="130">
        <v>38</v>
      </c>
      <c r="J125" s="130">
        <v>22.3</v>
      </c>
      <c r="K125" s="130">
        <v>22.3</v>
      </c>
      <c r="L125" s="130">
        <v>-20.100000000000001</v>
      </c>
      <c r="M125" s="130">
        <v>-20.100000000000001</v>
      </c>
      <c r="N125" s="130">
        <v>-20.100000000000001</v>
      </c>
      <c r="O125" s="130">
        <v>0</v>
      </c>
      <c r="P125" s="130">
        <v>-21</v>
      </c>
      <c r="Q125" s="130">
        <v>10</v>
      </c>
      <c r="R125" s="130">
        <v>20.2</v>
      </c>
      <c r="S125" s="130">
        <v>34.1</v>
      </c>
      <c r="T125" s="130">
        <v>36.4</v>
      </c>
      <c r="U125" s="130"/>
      <c r="V125" s="130">
        <v>3</v>
      </c>
      <c r="W125" s="130">
        <v>16.899999999999999</v>
      </c>
      <c r="X125" s="130">
        <v>5.5</v>
      </c>
      <c r="Y125" s="130">
        <v>-16</v>
      </c>
      <c r="Z125" s="130">
        <v>-20.8</v>
      </c>
      <c r="AA125" s="130">
        <v>-13.9</v>
      </c>
      <c r="AB125" s="130">
        <v>-20</v>
      </c>
      <c r="AC125" s="130">
        <v>-43.1</v>
      </c>
      <c r="AD125" s="130">
        <v>3</v>
      </c>
      <c r="AE125" s="130">
        <v>23</v>
      </c>
      <c r="AF125" s="130">
        <v>37</v>
      </c>
      <c r="AG125" s="131"/>
      <c r="AH125" s="48"/>
      <c r="AI125" s="49"/>
    </row>
    <row r="126" spans="1:35" ht="15.75" thickBot="1" x14ac:dyDescent="0.3">
      <c r="A126" s="128" t="s">
        <v>149</v>
      </c>
      <c r="B126" s="130">
        <v>91.2</v>
      </c>
      <c r="C126" s="130">
        <v>69.099999999999994</v>
      </c>
      <c r="D126" s="130">
        <v>78.5</v>
      </c>
      <c r="E126" s="130">
        <v>72.400000000000006</v>
      </c>
      <c r="F126" s="130">
        <v>80.099999999999994</v>
      </c>
      <c r="G126" s="130">
        <v>81.5</v>
      </c>
      <c r="H126" s="130">
        <v>89</v>
      </c>
      <c r="I126" s="130">
        <v>92</v>
      </c>
      <c r="J126" s="130">
        <v>83.5</v>
      </c>
      <c r="K126" s="130">
        <v>92</v>
      </c>
      <c r="L126" s="130">
        <v>55</v>
      </c>
      <c r="M126" s="130">
        <v>55</v>
      </c>
      <c r="N126" s="130">
        <v>55</v>
      </c>
      <c r="O126" s="130">
        <v>75.8</v>
      </c>
      <c r="P126" s="130">
        <v>59.3</v>
      </c>
      <c r="Q126" s="130">
        <v>63.8</v>
      </c>
      <c r="R126" s="130">
        <v>74.599999999999994</v>
      </c>
      <c r="S126" s="130">
        <v>76.3</v>
      </c>
      <c r="T126" s="130">
        <v>83.1</v>
      </c>
      <c r="U126" s="130"/>
      <c r="V126" s="130">
        <v>83.8</v>
      </c>
      <c r="W126" s="130">
        <v>93.4</v>
      </c>
      <c r="X126" s="130">
        <v>86.3</v>
      </c>
      <c r="Y126" s="130">
        <v>92.1</v>
      </c>
      <c r="Z126" s="130">
        <v>92.4</v>
      </c>
      <c r="AA126" s="130">
        <v>87.3</v>
      </c>
      <c r="AB126" s="130">
        <v>78</v>
      </c>
      <c r="AC126" s="130">
        <v>50</v>
      </c>
      <c r="AD126" s="130">
        <v>74</v>
      </c>
      <c r="AE126" s="130">
        <v>64</v>
      </c>
      <c r="AF126" s="130">
        <v>62</v>
      </c>
      <c r="AG126" s="127"/>
      <c r="AH126" s="48">
        <f>MAX(B126:AF126)</f>
        <v>93.4</v>
      </c>
      <c r="AI126" s="49">
        <f>MIN(B126:AF126)</f>
        <v>50</v>
      </c>
    </row>
    <row r="127" spans="1:35" x14ac:dyDescent="0.25">
      <c r="A127" s="125" t="s">
        <v>294</v>
      </c>
      <c r="B127" s="130">
        <v>7.4</v>
      </c>
      <c r="C127" s="130">
        <v>12</v>
      </c>
      <c r="D127" s="130">
        <v>22</v>
      </c>
      <c r="E127" s="130">
        <v>18</v>
      </c>
      <c r="F127" s="130">
        <v>24</v>
      </c>
      <c r="G127" s="130">
        <v>25</v>
      </c>
      <c r="H127" s="130">
        <v>30</v>
      </c>
      <c r="I127" s="130">
        <v>18</v>
      </c>
      <c r="J127" s="130">
        <v>-3.3</v>
      </c>
      <c r="K127" s="130">
        <v>-100</v>
      </c>
      <c r="L127" s="130">
        <v>-144</v>
      </c>
      <c r="M127" s="130">
        <v>-144</v>
      </c>
      <c r="N127" s="130">
        <v>-144</v>
      </c>
      <c r="O127" s="130">
        <v>32.799999999999997</v>
      </c>
      <c r="P127" s="130">
        <v>12.5</v>
      </c>
      <c r="Q127" s="130">
        <v>13.2</v>
      </c>
      <c r="R127" s="130">
        <v>21.2</v>
      </c>
      <c r="S127" s="130">
        <v>21.5</v>
      </c>
      <c r="T127" s="130">
        <v>28.8</v>
      </c>
      <c r="U127" s="130"/>
      <c r="V127" s="130">
        <v>28.6</v>
      </c>
      <c r="W127" s="130">
        <v>30.4</v>
      </c>
      <c r="X127" s="130">
        <v>27.6</v>
      </c>
      <c r="Y127" s="130">
        <v>62</v>
      </c>
      <c r="Z127" s="130">
        <v>-156.6</v>
      </c>
      <c r="AA127" s="130">
        <v>96.9</v>
      </c>
      <c r="AB127" s="130">
        <v>-120</v>
      </c>
      <c r="AC127" s="130">
        <v>-18</v>
      </c>
      <c r="AD127" s="130">
        <v>-17</v>
      </c>
      <c r="AE127" s="130">
        <v>-10</v>
      </c>
      <c r="AF127" s="130">
        <v>9</v>
      </c>
      <c r="AG127" s="127"/>
      <c r="AH127" s="48">
        <f>MAX(B127:AF127)</f>
        <v>96.9</v>
      </c>
      <c r="AI127" s="49">
        <f>MIN(B127:AF127)</f>
        <v>-156.6</v>
      </c>
    </row>
    <row r="128" spans="1:35" x14ac:dyDescent="0.25">
      <c r="A128" s="128" t="s">
        <v>151</v>
      </c>
      <c r="B128" s="118">
        <v>-18.600000000000001</v>
      </c>
      <c r="C128" s="118">
        <v>-18.2</v>
      </c>
      <c r="D128" s="118">
        <v>-17.600000000000001</v>
      </c>
      <c r="E128" s="118">
        <v>-19.399999999999999</v>
      </c>
      <c r="F128" s="118">
        <v>-18</v>
      </c>
      <c r="G128" s="118">
        <v>-24</v>
      </c>
      <c r="H128" s="118">
        <v>-32.299999999999997</v>
      </c>
      <c r="I128" s="118">
        <v>-32.299999999999997</v>
      </c>
      <c r="J128" s="118">
        <v>-44</v>
      </c>
      <c r="K128" s="118">
        <v>-45</v>
      </c>
      <c r="L128" s="118">
        <v>-53</v>
      </c>
      <c r="M128" s="118">
        <v>-53</v>
      </c>
      <c r="N128" s="118">
        <v>-53</v>
      </c>
      <c r="O128" s="118">
        <v>-40.4</v>
      </c>
      <c r="P128" s="118">
        <v>-29</v>
      </c>
      <c r="Q128" s="118">
        <v>-32</v>
      </c>
      <c r="R128" s="118">
        <v>-31.3</v>
      </c>
      <c r="S128" s="118">
        <v>-38.5</v>
      </c>
      <c r="T128" s="118">
        <v>-28.3</v>
      </c>
      <c r="U128" s="118"/>
      <c r="V128" s="118">
        <v>-41.6</v>
      </c>
      <c r="W128" s="118">
        <v>-49.2</v>
      </c>
      <c r="X128" s="118">
        <v>-60.4</v>
      </c>
      <c r="Y128" s="118"/>
      <c r="Z128" s="118">
        <v>-66.5</v>
      </c>
      <c r="AA128" s="118">
        <v>-61.2</v>
      </c>
      <c r="AB128" s="118">
        <v>-45</v>
      </c>
      <c r="AC128" s="118">
        <v>-40.1</v>
      </c>
      <c r="AD128" s="118">
        <v>-33</v>
      </c>
      <c r="AE128" s="118">
        <v>-24</v>
      </c>
      <c r="AF128" s="118">
        <v>-19</v>
      </c>
      <c r="AG128" s="127"/>
      <c r="AH128" s="48">
        <f>MAX(B128:AF128)</f>
        <v>-17.600000000000001</v>
      </c>
      <c r="AI128" s="49">
        <f>MIN(B128:AF128)</f>
        <v>-66.5</v>
      </c>
    </row>
    <row r="129" spans="1:37" x14ac:dyDescent="0.25">
      <c r="A129" s="128" t="s">
        <v>292</v>
      </c>
      <c r="B129" s="118">
        <v>93.3</v>
      </c>
      <c r="C129" s="118">
        <v>93.8</v>
      </c>
      <c r="D129" s="118">
        <v>92.2</v>
      </c>
      <c r="E129" s="118">
        <v>89.9</v>
      </c>
      <c r="F129" s="118">
        <v>97.2</v>
      </c>
      <c r="G129" s="118">
        <v>97</v>
      </c>
      <c r="H129" s="118">
        <v>102.8</v>
      </c>
      <c r="I129" s="118">
        <v>108</v>
      </c>
      <c r="J129" s="118">
        <v>112.5</v>
      </c>
      <c r="K129" s="118">
        <v>100</v>
      </c>
      <c r="L129" s="118">
        <v>88.6</v>
      </c>
      <c r="M129" s="118">
        <v>88.6</v>
      </c>
      <c r="N129" s="118">
        <v>88.6</v>
      </c>
      <c r="O129" s="118">
        <v>111.7</v>
      </c>
      <c r="P129" s="118">
        <v>115.3</v>
      </c>
      <c r="Q129" s="118">
        <v>107</v>
      </c>
      <c r="R129" s="118">
        <v>100</v>
      </c>
      <c r="S129" s="118">
        <v>109.4</v>
      </c>
      <c r="T129" s="118">
        <v>103.3</v>
      </c>
      <c r="U129" s="118"/>
      <c r="V129" s="118">
        <v>76.599999999999994</v>
      </c>
      <c r="W129" s="118">
        <v>90.5</v>
      </c>
      <c r="X129" s="118">
        <v>88.5</v>
      </c>
      <c r="Y129" s="118">
        <v>111.6</v>
      </c>
      <c r="Z129" s="118">
        <v>91.2</v>
      </c>
      <c r="AA129" s="118">
        <v>96.7</v>
      </c>
      <c r="AB129" s="118">
        <v>93</v>
      </c>
      <c r="AC129" s="118">
        <v>96.4</v>
      </c>
      <c r="AD129" s="118">
        <v>90</v>
      </c>
      <c r="AE129" s="118">
        <v>97</v>
      </c>
      <c r="AF129" s="118">
        <v>95</v>
      </c>
      <c r="AG129" s="127"/>
      <c r="AH129" s="48">
        <f>MAX(B129:AF129)</f>
        <v>115.3</v>
      </c>
      <c r="AI129" s="49">
        <f>MIN(B129:AF129)</f>
        <v>76.599999999999994</v>
      </c>
    </row>
    <row r="130" spans="1:37" ht="15.75" thickBot="1" x14ac:dyDescent="0.3">
      <c r="A130" s="128" t="s">
        <v>153</v>
      </c>
      <c r="B130" s="118">
        <v>101.5</v>
      </c>
      <c r="C130" s="118">
        <v>101</v>
      </c>
      <c r="D130" s="118">
        <v>102.7</v>
      </c>
      <c r="E130" s="118">
        <v>91.7</v>
      </c>
      <c r="F130" s="118">
        <v>97.7</v>
      </c>
      <c r="G130" s="118">
        <v>99</v>
      </c>
      <c r="H130" s="118">
        <v>103.4</v>
      </c>
      <c r="I130" s="118">
        <v>108</v>
      </c>
      <c r="J130" s="118">
        <v>111.2</v>
      </c>
      <c r="K130" s="118">
        <v>101</v>
      </c>
      <c r="L130" s="118">
        <v>96.8</v>
      </c>
      <c r="M130" s="118">
        <v>96.8</v>
      </c>
      <c r="N130" s="118">
        <v>96.8</v>
      </c>
      <c r="O130" s="118">
        <v>117.1</v>
      </c>
      <c r="P130" s="118">
        <v>124.8</v>
      </c>
      <c r="Q130" s="118">
        <v>110.1</v>
      </c>
      <c r="R130" s="118">
        <v>107.8</v>
      </c>
      <c r="S130" s="118">
        <v>111.8</v>
      </c>
      <c r="T130" s="118">
        <v>106.2</v>
      </c>
      <c r="U130" s="118"/>
      <c r="V130" s="118">
        <v>91.9</v>
      </c>
      <c r="W130" s="118">
        <v>90.9</v>
      </c>
      <c r="X130" s="118">
        <v>101.6</v>
      </c>
      <c r="Y130" s="118">
        <v>123.7</v>
      </c>
      <c r="Z130" s="118">
        <v>115.5</v>
      </c>
      <c r="AA130" s="118">
        <v>109.1</v>
      </c>
      <c r="AB130" s="118">
        <v>106</v>
      </c>
      <c r="AC130" s="118">
        <v>110</v>
      </c>
      <c r="AD130" s="118">
        <v>105</v>
      </c>
      <c r="AE130" s="118">
        <v>106</v>
      </c>
      <c r="AF130" s="118">
        <v>99</v>
      </c>
      <c r="AG130" s="127"/>
      <c r="AH130" s="48">
        <f>MAX(B130:AF130)</f>
        <v>124.8</v>
      </c>
      <c r="AI130" s="49">
        <f>MIN(B130:AF130)</f>
        <v>90.9</v>
      </c>
    </row>
    <row r="131" spans="1:37" x14ac:dyDescent="0.25">
      <c r="A131" s="132" t="s">
        <v>154</v>
      </c>
      <c r="B131" s="134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4"/>
      <c r="AG131" s="44"/>
      <c r="AH131" s="48"/>
      <c r="AI131" s="49"/>
    </row>
    <row r="132" spans="1:37" x14ac:dyDescent="0.25">
      <c r="A132" s="135" t="s">
        <v>155</v>
      </c>
      <c r="B132" s="130">
        <v>1982.92</v>
      </c>
      <c r="C132" s="130"/>
      <c r="D132" s="130">
        <v>1983.42</v>
      </c>
      <c r="E132" s="130">
        <v>1983.66</v>
      </c>
      <c r="F132" s="130">
        <v>1983.9</v>
      </c>
      <c r="G132" s="130">
        <v>1984.1</v>
      </c>
      <c r="H132" s="130"/>
      <c r="I132" s="130">
        <v>1984.4</v>
      </c>
      <c r="J132" s="130"/>
      <c r="K132" s="130">
        <v>84.38</v>
      </c>
      <c r="L132" s="130"/>
      <c r="M132" s="136">
        <v>1983.8</v>
      </c>
      <c r="N132" s="136">
        <v>1983.47</v>
      </c>
      <c r="O132" s="136">
        <v>1982.49</v>
      </c>
      <c r="P132" s="136">
        <v>1983.69</v>
      </c>
      <c r="Q132" s="136">
        <v>1983.89</v>
      </c>
      <c r="R132" s="136">
        <v>1984.15</v>
      </c>
      <c r="S132" s="136">
        <v>1984.3</v>
      </c>
      <c r="T132" s="136">
        <v>1984.48</v>
      </c>
      <c r="U132" s="136">
        <v>1984.68</v>
      </c>
      <c r="V132" s="136">
        <v>1984.82</v>
      </c>
      <c r="W132" s="136"/>
      <c r="X132" s="136">
        <v>1985</v>
      </c>
      <c r="Y132" s="136"/>
      <c r="Z132" s="136">
        <v>1984.72</v>
      </c>
      <c r="AA132" s="136"/>
      <c r="AB132" s="136">
        <v>1983.68</v>
      </c>
      <c r="AC132" s="136"/>
      <c r="AD132" s="136">
        <v>1983.38</v>
      </c>
      <c r="AE132" s="136">
        <v>1983.4</v>
      </c>
      <c r="AF132" s="137"/>
      <c r="AG132" s="138"/>
      <c r="AH132" s="48"/>
      <c r="AI132" s="49"/>
    </row>
    <row r="133" spans="1:37" x14ac:dyDescent="0.25">
      <c r="A133" s="135" t="s">
        <v>156</v>
      </c>
      <c r="B133" s="130">
        <v>519.44000000000005</v>
      </c>
      <c r="C133" s="130">
        <v>519.66999999999996</v>
      </c>
      <c r="D133" s="130">
        <v>520.04</v>
      </c>
      <c r="E133" s="130">
        <v>520.4</v>
      </c>
      <c r="F133" s="130">
        <v>520.72</v>
      </c>
      <c r="G133" s="130">
        <v>521.03</v>
      </c>
      <c r="H133" s="130"/>
      <c r="I133" s="130">
        <v>521.17999999999995</v>
      </c>
      <c r="J133" s="130"/>
      <c r="K133" s="130">
        <v>521.15</v>
      </c>
      <c r="L133" s="130"/>
      <c r="M133" s="139">
        <v>520.9</v>
      </c>
      <c r="N133" s="139">
        <v>520.82000000000005</v>
      </c>
      <c r="O133" s="139">
        <v>520.74</v>
      </c>
      <c r="P133" s="139">
        <v>520.70000000000005</v>
      </c>
      <c r="Q133" s="139">
        <v>520.82000000000005</v>
      </c>
      <c r="R133" s="139">
        <v>521.07000000000005</v>
      </c>
      <c r="S133" s="139">
        <v>521.34</v>
      </c>
      <c r="T133" s="139">
        <v>521.65</v>
      </c>
      <c r="U133" s="139">
        <v>521.95000000000005</v>
      </c>
      <c r="V133" s="139">
        <v>522.05999999999995</v>
      </c>
      <c r="W133" s="139"/>
      <c r="X133" s="139">
        <v>521.96</v>
      </c>
      <c r="Y133" s="139"/>
      <c r="Z133" s="139">
        <v>521.64</v>
      </c>
      <c r="AA133" s="139"/>
      <c r="AB133" s="139">
        <v>521.08000000000004</v>
      </c>
      <c r="AC133" s="139"/>
      <c r="AD133" s="139">
        <v>520.6</v>
      </c>
      <c r="AE133" s="139">
        <v>520.4</v>
      </c>
      <c r="AF133" s="140">
        <v>520.4</v>
      </c>
      <c r="AG133" s="138"/>
      <c r="AH133" s="48"/>
      <c r="AI133" s="49"/>
    </row>
    <row r="134" spans="1:37" x14ac:dyDescent="0.25">
      <c r="A134" s="135" t="s">
        <v>158</v>
      </c>
      <c r="B134" s="130">
        <v>622.12</v>
      </c>
      <c r="C134" s="130"/>
      <c r="D134" s="130">
        <v>623.15</v>
      </c>
      <c r="E134" s="130">
        <v>623.16999999999996</v>
      </c>
      <c r="F134" s="130">
        <v>623.54999999999995</v>
      </c>
      <c r="G134" s="130">
        <v>623.91</v>
      </c>
      <c r="H134" s="130"/>
      <c r="I134" s="130">
        <v>624.15</v>
      </c>
      <c r="J134" s="130"/>
      <c r="K134" s="130">
        <v>623.98</v>
      </c>
      <c r="L134" s="130"/>
      <c r="M134" s="139">
        <v>623.78</v>
      </c>
      <c r="N134" s="139">
        <v>623.51</v>
      </c>
      <c r="O134" s="139">
        <v>623.28</v>
      </c>
      <c r="P134" s="139">
        <v>623.19000000000005</v>
      </c>
      <c r="Q134" s="139">
        <v>623.15</v>
      </c>
      <c r="R134" s="139">
        <v>623.19000000000005</v>
      </c>
      <c r="S134" s="139">
        <v>623.15</v>
      </c>
      <c r="T134" s="139">
        <v>623.13</v>
      </c>
      <c r="U134" s="139">
        <v>623.21</v>
      </c>
      <c r="V134" s="139">
        <v>623.30999999999995</v>
      </c>
      <c r="W134" s="139"/>
      <c r="X134" s="139">
        <v>623.53</v>
      </c>
      <c r="Y134" s="139"/>
      <c r="Z134" s="139">
        <v>623.26</v>
      </c>
      <c r="AA134" s="139"/>
      <c r="AB134" s="139">
        <v>622.6</v>
      </c>
      <c r="AC134" s="139"/>
      <c r="AD134" s="139">
        <v>622.41</v>
      </c>
      <c r="AE134" s="139">
        <v>622.5</v>
      </c>
      <c r="AF134" s="140">
        <v>622.52</v>
      </c>
      <c r="AG134" s="138"/>
      <c r="AH134" s="48"/>
      <c r="AI134" s="49"/>
    </row>
    <row r="135" spans="1:37" x14ac:dyDescent="0.25">
      <c r="A135" s="135" t="s">
        <v>159</v>
      </c>
      <c r="B135" s="130">
        <v>334.36</v>
      </c>
      <c r="C135" s="130">
        <v>335.11</v>
      </c>
      <c r="D135" s="130">
        <v>335.47</v>
      </c>
      <c r="E135" s="130">
        <v>335.77</v>
      </c>
      <c r="F135" s="130">
        <v>335.96</v>
      </c>
      <c r="G135" s="130">
        <v>336.04</v>
      </c>
      <c r="H135" s="130"/>
      <c r="I135" s="130">
        <v>336.08</v>
      </c>
      <c r="J135" s="130"/>
      <c r="K135" s="130">
        <v>335.92</v>
      </c>
      <c r="L135" s="130"/>
      <c r="M135" s="139">
        <v>335.64</v>
      </c>
      <c r="N135" s="139">
        <v>335.45</v>
      </c>
      <c r="O135" s="139">
        <v>335.26</v>
      </c>
      <c r="P135" s="139">
        <v>335.12</v>
      </c>
      <c r="Q135" s="139">
        <v>334.97</v>
      </c>
      <c r="R135" s="139">
        <v>334.94</v>
      </c>
      <c r="S135" s="139">
        <v>335.2</v>
      </c>
      <c r="T135" s="139">
        <v>335.54</v>
      </c>
      <c r="U135" s="139">
        <v>335.98</v>
      </c>
      <c r="V135" s="139">
        <v>336.32</v>
      </c>
      <c r="W135" s="139"/>
      <c r="X135" s="139">
        <v>336.38</v>
      </c>
      <c r="Y135" s="139"/>
      <c r="Z135" s="139">
        <v>336.21</v>
      </c>
      <c r="AA135" s="139"/>
      <c r="AB135" s="139">
        <v>335.78</v>
      </c>
      <c r="AC135" s="139"/>
      <c r="AD135" s="139">
        <v>335.57</v>
      </c>
      <c r="AE135" s="139">
        <v>335.52</v>
      </c>
      <c r="AF135" s="140"/>
      <c r="AG135" s="138"/>
      <c r="AH135" s="48"/>
      <c r="AI135" s="49"/>
    </row>
    <row r="136" spans="1:37" x14ac:dyDescent="0.25">
      <c r="A136" s="135" t="s">
        <v>160</v>
      </c>
      <c r="B136" s="130">
        <v>883.2</v>
      </c>
      <c r="C136" s="130">
        <v>884.6</v>
      </c>
      <c r="D136" s="130">
        <v>885.2</v>
      </c>
      <c r="E136" s="130">
        <v>885.7</v>
      </c>
      <c r="F136" s="130">
        <v>886.2</v>
      </c>
      <c r="G136" s="130">
        <v>886.8</v>
      </c>
      <c r="H136" s="130"/>
      <c r="I136" s="130">
        <v>887.1</v>
      </c>
      <c r="J136" s="130"/>
      <c r="K136" s="130"/>
      <c r="L136" s="130"/>
      <c r="M136" s="139">
        <v>887.1</v>
      </c>
      <c r="N136" s="139">
        <v>886.9</v>
      </c>
      <c r="O136" s="139">
        <v>886.8</v>
      </c>
      <c r="P136" s="139">
        <v>886.7</v>
      </c>
      <c r="Q136" s="139">
        <v>886</v>
      </c>
      <c r="R136" s="139">
        <v>885.7</v>
      </c>
      <c r="S136" s="139">
        <v>885.5</v>
      </c>
      <c r="T136" s="139">
        <v>886</v>
      </c>
      <c r="U136" s="139">
        <v>886.6</v>
      </c>
      <c r="V136" s="139">
        <v>886.9</v>
      </c>
      <c r="W136" s="139"/>
      <c r="X136" s="139">
        <v>887.3</v>
      </c>
      <c r="Y136" s="139"/>
      <c r="Z136" s="139">
        <v>886.4</v>
      </c>
      <c r="AA136" s="139"/>
      <c r="AB136" s="139">
        <v>885.4</v>
      </c>
      <c r="AC136" s="139"/>
      <c r="AD136" s="139">
        <v>884.7</v>
      </c>
      <c r="AE136" s="139">
        <v>884.7</v>
      </c>
      <c r="AF136" s="140"/>
      <c r="AG136" s="138"/>
      <c r="AH136" s="48"/>
      <c r="AI136" s="49"/>
    </row>
    <row r="137" spans="1:37" ht="15.75" thickBot="1" x14ac:dyDescent="0.3">
      <c r="A137" s="135" t="s">
        <v>161</v>
      </c>
      <c r="B137" s="130">
        <v>1519.61</v>
      </c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>
        <v>1519.62</v>
      </c>
      <c r="AB137" s="141"/>
      <c r="AC137" s="141"/>
      <c r="AD137" s="141"/>
      <c r="AE137" s="141"/>
      <c r="AF137" s="142"/>
      <c r="AG137" s="138"/>
      <c r="AH137" s="48"/>
      <c r="AI137" s="49"/>
    </row>
    <row r="138" spans="1:37" ht="15.75" thickBot="1" x14ac:dyDescent="0.3">
      <c r="A138" s="143" t="s">
        <v>162</v>
      </c>
      <c r="B138" s="144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186">SUM(B139:B243)</f>
        <v>0</v>
      </c>
      <c r="C244" s="160">
        <f t="shared" si="186"/>
        <v>0</v>
      </c>
      <c r="D244" s="160">
        <f t="shared" si="186"/>
        <v>0</v>
      </c>
      <c r="E244" s="160">
        <f t="shared" si="186"/>
        <v>0</v>
      </c>
      <c r="F244" s="160">
        <f t="shared" si="186"/>
        <v>0</v>
      </c>
      <c r="G244" s="160">
        <f t="shared" si="186"/>
        <v>0</v>
      </c>
      <c r="H244" s="160">
        <f t="shared" si="186"/>
        <v>0</v>
      </c>
      <c r="I244" s="160">
        <f t="shared" si="186"/>
        <v>0</v>
      </c>
      <c r="J244" s="160">
        <f t="shared" si="186"/>
        <v>0</v>
      </c>
      <c r="K244" s="160">
        <f t="shared" si="186"/>
        <v>0</v>
      </c>
      <c r="L244" s="160">
        <f t="shared" si="186"/>
        <v>0</v>
      </c>
      <c r="M244" s="160">
        <f t="shared" si="186"/>
        <v>0</v>
      </c>
      <c r="N244" s="160">
        <f t="shared" si="186"/>
        <v>0</v>
      </c>
      <c r="O244" s="160">
        <f t="shared" si="186"/>
        <v>0</v>
      </c>
      <c r="P244" s="160">
        <f t="shared" si="186"/>
        <v>0</v>
      </c>
      <c r="Q244" s="160">
        <f t="shared" si="186"/>
        <v>0</v>
      </c>
      <c r="R244" s="160">
        <f t="shared" si="186"/>
        <v>0</v>
      </c>
      <c r="S244" s="160">
        <f t="shared" si="186"/>
        <v>0</v>
      </c>
      <c r="T244" s="160">
        <f t="shared" si="186"/>
        <v>0</v>
      </c>
      <c r="U244" s="160">
        <f t="shared" si="186"/>
        <v>0</v>
      </c>
      <c r="V244" s="160">
        <f t="shared" si="186"/>
        <v>0</v>
      </c>
      <c r="W244" s="160">
        <f t="shared" si="186"/>
        <v>0</v>
      </c>
      <c r="X244" s="160">
        <f t="shared" si="186"/>
        <v>0</v>
      </c>
      <c r="Y244" s="160">
        <f t="shared" si="186"/>
        <v>0</v>
      </c>
      <c r="Z244" s="160">
        <f t="shared" si="186"/>
        <v>0</v>
      </c>
      <c r="AA244" s="160">
        <f t="shared" si="186"/>
        <v>0</v>
      </c>
      <c r="AB244" s="160">
        <f t="shared" si="186"/>
        <v>0</v>
      </c>
      <c r="AC244" s="160">
        <f t="shared" si="186"/>
        <v>0</v>
      </c>
      <c r="AD244" s="160">
        <f t="shared" si="186"/>
        <v>0</v>
      </c>
      <c r="AE244" s="160">
        <f t="shared" si="186"/>
        <v>0</v>
      </c>
      <c r="AF244" s="161">
        <f t="shared" si="186"/>
        <v>0</v>
      </c>
      <c r="AG244" s="162">
        <f t="shared" si="186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187">AF246</f>
        <v>0.3</v>
      </c>
      <c r="C246" s="165">
        <v>0.3</v>
      </c>
      <c r="D246" s="165">
        <f t="shared" ref="D246:S251" si="188">C246</f>
        <v>0.3</v>
      </c>
      <c r="E246" s="165">
        <f t="shared" si="188"/>
        <v>0.3</v>
      </c>
      <c r="F246" s="165">
        <f t="shared" si="188"/>
        <v>0.3</v>
      </c>
      <c r="G246" s="165">
        <f t="shared" si="188"/>
        <v>0.3</v>
      </c>
      <c r="H246" s="165">
        <f t="shared" si="188"/>
        <v>0.3</v>
      </c>
      <c r="I246" s="165">
        <f t="shared" si="188"/>
        <v>0.3</v>
      </c>
      <c r="J246" s="165">
        <f t="shared" si="188"/>
        <v>0.3</v>
      </c>
      <c r="K246" s="165">
        <f t="shared" si="188"/>
        <v>0.3</v>
      </c>
      <c r="L246" s="165">
        <f t="shared" si="188"/>
        <v>0.3</v>
      </c>
      <c r="M246" s="165">
        <f t="shared" si="188"/>
        <v>0.3</v>
      </c>
      <c r="N246" s="165">
        <f t="shared" si="188"/>
        <v>0.3</v>
      </c>
      <c r="O246" s="165">
        <f t="shared" si="188"/>
        <v>0.3</v>
      </c>
      <c r="P246" s="165">
        <f t="shared" si="188"/>
        <v>0.3</v>
      </c>
      <c r="Q246" s="165">
        <f t="shared" si="188"/>
        <v>0.3</v>
      </c>
      <c r="R246" s="165">
        <f t="shared" si="188"/>
        <v>0.3</v>
      </c>
      <c r="S246" s="165">
        <f t="shared" si="188"/>
        <v>0.3</v>
      </c>
      <c r="T246" s="165">
        <f t="shared" ref="T246:AF251" si="189">S246</f>
        <v>0.3</v>
      </c>
      <c r="U246" s="165">
        <f t="shared" si="189"/>
        <v>0.3</v>
      </c>
      <c r="V246" s="165">
        <f t="shared" si="189"/>
        <v>0.3</v>
      </c>
      <c r="W246" s="165">
        <f t="shared" si="189"/>
        <v>0.3</v>
      </c>
      <c r="X246" s="165">
        <f t="shared" si="189"/>
        <v>0.3</v>
      </c>
      <c r="Y246" s="165">
        <f t="shared" si="189"/>
        <v>0.3</v>
      </c>
      <c r="Z246" s="165">
        <f t="shared" si="189"/>
        <v>0.3</v>
      </c>
      <c r="AA246" s="165">
        <f t="shared" si="189"/>
        <v>0.3</v>
      </c>
      <c r="AB246" s="165">
        <f t="shared" si="189"/>
        <v>0.3</v>
      </c>
      <c r="AC246" s="165">
        <f t="shared" si="189"/>
        <v>0.3</v>
      </c>
      <c r="AD246" s="165">
        <f t="shared" si="189"/>
        <v>0.3</v>
      </c>
      <c r="AE246" s="165">
        <f t="shared" si="189"/>
        <v>0.3</v>
      </c>
      <c r="AF246" s="165">
        <f t="shared" si="189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187"/>
        <v>0.4</v>
      </c>
      <c r="C247" s="151">
        <v>0.4</v>
      </c>
      <c r="D247" s="151">
        <f t="shared" si="188"/>
        <v>0.4</v>
      </c>
      <c r="E247" s="151">
        <f t="shared" si="188"/>
        <v>0.4</v>
      </c>
      <c r="F247" s="151">
        <f t="shared" si="188"/>
        <v>0.4</v>
      </c>
      <c r="G247" s="151">
        <f t="shared" si="188"/>
        <v>0.4</v>
      </c>
      <c r="H247" s="151">
        <f t="shared" si="188"/>
        <v>0.4</v>
      </c>
      <c r="I247" s="151">
        <f t="shared" si="188"/>
        <v>0.4</v>
      </c>
      <c r="J247" s="151">
        <f t="shared" si="188"/>
        <v>0.4</v>
      </c>
      <c r="K247" s="151">
        <f t="shared" si="188"/>
        <v>0.4</v>
      </c>
      <c r="L247" s="151">
        <f t="shared" si="188"/>
        <v>0.4</v>
      </c>
      <c r="M247" s="151">
        <f t="shared" si="188"/>
        <v>0.4</v>
      </c>
      <c r="N247" s="151">
        <f t="shared" si="188"/>
        <v>0.4</v>
      </c>
      <c r="O247" s="151">
        <f t="shared" si="188"/>
        <v>0.4</v>
      </c>
      <c r="P247" s="151">
        <f t="shared" si="188"/>
        <v>0.4</v>
      </c>
      <c r="Q247" s="151">
        <f t="shared" si="188"/>
        <v>0.4</v>
      </c>
      <c r="R247" s="151">
        <f t="shared" si="188"/>
        <v>0.4</v>
      </c>
      <c r="S247" s="151">
        <f t="shared" si="188"/>
        <v>0.4</v>
      </c>
      <c r="T247" s="151">
        <f t="shared" si="189"/>
        <v>0.4</v>
      </c>
      <c r="U247" s="151">
        <f t="shared" si="189"/>
        <v>0.4</v>
      </c>
      <c r="V247" s="151">
        <f t="shared" si="189"/>
        <v>0.4</v>
      </c>
      <c r="W247" s="151">
        <f t="shared" si="189"/>
        <v>0.4</v>
      </c>
      <c r="X247" s="151">
        <f t="shared" si="189"/>
        <v>0.4</v>
      </c>
      <c r="Y247" s="151">
        <f t="shared" si="189"/>
        <v>0.4</v>
      </c>
      <c r="Z247" s="151">
        <f t="shared" si="189"/>
        <v>0.4</v>
      </c>
      <c r="AA247" s="151">
        <f t="shared" si="189"/>
        <v>0.4</v>
      </c>
      <c r="AB247" s="151">
        <f t="shared" si="189"/>
        <v>0.4</v>
      </c>
      <c r="AC247" s="151">
        <f t="shared" si="189"/>
        <v>0.4</v>
      </c>
      <c r="AD247" s="151">
        <f t="shared" si="189"/>
        <v>0.4</v>
      </c>
      <c r="AE247" s="151">
        <f t="shared" si="189"/>
        <v>0.4</v>
      </c>
      <c r="AF247" s="151">
        <f t="shared" si="189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187"/>
        <v>1.5</v>
      </c>
      <c r="C248" s="151">
        <v>1.5</v>
      </c>
      <c r="D248" s="151">
        <f t="shared" si="188"/>
        <v>1.5</v>
      </c>
      <c r="E248" s="151">
        <f t="shared" si="188"/>
        <v>1.5</v>
      </c>
      <c r="F248" s="151">
        <f t="shared" si="188"/>
        <v>1.5</v>
      </c>
      <c r="G248" s="151">
        <f t="shared" si="188"/>
        <v>1.5</v>
      </c>
      <c r="H248" s="151">
        <f t="shared" si="188"/>
        <v>1.5</v>
      </c>
      <c r="I248" s="151">
        <f t="shared" si="188"/>
        <v>1.5</v>
      </c>
      <c r="J248" s="151">
        <f t="shared" si="188"/>
        <v>1.5</v>
      </c>
      <c r="K248" s="151">
        <f t="shared" si="188"/>
        <v>1.5</v>
      </c>
      <c r="L248" s="151">
        <f t="shared" si="188"/>
        <v>1.5</v>
      </c>
      <c r="M248" s="151">
        <f t="shared" si="188"/>
        <v>1.5</v>
      </c>
      <c r="N248" s="151">
        <f t="shared" si="188"/>
        <v>1.5</v>
      </c>
      <c r="O248" s="151">
        <f t="shared" si="188"/>
        <v>1.5</v>
      </c>
      <c r="P248" s="151">
        <f t="shared" si="188"/>
        <v>1.5</v>
      </c>
      <c r="Q248" s="151">
        <f t="shared" si="188"/>
        <v>1.5</v>
      </c>
      <c r="R248" s="151">
        <f t="shared" si="188"/>
        <v>1.5</v>
      </c>
      <c r="S248" s="151">
        <f t="shared" si="188"/>
        <v>1.5</v>
      </c>
      <c r="T248" s="151">
        <f t="shared" si="189"/>
        <v>1.5</v>
      </c>
      <c r="U248" s="151">
        <f t="shared" si="189"/>
        <v>1.5</v>
      </c>
      <c r="V248" s="151">
        <f t="shared" si="189"/>
        <v>1.5</v>
      </c>
      <c r="W248" s="151">
        <f t="shared" si="189"/>
        <v>1.5</v>
      </c>
      <c r="X248" s="151">
        <f t="shared" si="189"/>
        <v>1.5</v>
      </c>
      <c r="Y248" s="151">
        <f t="shared" si="189"/>
        <v>1.5</v>
      </c>
      <c r="Z248" s="151">
        <f t="shared" si="189"/>
        <v>1.5</v>
      </c>
      <c r="AA248" s="151">
        <f t="shared" si="189"/>
        <v>1.5</v>
      </c>
      <c r="AB248" s="151">
        <f t="shared" si="189"/>
        <v>1.5</v>
      </c>
      <c r="AC248" s="151">
        <f t="shared" si="189"/>
        <v>1.5</v>
      </c>
      <c r="AD248" s="151">
        <f t="shared" si="189"/>
        <v>1.5</v>
      </c>
      <c r="AE248" s="151">
        <f t="shared" si="189"/>
        <v>1.5</v>
      </c>
      <c r="AF248" s="151">
        <f t="shared" si="189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187"/>
        <v>0.3</v>
      </c>
      <c r="C249" s="151">
        <v>0.3</v>
      </c>
      <c r="D249" s="151">
        <f t="shared" si="188"/>
        <v>0.3</v>
      </c>
      <c r="E249" s="151">
        <f t="shared" si="188"/>
        <v>0.3</v>
      </c>
      <c r="F249" s="151">
        <f t="shared" si="188"/>
        <v>0.3</v>
      </c>
      <c r="G249" s="151">
        <f t="shared" si="188"/>
        <v>0.3</v>
      </c>
      <c r="H249" s="151">
        <f t="shared" si="188"/>
        <v>0.3</v>
      </c>
      <c r="I249" s="151">
        <f t="shared" si="188"/>
        <v>0.3</v>
      </c>
      <c r="J249" s="151">
        <f t="shared" si="188"/>
        <v>0.3</v>
      </c>
      <c r="K249" s="151">
        <f t="shared" si="188"/>
        <v>0.3</v>
      </c>
      <c r="L249" s="151">
        <f t="shared" si="188"/>
        <v>0.3</v>
      </c>
      <c r="M249" s="151">
        <f t="shared" si="188"/>
        <v>0.3</v>
      </c>
      <c r="N249" s="151">
        <f t="shared" si="188"/>
        <v>0.3</v>
      </c>
      <c r="O249" s="151">
        <f t="shared" si="188"/>
        <v>0.3</v>
      </c>
      <c r="P249" s="151">
        <f t="shared" si="188"/>
        <v>0.3</v>
      </c>
      <c r="Q249" s="151">
        <f t="shared" si="188"/>
        <v>0.3</v>
      </c>
      <c r="R249" s="151">
        <f t="shared" si="188"/>
        <v>0.3</v>
      </c>
      <c r="S249" s="151">
        <f t="shared" si="188"/>
        <v>0.3</v>
      </c>
      <c r="T249" s="151">
        <f t="shared" si="189"/>
        <v>0.3</v>
      </c>
      <c r="U249" s="151">
        <f t="shared" si="189"/>
        <v>0.3</v>
      </c>
      <c r="V249" s="151">
        <f t="shared" si="189"/>
        <v>0.3</v>
      </c>
      <c r="W249" s="151">
        <f t="shared" si="189"/>
        <v>0.3</v>
      </c>
      <c r="X249" s="151">
        <f t="shared" si="189"/>
        <v>0.3</v>
      </c>
      <c r="Y249" s="151">
        <f t="shared" si="189"/>
        <v>0.3</v>
      </c>
      <c r="Z249" s="151">
        <f t="shared" si="189"/>
        <v>0.3</v>
      </c>
      <c r="AA249" s="151">
        <f t="shared" si="189"/>
        <v>0.3</v>
      </c>
      <c r="AB249" s="151">
        <f t="shared" si="189"/>
        <v>0.3</v>
      </c>
      <c r="AC249" s="151">
        <f t="shared" si="189"/>
        <v>0.3</v>
      </c>
      <c r="AD249" s="151">
        <f t="shared" si="189"/>
        <v>0.3</v>
      </c>
      <c r="AE249" s="151">
        <f t="shared" si="189"/>
        <v>0.3</v>
      </c>
      <c r="AF249" s="151">
        <f t="shared" si="189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187"/>
        <v>0.4</v>
      </c>
      <c r="C250" s="151">
        <v>0.4</v>
      </c>
      <c r="D250" s="151">
        <f t="shared" si="188"/>
        <v>0.4</v>
      </c>
      <c r="E250" s="151">
        <f t="shared" si="188"/>
        <v>0.4</v>
      </c>
      <c r="F250" s="151">
        <f t="shared" si="188"/>
        <v>0.4</v>
      </c>
      <c r="G250" s="151">
        <f t="shared" si="188"/>
        <v>0.4</v>
      </c>
      <c r="H250" s="151">
        <f t="shared" si="188"/>
        <v>0.4</v>
      </c>
      <c r="I250" s="151">
        <f t="shared" si="188"/>
        <v>0.4</v>
      </c>
      <c r="J250" s="151">
        <f t="shared" si="188"/>
        <v>0.4</v>
      </c>
      <c r="K250" s="151">
        <f t="shared" si="188"/>
        <v>0.4</v>
      </c>
      <c r="L250" s="151">
        <f t="shared" si="188"/>
        <v>0.4</v>
      </c>
      <c r="M250" s="151">
        <f t="shared" si="188"/>
        <v>0.4</v>
      </c>
      <c r="N250" s="151">
        <f t="shared" si="188"/>
        <v>0.4</v>
      </c>
      <c r="O250" s="151">
        <f t="shared" si="188"/>
        <v>0.4</v>
      </c>
      <c r="P250" s="151">
        <f t="shared" si="188"/>
        <v>0.4</v>
      </c>
      <c r="Q250" s="151">
        <f t="shared" si="188"/>
        <v>0.4</v>
      </c>
      <c r="R250" s="151">
        <f t="shared" si="188"/>
        <v>0.4</v>
      </c>
      <c r="S250" s="151">
        <f t="shared" si="188"/>
        <v>0.4</v>
      </c>
      <c r="T250" s="151">
        <f t="shared" si="189"/>
        <v>0.4</v>
      </c>
      <c r="U250" s="151">
        <f t="shared" si="189"/>
        <v>0.4</v>
      </c>
      <c r="V250" s="151">
        <f t="shared" si="189"/>
        <v>0.4</v>
      </c>
      <c r="W250" s="151">
        <f t="shared" si="189"/>
        <v>0.4</v>
      </c>
      <c r="X250" s="151">
        <f t="shared" si="189"/>
        <v>0.4</v>
      </c>
      <c r="Y250" s="151">
        <f t="shared" si="189"/>
        <v>0.4</v>
      </c>
      <c r="Z250" s="151">
        <f t="shared" si="189"/>
        <v>0.4</v>
      </c>
      <c r="AA250" s="151">
        <f t="shared" si="189"/>
        <v>0.4</v>
      </c>
      <c r="AB250" s="151">
        <f t="shared" si="189"/>
        <v>0.4</v>
      </c>
      <c r="AC250" s="151">
        <f t="shared" si="189"/>
        <v>0.4</v>
      </c>
      <c r="AD250" s="151">
        <f t="shared" si="189"/>
        <v>0.4</v>
      </c>
      <c r="AE250" s="151">
        <f t="shared" si="189"/>
        <v>0.4</v>
      </c>
      <c r="AF250" s="151">
        <f t="shared" si="189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187"/>
        <v>0.64</v>
      </c>
      <c r="C251" s="156">
        <v>0.64</v>
      </c>
      <c r="D251" s="156">
        <f t="shared" si="188"/>
        <v>0.64</v>
      </c>
      <c r="E251" s="156">
        <f t="shared" si="188"/>
        <v>0.64</v>
      </c>
      <c r="F251" s="156">
        <f t="shared" si="188"/>
        <v>0.64</v>
      </c>
      <c r="G251" s="156">
        <f t="shared" si="188"/>
        <v>0.64</v>
      </c>
      <c r="H251" s="156">
        <f t="shared" si="188"/>
        <v>0.64</v>
      </c>
      <c r="I251" s="156">
        <f t="shared" si="188"/>
        <v>0.64</v>
      </c>
      <c r="J251" s="156">
        <f t="shared" si="188"/>
        <v>0.64</v>
      </c>
      <c r="K251" s="156">
        <f t="shared" si="188"/>
        <v>0.64</v>
      </c>
      <c r="L251" s="156">
        <f t="shared" si="188"/>
        <v>0.64</v>
      </c>
      <c r="M251" s="156">
        <f t="shared" si="188"/>
        <v>0.64</v>
      </c>
      <c r="N251" s="156">
        <f t="shared" si="188"/>
        <v>0.64</v>
      </c>
      <c r="O251" s="156">
        <f t="shared" si="188"/>
        <v>0.64</v>
      </c>
      <c r="P251" s="156">
        <f t="shared" si="188"/>
        <v>0.64</v>
      </c>
      <c r="Q251" s="156">
        <f t="shared" si="188"/>
        <v>0.64</v>
      </c>
      <c r="R251" s="156">
        <f t="shared" si="188"/>
        <v>0.64</v>
      </c>
      <c r="S251" s="156">
        <f t="shared" si="188"/>
        <v>0.64</v>
      </c>
      <c r="T251" s="156">
        <f t="shared" si="189"/>
        <v>0.64</v>
      </c>
      <c r="U251" s="156">
        <f t="shared" si="189"/>
        <v>0.64</v>
      </c>
      <c r="V251" s="156">
        <f t="shared" si="189"/>
        <v>0.64</v>
      </c>
      <c r="W251" s="156">
        <f t="shared" si="189"/>
        <v>0.64</v>
      </c>
      <c r="X251" s="156">
        <f t="shared" si="189"/>
        <v>0.64</v>
      </c>
      <c r="Y251" s="156">
        <f t="shared" si="189"/>
        <v>0.64</v>
      </c>
      <c r="Z251" s="156">
        <f t="shared" si="189"/>
        <v>0.64</v>
      </c>
      <c r="AA251" s="156">
        <f t="shared" si="189"/>
        <v>0.64</v>
      </c>
      <c r="AB251" s="156">
        <f t="shared" si="189"/>
        <v>0.64</v>
      </c>
      <c r="AC251" s="156">
        <f t="shared" si="189"/>
        <v>0.64</v>
      </c>
      <c r="AD251" s="156">
        <f t="shared" si="189"/>
        <v>0.64</v>
      </c>
      <c r="AE251" s="156">
        <f t="shared" si="189"/>
        <v>0.64</v>
      </c>
      <c r="AF251" s="156">
        <f t="shared" si="189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190">SUM(B246:B251)</f>
        <v>3.54</v>
      </c>
      <c r="C252" s="160">
        <f t="shared" si="190"/>
        <v>3.54</v>
      </c>
      <c r="D252" s="160">
        <f t="shared" si="190"/>
        <v>3.54</v>
      </c>
      <c r="E252" s="160">
        <f t="shared" si="190"/>
        <v>3.54</v>
      </c>
      <c r="F252" s="160">
        <f t="shared" si="190"/>
        <v>3.54</v>
      </c>
      <c r="G252" s="160">
        <f t="shared" si="190"/>
        <v>3.54</v>
      </c>
      <c r="H252" s="160">
        <f t="shared" si="190"/>
        <v>3.54</v>
      </c>
      <c r="I252" s="160">
        <f t="shared" si="190"/>
        <v>3.54</v>
      </c>
      <c r="J252" s="160">
        <f t="shared" si="190"/>
        <v>3.54</v>
      </c>
      <c r="K252" s="160">
        <f t="shared" si="190"/>
        <v>3.54</v>
      </c>
      <c r="L252" s="160">
        <f t="shared" si="190"/>
        <v>3.54</v>
      </c>
      <c r="M252" s="160">
        <f t="shared" si="190"/>
        <v>3.54</v>
      </c>
      <c r="N252" s="160">
        <f t="shared" si="190"/>
        <v>3.54</v>
      </c>
      <c r="O252" s="160">
        <f t="shared" si="190"/>
        <v>3.54</v>
      </c>
      <c r="P252" s="160">
        <f t="shared" si="190"/>
        <v>3.54</v>
      </c>
      <c r="Q252" s="160">
        <f t="shared" si="190"/>
        <v>3.54</v>
      </c>
      <c r="R252" s="160">
        <f t="shared" si="190"/>
        <v>3.54</v>
      </c>
      <c r="S252" s="160">
        <f t="shared" si="190"/>
        <v>3.54</v>
      </c>
      <c r="T252" s="160">
        <f t="shared" si="190"/>
        <v>3.54</v>
      </c>
      <c r="U252" s="160">
        <f t="shared" si="190"/>
        <v>3.54</v>
      </c>
      <c r="V252" s="160">
        <f t="shared" si="190"/>
        <v>3.54</v>
      </c>
      <c r="W252" s="160">
        <f t="shared" si="190"/>
        <v>3.54</v>
      </c>
      <c r="X252" s="160">
        <f t="shared" si="190"/>
        <v>3.54</v>
      </c>
      <c r="Y252" s="160">
        <f t="shared" si="190"/>
        <v>3.54</v>
      </c>
      <c r="Z252" s="160">
        <f t="shared" si="190"/>
        <v>3.54</v>
      </c>
      <c r="AA252" s="160">
        <f t="shared" si="190"/>
        <v>3.54</v>
      </c>
      <c r="AB252" s="160">
        <f t="shared" si="190"/>
        <v>3.54</v>
      </c>
      <c r="AC252" s="160">
        <f t="shared" si="190"/>
        <v>3.54</v>
      </c>
      <c r="AD252" s="160">
        <f t="shared" si="190"/>
        <v>3.54</v>
      </c>
      <c r="AE252" s="160">
        <f t="shared" si="190"/>
        <v>3.54</v>
      </c>
      <c r="AF252" s="160">
        <f t="shared" si="190"/>
        <v>3.54</v>
      </c>
      <c r="AG252" s="170">
        <f t="shared" si="190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1569.19</v>
      </c>
      <c r="C256" s="173">
        <f>INDEX(G9:N9,1,MATCH(MAX(G99:N99),G99:N99,0))</f>
        <v>0.375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2080/10/3)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3781" priority="124">
      <formula>$AH11=0</formula>
    </cfRule>
  </conditionalFormatting>
  <conditionalFormatting sqref="A132:A253">
    <cfRule type="expression" dxfId="3780" priority="125">
      <formula>$AH132=0</formula>
    </cfRule>
  </conditionalFormatting>
  <conditionalFormatting sqref="B8">
    <cfRule type="expression" dxfId="3779" priority="183">
      <formula>AND(C$9&gt;=14/24,C$9&lt;20/24)</formula>
    </cfRule>
    <cfRule type="expression" dxfId="3778" priority="184">
      <formula>AND(C$9&gt;=8/24,C$9&lt;14/24)</formula>
    </cfRule>
    <cfRule type="expression" dxfId="3777" priority="185">
      <formula>C$9&lt;8/24</formula>
    </cfRule>
    <cfRule type="expression" dxfId="3776" priority="186">
      <formula>C$9&gt;=20/24</formula>
    </cfRule>
  </conditionalFormatting>
  <conditionalFormatting sqref="B11:D12 E12:V12">
    <cfRule type="expression" dxfId="3775" priority="18">
      <formula>B$9&lt;8/24</formula>
    </cfRule>
    <cfRule type="expression" dxfId="3774" priority="16">
      <formula>AND(B$9&gt;=14/24,B$9&lt;20/24)</formula>
    </cfRule>
    <cfRule type="expression" dxfId="3773" priority="17">
      <formula>AND(B$9&gt;=8/24,B$9&lt;14/24)</formula>
    </cfRule>
  </conditionalFormatting>
  <conditionalFormatting sqref="B11:D59 E13:U55 B60:Q60 B61:D80 F63:H74 E63:E75 I66:J74 K69:P74 Q71:U74">
    <cfRule type="expression" dxfId="3772" priority="8">
      <formula>B11&gt;$AG11</formula>
    </cfRule>
  </conditionalFormatting>
  <conditionalFormatting sqref="B56:D57">
    <cfRule type="expression" dxfId="3771" priority="20">
      <formula>AND(B$9&gt;=14/24,B$9&lt;20/24)</formula>
    </cfRule>
    <cfRule type="expression" dxfId="3770" priority="21">
      <formula>AND(B$9&gt;=8/24,B$9&lt;14/24)</formula>
    </cfRule>
    <cfRule type="expression" dxfId="3769" priority="30">
      <formula>B$9&lt;8/24</formula>
    </cfRule>
    <cfRule type="expression" dxfId="3768" priority="19">
      <formula>B$9&gt;=20/24</formula>
    </cfRule>
  </conditionalFormatting>
  <conditionalFormatting sqref="B59:D59 B60:Q60 B61:D62">
    <cfRule type="expression" dxfId="3767" priority="23">
      <formula>AND(B$9&gt;=14/24,B$9&lt;20/24)</formula>
    </cfRule>
    <cfRule type="expression" dxfId="3766" priority="24">
      <formula>AND(B$9&gt;=8/24,B$9&lt;14/24)</formula>
    </cfRule>
    <cfRule type="expression" dxfId="3765" priority="25">
      <formula>B$9&lt;8/24</formula>
    </cfRule>
    <cfRule type="expression" dxfId="3764" priority="22">
      <formula>B$9&gt;=20/24</formula>
    </cfRule>
  </conditionalFormatting>
  <conditionalFormatting sqref="B63:F68 G64:H68 I66:J68">
    <cfRule type="expression" dxfId="3763" priority="26">
      <formula>B$9&gt;=20/24</formula>
    </cfRule>
    <cfRule type="expression" dxfId="3762" priority="27">
      <formula>AND(B$9&gt;=14/24,B$9&lt;20/24)</formula>
    </cfRule>
    <cfRule type="expression" dxfId="3761" priority="28">
      <formula>AND(B$9&gt;=8/24,B$9&lt;14/24)</formula>
    </cfRule>
    <cfRule type="expression" dxfId="3760" priority="29">
      <formula>B$9&lt;8/24</formula>
    </cfRule>
  </conditionalFormatting>
  <conditionalFormatting sqref="B68:J68">
    <cfRule type="expression" dxfId="3759" priority="31">
      <formula>B$9&gt;=20/24</formula>
    </cfRule>
    <cfRule type="expression" dxfId="3758" priority="32">
      <formula>AND(B$9&gt;=14/24,B$9&lt;20/24)</formula>
    </cfRule>
    <cfRule type="expression" dxfId="3757" priority="33">
      <formula>AND(B$9&gt;=8/24,B$9&lt;14/24)</formula>
    </cfRule>
    <cfRule type="expression" dxfId="3756" priority="34">
      <formula>B$9&lt;8/24</formula>
    </cfRule>
  </conditionalFormatting>
  <conditionalFormatting sqref="B13:U52 B69:P74 Q71:U74 B77:D99 B101:AF117 B119:AF137">
    <cfRule type="expression" dxfId="3755" priority="9">
      <formula>B$9&gt;=20/24</formula>
    </cfRule>
    <cfRule type="expression" dxfId="3754" priority="11">
      <formula>AND(B$9&gt;=8/24,B$9&lt;14/24)</formula>
    </cfRule>
    <cfRule type="expression" dxfId="3753" priority="10">
      <formula>AND(B$9&gt;=14/24,B$9&lt;20/24)</formula>
    </cfRule>
  </conditionalFormatting>
  <conditionalFormatting sqref="B13:U55 B69:P74 Q71:U74 B77:D99 B101:AF117 B119:AF137">
    <cfRule type="expression" dxfId="3752" priority="12">
      <formula>B$9&lt;8/24</formula>
    </cfRule>
  </conditionalFormatting>
  <conditionalFormatting sqref="B53:U55">
    <cfRule type="expression" dxfId="3751" priority="5">
      <formula>B$9&gt;=20/24</formula>
    </cfRule>
    <cfRule type="expression" dxfId="3750" priority="6">
      <formula>AND(B$9&gt;=14/24,B$9&lt;20/24)</formula>
    </cfRule>
    <cfRule type="expression" dxfId="3749" priority="7">
      <formula>AND(B$9&gt;=8/24,B$9&lt;14/24)</formula>
    </cfRule>
  </conditionalFormatting>
  <conditionalFormatting sqref="B9:AF10 E11:F11 V13:AF52 V63:AF74 Q69:U70 E77:AF99 B244:AF244 B246:B252">
    <cfRule type="expression" dxfId="3748" priority="78">
      <formula>B$9&lt;8/24</formula>
    </cfRule>
    <cfRule type="expression" dxfId="3747" priority="77">
      <formula>AND(B$9&gt;=8/24,B$9&lt;14/24)</formula>
    </cfRule>
    <cfRule type="expression" dxfId="3746" priority="76">
      <formula>AND(B$9&gt;=14/24,B$9&lt;20/24)</formula>
    </cfRule>
  </conditionalFormatting>
  <conditionalFormatting sqref="D246:AF252">
    <cfRule type="expression" dxfId="3745" priority="169">
      <formula>AND(D$9&gt;=14/24,D$9&lt;20/24)</formula>
    </cfRule>
    <cfRule type="expression" dxfId="3744" priority="168">
      <formula>D$9&gt;=20/24</formula>
    </cfRule>
    <cfRule type="expression" dxfId="3743" priority="171">
      <formula>D$9&lt;8/24</formula>
    </cfRule>
    <cfRule type="expression" dxfId="3742" priority="170">
      <formula>AND(D$9&gt;=8/24,D$9&lt;14/24)</formula>
    </cfRule>
  </conditionalFormatting>
  <conditionalFormatting sqref="E11:F11 V13:AF52 V63:AF74 Q69:U70 E77:AF99 B9:AF10 B244:AF244 B246:B252">
    <cfRule type="expression" dxfId="3741" priority="75">
      <formula>B$9&gt;=20/24</formula>
    </cfRule>
  </conditionalFormatting>
  <conditionalFormatting sqref="E59:Q59 R59:AF62 E61:Q62">
    <cfRule type="expression" dxfId="3740" priority="103">
      <formula>AND(E$9&gt;=14/24,E$9&lt;20/24)</formula>
    </cfRule>
    <cfRule type="expression" dxfId="3739" priority="104">
      <formula>AND(E$9&gt;=8/24,E$9&lt;14/24)</formula>
    </cfRule>
    <cfRule type="expression" dxfId="3738" priority="105">
      <formula>E$9&lt;8/24</formula>
    </cfRule>
    <cfRule type="expression" dxfId="3737" priority="102">
      <formula>E$9&gt;=20/24</formula>
    </cfRule>
  </conditionalFormatting>
  <conditionalFormatting sqref="E11:V11 W11:AF12">
    <cfRule type="expression" dxfId="3736" priority="93">
      <formula>E$9&gt;=20/24</formula>
    </cfRule>
    <cfRule type="expression" dxfId="3735" priority="92">
      <formula>E11&gt;$AG11</formula>
    </cfRule>
    <cfRule type="expression" dxfId="3734" priority="96">
      <formula>E$9&lt;8/24</formula>
    </cfRule>
    <cfRule type="expression" dxfId="3733" priority="95">
      <formula>AND(E$9&gt;=8/24,E$9&lt;14/24)</formula>
    </cfRule>
    <cfRule type="expression" dxfId="3732" priority="94">
      <formula>AND(E$9&gt;=14/24,E$9&lt;20/24)</formula>
    </cfRule>
  </conditionalFormatting>
  <conditionalFormatting sqref="E12:V12 B11:D12">
    <cfRule type="expression" dxfId="3731" priority="15">
      <formula>B$9&gt;=20/24</formula>
    </cfRule>
  </conditionalFormatting>
  <conditionalFormatting sqref="E12:V12">
    <cfRule type="expression" dxfId="3730" priority="14">
      <formula>E12&gt;$AG12</formula>
    </cfRule>
  </conditionalFormatting>
  <conditionalFormatting sqref="E56:AF56">
    <cfRule type="expression" dxfId="3729" priority="79">
      <formula>E56&gt;$AG56</formula>
    </cfRule>
  </conditionalFormatting>
  <conditionalFormatting sqref="E57:AF57">
    <cfRule type="expression" dxfId="3728" priority="101">
      <formula>E$9&lt;8/24</formula>
    </cfRule>
    <cfRule type="expression" dxfId="3727" priority="100">
      <formula>AND(E$9&gt;=8/24,E$9&lt;14/24)</formula>
    </cfRule>
    <cfRule type="expression" dxfId="3726" priority="99">
      <formula>AND(E$9&gt;=14/24,E$9&lt;20/24)</formula>
    </cfRule>
    <cfRule type="expression" dxfId="3725" priority="98">
      <formula>E$9&gt;=20/24</formula>
    </cfRule>
  </conditionalFormatting>
  <conditionalFormatting sqref="G63:H63 I63:O65">
    <cfRule type="expression" dxfId="3724" priority="119">
      <formula>G$9&lt;8/24</formula>
    </cfRule>
    <cfRule type="expression" dxfId="3723" priority="118">
      <formula>AND(G$9&gt;=8/24,G$9&lt;14/24)</formula>
    </cfRule>
    <cfRule type="expression" dxfId="3722" priority="116">
      <formula>G$9&gt;=20/24</formula>
    </cfRule>
    <cfRule type="expression" dxfId="3721" priority="117">
      <formula>AND(G$9&gt;=14/24,G$9&lt;20/24)</formula>
    </cfRule>
  </conditionalFormatting>
  <conditionalFormatting sqref="G63:I63 I64:J65">
    <cfRule type="expression" dxfId="3720" priority="90">
      <formula>AND(G$9&gt;=8/24,G$9&lt;14/24)</formula>
    </cfRule>
    <cfRule type="expression" dxfId="3719" priority="88">
      <formula>G$9&gt;=20/24</formula>
    </cfRule>
    <cfRule type="expression" dxfId="3718" priority="91">
      <formula>G$9&lt;8/24</formula>
    </cfRule>
    <cfRule type="expression" dxfId="3717" priority="89">
      <formula>AND(G$9&gt;=14/24,G$9&lt;20/24)</formula>
    </cfRule>
  </conditionalFormatting>
  <conditionalFormatting sqref="K67:K68">
    <cfRule type="expression" dxfId="3716" priority="84">
      <formula>AND(K$9&gt;=14/24,K$9&lt;20/24)</formula>
    </cfRule>
    <cfRule type="expression" dxfId="3715" priority="83">
      <formula>K$9&gt;=20/24</formula>
    </cfRule>
    <cfRule type="expression" dxfId="3714" priority="86">
      <formula>K$9&lt;8/24</formula>
    </cfRule>
    <cfRule type="expression" dxfId="3713" priority="85">
      <formula>AND(K$9&gt;=8/24,K$9&lt;14/24)</formula>
    </cfRule>
  </conditionalFormatting>
  <conditionalFormatting sqref="L68:AF68">
    <cfRule type="expression" dxfId="3712" priority="112">
      <formula>L$9&gt;=20/24</formula>
    </cfRule>
    <cfRule type="expression" dxfId="3711" priority="114">
      <formula>AND(L$9&gt;=8/24,L$9&lt;14/24)</formula>
    </cfRule>
    <cfRule type="expression" dxfId="3710" priority="113">
      <formula>AND(L$9&gt;=14/24,L$9&lt;20/24)</formula>
    </cfRule>
    <cfRule type="expression" dxfId="3709" priority="115">
      <formula>L$9&lt;8/24</formula>
    </cfRule>
  </conditionalFormatting>
  <conditionalFormatting sqref="M8 S8 AB8">
    <cfRule type="expression" dxfId="3708" priority="175">
      <formula>AND(N$9&gt;=14/24,N$9&lt;20/24)</formula>
    </cfRule>
    <cfRule type="expression" dxfId="3707" priority="176">
      <formula>AND(N$9&gt;=8/24,N$9&lt;14/24)</formula>
    </cfRule>
    <cfRule type="expression" dxfId="3706" priority="177">
      <formula>N$9&lt;8/24</formula>
    </cfRule>
  </conditionalFormatting>
  <conditionalFormatting sqref="M66:O67">
    <cfRule type="expression" dxfId="3705" priority="2">
      <formula>AND(M$9&gt;=14/24,M$9&lt;20/24)</formula>
    </cfRule>
    <cfRule type="expression" dxfId="3704" priority="3">
      <formula>AND(M$9&gt;=8/24,M$9&lt;14/24)</formula>
    </cfRule>
    <cfRule type="expression" dxfId="3703" priority="4">
      <formula>M$9&lt;8/24</formula>
    </cfRule>
    <cfRule type="expression" dxfId="3702" priority="1">
      <formula>M$9&gt;=20/24</formula>
    </cfRule>
  </conditionalFormatting>
  <conditionalFormatting sqref="O3:P3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P63:AF67">
    <cfRule type="expression" dxfId="3701" priority="122">
      <formula>AND(P$9&gt;=8/24,P$9&lt;14/24)</formula>
    </cfRule>
    <cfRule type="expression" dxfId="3700" priority="123">
      <formula>P$9&lt;8/24</formula>
    </cfRule>
    <cfRule type="expression" dxfId="3699" priority="121">
      <formula>AND(P$9&gt;=14/24,P$9&lt;20/24)</formula>
    </cfRule>
    <cfRule type="expression" dxfId="3698" priority="120">
      <formula>P$9&gt;=20/24</formula>
    </cfRule>
  </conditionalFormatting>
  <conditionalFormatting sqref="S8 AB8 M8">
    <cfRule type="expression" dxfId="3697" priority="174">
      <formula>N$9&gt;=20/24</formula>
    </cfRule>
  </conditionalFormatting>
  <conditionalFormatting sqref="S8">
    <cfRule type="expression" dxfId="3696" priority="163">
      <formula>AND(U$9&gt;=8/24,U$9&lt;14/24)</formula>
    </cfRule>
    <cfRule type="expression" dxfId="3695" priority="164">
      <formula>U$9&lt;8/24</formula>
    </cfRule>
    <cfRule type="expression" dxfId="3694" priority="162">
      <formula>AND(U$9&gt;=14/24,U$9&lt;20/24)</formula>
    </cfRule>
    <cfRule type="expression" dxfId="3693" priority="161">
      <formula>U$9&gt;=20/24</formula>
    </cfRule>
  </conditionalFormatting>
  <conditionalFormatting sqref="V3 AB3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V13:AF55 K66:O68 E11:F11 E57:R58 S57:U70 V57:AF80 E59:Q59 R59:R70 E61:Q62 AG62 I63:O65 P63:Q68 Q69:Q70 F75:R75 S75:U80 E76:R80 AG80">
    <cfRule type="expression" dxfId="3692" priority="74">
      <formula>E11&gt;$AG11</formula>
    </cfRule>
  </conditionalFormatting>
  <conditionalFormatting sqref="V53:AF54">
    <cfRule type="expression" dxfId="3691" priority="73">
      <formula>AND(V$9&gt;=8/24,V$9&lt;14/24)</formula>
    </cfRule>
    <cfRule type="expression" dxfId="3690" priority="72">
      <formula>AND(V$9&gt;=14/24,V$9&lt;20/24)</formula>
    </cfRule>
    <cfRule type="expression" dxfId="3689" priority="71">
      <formula>V$9&gt;=20/24</formula>
    </cfRule>
  </conditionalFormatting>
  <conditionalFormatting sqref="V53:AF56 E56:U56">
    <cfRule type="expression" dxfId="3688" priority="87">
      <formula>E$9&lt;8/24</formula>
    </cfRule>
  </conditionalFormatting>
  <conditionalFormatting sqref="V55:AF56 E56:U56">
    <cfRule type="expression" dxfId="3687" priority="82">
      <formula>AND(E$9&gt;=8/24,E$9&lt;14/24)</formula>
    </cfRule>
    <cfRule type="expression" dxfId="3686" priority="81">
      <formula>AND(E$9&gt;=14/24,E$9&lt;20/24)</formula>
    </cfRule>
    <cfRule type="expression" dxfId="3685" priority="80">
      <formula>E$9&gt;=20/24</formula>
    </cfRule>
  </conditionalFormatting>
  <conditionalFormatting sqref="AB8">
    <cfRule type="expression" dxfId="3684" priority="160">
      <formula>AD$9&lt;8/24</formula>
    </cfRule>
    <cfRule type="expression" dxfId="3683" priority="159">
      <formula>AND(AD$9&gt;=8/24,AD$9&lt;14/24)</formula>
    </cfRule>
    <cfRule type="expression" dxfId="3682" priority="158">
      <formula>AND(AD$9&gt;=14/24,AD$9&lt;20/24)</formula>
    </cfRule>
    <cfRule type="expression" dxfId="3681" priority="157">
      <formula>AD$9&gt;=20/24</formula>
    </cfRule>
  </conditionalFormatting>
  <conditionalFormatting sqref="AG58">
    <cfRule type="expression" dxfId="3680" priority="152">
      <formula>AG58&gt;$AG58</formula>
    </cfRule>
  </conditionalFormatting>
  <conditionalFormatting sqref="AG62">
    <cfRule type="expression" dxfId="3679" priority="137">
      <formula>AND(AG$9&gt;=8/24,AG$9&lt;14/24)</formula>
    </cfRule>
    <cfRule type="expression" dxfId="3678" priority="136">
      <formula>AND(AG$9&gt;=14/24,AG$9&lt;20/24)</formula>
    </cfRule>
    <cfRule type="expression" dxfId="3677" priority="135">
      <formula>AG$9&gt;=20/24</formula>
    </cfRule>
    <cfRule type="expression" dxfId="3676" priority="138">
      <formula>AG$9&lt;8/24</formula>
    </cfRule>
  </conditionalFormatting>
  <conditionalFormatting sqref="AG75:AG76">
    <cfRule type="expression" dxfId="3675" priority="130">
      <formula>AG75&gt;$AG75</formula>
    </cfRule>
  </conditionalFormatting>
  <conditionalFormatting sqref="AG80">
    <cfRule type="expression" dxfId="3674" priority="132">
      <formula>AND(AG$9&gt;=14/24,AG$9&lt;20/24)</formula>
    </cfRule>
    <cfRule type="expression" dxfId="3673" priority="133">
      <formula>AND(AG$9&gt;=8/24,AG$9&lt;14/24)</formula>
    </cfRule>
    <cfRule type="expression" dxfId="3672" priority="134">
      <formula>AG$9&lt;8/24</formula>
    </cfRule>
    <cfRule type="expression" dxfId="3671" priority="131">
      <formula>AG$9&gt;=20/24</formula>
    </cfRule>
  </conditionalFormatting>
  <conditionalFormatting sqref="AG97">
    <cfRule type="expression" dxfId="3670" priority="154">
      <formula>AND(AG$9&gt;=14/24,AG$9&lt;20/24)</formula>
    </cfRule>
    <cfRule type="expression" dxfId="3669" priority="155">
      <formula>AND(AG$9&gt;=8/24,AG$9&lt;14/24)</formula>
    </cfRule>
    <cfRule type="expression" dxfId="3668" priority="156">
      <formula>AG$9&lt;8/24</formula>
    </cfRule>
    <cfRule type="expression" dxfId="3667" priority="153">
      <formula>AG$9&gt;=20/24</formula>
    </cfRule>
  </conditionalFormatting>
  <conditionalFormatting sqref="AL4:AL6">
    <cfRule type="iconSet" priority="167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50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4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49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82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66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65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666" priority="178">
      <formula>AJ$9&gt;=20/24</formula>
    </cfRule>
    <cfRule type="expression" dxfId="3665" priority="179">
      <formula>AND(AJ$9&gt;=14/24,AJ$9&lt;20/24)</formula>
    </cfRule>
    <cfRule type="expression" dxfId="3664" priority="180">
      <formula>AND(AJ$9&gt;=8/24,AJ$9&lt;14/24)</formula>
    </cfRule>
    <cfRule type="expression" dxfId="3663" priority="181">
      <formula>AJ$9&lt;8/24</formula>
    </cfRule>
  </conditionalFormatting>
  <conditionalFormatting sqref="AL88:AN88 AL94:AN94">
    <cfRule type="expression" dxfId="3662" priority="145">
      <formula>AL$9&gt;=20/24</formula>
    </cfRule>
    <cfRule type="expression" dxfId="3661" priority="148">
      <formula>AL$9&lt;8/24</formula>
    </cfRule>
    <cfRule type="expression" dxfId="3660" priority="147">
      <formula>AND(AL$9&gt;=8/24,AL$9&lt;14/24)</formula>
    </cfRule>
    <cfRule type="expression" dxfId="3659" priority="146">
      <formula>AND(AL$9&gt;=14/24,AL$9&lt;20/24)</formula>
    </cfRule>
  </conditionalFormatting>
  <conditionalFormatting sqref="AM15:AM21 AN16:AR21">
    <cfRule type="expression" dxfId="3658" priority="48">
      <formula>AND(AX$9&gt;=14/24,AX$9&lt;20/24)</formula>
    </cfRule>
    <cfRule type="expression" dxfId="3657" priority="50">
      <formula>AX$9&lt;8/24</formula>
    </cfRule>
    <cfRule type="expression" dxfId="3656" priority="47">
      <formula>AX$9&gt;=20/24</formula>
    </cfRule>
    <cfRule type="expression" dxfId="3655" priority="49">
      <formula>AND(AX$9&gt;=8/24,AX$9&lt;14/24)</formula>
    </cfRule>
  </conditionalFormatting>
  <conditionalFormatting sqref="AN89:AN92">
    <cfRule type="expression" dxfId="3654" priority="144">
      <formula>AN$9&lt;8/24</formula>
    </cfRule>
    <cfRule type="expression" dxfId="3653" priority="142">
      <formula>AND(AN$9&gt;=14/24,AN$9&lt;20/24)</formula>
    </cfRule>
    <cfRule type="expression" dxfId="3652" priority="141">
      <formula>AN$9&gt;=20/24</formula>
    </cfRule>
    <cfRule type="expression" dxfId="3651" priority="143">
      <formula>AND(AN$9&gt;=8/24,AN$9&lt;14/24)</formula>
    </cfRule>
  </conditionalFormatting>
  <conditionalFormatting sqref="AN15:AR15">
    <cfRule type="expression" dxfId="3650" priority="36">
      <formula>AND(U$9&gt;=14/24,U$9&lt;20/24)</formula>
    </cfRule>
    <cfRule type="expression" dxfId="3649" priority="38">
      <formula>U$9&lt;8/24</formula>
    </cfRule>
    <cfRule type="expression" dxfId="3648" priority="37">
      <formula>AND(U$9&gt;=8/24,U$9&lt;14/24)</formula>
    </cfRule>
    <cfRule type="expression" dxfId="3647" priority="35">
      <formula>U$9&gt;=20/24</formula>
    </cfRule>
  </conditionalFormatting>
  <conditionalFormatting sqref="AS15">
    <cfRule type="expression" dxfId="3646" priority="43">
      <formula>AA$9&gt;=20/24</formula>
    </cfRule>
    <cfRule type="expression" dxfId="3645" priority="44">
      <formula>AND(AA$9&gt;=14/24,AA$9&lt;20/24)</formula>
    </cfRule>
    <cfRule type="expression" dxfId="3644" priority="45">
      <formula>AND(AA$9&gt;=8/24,AA$9&lt;14/24)</formula>
    </cfRule>
    <cfRule type="expression" dxfId="3643" priority="46">
      <formula>AA$9&lt;8/24</formula>
    </cfRule>
  </conditionalFormatting>
  <conditionalFormatting sqref="AS16:AS21">
    <cfRule type="expression" dxfId="3642" priority="51">
      <formula>BE$9&gt;=20/24</formula>
    </cfRule>
    <cfRule type="expression" dxfId="3641" priority="52">
      <formula>AND(BE$9&gt;=14/24,BE$9&lt;20/24)</formula>
    </cfRule>
    <cfRule type="expression" dxfId="3640" priority="54">
      <formula>BE$9&lt;8/24</formula>
    </cfRule>
    <cfRule type="expression" dxfId="3639" priority="53">
      <formula>AND(BE$9&gt;=8/24,BE$9&lt;14/24)</formula>
    </cfRule>
  </conditionalFormatting>
  <conditionalFormatting sqref="AT15 AX15">
    <cfRule type="expression" dxfId="3638" priority="55">
      <formula>AC$9&gt;=20/24</formula>
    </cfRule>
    <cfRule type="expression" dxfId="3637" priority="56">
      <formula>AND(AC$9&gt;=14/24,AC$9&lt;20/24)</formula>
    </cfRule>
    <cfRule type="expression" dxfId="3636" priority="57">
      <formula>AND(AC$9&gt;=8/24,AC$9&lt;14/24)</formula>
    </cfRule>
    <cfRule type="expression" dxfId="3635" priority="58">
      <formula>AC$9&lt;8/24</formula>
    </cfRule>
  </conditionalFormatting>
  <conditionalFormatting sqref="AT16:AT21">
    <cfRule type="expression" dxfId="3634" priority="60">
      <formula>AND(BG$9&gt;=14/24,BG$9&lt;20/24)</formula>
    </cfRule>
    <cfRule type="expression" dxfId="3633" priority="61">
      <formula>AND(BG$9&gt;=8/24,BG$9&lt;14/24)</formula>
    </cfRule>
    <cfRule type="expression" dxfId="3632" priority="62">
      <formula>BG$9&lt;8/24</formula>
    </cfRule>
    <cfRule type="expression" dxfId="3631" priority="59">
      <formula>BG$9&gt;=20/24</formula>
    </cfRule>
  </conditionalFormatting>
  <conditionalFormatting sqref="AU15:AV15">
    <cfRule type="expression" dxfId="3630" priority="63">
      <formula>AE$9&gt;=20/24</formula>
    </cfRule>
    <cfRule type="expression" dxfId="3629" priority="64">
      <formula>AND(AE$9&gt;=14/24,AE$9&lt;20/24)</formula>
    </cfRule>
    <cfRule type="expression" dxfId="3628" priority="66">
      <formula>AE$9&lt;8/24</formula>
    </cfRule>
    <cfRule type="expression" dxfId="3627" priority="65">
      <formula>AND(AE$9&gt;=8/24,AE$9&lt;14/24)</formula>
    </cfRule>
  </conditionalFormatting>
  <conditionalFormatting sqref="AU16:AX21">
    <cfRule type="expression" dxfId="3626" priority="70">
      <formula>BI$9&lt;8/24</formula>
    </cfRule>
    <cfRule type="expression" dxfId="3625" priority="69">
      <formula>AND(BI$9&gt;=8/24,BI$9&lt;14/24)</formula>
    </cfRule>
    <cfRule type="expression" dxfId="3624" priority="68">
      <formula>AND(BI$9&gt;=14/24,BI$9&lt;20/24)</formula>
    </cfRule>
    <cfRule type="expression" dxfId="3623" priority="67">
      <formula>BI$9&gt;=20/24</formula>
    </cfRule>
  </conditionalFormatting>
  <conditionalFormatting sqref="AW15">
    <cfRule type="expression" dxfId="3622" priority="41">
      <formula>AND(B$9&gt;=8/24,B$9&lt;14/24)</formula>
    </cfRule>
    <cfRule type="expression" dxfId="3621" priority="42">
      <formula>B$9&lt;8/24</formula>
    </cfRule>
    <cfRule type="expression" dxfId="3620" priority="39">
      <formula>B$9&gt;=20/24</formula>
    </cfRule>
    <cfRule type="expression" dxfId="3619" priority="40">
      <formula>AND(B$9&gt;=14/24,B$9&lt;20/24)</formula>
    </cfRule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FAF53-C1B7-4113-80FD-9620F93E8482}">
  <sheetPr codeName="Sheet5"/>
  <dimension ref="A1:CJ294"/>
  <sheetViews>
    <sheetView zoomScale="120" zoomScaleNormal="120" workbookViewId="0">
      <pane xSplit="1" ySplit="10" topLeftCell="B11" activePane="bottomRight" state="frozen"/>
      <selection activeCell="Z63" sqref="Z63"/>
      <selection pane="topRight" activeCell="Z63" sqref="Z63"/>
      <selection pane="bottomLeft" activeCell="Z63" sqref="Z63"/>
      <selection pane="bottomRight" activeCell="AF77" sqref="AF7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2080/10/4</v>
      </c>
      <c r="C4" s="214"/>
      <c r="D4" s="214"/>
      <c r="E4" s="215" t="str">
        <f ca="1">"2080/"&amp;"10/"&amp;INT(MID(CELL("filename",G6),FIND("]",CELL("filename",G6))+1,200))</f>
        <v>2080/10/4</v>
      </c>
      <c r="F4" s="215"/>
      <c r="G4" s="215"/>
      <c r="H4" s="215" t="str">
        <f ca="1">TEXT(E4,"dddd")</f>
        <v>Friday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632</v>
      </c>
      <c r="C5" s="30">
        <f t="shared" ref="C5:AE5" si="0">D92</f>
        <v>562</v>
      </c>
      <c r="D5" s="30">
        <f t="shared" si="0"/>
        <v>509.90000000000003</v>
      </c>
      <c r="E5" s="30">
        <f t="shared" si="0"/>
        <v>542</v>
      </c>
      <c r="F5" s="30">
        <f t="shared" si="0"/>
        <v>625.9</v>
      </c>
      <c r="G5" s="30">
        <f t="shared" si="0"/>
        <v>651.20000000000005</v>
      </c>
      <c r="H5" s="30">
        <f t="shared" si="0"/>
        <v>697.40000000000009</v>
      </c>
      <c r="I5" s="30">
        <f t="shared" si="0"/>
        <v>697.40000000000009</v>
      </c>
      <c r="J5" s="30">
        <f t="shared" si="0"/>
        <v>560.4</v>
      </c>
      <c r="K5" s="30">
        <f t="shared" si="0"/>
        <v>557.30000000000007</v>
      </c>
      <c r="L5" s="30">
        <f t="shared" si="0"/>
        <v>545.80000000000007</v>
      </c>
      <c r="M5" s="30">
        <f t="shared" si="0"/>
        <v>558.9</v>
      </c>
      <c r="N5" s="30">
        <f t="shared" si="0"/>
        <v>541</v>
      </c>
      <c r="O5" s="30">
        <f t="shared" si="0"/>
        <v>665.4</v>
      </c>
      <c r="P5" s="30">
        <f t="shared" si="0"/>
        <v>610.40000000000009</v>
      </c>
      <c r="Q5" s="30">
        <f t="shared" si="0"/>
        <v>680.2</v>
      </c>
      <c r="R5" s="30">
        <f t="shared" si="0"/>
        <v>773.4</v>
      </c>
      <c r="S5" s="30">
        <f t="shared" si="0"/>
        <v>825.30000000000007</v>
      </c>
      <c r="T5" s="30">
        <f t="shared" si="0"/>
        <v>803.69999999999993</v>
      </c>
      <c r="U5" s="30">
        <f t="shared" si="0"/>
        <v>707.69999999999993</v>
      </c>
      <c r="V5" s="30">
        <f t="shared" si="0"/>
        <v>0</v>
      </c>
      <c r="W5" s="30">
        <f t="shared" si="0"/>
        <v>613.69999999999993</v>
      </c>
      <c r="X5" s="30">
        <f t="shared" si="0"/>
        <v>492.2</v>
      </c>
      <c r="Y5" s="30">
        <f t="shared" si="0"/>
        <v>0</v>
      </c>
      <c r="Z5" s="30">
        <f t="shared" si="0"/>
        <v>435</v>
      </c>
      <c r="AA5" s="30">
        <f t="shared" si="0"/>
        <v>450</v>
      </c>
      <c r="AB5" s="30">
        <f t="shared" si="0"/>
        <v>547</v>
      </c>
      <c r="AC5" s="30">
        <f t="shared" si="0"/>
        <v>606</v>
      </c>
      <c r="AD5" s="30">
        <f t="shared" si="0"/>
        <v>615</v>
      </c>
      <c r="AE5" s="30">
        <f t="shared" si="0"/>
        <v>601</v>
      </c>
      <c r="AF5" s="30">
        <f>B92</f>
        <v>611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1689MW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Load=0</v>
      </c>
      <c r="B7" s="35">
        <f>B100</f>
        <v>1176.989</v>
      </c>
      <c r="C7" s="35">
        <f t="shared" ref="C7:AF7" si="1">C100</f>
        <v>1189.989</v>
      </c>
      <c r="D7" s="35">
        <f t="shared" si="1"/>
        <v>1120.989</v>
      </c>
      <c r="E7" s="35">
        <f t="shared" si="1"/>
        <v>1070.8890000000001</v>
      </c>
      <c r="F7" s="35">
        <f t="shared" si="1"/>
        <v>1104.3890000000001</v>
      </c>
      <c r="G7" s="35">
        <f t="shared" si="1"/>
        <v>1188.289</v>
      </c>
      <c r="H7" s="35">
        <f t="shared" si="1"/>
        <v>1255.5889999999999</v>
      </c>
      <c r="I7" s="35">
        <f t="shared" si="1"/>
        <v>1378.989</v>
      </c>
      <c r="J7" s="35">
        <f t="shared" si="1"/>
        <v>1404.989</v>
      </c>
      <c r="K7" s="35">
        <f t="shared" si="1"/>
        <v>1548.7890000000002</v>
      </c>
      <c r="L7" s="35">
        <f t="shared" si="1"/>
        <v>1688.6890000000003</v>
      </c>
      <c r="M7" s="35">
        <f t="shared" si="1"/>
        <v>1675.0890000000002</v>
      </c>
      <c r="N7" s="35">
        <f t="shared" si="1"/>
        <v>1613.6889999999999</v>
      </c>
      <c r="O7" s="35">
        <f t="shared" si="1"/>
        <v>1564.0890000000002</v>
      </c>
      <c r="P7" s="35">
        <f t="shared" si="1"/>
        <v>1385.489</v>
      </c>
      <c r="Q7" s="35">
        <f t="shared" si="1"/>
        <v>1395.3890000000001</v>
      </c>
      <c r="R7" s="35">
        <f t="shared" si="1"/>
        <v>1474.3890000000001</v>
      </c>
      <c r="S7" s="35">
        <f t="shared" si="1"/>
        <v>1510.8890000000001</v>
      </c>
      <c r="T7" s="35">
        <f t="shared" si="1"/>
        <v>1516.7890000000002</v>
      </c>
      <c r="U7" s="35">
        <f t="shared" si="1"/>
        <v>1546.3890000000001</v>
      </c>
      <c r="V7" s="35">
        <f t="shared" si="1"/>
        <v>1543.489</v>
      </c>
      <c r="W7" s="35">
        <f t="shared" si="1"/>
        <v>0</v>
      </c>
      <c r="X7" s="35">
        <f t="shared" si="1"/>
        <v>1666.6889999999999</v>
      </c>
      <c r="Y7" s="35">
        <f t="shared" si="1"/>
        <v>1761.1890000000001</v>
      </c>
      <c r="Z7" s="35">
        <f t="shared" si="1"/>
        <v>0</v>
      </c>
      <c r="AA7" s="35">
        <f t="shared" si="1"/>
        <v>1649.2890000000002</v>
      </c>
      <c r="AB7" s="35">
        <f t="shared" si="1"/>
        <v>1567.3890000000001</v>
      </c>
      <c r="AC7" s="35">
        <f t="shared" si="1"/>
        <v>1484.0890000000002</v>
      </c>
      <c r="AD7" s="35">
        <f t="shared" si="1"/>
        <v>1433.0889999999999</v>
      </c>
      <c r="AE7" s="35">
        <f t="shared" si="1"/>
        <v>1395.0889999999999</v>
      </c>
      <c r="AF7" s="35">
        <f t="shared" si="1"/>
        <v>1313.0889999999999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1675.089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1675.089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23.998999999999999</v>
      </c>
      <c r="C11" s="46">
        <v>23.998999999999999</v>
      </c>
      <c r="D11" s="46">
        <v>23.998999999999999</v>
      </c>
      <c r="E11" s="46">
        <v>23.998999999999999</v>
      </c>
      <c r="F11" s="46">
        <v>23.998999999999999</v>
      </c>
      <c r="G11" s="46">
        <v>23.998999999999999</v>
      </c>
      <c r="H11" s="46">
        <v>23.998999999999999</v>
      </c>
      <c r="I11" s="46">
        <v>23.998999999999999</v>
      </c>
      <c r="J11" s="46">
        <v>23.998999999999999</v>
      </c>
      <c r="K11" s="46">
        <v>23.998999999999999</v>
      </c>
      <c r="L11" s="46">
        <v>23.998999999999999</v>
      </c>
      <c r="M11" s="46">
        <v>23.998999999999999</v>
      </c>
      <c r="N11" s="46">
        <v>23.998999999999999</v>
      </c>
      <c r="O11" s="46">
        <v>23.998999999999999</v>
      </c>
      <c r="P11" s="46">
        <v>23.998999999999999</v>
      </c>
      <c r="Q11" s="46">
        <v>23.998999999999999</v>
      </c>
      <c r="R11" s="46">
        <v>23.998999999999999</v>
      </c>
      <c r="S11" s="46">
        <v>23.998999999999999</v>
      </c>
      <c r="T11" s="46">
        <v>23.998999999999999</v>
      </c>
      <c r="U11" s="46">
        <v>23.998999999999999</v>
      </c>
      <c r="V11" s="46">
        <v>23.998999999999999</v>
      </c>
      <c r="W11" s="46" t="s">
        <v>307</v>
      </c>
      <c r="X11" s="46">
        <v>23.998999999999999</v>
      </c>
      <c r="Y11" s="46">
        <v>23.998999999999999</v>
      </c>
      <c r="Z11" s="46" t="s">
        <v>307</v>
      </c>
      <c r="AA11" s="46">
        <v>23.998999999999999</v>
      </c>
      <c r="AB11" s="46">
        <v>23.998999999999999</v>
      </c>
      <c r="AC11" s="46">
        <v>23.998999999999999</v>
      </c>
      <c r="AD11" s="46">
        <v>23.998999999999999</v>
      </c>
      <c r="AE11" s="46">
        <v>23.998999999999999</v>
      </c>
      <c r="AF11" s="46">
        <v>23.998999999999999</v>
      </c>
      <c r="AG11" s="47">
        <v>86</v>
      </c>
      <c r="AH11" s="48">
        <f t="shared" ref="AH11:AH16" si="2">MAX(B11:AF11)</f>
        <v>23.998999999999999</v>
      </c>
      <c r="AI11" s="49">
        <f t="shared" ref="AI11:AI16" si="3">MIN(B11:AF11)</f>
        <v>23.998999999999999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8</v>
      </c>
      <c r="C12" s="46">
        <v>8</v>
      </c>
      <c r="D12" s="46">
        <v>8</v>
      </c>
      <c r="E12" s="46">
        <v>8</v>
      </c>
      <c r="F12" s="46">
        <v>8</v>
      </c>
      <c r="G12" s="46">
        <v>8</v>
      </c>
      <c r="H12" s="46">
        <v>8</v>
      </c>
      <c r="I12" s="46">
        <v>8</v>
      </c>
      <c r="J12" s="46">
        <v>8</v>
      </c>
      <c r="K12" s="46">
        <v>8</v>
      </c>
      <c r="L12" s="46">
        <v>8</v>
      </c>
      <c r="M12" s="46">
        <v>8</v>
      </c>
      <c r="N12" s="46">
        <v>8</v>
      </c>
      <c r="O12" s="46">
        <v>8</v>
      </c>
      <c r="P12" s="46">
        <v>8</v>
      </c>
      <c r="Q12" s="46">
        <v>8</v>
      </c>
      <c r="R12" s="46">
        <v>8</v>
      </c>
      <c r="S12" s="46">
        <v>8</v>
      </c>
      <c r="T12" s="46">
        <v>8</v>
      </c>
      <c r="U12" s="46">
        <v>8</v>
      </c>
      <c r="V12" s="46">
        <v>8</v>
      </c>
      <c r="W12" s="46" t="s">
        <v>303</v>
      </c>
      <c r="X12" s="46">
        <v>8</v>
      </c>
      <c r="Y12" s="46">
        <v>8</v>
      </c>
      <c r="Z12" s="46" t="s">
        <v>303</v>
      </c>
      <c r="AA12" s="46">
        <v>8</v>
      </c>
      <c r="AB12" s="46">
        <v>8</v>
      </c>
      <c r="AC12" s="46">
        <v>8</v>
      </c>
      <c r="AD12" s="46">
        <v>8</v>
      </c>
      <c r="AE12" s="46">
        <v>8</v>
      </c>
      <c r="AF12" s="46">
        <v>8</v>
      </c>
      <c r="AG12" s="50">
        <v>54</v>
      </c>
      <c r="AH12" s="48">
        <f t="shared" si="2"/>
        <v>8</v>
      </c>
      <c r="AI12" s="49">
        <f t="shared" si="3"/>
        <v>8</v>
      </c>
      <c r="AK12" s="51"/>
      <c r="AL12" s="52" t="str">
        <f ca="1">MID(CELL("filename",C7),FIND("]",CELL("filename",C7))+1,600)</f>
        <v>4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9.6</v>
      </c>
      <c r="C13" s="46">
        <v>9.6</v>
      </c>
      <c r="D13" s="46">
        <v>9.6</v>
      </c>
      <c r="E13" s="46">
        <v>9.6</v>
      </c>
      <c r="F13" s="46">
        <v>9.6</v>
      </c>
      <c r="G13" s="46">
        <v>9.6</v>
      </c>
      <c r="H13" s="46">
        <v>9.6</v>
      </c>
      <c r="I13" s="46">
        <v>9.6</v>
      </c>
      <c r="J13" s="46">
        <v>9.6</v>
      </c>
      <c r="K13" s="46">
        <v>9.6</v>
      </c>
      <c r="L13" s="46">
        <v>9.6</v>
      </c>
      <c r="M13" s="46">
        <v>9.6</v>
      </c>
      <c r="N13" s="46">
        <v>9.6</v>
      </c>
      <c r="O13" s="46">
        <v>9.6</v>
      </c>
      <c r="P13" s="46">
        <v>9.6</v>
      </c>
      <c r="Q13" s="46">
        <v>9.6</v>
      </c>
      <c r="R13" s="46">
        <v>9.6</v>
      </c>
      <c r="S13" s="46">
        <v>9.6</v>
      </c>
      <c r="T13" s="46">
        <v>9.6</v>
      </c>
      <c r="U13" s="46">
        <v>9.6</v>
      </c>
      <c r="V13" s="46">
        <v>9.6</v>
      </c>
      <c r="W13" s="46" t="s">
        <v>297</v>
      </c>
      <c r="X13" s="46">
        <v>9.6</v>
      </c>
      <c r="Y13" s="46">
        <v>9.6</v>
      </c>
      <c r="Z13" s="46" t="s">
        <v>297</v>
      </c>
      <c r="AA13" s="46">
        <v>9.6</v>
      </c>
      <c r="AB13" s="46">
        <v>9.6</v>
      </c>
      <c r="AC13" s="46">
        <v>9.6</v>
      </c>
      <c r="AD13" s="46">
        <v>9.6</v>
      </c>
      <c r="AE13" s="46">
        <v>9.6</v>
      </c>
      <c r="AF13" s="46">
        <v>9.6</v>
      </c>
      <c r="AG13" s="50">
        <v>54</v>
      </c>
      <c r="AH13" s="48">
        <f t="shared" si="2"/>
        <v>9.6</v>
      </c>
      <c r="AI13" s="49">
        <f t="shared" si="3"/>
        <v>9.6</v>
      </c>
      <c r="AK13" s="51"/>
      <c r="AL13" s="52" t="str">
        <f ca="1">"Daily Load Curve(Excluding of Export) of Nepal ("&amp;A4&amp;" "&amp;B4&amp;")"</f>
        <v>Daily Load Curve(Excluding of Export) of Nepal (Nepali Date: 2080/10/4)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14.2</v>
      </c>
      <c r="C14" s="46">
        <v>14.2</v>
      </c>
      <c r="D14" s="46">
        <v>14.2</v>
      </c>
      <c r="E14" s="46">
        <v>14.2</v>
      </c>
      <c r="F14" s="46">
        <v>14.2</v>
      </c>
      <c r="G14" s="46">
        <v>14.2</v>
      </c>
      <c r="H14" s="46">
        <v>14.2</v>
      </c>
      <c r="I14" s="46">
        <v>14.2</v>
      </c>
      <c r="J14" s="46">
        <v>14.2</v>
      </c>
      <c r="K14" s="46">
        <v>14.2</v>
      </c>
      <c r="L14" s="46">
        <v>14.2</v>
      </c>
      <c r="M14" s="46">
        <v>14.2</v>
      </c>
      <c r="N14" s="46">
        <v>14.2</v>
      </c>
      <c r="O14" s="46">
        <v>14.2</v>
      </c>
      <c r="P14" s="46">
        <v>14.2</v>
      </c>
      <c r="Q14" s="46">
        <v>14.2</v>
      </c>
      <c r="R14" s="46">
        <v>14.2</v>
      </c>
      <c r="S14" s="46">
        <v>14.2</v>
      </c>
      <c r="T14" s="46">
        <v>14.2</v>
      </c>
      <c r="U14" s="46">
        <v>14.2</v>
      </c>
      <c r="V14" s="46">
        <v>14.2</v>
      </c>
      <c r="W14" s="46" t="s">
        <v>303</v>
      </c>
      <c r="X14" s="46">
        <v>14.2</v>
      </c>
      <c r="Y14" s="46">
        <v>14.2</v>
      </c>
      <c r="Z14" s="46" t="s">
        <v>303</v>
      </c>
      <c r="AA14" s="46">
        <v>14.2</v>
      </c>
      <c r="AB14" s="46">
        <v>14.2</v>
      </c>
      <c r="AC14" s="46">
        <v>14.2</v>
      </c>
      <c r="AD14" s="46">
        <v>14.2</v>
      </c>
      <c r="AE14" s="46">
        <v>14.2</v>
      </c>
      <c r="AF14" s="46">
        <v>14.2</v>
      </c>
      <c r="AG14" s="47">
        <v>52.4</v>
      </c>
      <c r="AH14" s="48">
        <f t="shared" si="2"/>
        <v>14.2</v>
      </c>
      <c r="AI14" s="49">
        <f t="shared" si="3"/>
        <v>14.2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28.1</v>
      </c>
      <c r="C15" s="46">
        <v>28.1</v>
      </c>
      <c r="D15" s="46">
        <v>28.1</v>
      </c>
      <c r="E15" s="46">
        <v>28.1</v>
      </c>
      <c r="F15" s="46">
        <v>28.1</v>
      </c>
      <c r="G15" s="46">
        <v>28.1</v>
      </c>
      <c r="H15" s="46">
        <v>28.1</v>
      </c>
      <c r="I15" s="46">
        <v>28.1</v>
      </c>
      <c r="J15" s="46">
        <v>28.1</v>
      </c>
      <c r="K15" s="46">
        <v>28.1</v>
      </c>
      <c r="L15" s="46">
        <v>28.1</v>
      </c>
      <c r="M15" s="46">
        <v>28.1</v>
      </c>
      <c r="N15" s="46">
        <v>28.1</v>
      </c>
      <c r="O15" s="46">
        <v>28.1</v>
      </c>
      <c r="P15" s="46">
        <v>28.1</v>
      </c>
      <c r="Q15" s="46">
        <v>28.1</v>
      </c>
      <c r="R15" s="46">
        <v>28.1</v>
      </c>
      <c r="S15" s="46">
        <v>28.1</v>
      </c>
      <c r="T15" s="46">
        <v>28.1</v>
      </c>
      <c r="U15" s="46">
        <v>28.1</v>
      </c>
      <c r="V15" s="46">
        <v>28.1</v>
      </c>
      <c r="W15" s="46"/>
      <c r="X15" s="46">
        <v>28.1</v>
      </c>
      <c r="Y15" s="46">
        <v>28.1</v>
      </c>
      <c r="Z15" s="46"/>
      <c r="AA15" s="46">
        <v>28.1</v>
      </c>
      <c r="AB15" s="46">
        <v>28.1</v>
      </c>
      <c r="AC15" s="46">
        <v>28.1</v>
      </c>
      <c r="AD15" s="46">
        <v>28.1</v>
      </c>
      <c r="AE15" s="46">
        <v>28.1</v>
      </c>
      <c r="AF15" s="46">
        <v>28.1</v>
      </c>
      <c r="AG15" s="50">
        <v>50</v>
      </c>
      <c r="AH15" s="48">
        <f t="shared" si="2"/>
        <v>28.1</v>
      </c>
      <c r="AI15" s="49">
        <f t="shared" si="3"/>
        <v>28.1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16.5</v>
      </c>
      <c r="C16" s="46">
        <v>16.5</v>
      </c>
      <c r="D16" s="46">
        <v>16.5</v>
      </c>
      <c r="E16" s="46">
        <v>16.5</v>
      </c>
      <c r="F16" s="46">
        <v>16.5</v>
      </c>
      <c r="G16" s="46">
        <v>16.5</v>
      </c>
      <c r="H16" s="46">
        <v>16.5</v>
      </c>
      <c r="I16" s="46">
        <v>16.5</v>
      </c>
      <c r="J16" s="46">
        <v>16.5</v>
      </c>
      <c r="K16" s="46">
        <v>16.5</v>
      </c>
      <c r="L16" s="46">
        <v>16.5</v>
      </c>
      <c r="M16" s="46">
        <v>16.5</v>
      </c>
      <c r="N16" s="46">
        <v>16.5</v>
      </c>
      <c r="O16" s="46">
        <v>16.5</v>
      </c>
      <c r="P16" s="46">
        <v>16.5</v>
      </c>
      <c r="Q16" s="46">
        <v>16.5</v>
      </c>
      <c r="R16" s="46">
        <v>16.5</v>
      </c>
      <c r="S16" s="46">
        <v>16.5</v>
      </c>
      <c r="T16" s="46">
        <v>16.5</v>
      </c>
      <c r="U16" s="46">
        <v>16.5</v>
      </c>
      <c r="V16" s="46">
        <v>16.5</v>
      </c>
      <c r="W16" s="46" t="s">
        <v>310</v>
      </c>
      <c r="X16" s="46">
        <v>16.5</v>
      </c>
      <c r="Y16" s="46">
        <v>16.5</v>
      </c>
      <c r="Z16" s="46" t="s">
        <v>310</v>
      </c>
      <c r="AA16" s="46">
        <v>16.5</v>
      </c>
      <c r="AB16" s="46">
        <v>16.5</v>
      </c>
      <c r="AC16" s="46">
        <v>16.5</v>
      </c>
      <c r="AD16" s="46">
        <v>16.5</v>
      </c>
      <c r="AE16" s="46">
        <v>16.5</v>
      </c>
      <c r="AF16" s="46">
        <v>16.5</v>
      </c>
      <c r="AG16" s="50">
        <v>45</v>
      </c>
      <c r="AH16" s="48">
        <f t="shared" si="2"/>
        <v>16.5</v>
      </c>
      <c r="AI16" s="49">
        <f t="shared" si="3"/>
        <v>16.5</v>
      </c>
      <c r="AK16" s="51"/>
      <c r="AL16" s="54" t="s">
        <v>7</v>
      </c>
      <c r="AM16" s="59">
        <f>B58</f>
        <v>456.24900000000002</v>
      </c>
      <c r="AN16" s="59">
        <f t="shared" ref="AN16:AR16" si="4">C58</f>
        <v>456.24900000000002</v>
      </c>
      <c r="AO16" s="59">
        <f t="shared" si="4"/>
        <v>456.24900000000002</v>
      </c>
      <c r="AP16" s="59">
        <f t="shared" si="4"/>
        <v>456.24900000000002</v>
      </c>
      <c r="AQ16" s="59">
        <f t="shared" si="4"/>
        <v>456.24900000000002</v>
      </c>
      <c r="AR16" s="59">
        <f t="shared" si="4"/>
        <v>456.24900000000002</v>
      </c>
      <c r="AS16" s="59">
        <f>I58</f>
        <v>456.24900000000002</v>
      </c>
      <c r="AT16" s="59">
        <f>K58</f>
        <v>456.24900000000002</v>
      </c>
      <c r="AU16" s="59">
        <f t="shared" ref="AU16:AX16" si="5">M58</f>
        <v>456.24900000000002</v>
      </c>
      <c r="AV16" s="59">
        <f t="shared" si="5"/>
        <v>456.24900000000002</v>
      </c>
      <c r="AW16" s="59">
        <f t="shared" si="5"/>
        <v>456.24900000000002</v>
      </c>
      <c r="AX16" s="59">
        <f t="shared" si="5"/>
        <v>456.24900000000002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14</v>
      </c>
      <c r="C17" s="46">
        <v>14</v>
      </c>
      <c r="D17" s="46">
        <v>14</v>
      </c>
      <c r="E17" s="46">
        <v>14</v>
      </c>
      <c r="F17" s="46">
        <v>14</v>
      </c>
      <c r="G17" s="46">
        <v>14</v>
      </c>
      <c r="H17" s="46">
        <v>14</v>
      </c>
      <c r="I17" s="46">
        <v>14</v>
      </c>
      <c r="J17" s="46">
        <v>14</v>
      </c>
      <c r="K17" s="46">
        <v>14</v>
      </c>
      <c r="L17" s="46">
        <v>14</v>
      </c>
      <c r="M17" s="46">
        <v>14</v>
      </c>
      <c r="N17" s="46">
        <v>14</v>
      </c>
      <c r="O17" s="46">
        <v>14</v>
      </c>
      <c r="P17" s="46">
        <v>14</v>
      </c>
      <c r="Q17" s="46">
        <v>14</v>
      </c>
      <c r="R17" s="46">
        <v>14</v>
      </c>
      <c r="S17" s="46">
        <v>14</v>
      </c>
      <c r="T17" s="46">
        <v>14</v>
      </c>
      <c r="U17" s="46">
        <v>14</v>
      </c>
      <c r="V17" s="46">
        <v>14</v>
      </c>
      <c r="W17" s="46" t="s">
        <v>303</v>
      </c>
      <c r="X17" s="46">
        <v>14</v>
      </c>
      <c r="Y17" s="46">
        <v>14</v>
      </c>
      <c r="Z17" s="46" t="s">
        <v>303</v>
      </c>
      <c r="AA17" s="46">
        <v>14</v>
      </c>
      <c r="AB17" s="46">
        <v>14</v>
      </c>
      <c r="AC17" s="46">
        <v>14</v>
      </c>
      <c r="AD17" s="46">
        <v>14</v>
      </c>
      <c r="AE17" s="46">
        <v>14</v>
      </c>
      <c r="AF17" s="46">
        <v>14</v>
      </c>
      <c r="AG17" s="50">
        <v>44</v>
      </c>
      <c r="AH17" s="48">
        <f>MAX(B17:AG17)</f>
        <v>44</v>
      </c>
      <c r="AI17" s="49">
        <f>MIN(B17:AG17)</f>
        <v>14</v>
      </c>
      <c r="AK17" s="51"/>
      <c r="AL17" s="54" t="s">
        <v>27</v>
      </c>
      <c r="AM17" s="59">
        <f>B62</f>
        <v>27</v>
      </c>
      <c r="AN17" s="59">
        <f t="shared" ref="AN17:AR17" si="6">C62</f>
        <v>38</v>
      </c>
      <c r="AO17" s="59">
        <f t="shared" si="6"/>
        <v>38</v>
      </c>
      <c r="AP17" s="59">
        <f t="shared" si="6"/>
        <v>38</v>
      </c>
      <c r="AQ17" s="59">
        <f t="shared" si="6"/>
        <v>38</v>
      </c>
      <c r="AR17" s="59">
        <f t="shared" si="6"/>
        <v>38</v>
      </c>
      <c r="AS17" s="59">
        <f>I62</f>
        <v>38</v>
      </c>
      <c r="AT17" s="59">
        <f>K62</f>
        <v>38</v>
      </c>
      <c r="AU17" s="59">
        <f t="shared" ref="AU17:AX17" si="7">M62</f>
        <v>58.2</v>
      </c>
      <c r="AV17" s="59">
        <f t="shared" si="7"/>
        <v>63.1</v>
      </c>
      <c r="AW17" s="59">
        <f t="shared" si="7"/>
        <v>53.1</v>
      </c>
      <c r="AX17" s="59">
        <f t="shared" si="7"/>
        <v>53.1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8</v>
      </c>
      <c r="C18" s="46">
        <v>8</v>
      </c>
      <c r="D18" s="46">
        <v>8</v>
      </c>
      <c r="E18" s="46">
        <v>8</v>
      </c>
      <c r="F18" s="46">
        <v>8</v>
      </c>
      <c r="G18" s="46">
        <v>8</v>
      </c>
      <c r="H18" s="46">
        <v>8</v>
      </c>
      <c r="I18" s="46">
        <v>8</v>
      </c>
      <c r="J18" s="46">
        <v>8</v>
      </c>
      <c r="K18" s="46">
        <v>8</v>
      </c>
      <c r="L18" s="46">
        <v>8</v>
      </c>
      <c r="M18" s="46">
        <v>8</v>
      </c>
      <c r="N18" s="46">
        <v>8</v>
      </c>
      <c r="O18" s="46">
        <v>8</v>
      </c>
      <c r="P18" s="46">
        <v>8</v>
      </c>
      <c r="Q18" s="46">
        <v>8</v>
      </c>
      <c r="R18" s="46">
        <v>8</v>
      </c>
      <c r="S18" s="46">
        <v>8</v>
      </c>
      <c r="T18" s="46">
        <v>8</v>
      </c>
      <c r="U18" s="46">
        <v>8</v>
      </c>
      <c r="V18" s="46">
        <v>8</v>
      </c>
      <c r="W18" s="46" t="s">
        <v>311</v>
      </c>
      <c r="X18" s="46">
        <v>8</v>
      </c>
      <c r="Y18" s="46">
        <v>8</v>
      </c>
      <c r="Z18" s="46" t="s">
        <v>311</v>
      </c>
      <c r="AA18" s="46">
        <v>8</v>
      </c>
      <c r="AB18" s="46">
        <v>8</v>
      </c>
      <c r="AC18" s="46">
        <v>8</v>
      </c>
      <c r="AD18" s="46">
        <v>8</v>
      </c>
      <c r="AE18" s="46">
        <v>8</v>
      </c>
      <c r="AF18" s="46">
        <v>8</v>
      </c>
      <c r="AG18" s="50">
        <v>42</v>
      </c>
      <c r="AH18" s="48">
        <f t="shared" ref="AH18:AH81" si="8">MAX(B18:AF18)</f>
        <v>8</v>
      </c>
      <c r="AI18" s="49">
        <f t="shared" ref="AI18:AI81" si="9">MIN(B18:AF18)</f>
        <v>8</v>
      </c>
      <c r="AK18" s="51"/>
      <c r="AL18" s="54" t="s">
        <v>29</v>
      </c>
      <c r="AM18" s="59">
        <f>B76</f>
        <v>82.740000000000009</v>
      </c>
      <c r="AN18" s="59">
        <f t="shared" ref="AN18:AR18" si="10">C76</f>
        <v>64.739999999999995</v>
      </c>
      <c r="AO18" s="59">
        <f t="shared" si="10"/>
        <v>64.739999999999995</v>
      </c>
      <c r="AP18" s="59">
        <f t="shared" si="10"/>
        <v>66.739999999999995</v>
      </c>
      <c r="AQ18" s="59">
        <f t="shared" si="10"/>
        <v>68.14</v>
      </c>
      <c r="AR18" s="59">
        <f t="shared" si="10"/>
        <v>68.14</v>
      </c>
      <c r="AS18" s="59">
        <f>I76</f>
        <v>187.34</v>
      </c>
      <c r="AT18" s="59">
        <f>K76</f>
        <v>294.14000000000004</v>
      </c>
      <c r="AU18" s="59">
        <f t="shared" ref="AU18:AX18" si="11">M76</f>
        <v>364.84000000000003</v>
      </c>
      <c r="AV18" s="59">
        <f t="shared" si="11"/>
        <v>285.44</v>
      </c>
      <c r="AW18" s="59">
        <f t="shared" si="11"/>
        <v>263.74000000000007</v>
      </c>
      <c r="AX18" s="59">
        <f t="shared" si="11"/>
        <v>210.74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11</v>
      </c>
      <c r="C19" s="46">
        <v>11</v>
      </c>
      <c r="D19" s="46">
        <v>11</v>
      </c>
      <c r="E19" s="46">
        <v>11</v>
      </c>
      <c r="F19" s="46">
        <v>11</v>
      </c>
      <c r="G19" s="46">
        <v>11</v>
      </c>
      <c r="H19" s="46">
        <v>11</v>
      </c>
      <c r="I19" s="46">
        <v>11</v>
      </c>
      <c r="J19" s="46">
        <v>11</v>
      </c>
      <c r="K19" s="46">
        <v>11</v>
      </c>
      <c r="L19" s="46">
        <v>11</v>
      </c>
      <c r="M19" s="46">
        <v>11</v>
      </c>
      <c r="N19" s="46">
        <v>11</v>
      </c>
      <c r="O19" s="46">
        <v>11</v>
      </c>
      <c r="P19" s="46">
        <v>11</v>
      </c>
      <c r="Q19" s="46">
        <v>11</v>
      </c>
      <c r="R19" s="46">
        <v>11</v>
      </c>
      <c r="S19" s="46">
        <v>11</v>
      </c>
      <c r="T19" s="46">
        <v>11</v>
      </c>
      <c r="U19" s="46">
        <v>11</v>
      </c>
      <c r="V19" s="46">
        <v>11</v>
      </c>
      <c r="W19" s="46" t="s">
        <v>303</v>
      </c>
      <c r="X19" s="46">
        <v>11</v>
      </c>
      <c r="Y19" s="46">
        <v>11</v>
      </c>
      <c r="Z19" s="46" t="s">
        <v>303</v>
      </c>
      <c r="AA19" s="46">
        <v>11</v>
      </c>
      <c r="AB19" s="46">
        <v>11</v>
      </c>
      <c r="AC19" s="46">
        <v>11</v>
      </c>
      <c r="AD19" s="46">
        <v>11</v>
      </c>
      <c r="AE19" s="46">
        <v>11</v>
      </c>
      <c r="AF19" s="46">
        <v>11</v>
      </c>
      <c r="AG19" s="50">
        <v>38.46</v>
      </c>
      <c r="AH19" s="48">
        <f t="shared" si="8"/>
        <v>11</v>
      </c>
      <c r="AI19" s="49">
        <f t="shared" si="9"/>
        <v>11</v>
      </c>
      <c r="AK19" s="51"/>
      <c r="AL19" s="54" t="s">
        <v>31</v>
      </c>
      <c r="AM19" s="59">
        <f>B92</f>
        <v>611</v>
      </c>
      <c r="AN19" s="59">
        <f t="shared" ref="AN19:AR19" si="12">C92</f>
        <v>632</v>
      </c>
      <c r="AO19" s="59">
        <f t="shared" si="12"/>
        <v>562</v>
      </c>
      <c r="AP19" s="59">
        <f t="shared" si="12"/>
        <v>509.90000000000003</v>
      </c>
      <c r="AQ19" s="59">
        <f t="shared" si="12"/>
        <v>542</v>
      </c>
      <c r="AR19" s="59">
        <f t="shared" si="12"/>
        <v>625.9</v>
      </c>
      <c r="AS19" s="59">
        <f>I92</f>
        <v>697.40000000000009</v>
      </c>
      <c r="AT19" s="59">
        <f>K92</f>
        <v>560.4</v>
      </c>
      <c r="AU19" s="59">
        <f t="shared" ref="AU19:AX19" si="13">M92</f>
        <v>545.80000000000007</v>
      </c>
      <c r="AV19" s="59">
        <f t="shared" si="13"/>
        <v>558.9</v>
      </c>
      <c r="AW19" s="59">
        <f t="shared" si="13"/>
        <v>541</v>
      </c>
      <c r="AX19" s="59">
        <f t="shared" si="13"/>
        <v>665.4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7.8</v>
      </c>
      <c r="C20" s="46">
        <v>7.8</v>
      </c>
      <c r="D20" s="46">
        <v>7.8</v>
      </c>
      <c r="E20" s="46">
        <v>7.8</v>
      </c>
      <c r="F20" s="46">
        <v>7.8</v>
      </c>
      <c r="G20" s="46">
        <v>7.8</v>
      </c>
      <c r="H20" s="46">
        <v>7.8</v>
      </c>
      <c r="I20" s="46">
        <v>7.8</v>
      </c>
      <c r="J20" s="46">
        <v>7.8</v>
      </c>
      <c r="K20" s="46">
        <v>7.8</v>
      </c>
      <c r="L20" s="46">
        <v>7.8</v>
      </c>
      <c r="M20" s="46">
        <v>7.8</v>
      </c>
      <c r="N20" s="46">
        <v>7.8</v>
      </c>
      <c r="O20" s="46">
        <v>7.8</v>
      </c>
      <c r="P20" s="46">
        <v>7.8</v>
      </c>
      <c r="Q20" s="46">
        <v>7.8</v>
      </c>
      <c r="R20" s="46">
        <v>7.8</v>
      </c>
      <c r="S20" s="46">
        <v>7.8</v>
      </c>
      <c r="T20" s="46">
        <v>7.8</v>
      </c>
      <c r="U20" s="46">
        <v>7.8</v>
      </c>
      <c r="V20" s="46">
        <v>7.8</v>
      </c>
      <c r="W20" s="46" t="s">
        <v>312</v>
      </c>
      <c r="X20" s="46">
        <v>7.8</v>
      </c>
      <c r="Y20" s="46">
        <v>7.8</v>
      </c>
      <c r="Z20" s="46" t="s">
        <v>312</v>
      </c>
      <c r="AA20" s="46">
        <v>7.8</v>
      </c>
      <c r="AB20" s="46">
        <v>7.8</v>
      </c>
      <c r="AC20" s="46">
        <v>7.8</v>
      </c>
      <c r="AD20" s="46">
        <v>7.8</v>
      </c>
      <c r="AE20" s="46">
        <v>7.8</v>
      </c>
      <c r="AF20" s="46">
        <v>7.8</v>
      </c>
      <c r="AG20" s="50">
        <v>38.46</v>
      </c>
      <c r="AH20" s="48">
        <f t="shared" si="8"/>
        <v>7.8</v>
      </c>
      <c r="AI20" s="49">
        <f t="shared" si="9"/>
        <v>7.8</v>
      </c>
      <c r="AK20" s="51"/>
      <c r="AL20" s="54" t="s">
        <v>33</v>
      </c>
      <c r="AM20" s="59">
        <f>B80</f>
        <v>0</v>
      </c>
      <c r="AN20" s="59">
        <f t="shared" ref="AN20:AR20" si="14">C80</f>
        <v>0</v>
      </c>
      <c r="AO20" s="59">
        <f t="shared" si="14"/>
        <v>0</v>
      </c>
      <c r="AP20" s="59">
        <f t="shared" si="14"/>
        <v>0</v>
      </c>
      <c r="AQ20" s="59">
        <f t="shared" si="14"/>
        <v>0</v>
      </c>
      <c r="AR20" s="59">
        <f t="shared" si="14"/>
        <v>0</v>
      </c>
      <c r="AS20" s="59">
        <f>I80</f>
        <v>0</v>
      </c>
      <c r="AT20" s="59">
        <f>K80</f>
        <v>0</v>
      </c>
      <c r="AU20" s="59">
        <f t="shared" ref="AU20:AX20" si="15">M80</f>
        <v>0</v>
      </c>
      <c r="AV20" s="59">
        <f t="shared" si="15"/>
        <v>0</v>
      </c>
      <c r="AW20" s="59">
        <f t="shared" si="15"/>
        <v>0</v>
      </c>
      <c r="AX20" s="59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13</v>
      </c>
      <c r="C21" s="46">
        <v>13</v>
      </c>
      <c r="D21" s="46">
        <v>13</v>
      </c>
      <c r="E21" s="46">
        <v>13</v>
      </c>
      <c r="F21" s="46">
        <v>13</v>
      </c>
      <c r="G21" s="46">
        <v>13</v>
      </c>
      <c r="H21" s="46">
        <v>13</v>
      </c>
      <c r="I21" s="46">
        <v>13</v>
      </c>
      <c r="J21" s="46">
        <v>13</v>
      </c>
      <c r="K21" s="46">
        <v>13</v>
      </c>
      <c r="L21" s="46">
        <v>13</v>
      </c>
      <c r="M21" s="46">
        <v>13</v>
      </c>
      <c r="N21" s="46">
        <v>13</v>
      </c>
      <c r="O21" s="46">
        <v>13</v>
      </c>
      <c r="P21" s="46">
        <v>13</v>
      </c>
      <c r="Q21" s="46">
        <v>13</v>
      </c>
      <c r="R21" s="46">
        <v>13</v>
      </c>
      <c r="S21" s="46">
        <v>13</v>
      </c>
      <c r="T21" s="46">
        <v>13</v>
      </c>
      <c r="U21" s="46">
        <v>13</v>
      </c>
      <c r="V21" s="46">
        <v>13</v>
      </c>
      <c r="W21" s="46" t="s">
        <v>302</v>
      </c>
      <c r="X21" s="46">
        <v>13</v>
      </c>
      <c r="Y21" s="46">
        <v>13</v>
      </c>
      <c r="Z21" s="46" t="s">
        <v>302</v>
      </c>
      <c r="AA21" s="46">
        <v>13</v>
      </c>
      <c r="AB21" s="46">
        <v>13</v>
      </c>
      <c r="AC21" s="46">
        <v>13</v>
      </c>
      <c r="AD21" s="46">
        <v>13</v>
      </c>
      <c r="AE21" s="46">
        <v>13</v>
      </c>
      <c r="AF21" s="46">
        <v>13</v>
      </c>
      <c r="AG21" s="50">
        <v>36</v>
      </c>
      <c r="AH21" s="48">
        <f t="shared" si="8"/>
        <v>13</v>
      </c>
      <c r="AI21" s="49">
        <f t="shared" si="9"/>
        <v>13</v>
      </c>
      <c r="AK21" s="51"/>
      <c r="AL21" s="54" t="s">
        <v>35</v>
      </c>
      <c r="AM21" s="59">
        <f>B98</f>
        <v>0</v>
      </c>
      <c r="AN21" s="59">
        <f t="shared" ref="AN21:AR21" si="16">C98</f>
        <v>0</v>
      </c>
      <c r="AO21" s="59">
        <f t="shared" si="16"/>
        <v>0</v>
      </c>
      <c r="AP21" s="59">
        <f t="shared" si="16"/>
        <v>0</v>
      </c>
      <c r="AQ21" s="59">
        <f t="shared" si="16"/>
        <v>0</v>
      </c>
      <c r="AR21" s="59">
        <f t="shared" si="16"/>
        <v>0</v>
      </c>
      <c r="AS21" s="59">
        <f>I98</f>
        <v>0</v>
      </c>
      <c r="AT21" s="59">
        <f>K98</f>
        <v>200</v>
      </c>
      <c r="AU21" s="59">
        <f t="shared" ref="AU21:AX21" si="17">M98</f>
        <v>250</v>
      </c>
      <c r="AV21" s="59">
        <f t="shared" si="17"/>
        <v>250</v>
      </c>
      <c r="AW21" s="59">
        <f t="shared" si="17"/>
        <v>250</v>
      </c>
      <c r="AX21" s="59">
        <f t="shared" si="17"/>
        <v>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6.9</v>
      </c>
      <c r="C22" s="46">
        <v>6.9</v>
      </c>
      <c r="D22" s="46">
        <v>6.9</v>
      </c>
      <c r="E22" s="46">
        <v>6.9</v>
      </c>
      <c r="F22" s="46">
        <v>6.9</v>
      </c>
      <c r="G22" s="46">
        <v>6.9</v>
      </c>
      <c r="H22" s="46">
        <v>6.9</v>
      </c>
      <c r="I22" s="46">
        <v>6.9</v>
      </c>
      <c r="J22" s="46">
        <v>6.9</v>
      </c>
      <c r="K22" s="46">
        <v>6.9</v>
      </c>
      <c r="L22" s="46">
        <v>6.9</v>
      </c>
      <c r="M22" s="46">
        <v>6.9</v>
      </c>
      <c r="N22" s="46">
        <v>6.9</v>
      </c>
      <c r="O22" s="46">
        <v>6.9</v>
      </c>
      <c r="P22" s="46">
        <v>6.9</v>
      </c>
      <c r="Q22" s="46">
        <v>6.9</v>
      </c>
      <c r="R22" s="46">
        <v>6.9</v>
      </c>
      <c r="S22" s="46">
        <v>6.9</v>
      </c>
      <c r="T22" s="46">
        <v>6.9</v>
      </c>
      <c r="U22" s="46">
        <v>6.9</v>
      </c>
      <c r="V22" s="46">
        <v>6.9</v>
      </c>
      <c r="W22" s="46" t="s">
        <v>303</v>
      </c>
      <c r="X22" s="46">
        <v>6.9</v>
      </c>
      <c r="Y22" s="46">
        <v>6.9</v>
      </c>
      <c r="Z22" s="46" t="s">
        <v>303</v>
      </c>
      <c r="AA22" s="46">
        <v>6.9</v>
      </c>
      <c r="AB22" s="46">
        <v>6.9</v>
      </c>
      <c r="AC22" s="46">
        <v>6.9</v>
      </c>
      <c r="AD22" s="46">
        <v>6.9</v>
      </c>
      <c r="AE22" s="46">
        <v>6.9</v>
      </c>
      <c r="AF22" s="46">
        <v>6.9</v>
      </c>
      <c r="AG22" s="60">
        <v>30</v>
      </c>
      <c r="AH22" s="48">
        <f t="shared" si="8"/>
        <v>6.9</v>
      </c>
      <c r="AI22" s="49">
        <f t="shared" si="9"/>
        <v>6.9</v>
      </c>
      <c r="AK22" s="51"/>
      <c r="AL22" s="61" t="s">
        <v>37</v>
      </c>
      <c r="AM22" s="62">
        <f>SUM(AM16:AM21)</f>
        <v>1176.989</v>
      </c>
      <c r="AN22" s="62">
        <f t="shared" ref="AN22:AX22" si="18">SUM(AN16:AN21)</f>
        <v>1190.989</v>
      </c>
      <c r="AO22" s="62">
        <f t="shared" si="18"/>
        <v>1120.989</v>
      </c>
      <c r="AP22" s="62">
        <f t="shared" si="18"/>
        <v>1070.8890000000001</v>
      </c>
      <c r="AQ22" s="62">
        <f t="shared" si="18"/>
        <v>1104.3890000000001</v>
      </c>
      <c r="AR22" s="62">
        <f t="shared" si="18"/>
        <v>1188.289</v>
      </c>
      <c r="AS22" s="62">
        <f t="shared" si="18"/>
        <v>1378.989</v>
      </c>
      <c r="AT22" s="62">
        <f t="shared" si="18"/>
        <v>1548.7890000000002</v>
      </c>
      <c r="AU22" s="62">
        <f t="shared" si="18"/>
        <v>1675.0890000000002</v>
      </c>
      <c r="AV22" s="62">
        <f t="shared" si="18"/>
        <v>1613.6889999999999</v>
      </c>
      <c r="AW22" s="62">
        <f t="shared" si="18"/>
        <v>1564.0890000000002</v>
      </c>
      <c r="AX22" s="62">
        <f t="shared" si="18"/>
        <v>1385.489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5.5</v>
      </c>
      <c r="C23" s="46">
        <v>5.5</v>
      </c>
      <c r="D23" s="46">
        <v>5.5</v>
      </c>
      <c r="E23" s="46">
        <v>5.5</v>
      </c>
      <c r="F23" s="46">
        <v>5.5</v>
      </c>
      <c r="G23" s="46">
        <v>5.5</v>
      </c>
      <c r="H23" s="46">
        <v>5.5</v>
      </c>
      <c r="I23" s="46">
        <v>5.5</v>
      </c>
      <c r="J23" s="46">
        <v>5.5</v>
      </c>
      <c r="K23" s="46">
        <v>5.5</v>
      </c>
      <c r="L23" s="46">
        <v>5.5</v>
      </c>
      <c r="M23" s="46">
        <v>5.5</v>
      </c>
      <c r="N23" s="46">
        <v>5.5</v>
      </c>
      <c r="O23" s="46">
        <v>5.5</v>
      </c>
      <c r="P23" s="46">
        <v>5.5</v>
      </c>
      <c r="Q23" s="46">
        <v>5.5</v>
      </c>
      <c r="R23" s="46">
        <v>5.5</v>
      </c>
      <c r="S23" s="46">
        <v>5.5</v>
      </c>
      <c r="T23" s="46">
        <v>5.5</v>
      </c>
      <c r="U23" s="46">
        <v>5.5</v>
      </c>
      <c r="V23" s="46">
        <v>5.5</v>
      </c>
      <c r="W23" s="46" t="s">
        <v>309</v>
      </c>
      <c r="X23" s="46">
        <v>5.5</v>
      </c>
      <c r="Y23" s="46">
        <v>5.5</v>
      </c>
      <c r="Z23" s="46" t="s">
        <v>309</v>
      </c>
      <c r="AA23" s="46">
        <v>5.5</v>
      </c>
      <c r="AB23" s="46">
        <v>5.5</v>
      </c>
      <c r="AC23" s="46">
        <v>5.5</v>
      </c>
      <c r="AD23" s="46">
        <v>5.5</v>
      </c>
      <c r="AE23" s="46">
        <v>5.5</v>
      </c>
      <c r="AF23" s="46">
        <v>5.5</v>
      </c>
      <c r="AG23" s="50">
        <v>24.2</v>
      </c>
      <c r="AH23" s="48">
        <f t="shared" si="8"/>
        <v>5.5</v>
      </c>
      <c r="AI23" s="49">
        <f t="shared" si="9"/>
        <v>5.5</v>
      </c>
      <c r="AK23" s="51"/>
      <c r="AL23" s="61" t="s">
        <v>39</v>
      </c>
      <c r="AM23" s="62">
        <f>B107*-1</f>
        <v>0</v>
      </c>
      <c r="AN23" s="62">
        <f t="shared" ref="AN23:AR23" si="19">C107*-1</f>
        <v>-1</v>
      </c>
      <c r="AO23" s="62">
        <f t="shared" si="19"/>
        <v>0</v>
      </c>
      <c r="AP23" s="62">
        <f t="shared" si="19"/>
        <v>0</v>
      </c>
      <c r="AQ23" s="62">
        <f t="shared" si="19"/>
        <v>0</v>
      </c>
      <c r="AR23" s="62">
        <f t="shared" si="19"/>
        <v>0</v>
      </c>
      <c r="AS23" s="62">
        <f>I107*-1</f>
        <v>0</v>
      </c>
      <c r="AT23" s="62">
        <f>K107*-1</f>
        <v>0</v>
      </c>
      <c r="AU23" s="62">
        <f t="shared" ref="AU23:AX23" si="20">M107*-1</f>
        <v>0</v>
      </c>
      <c r="AV23" s="62">
        <f t="shared" si="20"/>
        <v>0</v>
      </c>
      <c r="AW23" s="62">
        <f t="shared" si="20"/>
        <v>0</v>
      </c>
      <c r="AX23" s="62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7.4</v>
      </c>
      <c r="C24" s="46">
        <v>7.4</v>
      </c>
      <c r="D24" s="46">
        <v>7.4</v>
      </c>
      <c r="E24" s="46">
        <v>7.4</v>
      </c>
      <c r="F24" s="46">
        <v>7.4</v>
      </c>
      <c r="G24" s="46">
        <v>7.4</v>
      </c>
      <c r="H24" s="46">
        <v>7.4</v>
      </c>
      <c r="I24" s="46">
        <v>7.4</v>
      </c>
      <c r="J24" s="46">
        <v>7.4</v>
      </c>
      <c r="K24" s="46">
        <v>7.4</v>
      </c>
      <c r="L24" s="46">
        <v>7.4</v>
      </c>
      <c r="M24" s="46">
        <v>7.4</v>
      </c>
      <c r="N24" s="46">
        <v>7.4</v>
      </c>
      <c r="O24" s="46">
        <v>7.4</v>
      </c>
      <c r="P24" s="46">
        <v>7.4</v>
      </c>
      <c r="Q24" s="46">
        <v>7.4</v>
      </c>
      <c r="R24" s="46">
        <v>7.4</v>
      </c>
      <c r="S24" s="46">
        <v>7.4</v>
      </c>
      <c r="T24" s="46">
        <v>7.4</v>
      </c>
      <c r="U24" s="46">
        <v>7.4</v>
      </c>
      <c r="V24" s="46">
        <v>7.4</v>
      </c>
      <c r="W24" s="46" t="s">
        <v>302</v>
      </c>
      <c r="X24" s="46">
        <v>7.4</v>
      </c>
      <c r="Y24" s="46">
        <v>7.4</v>
      </c>
      <c r="Z24" s="46" t="s">
        <v>302</v>
      </c>
      <c r="AA24" s="46">
        <v>7.4</v>
      </c>
      <c r="AB24" s="46">
        <v>7.4</v>
      </c>
      <c r="AC24" s="46">
        <v>7.4</v>
      </c>
      <c r="AD24" s="46">
        <v>7.4</v>
      </c>
      <c r="AE24" s="46">
        <v>7.4</v>
      </c>
      <c r="AF24" s="46">
        <v>7.4</v>
      </c>
      <c r="AG24" s="50">
        <v>28</v>
      </c>
      <c r="AH24" s="48">
        <f t="shared" si="8"/>
        <v>7.4</v>
      </c>
      <c r="AI24" s="49">
        <f t="shared" si="9"/>
        <v>7.4</v>
      </c>
      <c r="AK24" s="51"/>
      <c r="AL24" s="61" t="s">
        <v>41</v>
      </c>
      <c r="AM24" s="62">
        <f>AM22+AM23</f>
        <v>1176.989</v>
      </c>
      <c r="AN24" s="62">
        <f t="shared" ref="AN24:AX24" si="21">AN22+AN23</f>
        <v>1189.989</v>
      </c>
      <c r="AO24" s="62">
        <f t="shared" si="21"/>
        <v>1120.989</v>
      </c>
      <c r="AP24" s="62">
        <f t="shared" si="21"/>
        <v>1070.8890000000001</v>
      </c>
      <c r="AQ24" s="62">
        <f t="shared" si="21"/>
        <v>1104.3890000000001</v>
      </c>
      <c r="AR24" s="62">
        <f t="shared" si="21"/>
        <v>1188.289</v>
      </c>
      <c r="AS24" s="62">
        <f t="shared" si="21"/>
        <v>1378.989</v>
      </c>
      <c r="AT24" s="62">
        <f t="shared" si="21"/>
        <v>1548.7890000000002</v>
      </c>
      <c r="AU24" s="62">
        <f t="shared" si="21"/>
        <v>1675.0890000000002</v>
      </c>
      <c r="AV24" s="62">
        <f t="shared" si="21"/>
        <v>1613.6889999999999</v>
      </c>
      <c r="AW24" s="62">
        <f t="shared" si="21"/>
        <v>1564.0890000000002</v>
      </c>
      <c r="AX24" s="62">
        <f t="shared" si="21"/>
        <v>1385.489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4.8</v>
      </c>
      <c r="C25" s="46">
        <v>4.8</v>
      </c>
      <c r="D25" s="46">
        <v>4.8</v>
      </c>
      <c r="E25" s="46">
        <v>4.8</v>
      </c>
      <c r="F25" s="46">
        <v>4.8</v>
      </c>
      <c r="G25" s="46">
        <v>4.8</v>
      </c>
      <c r="H25" s="46">
        <v>4.8</v>
      </c>
      <c r="I25" s="46">
        <v>4.8</v>
      </c>
      <c r="J25" s="46">
        <v>4.8</v>
      </c>
      <c r="K25" s="46">
        <v>4.8</v>
      </c>
      <c r="L25" s="46">
        <v>4.8</v>
      </c>
      <c r="M25" s="46">
        <v>4.8</v>
      </c>
      <c r="N25" s="46">
        <v>4.8</v>
      </c>
      <c r="O25" s="46">
        <v>4.8</v>
      </c>
      <c r="P25" s="46">
        <v>4.8</v>
      </c>
      <c r="Q25" s="46">
        <v>4.8</v>
      </c>
      <c r="R25" s="46">
        <v>4.8</v>
      </c>
      <c r="S25" s="46">
        <v>4.8</v>
      </c>
      <c r="T25" s="46">
        <v>4.8</v>
      </c>
      <c r="U25" s="46">
        <v>4.8</v>
      </c>
      <c r="V25" s="46">
        <v>4.8</v>
      </c>
      <c r="W25" s="46" t="s">
        <v>298</v>
      </c>
      <c r="X25" s="46">
        <v>4.8</v>
      </c>
      <c r="Y25" s="46">
        <v>4.8</v>
      </c>
      <c r="Z25" s="46" t="s">
        <v>298</v>
      </c>
      <c r="AA25" s="46">
        <v>4.8</v>
      </c>
      <c r="AB25" s="46">
        <v>4.8</v>
      </c>
      <c r="AC25" s="46">
        <v>4.8</v>
      </c>
      <c r="AD25" s="46">
        <v>4.8</v>
      </c>
      <c r="AE25" s="46">
        <v>4.8</v>
      </c>
      <c r="AF25" s="46">
        <v>4.8</v>
      </c>
      <c r="AG25" s="60">
        <v>30</v>
      </c>
      <c r="AH25" s="48">
        <f t="shared" si="8"/>
        <v>4.8</v>
      </c>
      <c r="AI25" s="49">
        <f t="shared" si="9"/>
        <v>4.8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8.6</v>
      </c>
      <c r="C26" s="46">
        <v>8.6</v>
      </c>
      <c r="D26" s="46">
        <v>8.6</v>
      </c>
      <c r="E26" s="46">
        <v>8.6</v>
      </c>
      <c r="F26" s="46">
        <v>8.6</v>
      </c>
      <c r="G26" s="46">
        <v>8.6</v>
      </c>
      <c r="H26" s="46">
        <v>8.6</v>
      </c>
      <c r="I26" s="46">
        <v>8.6</v>
      </c>
      <c r="J26" s="46">
        <v>8.6</v>
      </c>
      <c r="K26" s="46">
        <v>8.6</v>
      </c>
      <c r="L26" s="46">
        <v>8.6</v>
      </c>
      <c r="M26" s="46">
        <v>8.6</v>
      </c>
      <c r="N26" s="46">
        <v>8.6</v>
      </c>
      <c r="O26" s="46">
        <v>8.6</v>
      </c>
      <c r="P26" s="46">
        <v>8.6</v>
      </c>
      <c r="Q26" s="46">
        <v>8.6</v>
      </c>
      <c r="R26" s="46">
        <v>8.6</v>
      </c>
      <c r="S26" s="46">
        <v>8.6</v>
      </c>
      <c r="T26" s="46">
        <v>8.6</v>
      </c>
      <c r="U26" s="46">
        <v>8.6</v>
      </c>
      <c r="V26" s="46">
        <v>8.6</v>
      </c>
      <c r="W26" s="46"/>
      <c r="X26" s="46">
        <v>8.6</v>
      </c>
      <c r="Y26" s="46">
        <v>8.6</v>
      </c>
      <c r="Z26" s="46"/>
      <c r="AA26" s="46">
        <v>8.6</v>
      </c>
      <c r="AB26" s="46">
        <v>8.6</v>
      </c>
      <c r="AC26" s="46">
        <v>8.6</v>
      </c>
      <c r="AD26" s="46">
        <v>8.6</v>
      </c>
      <c r="AE26" s="46">
        <v>8.6</v>
      </c>
      <c r="AF26" s="46">
        <v>8.6</v>
      </c>
      <c r="AG26" s="50">
        <v>25</v>
      </c>
      <c r="AH26" s="48">
        <f t="shared" si="8"/>
        <v>8.6</v>
      </c>
      <c r="AI26" s="49">
        <f t="shared" si="9"/>
        <v>8.6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5</v>
      </c>
      <c r="N27" s="46">
        <v>5</v>
      </c>
      <c r="O27" s="46">
        <v>5</v>
      </c>
      <c r="P27" s="46">
        <v>5</v>
      </c>
      <c r="Q27" s="46">
        <v>5</v>
      </c>
      <c r="R27" s="46">
        <v>5</v>
      </c>
      <c r="S27" s="46">
        <v>5</v>
      </c>
      <c r="T27" s="46">
        <v>5</v>
      </c>
      <c r="U27" s="46">
        <v>5</v>
      </c>
      <c r="V27" s="46">
        <v>5</v>
      </c>
      <c r="W27" s="46"/>
      <c r="X27" s="46">
        <v>5</v>
      </c>
      <c r="Y27" s="46">
        <v>5</v>
      </c>
      <c r="Z27" s="46"/>
      <c r="AA27" s="46">
        <v>5</v>
      </c>
      <c r="AB27" s="46">
        <v>5</v>
      </c>
      <c r="AC27" s="46">
        <v>5</v>
      </c>
      <c r="AD27" s="46">
        <v>5</v>
      </c>
      <c r="AE27" s="46">
        <v>5</v>
      </c>
      <c r="AF27" s="46">
        <v>5</v>
      </c>
      <c r="AG27" s="50">
        <v>25</v>
      </c>
      <c r="AH27" s="48">
        <f t="shared" si="8"/>
        <v>5</v>
      </c>
      <c r="AI27" s="49">
        <f t="shared" si="9"/>
        <v>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6</v>
      </c>
      <c r="C28" s="46">
        <v>6</v>
      </c>
      <c r="D28" s="46">
        <v>6</v>
      </c>
      <c r="E28" s="46">
        <v>6</v>
      </c>
      <c r="F28" s="46">
        <v>6</v>
      </c>
      <c r="G28" s="46">
        <v>6</v>
      </c>
      <c r="H28" s="46">
        <v>6</v>
      </c>
      <c r="I28" s="46">
        <v>6</v>
      </c>
      <c r="J28" s="46">
        <v>6</v>
      </c>
      <c r="K28" s="46">
        <v>6</v>
      </c>
      <c r="L28" s="46">
        <v>6</v>
      </c>
      <c r="M28" s="46">
        <v>6</v>
      </c>
      <c r="N28" s="46">
        <v>6</v>
      </c>
      <c r="O28" s="46">
        <v>6</v>
      </c>
      <c r="P28" s="46">
        <v>6</v>
      </c>
      <c r="Q28" s="46">
        <v>6</v>
      </c>
      <c r="R28" s="46">
        <v>6</v>
      </c>
      <c r="S28" s="46">
        <v>6</v>
      </c>
      <c r="T28" s="46">
        <v>6</v>
      </c>
      <c r="U28" s="46">
        <v>6</v>
      </c>
      <c r="V28" s="46">
        <v>6</v>
      </c>
      <c r="W28" s="46"/>
      <c r="X28" s="46">
        <v>6</v>
      </c>
      <c r="Y28" s="46">
        <v>6</v>
      </c>
      <c r="Z28" s="46"/>
      <c r="AA28" s="46">
        <v>6</v>
      </c>
      <c r="AB28" s="46">
        <v>6</v>
      </c>
      <c r="AC28" s="46">
        <v>6</v>
      </c>
      <c r="AD28" s="46">
        <v>6</v>
      </c>
      <c r="AE28" s="46">
        <v>6</v>
      </c>
      <c r="AF28" s="46">
        <v>6</v>
      </c>
      <c r="AG28" s="50">
        <v>25</v>
      </c>
      <c r="AH28" s="48">
        <f t="shared" si="8"/>
        <v>6</v>
      </c>
      <c r="AI28" s="49">
        <f t="shared" si="9"/>
        <v>6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6.4</v>
      </c>
      <c r="C29" s="46">
        <v>6.4</v>
      </c>
      <c r="D29" s="46">
        <v>6.4</v>
      </c>
      <c r="E29" s="46">
        <v>6.4</v>
      </c>
      <c r="F29" s="46">
        <v>6.4</v>
      </c>
      <c r="G29" s="46">
        <v>6.4</v>
      </c>
      <c r="H29" s="46">
        <v>6.4</v>
      </c>
      <c r="I29" s="46">
        <v>6.4</v>
      </c>
      <c r="J29" s="46">
        <v>6.4</v>
      </c>
      <c r="K29" s="46">
        <v>6.4</v>
      </c>
      <c r="L29" s="46">
        <v>6.4</v>
      </c>
      <c r="M29" s="46">
        <v>6.4</v>
      </c>
      <c r="N29" s="46">
        <v>6.4</v>
      </c>
      <c r="O29" s="46">
        <v>6.4</v>
      </c>
      <c r="P29" s="46">
        <v>6.4</v>
      </c>
      <c r="Q29" s="46">
        <v>6.4</v>
      </c>
      <c r="R29" s="46">
        <v>6.4</v>
      </c>
      <c r="S29" s="46">
        <v>6.4</v>
      </c>
      <c r="T29" s="46">
        <v>6.4</v>
      </c>
      <c r="U29" s="46">
        <v>6.4</v>
      </c>
      <c r="V29" s="46">
        <v>6.4</v>
      </c>
      <c r="W29" s="46"/>
      <c r="X29" s="46">
        <v>6.4</v>
      </c>
      <c r="Y29" s="46">
        <v>6.4</v>
      </c>
      <c r="Z29" s="46"/>
      <c r="AA29" s="46">
        <v>6.4</v>
      </c>
      <c r="AB29" s="46">
        <v>6.4</v>
      </c>
      <c r="AC29" s="46">
        <v>6.4</v>
      </c>
      <c r="AD29" s="46">
        <v>6.4</v>
      </c>
      <c r="AE29" s="46">
        <v>6.4</v>
      </c>
      <c r="AF29" s="46">
        <v>6.4</v>
      </c>
      <c r="AG29" s="50">
        <v>25</v>
      </c>
      <c r="AH29" s="48">
        <f t="shared" si="8"/>
        <v>6.4</v>
      </c>
      <c r="AI29" s="49">
        <f t="shared" si="9"/>
        <v>6.4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6.6</v>
      </c>
      <c r="C30" s="46">
        <v>6.6</v>
      </c>
      <c r="D30" s="46">
        <v>6.6</v>
      </c>
      <c r="E30" s="46">
        <v>6.6</v>
      </c>
      <c r="F30" s="46">
        <v>6.6</v>
      </c>
      <c r="G30" s="46">
        <v>6.6</v>
      </c>
      <c r="H30" s="46">
        <v>6.6</v>
      </c>
      <c r="I30" s="46">
        <v>6.6</v>
      </c>
      <c r="J30" s="46">
        <v>6.6</v>
      </c>
      <c r="K30" s="46">
        <v>6.6</v>
      </c>
      <c r="L30" s="46">
        <v>6.6</v>
      </c>
      <c r="M30" s="46">
        <v>6.6</v>
      </c>
      <c r="N30" s="46">
        <v>6.6</v>
      </c>
      <c r="O30" s="46">
        <v>6.6</v>
      </c>
      <c r="P30" s="46">
        <v>6.6</v>
      </c>
      <c r="Q30" s="46">
        <v>6.6</v>
      </c>
      <c r="R30" s="46">
        <v>6.6</v>
      </c>
      <c r="S30" s="46">
        <v>6.6</v>
      </c>
      <c r="T30" s="46">
        <v>6.6</v>
      </c>
      <c r="U30" s="46">
        <v>6.6</v>
      </c>
      <c r="V30" s="46">
        <v>6.6</v>
      </c>
      <c r="W30" s="46"/>
      <c r="X30" s="46">
        <v>6.6</v>
      </c>
      <c r="Y30" s="46">
        <v>6.6</v>
      </c>
      <c r="Z30" s="46"/>
      <c r="AA30" s="46">
        <v>6.6</v>
      </c>
      <c r="AB30" s="46">
        <v>6.6</v>
      </c>
      <c r="AC30" s="46">
        <v>6.6</v>
      </c>
      <c r="AD30" s="46">
        <v>6.6</v>
      </c>
      <c r="AE30" s="46">
        <v>6.6</v>
      </c>
      <c r="AF30" s="46">
        <v>6.6</v>
      </c>
      <c r="AG30" s="50">
        <v>23.5</v>
      </c>
      <c r="AH30" s="48">
        <f t="shared" si="8"/>
        <v>6.6</v>
      </c>
      <c r="AI30" s="49">
        <f t="shared" si="9"/>
        <v>6.6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>
        <v>3</v>
      </c>
      <c r="V31" s="46">
        <v>3</v>
      </c>
      <c r="W31" s="46"/>
      <c r="X31" s="46">
        <v>3</v>
      </c>
      <c r="Y31" s="46">
        <v>3</v>
      </c>
      <c r="Z31" s="46"/>
      <c r="AA31" s="46">
        <v>3</v>
      </c>
      <c r="AB31" s="46">
        <v>3</v>
      </c>
      <c r="AC31" s="46">
        <v>3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8"/>
        <v>3</v>
      </c>
      <c r="AI31" s="49">
        <f t="shared" si="9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5.5</v>
      </c>
      <c r="Q32" s="46">
        <v>5.5</v>
      </c>
      <c r="R32" s="46">
        <v>5.5</v>
      </c>
      <c r="S32" s="46">
        <v>5.5</v>
      </c>
      <c r="T32" s="46">
        <v>5.5</v>
      </c>
      <c r="U32" s="46">
        <v>5.5</v>
      </c>
      <c r="V32" s="46">
        <v>5.5</v>
      </c>
      <c r="W32" s="46"/>
      <c r="X32" s="46">
        <v>5.5</v>
      </c>
      <c r="Y32" s="46">
        <v>5.5</v>
      </c>
      <c r="Z32" s="46"/>
      <c r="AA32" s="46">
        <v>5.5</v>
      </c>
      <c r="AB32" s="46">
        <v>5.5</v>
      </c>
      <c r="AC32" s="46">
        <v>5.5</v>
      </c>
      <c r="AD32" s="46">
        <v>5.5</v>
      </c>
      <c r="AE32" s="46">
        <v>5.5</v>
      </c>
      <c r="AF32" s="46">
        <v>5.5</v>
      </c>
      <c r="AG32" s="50">
        <v>22.1</v>
      </c>
      <c r="AH32" s="48">
        <f t="shared" si="8"/>
        <v>5.5</v>
      </c>
      <c r="AI32" s="49">
        <f t="shared" si="9"/>
        <v>5.5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6</v>
      </c>
      <c r="C33" s="46">
        <v>6</v>
      </c>
      <c r="D33" s="46">
        <v>6</v>
      </c>
      <c r="E33" s="46">
        <v>6</v>
      </c>
      <c r="F33" s="46">
        <v>6</v>
      </c>
      <c r="G33" s="46">
        <v>6</v>
      </c>
      <c r="H33" s="46">
        <v>6</v>
      </c>
      <c r="I33" s="46">
        <v>6</v>
      </c>
      <c r="J33" s="46">
        <v>6</v>
      </c>
      <c r="K33" s="46">
        <v>6</v>
      </c>
      <c r="L33" s="46">
        <v>6</v>
      </c>
      <c r="M33" s="46">
        <v>6</v>
      </c>
      <c r="N33" s="46">
        <v>6</v>
      </c>
      <c r="O33" s="46">
        <v>6</v>
      </c>
      <c r="P33" s="46">
        <v>6</v>
      </c>
      <c r="Q33" s="46">
        <v>6</v>
      </c>
      <c r="R33" s="46">
        <v>6</v>
      </c>
      <c r="S33" s="46">
        <v>6</v>
      </c>
      <c r="T33" s="46">
        <v>6</v>
      </c>
      <c r="U33" s="46">
        <v>6</v>
      </c>
      <c r="V33" s="46">
        <v>6</v>
      </c>
      <c r="W33" s="46"/>
      <c r="X33" s="46">
        <v>6</v>
      </c>
      <c r="Y33" s="46">
        <v>6</v>
      </c>
      <c r="Z33" s="46"/>
      <c r="AA33" s="46">
        <v>6</v>
      </c>
      <c r="AB33" s="46">
        <v>6</v>
      </c>
      <c r="AC33" s="46">
        <v>6</v>
      </c>
      <c r="AD33" s="46">
        <v>6</v>
      </c>
      <c r="AE33" s="46">
        <v>6</v>
      </c>
      <c r="AF33" s="46">
        <v>6</v>
      </c>
      <c r="AG33" s="50">
        <v>22</v>
      </c>
      <c r="AH33" s="48">
        <f t="shared" si="8"/>
        <v>6</v>
      </c>
      <c r="AI33" s="49">
        <f t="shared" si="9"/>
        <v>6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9.9</v>
      </c>
      <c r="C34" s="46">
        <v>9.9</v>
      </c>
      <c r="D34" s="46">
        <v>9.9</v>
      </c>
      <c r="E34" s="46">
        <v>9.9</v>
      </c>
      <c r="F34" s="46">
        <v>9.9</v>
      </c>
      <c r="G34" s="46">
        <v>9.9</v>
      </c>
      <c r="H34" s="46">
        <v>9.9</v>
      </c>
      <c r="I34" s="46">
        <v>9.9</v>
      </c>
      <c r="J34" s="46">
        <v>9.9</v>
      </c>
      <c r="K34" s="46">
        <v>9.9</v>
      </c>
      <c r="L34" s="46">
        <v>9.9</v>
      </c>
      <c r="M34" s="46">
        <v>9.9</v>
      </c>
      <c r="N34" s="46">
        <v>9.9</v>
      </c>
      <c r="O34" s="46">
        <v>9.9</v>
      </c>
      <c r="P34" s="46">
        <v>9.9</v>
      </c>
      <c r="Q34" s="46">
        <v>9.9</v>
      </c>
      <c r="R34" s="46">
        <v>9.9</v>
      </c>
      <c r="S34" s="46">
        <v>9.9</v>
      </c>
      <c r="T34" s="46">
        <v>9.9</v>
      </c>
      <c r="U34" s="46">
        <v>9.9</v>
      </c>
      <c r="V34" s="46">
        <v>9.9</v>
      </c>
      <c r="W34" s="46"/>
      <c r="X34" s="46">
        <v>9.9</v>
      </c>
      <c r="Y34" s="46">
        <v>9.9</v>
      </c>
      <c r="Z34" s="46"/>
      <c r="AA34" s="46">
        <v>9.9</v>
      </c>
      <c r="AB34" s="46">
        <v>9.9</v>
      </c>
      <c r="AC34" s="46">
        <v>9.9</v>
      </c>
      <c r="AD34" s="46">
        <v>9.9</v>
      </c>
      <c r="AE34" s="46">
        <v>9.9</v>
      </c>
      <c r="AF34" s="46">
        <v>9.9</v>
      </c>
      <c r="AG34" s="50">
        <v>22</v>
      </c>
      <c r="AH34" s="48">
        <f t="shared" si="8"/>
        <v>9.9</v>
      </c>
      <c r="AI34" s="49">
        <f t="shared" si="9"/>
        <v>9.9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/>
      <c r="X35" s="46">
        <v>4</v>
      </c>
      <c r="Y35" s="46">
        <v>4</v>
      </c>
      <c r="Z35" s="46"/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8"/>
        <v>4</v>
      </c>
      <c r="AI35" s="49">
        <f t="shared" si="9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>
        <v>4</v>
      </c>
      <c r="V36" s="46">
        <v>4</v>
      </c>
      <c r="W36" s="46"/>
      <c r="X36" s="46">
        <v>4</v>
      </c>
      <c r="Y36" s="46">
        <v>4</v>
      </c>
      <c r="Z36" s="46"/>
      <c r="AA36" s="46">
        <v>4</v>
      </c>
      <c r="AB36" s="46">
        <v>4</v>
      </c>
      <c r="AC36" s="46">
        <v>4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8"/>
        <v>4</v>
      </c>
      <c r="AI36" s="49">
        <f t="shared" si="9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>
        <v>5.7</v>
      </c>
      <c r="V37" s="46">
        <v>5.7</v>
      </c>
      <c r="W37" s="46"/>
      <c r="X37" s="46">
        <v>5.7</v>
      </c>
      <c r="Y37" s="46">
        <v>5.7</v>
      </c>
      <c r="Z37" s="46"/>
      <c r="AA37" s="46">
        <v>5.7</v>
      </c>
      <c r="AB37" s="46">
        <v>5.7</v>
      </c>
      <c r="AC37" s="46">
        <v>5.7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8"/>
        <v>5.7</v>
      </c>
      <c r="AI37" s="49">
        <f t="shared" si="9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7.2</v>
      </c>
      <c r="Q38" s="46">
        <v>7.2</v>
      </c>
      <c r="R38" s="46">
        <v>7.2</v>
      </c>
      <c r="S38" s="46">
        <v>7.2</v>
      </c>
      <c r="T38" s="46">
        <v>7.2</v>
      </c>
      <c r="U38" s="46">
        <v>7.2</v>
      </c>
      <c r="V38" s="46">
        <v>7.2</v>
      </c>
      <c r="W38" s="46"/>
      <c r="X38" s="46">
        <v>7.2</v>
      </c>
      <c r="Y38" s="46">
        <v>7.2</v>
      </c>
      <c r="Z38" s="46"/>
      <c r="AA38" s="46">
        <v>7.2</v>
      </c>
      <c r="AB38" s="46">
        <v>7.2</v>
      </c>
      <c r="AC38" s="46">
        <v>7.2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8"/>
        <v>7.2</v>
      </c>
      <c r="AI38" s="49">
        <f t="shared" si="9"/>
        <v>7.2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/>
      <c r="X39" s="46">
        <v>0</v>
      </c>
      <c r="Y39" s="46">
        <v>0</v>
      </c>
      <c r="Z39" s="46"/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0</v>
      </c>
      <c r="C40" s="46">
        <v>0</v>
      </c>
      <c r="D40" s="46">
        <v>0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46">
        <v>0</v>
      </c>
      <c r="P40" s="46">
        <v>0</v>
      </c>
      <c r="Q40" s="46">
        <v>0</v>
      </c>
      <c r="R40" s="46">
        <v>0</v>
      </c>
      <c r="S40" s="46">
        <v>0</v>
      </c>
      <c r="T40" s="46">
        <v>0</v>
      </c>
      <c r="U40" s="46">
        <v>0</v>
      </c>
      <c r="V40" s="46">
        <v>0</v>
      </c>
      <c r="W40" s="46"/>
      <c r="X40" s="46">
        <v>0</v>
      </c>
      <c r="Y40" s="46">
        <v>0</v>
      </c>
      <c r="Z40" s="46"/>
      <c r="AA40" s="46">
        <v>0</v>
      </c>
      <c r="AB40" s="46">
        <v>0</v>
      </c>
      <c r="AC40" s="46">
        <v>0</v>
      </c>
      <c r="AD40" s="46">
        <v>0</v>
      </c>
      <c r="AE40" s="46">
        <v>0</v>
      </c>
      <c r="AF40" s="46">
        <v>0</v>
      </c>
      <c r="AG40" s="50">
        <v>14.9</v>
      </c>
      <c r="AH40" s="48">
        <f t="shared" si="8"/>
        <v>0</v>
      </c>
      <c r="AI40" s="49">
        <f t="shared" si="9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/>
      <c r="X41" s="46">
        <v>4</v>
      </c>
      <c r="Y41" s="46">
        <v>4</v>
      </c>
      <c r="Z41" s="46"/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8"/>
        <v>4</v>
      </c>
      <c r="AI41" s="49">
        <f t="shared" si="9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>
        <v>1.8</v>
      </c>
      <c r="V42" s="46">
        <v>1.8</v>
      </c>
      <c r="W42" s="46"/>
      <c r="X42" s="46">
        <v>1.8</v>
      </c>
      <c r="Y42" s="46">
        <v>1.8</v>
      </c>
      <c r="Z42" s="46"/>
      <c r="AA42" s="46">
        <v>1.8</v>
      </c>
      <c r="AB42" s="46">
        <v>1.8</v>
      </c>
      <c r="AC42" s="46">
        <v>1.8</v>
      </c>
      <c r="AD42" s="46">
        <v>1.8</v>
      </c>
      <c r="AE42" s="46">
        <v>1.8</v>
      </c>
      <c r="AF42" s="46">
        <v>1.8</v>
      </c>
      <c r="AG42" s="50">
        <v>13.6</v>
      </c>
      <c r="AH42" s="48">
        <f t="shared" si="8"/>
        <v>1.8</v>
      </c>
      <c r="AI42" s="49">
        <f t="shared" si="9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>
        <v>3.8</v>
      </c>
      <c r="V43" s="46">
        <v>3.8</v>
      </c>
      <c r="W43" s="46"/>
      <c r="X43" s="46">
        <v>3.8</v>
      </c>
      <c r="Y43" s="46">
        <v>3.8</v>
      </c>
      <c r="Z43" s="46"/>
      <c r="AA43" s="46">
        <v>3.8</v>
      </c>
      <c r="AB43" s="46">
        <v>3.8</v>
      </c>
      <c r="AC43" s="46">
        <v>3.8</v>
      </c>
      <c r="AD43" s="46">
        <v>3.8</v>
      </c>
      <c r="AE43" s="46">
        <v>3.8</v>
      </c>
      <c r="AF43" s="46">
        <v>3.8</v>
      </c>
      <c r="AG43" s="50">
        <v>13</v>
      </c>
      <c r="AH43" s="48">
        <f t="shared" si="8"/>
        <v>3.8</v>
      </c>
      <c r="AI43" s="49">
        <f t="shared" si="9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2.5</v>
      </c>
      <c r="C44" s="46">
        <v>2.5</v>
      </c>
      <c r="D44" s="46">
        <v>2.5</v>
      </c>
      <c r="E44" s="46">
        <v>2.5</v>
      </c>
      <c r="F44" s="46">
        <v>2.5</v>
      </c>
      <c r="G44" s="46">
        <v>2.5</v>
      </c>
      <c r="H44" s="46">
        <v>2.5</v>
      </c>
      <c r="I44" s="46">
        <v>2.5</v>
      </c>
      <c r="J44" s="46">
        <v>2.5</v>
      </c>
      <c r="K44" s="46">
        <v>2.5</v>
      </c>
      <c r="L44" s="46">
        <v>2.5</v>
      </c>
      <c r="M44" s="46">
        <v>2.5</v>
      </c>
      <c r="N44" s="46">
        <v>2.5</v>
      </c>
      <c r="O44" s="46">
        <v>2.5</v>
      </c>
      <c r="P44" s="46">
        <v>2.5</v>
      </c>
      <c r="Q44" s="46">
        <v>2.5</v>
      </c>
      <c r="R44" s="46">
        <v>2.5</v>
      </c>
      <c r="S44" s="46">
        <v>2.5</v>
      </c>
      <c r="T44" s="46">
        <v>2.5</v>
      </c>
      <c r="U44" s="46">
        <v>2.5</v>
      </c>
      <c r="V44" s="46">
        <v>2.5</v>
      </c>
      <c r="W44" s="46"/>
      <c r="X44" s="46">
        <v>2.5</v>
      </c>
      <c r="Y44" s="46">
        <v>2.5</v>
      </c>
      <c r="Z44" s="46"/>
      <c r="AA44" s="46">
        <v>2.5</v>
      </c>
      <c r="AB44" s="46">
        <v>2.5</v>
      </c>
      <c r="AC44" s="46">
        <v>2.5</v>
      </c>
      <c r="AD44" s="46">
        <v>2.5</v>
      </c>
      <c r="AE44" s="46">
        <v>2.5</v>
      </c>
      <c r="AF44" s="46">
        <v>2.5</v>
      </c>
      <c r="AG44" s="50">
        <v>12</v>
      </c>
      <c r="AH44" s="48">
        <f t="shared" si="8"/>
        <v>2.5</v>
      </c>
      <c r="AI44" s="49">
        <f t="shared" si="9"/>
        <v>2.5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>
        <v>9</v>
      </c>
      <c r="V45" s="46">
        <v>9</v>
      </c>
      <c r="W45" s="46"/>
      <c r="X45" s="46">
        <v>9</v>
      </c>
      <c r="Y45" s="46">
        <v>9</v>
      </c>
      <c r="Z45" s="46"/>
      <c r="AA45" s="46">
        <v>9</v>
      </c>
      <c r="AB45" s="46">
        <v>9</v>
      </c>
      <c r="AC45" s="46">
        <v>9</v>
      </c>
      <c r="AD45" s="46">
        <v>9</v>
      </c>
      <c r="AE45" s="46">
        <v>9</v>
      </c>
      <c r="AF45" s="46">
        <v>9</v>
      </c>
      <c r="AG45" s="50">
        <v>12</v>
      </c>
      <c r="AH45" s="48">
        <f t="shared" si="8"/>
        <v>9</v>
      </c>
      <c r="AI45" s="49">
        <f t="shared" si="9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/>
      <c r="X46" s="46">
        <v>3</v>
      </c>
      <c r="Y46" s="46">
        <v>3</v>
      </c>
      <c r="Z46" s="46"/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>
        <v>3.5</v>
      </c>
      <c r="V47" s="46">
        <v>3.5</v>
      </c>
      <c r="W47" s="46"/>
      <c r="X47" s="46">
        <v>3.5</v>
      </c>
      <c r="Y47" s="46">
        <v>3.5</v>
      </c>
      <c r="Z47" s="46"/>
      <c r="AA47" s="46">
        <v>3.5</v>
      </c>
      <c r="AB47" s="46">
        <v>3.5</v>
      </c>
      <c r="AC47" s="46">
        <v>3.5</v>
      </c>
      <c r="AD47" s="46">
        <v>3.5</v>
      </c>
      <c r="AE47" s="46">
        <v>3.5</v>
      </c>
      <c r="AF47" s="46">
        <v>3.5</v>
      </c>
      <c r="AG47" s="63">
        <v>22</v>
      </c>
      <c r="AH47" s="48">
        <f t="shared" si="8"/>
        <v>3.5</v>
      </c>
      <c r="AI47" s="49">
        <f t="shared" si="9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>
        <v>5</v>
      </c>
      <c r="V48" s="46">
        <v>5</v>
      </c>
      <c r="W48" s="46"/>
      <c r="X48" s="46">
        <v>5</v>
      </c>
      <c r="Y48" s="46">
        <v>5</v>
      </c>
      <c r="Z48" s="46"/>
      <c r="AA48" s="46">
        <v>5</v>
      </c>
      <c r="AB48" s="46">
        <v>5</v>
      </c>
      <c r="AC48" s="46">
        <v>5</v>
      </c>
      <c r="AD48" s="46">
        <v>5</v>
      </c>
      <c r="AE48" s="46">
        <v>5</v>
      </c>
      <c r="AF48" s="46">
        <v>5</v>
      </c>
      <c r="AG48" s="60">
        <v>11.88</v>
      </c>
      <c r="AH48" s="48">
        <f t="shared" si="8"/>
        <v>5</v>
      </c>
      <c r="AI48" s="49">
        <f t="shared" si="9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/>
      <c r="X49" s="46">
        <v>3</v>
      </c>
      <c r="Y49" s="46">
        <v>3</v>
      </c>
      <c r="Z49" s="46"/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5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4" t="s">
        <v>67</v>
      </c>
      <c r="B50" s="46">
        <v>2.4500000000000002</v>
      </c>
      <c r="C50" s="46">
        <v>2.4500000000000002</v>
      </c>
      <c r="D50" s="46">
        <v>2.4500000000000002</v>
      </c>
      <c r="E50" s="46">
        <v>2.4500000000000002</v>
      </c>
      <c r="F50" s="46">
        <v>2.4500000000000002</v>
      </c>
      <c r="G50" s="46">
        <v>2.4500000000000002</v>
      </c>
      <c r="H50" s="46">
        <v>2.4500000000000002</v>
      </c>
      <c r="I50" s="46">
        <v>2.4500000000000002</v>
      </c>
      <c r="J50" s="46">
        <v>2.4500000000000002</v>
      </c>
      <c r="K50" s="46">
        <v>2.4500000000000002</v>
      </c>
      <c r="L50" s="46">
        <v>2.4500000000000002</v>
      </c>
      <c r="M50" s="46">
        <v>2.4500000000000002</v>
      </c>
      <c r="N50" s="46">
        <v>2.4500000000000002</v>
      </c>
      <c r="O50" s="46">
        <v>2.4500000000000002</v>
      </c>
      <c r="P50" s="46">
        <v>2.4500000000000002</v>
      </c>
      <c r="Q50" s="46">
        <v>2.4500000000000002</v>
      </c>
      <c r="R50" s="46">
        <v>2.4500000000000002</v>
      </c>
      <c r="S50" s="46">
        <v>2.4500000000000002</v>
      </c>
      <c r="T50" s="46">
        <v>2.4500000000000002</v>
      </c>
      <c r="U50" s="46">
        <v>2.4500000000000002</v>
      </c>
      <c r="V50" s="46">
        <v>2.4500000000000002</v>
      </c>
      <c r="W50" s="46"/>
      <c r="X50" s="46">
        <v>2.4500000000000002</v>
      </c>
      <c r="Y50" s="46">
        <v>2.4500000000000002</v>
      </c>
      <c r="Z50" s="46"/>
      <c r="AA50" s="46">
        <v>2.4500000000000002</v>
      </c>
      <c r="AB50" s="46">
        <v>2.4500000000000002</v>
      </c>
      <c r="AC50" s="46">
        <v>2.4500000000000002</v>
      </c>
      <c r="AD50" s="46">
        <v>2.4500000000000002</v>
      </c>
      <c r="AE50" s="46">
        <v>2.4500000000000002</v>
      </c>
      <c r="AF50" s="46">
        <v>2.4500000000000002</v>
      </c>
      <c r="AG50" s="65">
        <v>11</v>
      </c>
      <c r="AH50" s="48">
        <f t="shared" si="8"/>
        <v>2.4500000000000002</v>
      </c>
      <c r="AI50" s="49">
        <f t="shared" si="9"/>
        <v>2.4500000000000002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/>
      <c r="X51" s="46">
        <v>3</v>
      </c>
      <c r="Y51" s="46">
        <v>3</v>
      </c>
      <c r="Z51" s="46"/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65">
        <v>11</v>
      </c>
      <c r="AH51" s="48">
        <f t="shared" si="8"/>
        <v>3</v>
      </c>
      <c r="AI51" s="49">
        <f t="shared" si="9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/>
      <c r="X52" s="46">
        <v>4</v>
      </c>
      <c r="Y52" s="46">
        <v>4</v>
      </c>
      <c r="Z52" s="46"/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5">
        <v>10</v>
      </c>
      <c r="AH52" s="48">
        <f t="shared" si="8"/>
        <v>4</v>
      </c>
      <c r="AI52" s="49">
        <f t="shared" si="9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>
        <v>4.5</v>
      </c>
      <c r="V53" s="46">
        <v>4.5</v>
      </c>
      <c r="W53" s="46"/>
      <c r="X53" s="46">
        <v>4.5</v>
      </c>
      <c r="Y53" s="46">
        <v>4.5</v>
      </c>
      <c r="Z53" s="46"/>
      <c r="AA53" s="46">
        <v>4.5</v>
      </c>
      <c r="AB53" s="46">
        <v>4.5</v>
      </c>
      <c r="AC53" s="46">
        <v>4.5</v>
      </c>
      <c r="AD53" s="46">
        <v>4.5</v>
      </c>
      <c r="AE53" s="46">
        <v>4.5</v>
      </c>
      <c r="AF53" s="46">
        <v>4.5</v>
      </c>
      <c r="AG53" s="65">
        <v>10</v>
      </c>
      <c r="AH53" s="48">
        <f t="shared" si="8"/>
        <v>4.5</v>
      </c>
      <c r="AI53" s="49">
        <f t="shared" si="9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/>
      <c r="X54" s="46">
        <v>0</v>
      </c>
      <c r="Y54" s="46">
        <v>0</v>
      </c>
      <c r="Z54" s="46"/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5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/>
      <c r="X55" s="46">
        <v>0</v>
      </c>
      <c r="Y55" s="46">
        <v>0</v>
      </c>
      <c r="Z55" s="46"/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5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>
        <v>150</v>
      </c>
      <c r="W56" s="67"/>
      <c r="X56" s="67">
        <v>150</v>
      </c>
      <c r="Y56" s="67">
        <v>150</v>
      </c>
      <c r="Z56" s="67"/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8" t="s">
        <v>74</v>
      </c>
      <c r="B57" s="67">
        <v>17.899999999999999</v>
      </c>
      <c r="C57" s="67">
        <v>17.899999999999999</v>
      </c>
      <c r="D57" s="67">
        <v>17.899999999999999</v>
      </c>
      <c r="E57" s="67">
        <v>18.7</v>
      </c>
      <c r="F57" s="67">
        <v>17.2</v>
      </c>
      <c r="G57" s="67">
        <v>17.2</v>
      </c>
      <c r="H57" s="67">
        <v>17.2</v>
      </c>
      <c r="I57" s="67">
        <v>16</v>
      </c>
      <c r="J57" s="67">
        <v>16</v>
      </c>
      <c r="K57" s="67">
        <v>16</v>
      </c>
      <c r="L57" s="67">
        <v>16</v>
      </c>
      <c r="M57" s="53">
        <f>5+11.2</f>
        <v>16.2</v>
      </c>
      <c r="N57" s="53">
        <f>5+11.2</f>
        <v>16.2</v>
      </c>
      <c r="O57" s="53">
        <f>5+11.2</f>
        <v>16.2</v>
      </c>
      <c r="P57" s="53">
        <f>5+11.2</f>
        <v>16.2</v>
      </c>
      <c r="Q57" s="53">
        <f>5.7+12</f>
        <v>17.7</v>
      </c>
      <c r="R57" s="53">
        <f>4.8+9.2</f>
        <v>14</v>
      </c>
      <c r="S57" s="53">
        <v>15.2</v>
      </c>
      <c r="T57" s="53">
        <v>15</v>
      </c>
      <c r="U57" s="53">
        <v>15</v>
      </c>
      <c r="V57" s="53">
        <v>15</v>
      </c>
      <c r="W57" s="53"/>
      <c r="X57" s="53">
        <v>15</v>
      </c>
      <c r="Y57" s="53">
        <v>15</v>
      </c>
      <c r="Z57" s="53"/>
      <c r="AA57" s="53">
        <v>15</v>
      </c>
      <c r="AB57" s="53">
        <v>15</v>
      </c>
      <c r="AC57" s="53">
        <v>15</v>
      </c>
      <c r="AD57" s="53">
        <v>15</v>
      </c>
      <c r="AE57" s="53">
        <v>15</v>
      </c>
      <c r="AF57" s="53">
        <v>15</v>
      </c>
      <c r="AG57" s="65">
        <v>240</v>
      </c>
      <c r="AH57" s="48">
        <f t="shared" si="8"/>
        <v>18.7</v>
      </c>
      <c r="AI57" s="49">
        <f t="shared" si="9"/>
        <v>14</v>
      </c>
      <c r="AK57" s="51"/>
    </row>
    <row r="58" spans="1:88" ht="15.75" thickBot="1" x14ac:dyDescent="0.3">
      <c r="A58" s="69" t="s">
        <v>75</v>
      </c>
      <c r="B58" s="70">
        <f t="shared" ref="B58:C58" si="22">SUM(B11:B56)</f>
        <v>456.24900000000002</v>
      </c>
      <c r="C58" s="70">
        <f t="shared" si="22"/>
        <v>456.24900000000002</v>
      </c>
      <c r="D58" s="70">
        <f t="shared" ref="D58" si="23">SUM(D11:D56)</f>
        <v>456.24900000000002</v>
      </c>
      <c r="E58" s="70">
        <f t="shared" ref="E58:R58" si="24">SUM(E11:E56)</f>
        <v>456.24900000000002</v>
      </c>
      <c r="F58" s="70">
        <f t="shared" si="24"/>
        <v>456.24900000000002</v>
      </c>
      <c r="G58" s="70">
        <f t="shared" si="24"/>
        <v>456.24900000000002</v>
      </c>
      <c r="H58" s="70">
        <f t="shared" si="24"/>
        <v>456.24900000000002</v>
      </c>
      <c r="I58" s="70">
        <f t="shared" si="24"/>
        <v>456.24900000000002</v>
      </c>
      <c r="J58" s="70">
        <f t="shared" si="24"/>
        <v>456.24900000000002</v>
      </c>
      <c r="K58" s="70">
        <f t="shared" si="24"/>
        <v>456.24900000000002</v>
      </c>
      <c r="L58" s="70">
        <f t="shared" si="24"/>
        <v>456.24900000000002</v>
      </c>
      <c r="M58" s="70">
        <f t="shared" si="24"/>
        <v>456.24900000000002</v>
      </c>
      <c r="N58" s="70">
        <f t="shared" si="24"/>
        <v>456.24900000000002</v>
      </c>
      <c r="O58" s="70">
        <f t="shared" si="24"/>
        <v>456.24900000000002</v>
      </c>
      <c r="P58" s="70">
        <f t="shared" si="24"/>
        <v>456.24900000000002</v>
      </c>
      <c r="Q58" s="70">
        <f t="shared" si="24"/>
        <v>456.24900000000002</v>
      </c>
      <c r="R58" s="70">
        <f t="shared" si="24"/>
        <v>456.24900000000002</v>
      </c>
      <c r="S58" s="70">
        <f t="shared" ref="S58" si="25">SUM(S11:S56)</f>
        <v>456.24900000000002</v>
      </c>
      <c r="T58" s="70">
        <f>SUM(T11:T56)</f>
        <v>456.24900000000002</v>
      </c>
      <c r="U58" s="70">
        <f>SUM(U11:U56)</f>
        <v>456.24900000000002</v>
      </c>
      <c r="V58" s="70">
        <f>SUM(V11:V56)</f>
        <v>456.24900000000002</v>
      </c>
      <c r="W58" s="70"/>
      <c r="X58" s="70">
        <f t="shared" ref="X58" si="26">SUM(X11:X56)</f>
        <v>456.24900000000002</v>
      </c>
      <c r="Y58" s="70">
        <f t="shared" ref="Y58:AA58" si="27">SUM(Y11:Y56)</f>
        <v>456.24900000000002</v>
      </c>
      <c r="Z58" s="70"/>
      <c r="AA58" s="70">
        <f t="shared" si="27"/>
        <v>456.24900000000002</v>
      </c>
      <c r="AB58" s="70">
        <f t="shared" ref="AB58:AC58" si="28">SUM(AB11:AB56)</f>
        <v>456.24900000000002</v>
      </c>
      <c r="AC58" s="70">
        <f t="shared" si="28"/>
        <v>456.24900000000002</v>
      </c>
      <c r="AD58" s="70">
        <f t="shared" ref="AD58:AE58" si="29">SUM(AD11:AD56)</f>
        <v>456.24900000000002</v>
      </c>
      <c r="AE58" s="70">
        <f t="shared" si="29"/>
        <v>456.24900000000002</v>
      </c>
      <c r="AF58" s="70">
        <f t="shared" ref="AF58" si="30">SUM(AF11:AF56)</f>
        <v>456.24900000000002</v>
      </c>
      <c r="AG58" s="71">
        <f>SUM(AG14:AG56)</f>
        <v>1042.4000000000001</v>
      </c>
      <c r="AH58" s="48">
        <f t="shared" si="8"/>
        <v>456.24900000000002</v>
      </c>
      <c r="AI58" s="49">
        <f t="shared" si="9"/>
        <v>456.24900000000002</v>
      </c>
      <c r="AK58" s="51"/>
    </row>
    <row r="59" spans="1:88" x14ac:dyDescent="0.25">
      <c r="A59" s="72" t="s">
        <v>76</v>
      </c>
      <c r="B59" s="46">
        <v>0</v>
      </c>
      <c r="C59" s="46">
        <v>0</v>
      </c>
      <c r="D59" s="46">
        <v>0</v>
      </c>
      <c r="E59" s="46">
        <v>0</v>
      </c>
      <c r="F59" s="46">
        <v>0</v>
      </c>
      <c r="G59" s="46">
        <v>0</v>
      </c>
      <c r="H59" s="46">
        <v>0</v>
      </c>
      <c r="I59" s="46">
        <v>0</v>
      </c>
      <c r="J59" s="46">
        <v>15</v>
      </c>
      <c r="K59" s="46">
        <v>0</v>
      </c>
      <c r="L59" s="46">
        <v>110</v>
      </c>
      <c r="M59" s="46">
        <v>20</v>
      </c>
      <c r="N59" s="73">
        <v>25</v>
      </c>
      <c r="O59" s="73">
        <v>15</v>
      </c>
      <c r="P59" s="73">
        <v>15</v>
      </c>
      <c r="Q59" s="73">
        <v>75</v>
      </c>
      <c r="R59" s="73">
        <v>96.6</v>
      </c>
      <c r="S59" s="73">
        <v>46.3</v>
      </c>
      <c r="T59" s="73">
        <v>0</v>
      </c>
      <c r="U59" s="73">
        <v>50</v>
      </c>
      <c r="V59" s="73">
        <v>50</v>
      </c>
      <c r="W59" s="73"/>
      <c r="X59" s="73">
        <v>40</v>
      </c>
      <c r="Y59" s="73">
        <v>170</v>
      </c>
      <c r="Z59" s="73"/>
      <c r="AA59" s="73">
        <v>92</v>
      </c>
      <c r="AB59" s="73">
        <v>92</v>
      </c>
      <c r="AC59" s="73">
        <v>80</v>
      </c>
      <c r="AD59" s="73">
        <v>120</v>
      </c>
      <c r="AE59" s="73">
        <v>86</v>
      </c>
      <c r="AF59" s="73">
        <v>60</v>
      </c>
      <c r="AG59" s="60">
        <v>456</v>
      </c>
      <c r="AH59" s="48">
        <f t="shared" si="8"/>
        <v>170</v>
      </c>
      <c r="AI59" s="49">
        <f t="shared" si="9"/>
        <v>0</v>
      </c>
      <c r="AK59" s="51"/>
    </row>
    <row r="60" spans="1:88" x14ac:dyDescent="0.25">
      <c r="A60" s="74" t="s">
        <v>77</v>
      </c>
      <c r="B60" s="75">
        <v>27</v>
      </c>
      <c r="C60" s="75">
        <v>27</v>
      </c>
      <c r="D60" s="75">
        <v>27</v>
      </c>
      <c r="E60" s="75">
        <v>27</v>
      </c>
      <c r="F60" s="75">
        <v>27</v>
      </c>
      <c r="G60" s="75">
        <v>27</v>
      </c>
      <c r="H60" s="75">
        <v>27</v>
      </c>
      <c r="I60" s="75">
        <v>27</v>
      </c>
      <c r="J60" s="75">
        <v>27</v>
      </c>
      <c r="K60" s="75">
        <v>27</v>
      </c>
      <c r="L60" s="75">
        <v>27</v>
      </c>
      <c r="M60" s="75">
        <v>27</v>
      </c>
      <c r="N60" s="75">
        <v>27</v>
      </c>
      <c r="O60" s="75">
        <v>27</v>
      </c>
      <c r="P60" s="75">
        <v>27</v>
      </c>
      <c r="Q60" s="75">
        <v>27</v>
      </c>
      <c r="R60" s="75">
        <v>27</v>
      </c>
      <c r="S60" s="75">
        <v>27</v>
      </c>
      <c r="T60" s="75">
        <v>27</v>
      </c>
      <c r="U60" s="75">
        <v>27</v>
      </c>
      <c r="V60" s="75">
        <v>27</v>
      </c>
      <c r="W60" s="75"/>
      <c r="X60" s="75">
        <v>27</v>
      </c>
      <c r="Y60" s="75">
        <v>27</v>
      </c>
      <c r="Z60" s="75"/>
      <c r="AA60" s="75">
        <v>27</v>
      </c>
      <c r="AB60" s="75">
        <v>27</v>
      </c>
      <c r="AC60" s="75">
        <v>27</v>
      </c>
      <c r="AD60" s="75">
        <v>27</v>
      </c>
      <c r="AE60" s="75">
        <v>27</v>
      </c>
      <c r="AF60" s="75">
        <v>27</v>
      </c>
      <c r="AG60" s="65">
        <v>60</v>
      </c>
      <c r="AH60" s="48">
        <f t="shared" si="8"/>
        <v>27</v>
      </c>
      <c r="AI60" s="49">
        <f t="shared" si="9"/>
        <v>27</v>
      </c>
      <c r="AK60" s="51"/>
    </row>
    <row r="61" spans="1:88" ht="15.75" thickBot="1" x14ac:dyDescent="0.3">
      <c r="A61" s="76" t="s">
        <v>78</v>
      </c>
      <c r="B61" s="77">
        <v>0</v>
      </c>
      <c r="C61" s="77">
        <v>11</v>
      </c>
      <c r="D61" s="77">
        <v>11</v>
      </c>
      <c r="E61" s="77">
        <v>11</v>
      </c>
      <c r="F61" s="77">
        <v>11</v>
      </c>
      <c r="G61" s="77">
        <v>11</v>
      </c>
      <c r="H61" s="77">
        <v>11</v>
      </c>
      <c r="I61" s="77">
        <v>11</v>
      </c>
      <c r="J61" s="77">
        <v>11</v>
      </c>
      <c r="K61" s="77">
        <v>11</v>
      </c>
      <c r="L61" s="77">
        <v>11</v>
      </c>
      <c r="M61" s="77">
        <v>11.2</v>
      </c>
      <c r="N61" s="77">
        <v>11.1</v>
      </c>
      <c r="O61" s="77">
        <v>11.1</v>
      </c>
      <c r="P61" s="77">
        <v>11.1</v>
      </c>
      <c r="Q61" s="77">
        <v>10.199999999999999</v>
      </c>
      <c r="R61" s="77">
        <v>10.199999999999999</v>
      </c>
      <c r="S61" s="77">
        <v>10.199999999999999</v>
      </c>
      <c r="T61" s="77">
        <v>10.199999999999999</v>
      </c>
      <c r="U61" s="77">
        <v>10.199999999999999</v>
      </c>
      <c r="V61" s="77">
        <v>10.199999999999999</v>
      </c>
      <c r="W61" s="77"/>
      <c r="X61" s="77">
        <v>10.199999999999999</v>
      </c>
      <c r="Y61" s="77">
        <v>10.199999999999999</v>
      </c>
      <c r="Z61" s="77"/>
      <c r="AA61" s="77">
        <v>10.199999999999999</v>
      </c>
      <c r="AB61" s="77">
        <v>10.199999999999999</v>
      </c>
      <c r="AC61" s="77">
        <v>10.199999999999999</v>
      </c>
      <c r="AD61" s="77">
        <v>10.199999999999999</v>
      </c>
      <c r="AE61" s="77">
        <v>10.199999999999999</v>
      </c>
      <c r="AF61" s="77">
        <v>10.199999999999999</v>
      </c>
      <c r="AG61" s="78">
        <v>22.1</v>
      </c>
      <c r="AH61" s="48">
        <f t="shared" si="8"/>
        <v>11.2</v>
      </c>
      <c r="AI61" s="49">
        <f t="shared" si="9"/>
        <v>0</v>
      </c>
      <c r="AK61" s="51"/>
    </row>
    <row r="62" spans="1:88" ht="15.75" thickBot="1" x14ac:dyDescent="0.3">
      <c r="A62" s="79" t="s">
        <v>79</v>
      </c>
      <c r="B62" s="70">
        <f t="shared" ref="B62:C62" si="31">SUM(B59:B61)</f>
        <v>27</v>
      </c>
      <c r="C62" s="70">
        <f t="shared" si="31"/>
        <v>38</v>
      </c>
      <c r="D62" s="70">
        <f t="shared" ref="D62" si="32">SUM(D59:D61)</f>
        <v>38</v>
      </c>
      <c r="E62" s="70">
        <f t="shared" ref="E62:AG62" si="33">SUM(E59:E61)</f>
        <v>38</v>
      </c>
      <c r="F62" s="70">
        <f t="shared" si="33"/>
        <v>38</v>
      </c>
      <c r="G62" s="70">
        <f t="shared" si="33"/>
        <v>38</v>
      </c>
      <c r="H62" s="70">
        <f t="shared" si="33"/>
        <v>38</v>
      </c>
      <c r="I62" s="70">
        <f t="shared" si="33"/>
        <v>38</v>
      </c>
      <c r="J62" s="70">
        <f t="shared" si="33"/>
        <v>53</v>
      </c>
      <c r="K62" s="70">
        <f t="shared" si="33"/>
        <v>38</v>
      </c>
      <c r="L62" s="70">
        <f t="shared" si="33"/>
        <v>148</v>
      </c>
      <c r="M62" s="70">
        <f t="shared" si="33"/>
        <v>58.2</v>
      </c>
      <c r="N62" s="70">
        <f t="shared" si="33"/>
        <v>63.1</v>
      </c>
      <c r="O62" s="70">
        <f t="shared" si="33"/>
        <v>53.1</v>
      </c>
      <c r="P62" s="70">
        <f t="shared" si="33"/>
        <v>53.1</v>
      </c>
      <c r="Q62" s="70">
        <f t="shared" si="33"/>
        <v>112.2</v>
      </c>
      <c r="R62" s="70">
        <f t="shared" si="33"/>
        <v>133.79999999999998</v>
      </c>
      <c r="S62" s="70">
        <f t="shared" ref="S62:T62" si="34">SUM(S59:S61)</f>
        <v>83.5</v>
      </c>
      <c r="T62" s="70">
        <f t="shared" si="34"/>
        <v>37.200000000000003</v>
      </c>
      <c r="U62" s="70">
        <f t="shared" ref="U62:V62" si="35">SUM(U59:U61)</f>
        <v>87.2</v>
      </c>
      <c r="V62" s="70">
        <f t="shared" si="35"/>
        <v>87.2</v>
      </c>
      <c r="W62" s="70"/>
      <c r="X62" s="70">
        <f t="shared" ref="X62" si="36">SUM(X59:X61)</f>
        <v>77.2</v>
      </c>
      <c r="Y62" s="70">
        <f t="shared" ref="Y62:AA62" si="37">SUM(Y59:Y61)</f>
        <v>207.2</v>
      </c>
      <c r="Z62" s="70"/>
      <c r="AA62" s="70">
        <f t="shared" si="37"/>
        <v>129.19999999999999</v>
      </c>
      <c r="AB62" s="70">
        <f t="shared" ref="AB62:AC62" si="38">SUM(AB59:AB61)</f>
        <v>129.19999999999999</v>
      </c>
      <c r="AC62" s="70">
        <f t="shared" si="38"/>
        <v>117.2</v>
      </c>
      <c r="AD62" s="70">
        <f t="shared" ref="AD62:AE62" si="39">SUM(AD59:AD61)</f>
        <v>157.19999999999999</v>
      </c>
      <c r="AE62" s="70">
        <f t="shared" si="39"/>
        <v>123.2</v>
      </c>
      <c r="AF62" s="70">
        <f t="shared" ref="AF62" si="40">SUM(AF59:AF61)</f>
        <v>97.2</v>
      </c>
      <c r="AG62" s="71">
        <f t="shared" si="33"/>
        <v>538.1</v>
      </c>
      <c r="AH62" s="48">
        <f t="shared" si="8"/>
        <v>207.2</v>
      </c>
      <c r="AI62" s="49">
        <f t="shared" si="9"/>
        <v>27</v>
      </c>
      <c r="AK62" s="51"/>
    </row>
    <row r="63" spans="1:88" x14ac:dyDescent="0.25">
      <c r="A63" s="45" t="s">
        <v>80</v>
      </c>
      <c r="B63" s="46">
        <v>30</v>
      </c>
      <c r="C63" s="46">
        <v>0</v>
      </c>
      <c r="D63" s="46">
        <v>0</v>
      </c>
      <c r="E63" s="46">
        <v>0</v>
      </c>
      <c r="F63" s="46">
        <v>0</v>
      </c>
      <c r="G63" s="46">
        <v>0</v>
      </c>
      <c r="H63" s="46">
        <v>0</v>
      </c>
      <c r="I63" s="46">
        <v>45</v>
      </c>
      <c r="J63" s="46">
        <v>45</v>
      </c>
      <c r="K63" s="46">
        <v>108</v>
      </c>
      <c r="L63" s="46">
        <v>92.3</v>
      </c>
      <c r="M63" s="46">
        <v>142.6</v>
      </c>
      <c r="N63" s="46">
        <v>96.6</v>
      </c>
      <c r="O63" s="46">
        <v>66</v>
      </c>
      <c r="P63" s="46">
        <v>61.5</v>
      </c>
      <c r="Q63" s="46">
        <v>60.9</v>
      </c>
      <c r="R63" s="46">
        <v>61.2</v>
      </c>
      <c r="S63" s="46">
        <v>61.2</v>
      </c>
      <c r="T63" s="46">
        <v>49</v>
      </c>
      <c r="U63" s="46">
        <v>49</v>
      </c>
      <c r="V63" s="46">
        <v>49</v>
      </c>
      <c r="W63" s="46"/>
      <c r="X63" s="46">
        <v>101.6</v>
      </c>
      <c r="Y63" s="46">
        <v>138.4</v>
      </c>
      <c r="Z63" s="46"/>
      <c r="AA63" s="46">
        <v>139.4</v>
      </c>
      <c r="AB63" s="46">
        <v>110</v>
      </c>
      <c r="AC63" s="46">
        <v>111</v>
      </c>
      <c r="AD63" s="46">
        <v>61</v>
      </c>
      <c r="AE63" s="46">
        <v>45</v>
      </c>
      <c r="AF63" s="46">
        <v>45</v>
      </c>
      <c r="AG63" s="60">
        <v>144</v>
      </c>
      <c r="AH63" s="48">
        <f t="shared" si="8"/>
        <v>142.6</v>
      </c>
      <c r="AI63" s="49">
        <f t="shared" si="9"/>
        <v>0</v>
      </c>
      <c r="AK63" s="51"/>
    </row>
    <row r="64" spans="1:88" x14ac:dyDescent="0.25">
      <c r="A64" s="64" t="s">
        <v>81</v>
      </c>
      <c r="B64" s="75">
        <v>0</v>
      </c>
      <c r="C64" s="75">
        <v>0</v>
      </c>
      <c r="D64" s="75">
        <v>0</v>
      </c>
      <c r="E64" s="75">
        <v>0</v>
      </c>
      <c r="F64" s="75">
        <v>0</v>
      </c>
      <c r="G64" s="75">
        <v>0</v>
      </c>
      <c r="H64" s="75">
        <v>24.6</v>
      </c>
      <c r="I64" s="75">
        <v>35</v>
      </c>
      <c r="J64" s="75">
        <v>35</v>
      </c>
      <c r="K64" s="75">
        <v>52</v>
      </c>
      <c r="L64" s="75">
        <v>49.4</v>
      </c>
      <c r="M64" s="75">
        <v>67.400000000000006</v>
      </c>
      <c r="N64" s="75">
        <v>47.9</v>
      </c>
      <c r="O64" s="75">
        <v>51</v>
      </c>
      <c r="P64" s="75">
        <v>24.7</v>
      </c>
      <c r="Q64" s="75">
        <v>24</v>
      </c>
      <c r="R64" s="75">
        <v>24.3</v>
      </c>
      <c r="S64" s="75">
        <v>24.3</v>
      </c>
      <c r="T64" s="75">
        <v>36.1</v>
      </c>
      <c r="U64" s="75">
        <v>36.1</v>
      </c>
      <c r="V64" s="75">
        <v>36.1</v>
      </c>
      <c r="W64" s="75"/>
      <c r="X64" s="75">
        <v>49.7</v>
      </c>
      <c r="Y64" s="75">
        <v>58.7</v>
      </c>
      <c r="Z64" s="75"/>
      <c r="AA64" s="75">
        <v>62</v>
      </c>
      <c r="AB64" s="75">
        <v>21.9</v>
      </c>
      <c r="AC64" s="75">
        <v>22</v>
      </c>
      <c r="AD64" s="75">
        <v>22</v>
      </c>
      <c r="AE64" s="75">
        <v>25</v>
      </c>
      <c r="AF64" s="75">
        <v>0</v>
      </c>
      <c r="AG64" s="65">
        <v>70</v>
      </c>
      <c r="AH64" s="48">
        <f t="shared" si="8"/>
        <v>67.400000000000006</v>
      </c>
      <c r="AI64" s="49">
        <f t="shared" si="9"/>
        <v>0</v>
      </c>
      <c r="AK64" s="51"/>
    </row>
    <row r="65" spans="1:75" x14ac:dyDescent="0.25">
      <c r="A65" s="64" t="s">
        <v>82</v>
      </c>
      <c r="B65" s="75">
        <v>0</v>
      </c>
      <c r="C65" s="75">
        <v>0</v>
      </c>
      <c r="D65" s="75">
        <v>0</v>
      </c>
      <c r="E65" s="75">
        <v>0</v>
      </c>
      <c r="F65" s="75">
        <v>0</v>
      </c>
      <c r="G65" s="75">
        <v>0</v>
      </c>
      <c r="H65" s="75">
        <v>17.399999999999999</v>
      </c>
      <c r="I65" s="75">
        <v>24</v>
      </c>
      <c r="J65" s="75">
        <v>35</v>
      </c>
      <c r="K65" s="75">
        <v>54</v>
      </c>
      <c r="L65" s="75">
        <v>54</v>
      </c>
      <c r="M65" s="75">
        <v>67.900000000000006</v>
      </c>
      <c r="N65" s="75">
        <v>55.7</v>
      </c>
      <c r="O65" s="75">
        <v>57</v>
      </c>
      <c r="P65" s="75">
        <v>34.5</v>
      </c>
      <c r="Q65" s="75">
        <v>33.1</v>
      </c>
      <c r="R65" s="75">
        <v>22.9</v>
      </c>
      <c r="S65" s="75">
        <v>22.9</v>
      </c>
      <c r="T65" s="75">
        <v>22.1</v>
      </c>
      <c r="U65" s="75">
        <v>22.1</v>
      </c>
      <c r="V65" s="75">
        <v>22.1</v>
      </c>
      <c r="W65" s="75"/>
      <c r="X65" s="75">
        <v>34.9</v>
      </c>
      <c r="Y65" s="75">
        <v>45.1</v>
      </c>
      <c r="Z65" s="75"/>
      <c r="AA65" s="75">
        <v>68.8</v>
      </c>
      <c r="AB65" s="75">
        <v>51.4</v>
      </c>
      <c r="AC65" s="75">
        <v>52</v>
      </c>
      <c r="AD65" s="75">
        <v>52</v>
      </c>
      <c r="AE65" s="75">
        <v>52</v>
      </c>
      <c r="AF65" s="75">
        <v>35</v>
      </c>
      <c r="AG65" s="65">
        <v>69</v>
      </c>
      <c r="AH65" s="48">
        <f t="shared" si="8"/>
        <v>68.8</v>
      </c>
      <c r="AI65" s="49">
        <f t="shared" si="9"/>
        <v>0</v>
      </c>
      <c r="AK65" s="51"/>
    </row>
    <row r="66" spans="1:75" x14ac:dyDescent="0.25">
      <c r="A66" s="64" t="s">
        <v>83</v>
      </c>
      <c r="B66" s="75">
        <v>31</v>
      </c>
      <c r="C66" s="75">
        <v>31</v>
      </c>
      <c r="D66" s="75">
        <v>31</v>
      </c>
      <c r="E66" s="75">
        <v>33</v>
      </c>
      <c r="F66" s="75">
        <v>33</v>
      </c>
      <c r="G66" s="75">
        <v>33</v>
      </c>
      <c r="H66" s="75">
        <v>33</v>
      </c>
      <c r="I66" s="75">
        <v>33</v>
      </c>
      <c r="J66" s="75">
        <v>33</v>
      </c>
      <c r="K66" s="75">
        <v>33</v>
      </c>
      <c r="L66" s="75">
        <v>33</v>
      </c>
      <c r="M66" s="75">
        <v>36</v>
      </c>
      <c r="N66" s="75">
        <v>34.299999999999997</v>
      </c>
      <c r="O66" s="75">
        <v>35</v>
      </c>
      <c r="P66" s="75">
        <v>34.299999999999997</v>
      </c>
      <c r="Q66" s="75">
        <v>33</v>
      </c>
      <c r="R66" s="75">
        <v>33.299999999999997</v>
      </c>
      <c r="S66" s="75">
        <v>33.299999999999997</v>
      </c>
      <c r="T66" s="75">
        <v>33.299999999999997</v>
      </c>
      <c r="U66" s="75">
        <v>33.299999999999997</v>
      </c>
      <c r="V66" s="75">
        <v>33.299999999999997</v>
      </c>
      <c r="W66" s="75"/>
      <c r="X66" s="75">
        <v>33.299999999999997</v>
      </c>
      <c r="Y66" s="75">
        <v>33.299999999999997</v>
      </c>
      <c r="Z66" s="75"/>
      <c r="AA66" s="75">
        <v>33.299999999999997</v>
      </c>
      <c r="AB66" s="75">
        <v>33.299999999999997</v>
      </c>
      <c r="AC66" s="75">
        <v>33.299999999999997</v>
      </c>
      <c r="AD66" s="75">
        <v>33.299999999999997</v>
      </c>
      <c r="AE66" s="75">
        <v>33.299999999999997</v>
      </c>
      <c r="AF66" s="75">
        <v>33.299999999999997</v>
      </c>
      <c r="AG66" s="65">
        <v>60</v>
      </c>
      <c r="AH66" s="48">
        <f t="shared" si="8"/>
        <v>36</v>
      </c>
      <c r="AI66" s="49">
        <f t="shared" si="9"/>
        <v>31</v>
      </c>
      <c r="AK66" s="51"/>
    </row>
    <row r="67" spans="1:75" x14ac:dyDescent="0.25">
      <c r="A67" s="64" t="s">
        <v>84</v>
      </c>
      <c r="B67" s="46">
        <v>0</v>
      </c>
      <c r="C67" s="46">
        <v>0</v>
      </c>
      <c r="D67" s="46">
        <v>0</v>
      </c>
      <c r="E67" s="46">
        <v>0</v>
      </c>
      <c r="F67" s="46">
        <v>0</v>
      </c>
      <c r="G67" s="46">
        <v>0</v>
      </c>
      <c r="H67" s="46">
        <v>0</v>
      </c>
      <c r="I67" s="46">
        <v>15.2</v>
      </c>
      <c r="J67" s="46">
        <v>15.2</v>
      </c>
      <c r="K67" s="46">
        <v>10.3</v>
      </c>
      <c r="L67" s="46">
        <v>10.3</v>
      </c>
      <c r="M67" s="75">
        <v>10.199999999999999</v>
      </c>
      <c r="N67" s="75">
        <v>10.199999999999999</v>
      </c>
      <c r="O67" s="75">
        <v>14</v>
      </c>
      <c r="P67" s="75">
        <v>15</v>
      </c>
      <c r="Q67" s="75">
        <v>12.1</v>
      </c>
      <c r="R67" s="75">
        <v>10.5</v>
      </c>
      <c r="S67" s="75">
        <v>10.6</v>
      </c>
      <c r="T67" s="75">
        <v>10.6</v>
      </c>
      <c r="U67" s="75">
        <v>14.9</v>
      </c>
      <c r="V67" s="75">
        <v>14.9</v>
      </c>
      <c r="W67" s="75"/>
      <c r="X67" s="75">
        <v>14.9</v>
      </c>
      <c r="Y67" s="75">
        <v>14.9</v>
      </c>
      <c r="Z67" s="75"/>
      <c r="AA67" s="75">
        <v>10.199999999999999</v>
      </c>
      <c r="AB67" s="75">
        <v>10.199999999999999</v>
      </c>
      <c r="AC67" s="75">
        <v>10.199999999999999</v>
      </c>
      <c r="AD67" s="75">
        <v>10.199999999999999</v>
      </c>
      <c r="AE67" s="75">
        <v>10.199999999999999</v>
      </c>
      <c r="AF67" s="75">
        <v>10.199999999999999</v>
      </c>
      <c r="AG67" s="65">
        <v>30</v>
      </c>
      <c r="AH67" s="48">
        <f t="shared" si="8"/>
        <v>15.2</v>
      </c>
      <c r="AI67" s="49">
        <f t="shared" si="9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</row>
    <row r="68" spans="1:75" x14ac:dyDescent="0.25">
      <c r="A68" s="64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1.7</v>
      </c>
      <c r="L68" s="46">
        <v>3</v>
      </c>
      <c r="M68" s="46">
        <v>5.6</v>
      </c>
      <c r="N68" s="46">
        <v>5.6</v>
      </c>
      <c r="O68" s="46">
        <v>5.6</v>
      </c>
      <c r="P68" s="46">
        <v>5.6</v>
      </c>
      <c r="Q68" s="75">
        <v>18.3</v>
      </c>
      <c r="R68" s="75">
        <v>16.8</v>
      </c>
      <c r="S68" s="75">
        <v>10.3</v>
      </c>
      <c r="T68" s="75">
        <v>11.8</v>
      </c>
      <c r="U68" s="75">
        <v>8.6999999999999993</v>
      </c>
      <c r="V68" s="75">
        <v>1.8</v>
      </c>
      <c r="W68" s="75"/>
      <c r="X68" s="75">
        <v>0</v>
      </c>
      <c r="Y68" s="75">
        <v>0</v>
      </c>
      <c r="Z68" s="75"/>
      <c r="AA68" s="75">
        <v>0</v>
      </c>
      <c r="AB68" s="75">
        <v>0</v>
      </c>
      <c r="AC68" s="75">
        <v>0</v>
      </c>
      <c r="AD68" s="75">
        <v>0</v>
      </c>
      <c r="AE68" s="75">
        <v>0</v>
      </c>
      <c r="AF68" s="75">
        <v>0</v>
      </c>
      <c r="AG68" s="65">
        <v>25</v>
      </c>
      <c r="AH68" s="48">
        <f t="shared" si="8"/>
        <v>18.3</v>
      </c>
      <c r="AI68" s="49">
        <f t="shared" si="9"/>
        <v>0</v>
      </c>
      <c r="AK68" s="51"/>
      <c r="AY68" s="1" t="s">
        <v>86</v>
      </c>
      <c r="AZ68" s="81">
        <f>ROUND(C81,0)</f>
        <v>55</v>
      </c>
      <c r="BA68" s="80">
        <f t="shared" ref="BA68:BD72" si="41">D81</f>
        <v>50</v>
      </c>
      <c r="BB68" s="80">
        <f t="shared" si="41"/>
        <v>47.6</v>
      </c>
      <c r="BC68" s="80">
        <f t="shared" si="41"/>
        <v>58.1</v>
      </c>
      <c r="BD68" s="80">
        <f t="shared" si="41"/>
        <v>43.9</v>
      </c>
      <c r="BE68" s="81">
        <f>I81</f>
        <v>53.2</v>
      </c>
      <c r="BF68" s="81">
        <f>K81</f>
        <v>54.4</v>
      </c>
      <c r="BG68" s="81">
        <f t="shared" ref="BG68:BP72" si="42">M81</f>
        <v>48.6</v>
      </c>
      <c r="BH68" s="81">
        <f t="shared" si="42"/>
        <v>51.2</v>
      </c>
      <c r="BI68" s="81">
        <f t="shared" si="42"/>
        <v>58</v>
      </c>
      <c r="BJ68" s="81">
        <f t="shared" si="42"/>
        <v>55.6</v>
      </c>
      <c r="BK68" s="81">
        <f t="shared" si="42"/>
        <v>51.8</v>
      </c>
      <c r="BL68" s="81">
        <f t="shared" si="42"/>
        <v>51</v>
      </c>
      <c r="BM68" s="81">
        <f t="shared" si="42"/>
        <v>52.9</v>
      </c>
      <c r="BN68" s="81">
        <f t="shared" si="42"/>
        <v>57</v>
      </c>
      <c r="BO68" s="81">
        <f t="shared" si="42"/>
        <v>65.2</v>
      </c>
      <c r="BP68" s="81">
        <f t="shared" si="42"/>
        <v>46.4</v>
      </c>
      <c r="BQ68" s="81">
        <f>X81</f>
        <v>52.3</v>
      </c>
      <c r="BR68" s="81">
        <f>Z81</f>
        <v>0</v>
      </c>
      <c r="BS68" s="80">
        <f>AB81</f>
        <v>65</v>
      </c>
      <c r="BT68" s="80">
        <f>AD81</f>
        <v>60</v>
      </c>
      <c r="BU68" s="80">
        <f>AE81</f>
        <v>59</v>
      </c>
      <c r="BV68" s="80">
        <f>AF81</f>
        <v>52</v>
      </c>
      <c r="BW68" s="80">
        <f>B81</f>
        <v>56</v>
      </c>
    </row>
    <row r="69" spans="1:75" x14ac:dyDescent="0.25">
      <c r="A69" s="64" t="s">
        <v>87</v>
      </c>
      <c r="B69" s="75">
        <v>0</v>
      </c>
      <c r="C69" s="75">
        <v>12</v>
      </c>
      <c r="D69" s="75">
        <v>12</v>
      </c>
      <c r="E69" s="75">
        <v>12</v>
      </c>
      <c r="F69" s="75">
        <v>12</v>
      </c>
      <c r="G69" s="75">
        <v>12</v>
      </c>
      <c r="H69" s="75">
        <v>12</v>
      </c>
      <c r="I69" s="75">
        <v>12</v>
      </c>
      <c r="J69" s="75">
        <v>12</v>
      </c>
      <c r="K69" s="75">
        <v>12</v>
      </c>
      <c r="L69" s="75">
        <v>12</v>
      </c>
      <c r="M69" s="75">
        <v>12</v>
      </c>
      <c r="N69" s="75">
        <v>12</v>
      </c>
      <c r="O69" s="75">
        <v>12</v>
      </c>
      <c r="P69" s="75">
        <v>12</v>
      </c>
      <c r="Q69" s="75">
        <v>12</v>
      </c>
      <c r="R69" s="75">
        <v>12</v>
      </c>
      <c r="S69" s="75">
        <v>12</v>
      </c>
      <c r="T69" s="75">
        <v>12</v>
      </c>
      <c r="U69" s="75">
        <v>12</v>
      </c>
      <c r="V69" s="75">
        <v>12</v>
      </c>
      <c r="W69" s="75"/>
      <c r="X69" s="75">
        <v>12</v>
      </c>
      <c r="Y69" s="75">
        <v>12</v>
      </c>
      <c r="Z69" s="75"/>
      <c r="AA69" s="75">
        <v>12</v>
      </c>
      <c r="AB69" s="75">
        <v>12</v>
      </c>
      <c r="AC69" s="75">
        <v>12</v>
      </c>
      <c r="AD69" s="75">
        <v>12</v>
      </c>
      <c r="AE69" s="75">
        <v>12</v>
      </c>
      <c r="AF69" s="75">
        <v>12</v>
      </c>
      <c r="AG69" s="65">
        <v>24</v>
      </c>
      <c r="AH69" s="48">
        <f t="shared" si="8"/>
        <v>12</v>
      </c>
      <c r="AI69" s="49">
        <f t="shared" si="9"/>
        <v>0</v>
      </c>
      <c r="AK69" s="51"/>
      <c r="AY69" s="1" t="s">
        <v>88</v>
      </c>
      <c r="AZ69" s="81">
        <f>ROUND(C82,0)</f>
        <v>0</v>
      </c>
      <c r="BA69" s="80">
        <f t="shared" si="41"/>
        <v>0</v>
      </c>
      <c r="BB69" s="80">
        <f t="shared" si="41"/>
        <v>0</v>
      </c>
      <c r="BC69" s="80">
        <f t="shared" si="41"/>
        <v>0</v>
      </c>
      <c r="BD69" s="80">
        <f t="shared" si="41"/>
        <v>0</v>
      </c>
      <c r="BE69" s="81">
        <f t="shared" ref="BE69:BE72" si="43">I82</f>
        <v>0</v>
      </c>
      <c r="BF69" s="81">
        <f t="shared" ref="BF69:BF72" si="44">K82</f>
        <v>0</v>
      </c>
      <c r="BG69" s="81">
        <f t="shared" si="42"/>
        <v>0</v>
      </c>
      <c r="BH69" s="81">
        <f t="shared" si="42"/>
        <v>0</v>
      </c>
      <c r="BI69" s="81">
        <f t="shared" si="42"/>
        <v>0</v>
      </c>
      <c r="BJ69" s="81">
        <f t="shared" si="42"/>
        <v>0</v>
      </c>
      <c r="BK69" s="81">
        <f t="shared" si="42"/>
        <v>0</v>
      </c>
      <c r="BL69" s="81">
        <f t="shared" si="42"/>
        <v>0</v>
      </c>
      <c r="BM69" s="81">
        <f t="shared" si="42"/>
        <v>0</v>
      </c>
      <c r="BN69" s="81">
        <f t="shared" si="42"/>
        <v>0</v>
      </c>
      <c r="BO69" s="81">
        <f t="shared" si="42"/>
        <v>0</v>
      </c>
      <c r="BP69" s="81">
        <f t="shared" si="42"/>
        <v>0</v>
      </c>
      <c r="BQ69" s="81">
        <f t="shared" ref="BQ69:BQ72" si="45">X82</f>
        <v>0</v>
      </c>
      <c r="BR69" s="81">
        <f t="shared" ref="BR69:BR72" si="46">Z82</f>
        <v>0</v>
      </c>
      <c r="BS69" s="80">
        <f t="shared" ref="BS69:BS72" si="47">AB82</f>
        <v>0</v>
      </c>
      <c r="BT69" s="80">
        <f t="shared" ref="BT69:BV72" si="48">AD82</f>
        <v>0</v>
      </c>
      <c r="BU69" s="80">
        <f t="shared" si="48"/>
        <v>0</v>
      </c>
      <c r="BV69" s="80">
        <f t="shared" si="48"/>
        <v>0</v>
      </c>
      <c r="BW69" s="80">
        <f t="shared" ref="BW69:BW72" si="49">B82</f>
        <v>0</v>
      </c>
    </row>
    <row r="70" spans="1:75" x14ac:dyDescent="0.25">
      <c r="A70" s="64" t="s">
        <v>89</v>
      </c>
      <c r="B70" s="75">
        <v>4</v>
      </c>
      <c r="C70" s="75">
        <v>4</v>
      </c>
      <c r="D70" s="75">
        <v>4</v>
      </c>
      <c r="E70" s="75">
        <v>4</v>
      </c>
      <c r="F70" s="75">
        <v>4</v>
      </c>
      <c r="G70" s="75">
        <v>4</v>
      </c>
      <c r="H70" s="75">
        <v>4</v>
      </c>
      <c r="I70" s="75">
        <v>4</v>
      </c>
      <c r="J70" s="75">
        <v>4</v>
      </c>
      <c r="K70" s="75">
        <v>4</v>
      </c>
      <c r="L70" s="75">
        <v>4</v>
      </c>
      <c r="M70" s="75">
        <v>4</v>
      </c>
      <c r="N70" s="75">
        <v>4</v>
      </c>
      <c r="O70" s="75">
        <v>4</v>
      </c>
      <c r="P70" s="75">
        <v>4</v>
      </c>
      <c r="Q70" s="75">
        <v>4</v>
      </c>
      <c r="R70" s="75">
        <v>4</v>
      </c>
      <c r="S70" s="75">
        <v>4</v>
      </c>
      <c r="T70" s="75">
        <v>4</v>
      </c>
      <c r="U70" s="75">
        <v>4</v>
      </c>
      <c r="V70" s="75">
        <v>4</v>
      </c>
      <c r="W70" s="75"/>
      <c r="X70" s="75">
        <v>4</v>
      </c>
      <c r="Y70" s="75">
        <v>4</v>
      </c>
      <c r="Z70" s="75"/>
      <c r="AA70" s="75">
        <v>4</v>
      </c>
      <c r="AB70" s="75">
        <v>4</v>
      </c>
      <c r="AC70" s="75">
        <v>4</v>
      </c>
      <c r="AD70" s="75">
        <v>4</v>
      </c>
      <c r="AE70" s="75">
        <v>4</v>
      </c>
      <c r="AF70" s="75">
        <v>4</v>
      </c>
      <c r="AG70" s="65">
        <v>15</v>
      </c>
      <c r="AH70" s="48">
        <f t="shared" si="8"/>
        <v>4</v>
      </c>
      <c r="AI70" s="49">
        <f t="shared" si="9"/>
        <v>4</v>
      </c>
      <c r="AK70" s="51"/>
      <c r="AL70" s="82"/>
      <c r="AO70" s="82"/>
      <c r="AY70" s="1" t="s">
        <v>90</v>
      </c>
      <c r="AZ70" s="81">
        <f>ROUND(C83,0)</f>
        <v>380</v>
      </c>
      <c r="BA70" s="80">
        <f t="shared" si="41"/>
        <v>377</v>
      </c>
      <c r="BB70" s="80">
        <f t="shared" si="41"/>
        <v>366</v>
      </c>
      <c r="BC70" s="80">
        <f t="shared" si="41"/>
        <v>428</v>
      </c>
      <c r="BD70" s="80">
        <f t="shared" si="41"/>
        <v>442</v>
      </c>
      <c r="BE70" s="81">
        <f t="shared" si="43"/>
        <v>492</v>
      </c>
      <c r="BF70" s="81">
        <f t="shared" si="44"/>
        <v>356</v>
      </c>
      <c r="BG70" s="81">
        <f t="shared" si="42"/>
        <v>371</v>
      </c>
      <c r="BH70" s="81">
        <f t="shared" si="42"/>
        <v>389</v>
      </c>
      <c r="BI70" s="81">
        <f t="shared" si="42"/>
        <v>364</v>
      </c>
      <c r="BJ70" s="81">
        <f t="shared" si="42"/>
        <v>429</v>
      </c>
      <c r="BK70" s="81">
        <f t="shared" si="42"/>
        <v>389</v>
      </c>
      <c r="BL70" s="81">
        <f t="shared" si="42"/>
        <v>416</v>
      </c>
      <c r="BM70" s="81">
        <f t="shared" si="42"/>
        <v>511.2</v>
      </c>
      <c r="BN70" s="81">
        <f t="shared" si="42"/>
        <v>548.5</v>
      </c>
      <c r="BO70" s="81">
        <f t="shared" si="42"/>
        <v>527.29999999999995</v>
      </c>
      <c r="BP70" s="81">
        <f t="shared" si="42"/>
        <v>497</v>
      </c>
      <c r="BQ70" s="81">
        <f t="shared" si="45"/>
        <v>493.4</v>
      </c>
      <c r="BR70" s="81">
        <f t="shared" si="46"/>
        <v>0</v>
      </c>
      <c r="BS70" s="80">
        <f t="shared" si="47"/>
        <v>385</v>
      </c>
      <c r="BT70" s="80">
        <f t="shared" si="48"/>
        <v>388</v>
      </c>
      <c r="BU70" s="80">
        <f t="shared" si="48"/>
        <v>390</v>
      </c>
      <c r="BV70" s="80">
        <f t="shared" si="48"/>
        <v>396</v>
      </c>
      <c r="BW70" s="80">
        <f t="shared" si="49"/>
        <v>404</v>
      </c>
    </row>
    <row r="71" spans="1:75" s="82" customFormat="1" x14ac:dyDescent="0.25">
      <c r="A71" s="64" t="s">
        <v>91</v>
      </c>
      <c r="B71" s="75">
        <v>5.8</v>
      </c>
      <c r="C71" s="75">
        <v>5.8</v>
      </c>
      <c r="D71" s="75">
        <v>5.8</v>
      </c>
      <c r="E71" s="75">
        <v>5.8</v>
      </c>
      <c r="F71" s="75">
        <v>5.8</v>
      </c>
      <c r="G71" s="75">
        <v>5.8</v>
      </c>
      <c r="H71" s="75">
        <v>5.8</v>
      </c>
      <c r="I71" s="75">
        <v>5.8</v>
      </c>
      <c r="J71" s="75">
        <v>5.8</v>
      </c>
      <c r="K71" s="75">
        <v>5.8</v>
      </c>
      <c r="L71" s="75">
        <v>5.8</v>
      </c>
      <c r="M71" s="75">
        <v>5.8</v>
      </c>
      <c r="N71" s="75">
        <v>5.8</v>
      </c>
      <c r="O71" s="75">
        <v>5.8</v>
      </c>
      <c r="P71" s="75">
        <v>5.8</v>
      </c>
      <c r="Q71" s="75">
        <v>5.8</v>
      </c>
      <c r="R71" s="75">
        <v>5.8</v>
      </c>
      <c r="S71" s="75">
        <v>5.8</v>
      </c>
      <c r="T71" s="75">
        <v>5.8</v>
      </c>
      <c r="U71" s="75">
        <v>5.8</v>
      </c>
      <c r="V71" s="75">
        <v>5.8</v>
      </c>
      <c r="W71" s="75"/>
      <c r="X71" s="75">
        <v>5.8</v>
      </c>
      <c r="Y71" s="75">
        <v>5.8</v>
      </c>
      <c r="Z71" s="75"/>
      <c r="AA71" s="75">
        <v>5.8</v>
      </c>
      <c r="AB71" s="75">
        <v>5.8</v>
      </c>
      <c r="AC71" s="75">
        <v>5.8</v>
      </c>
      <c r="AD71" s="75">
        <v>5.8</v>
      </c>
      <c r="AE71" s="75">
        <v>5.8</v>
      </c>
      <c r="AF71" s="75">
        <v>5.8</v>
      </c>
      <c r="AG71" s="65">
        <v>14.1</v>
      </c>
      <c r="AH71" s="48">
        <f t="shared" si="8"/>
        <v>5.8</v>
      </c>
      <c r="AI71" s="49">
        <f t="shared" si="9"/>
        <v>5.8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39</v>
      </c>
      <c r="BA71" s="80">
        <f t="shared" si="41"/>
        <v>40</v>
      </c>
      <c r="BB71" s="80">
        <f t="shared" si="41"/>
        <v>45</v>
      </c>
      <c r="BC71" s="80">
        <f t="shared" si="41"/>
        <v>3.8</v>
      </c>
      <c r="BD71" s="80">
        <f t="shared" si="41"/>
        <v>4</v>
      </c>
      <c r="BE71" s="81">
        <f t="shared" si="43"/>
        <v>5.2</v>
      </c>
      <c r="BF71" s="81">
        <f t="shared" si="44"/>
        <v>34</v>
      </c>
      <c r="BG71" s="81">
        <f t="shared" si="42"/>
        <v>39.6</v>
      </c>
      <c r="BH71" s="81">
        <f t="shared" si="42"/>
        <v>40</v>
      </c>
      <c r="BI71" s="81">
        <f t="shared" si="42"/>
        <v>38</v>
      </c>
      <c r="BJ71" s="81">
        <f t="shared" si="42"/>
        <v>30.8</v>
      </c>
      <c r="BK71" s="81">
        <f t="shared" si="42"/>
        <v>27.6</v>
      </c>
      <c r="BL71" s="81">
        <f t="shared" si="42"/>
        <v>35.799999999999997</v>
      </c>
      <c r="BM71" s="81">
        <f t="shared" si="42"/>
        <v>35.299999999999997</v>
      </c>
      <c r="BN71" s="81">
        <f t="shared" si="42"/>
        <v>32.1</v>
      </c>
      <c r="BO71" s="81">
        <f t="shared" si="42"/>
        <v>34.299999999999997</v>
      </c>
      <c r="BP71" s="81">
        <f t="shared" si="42"/>
        <v>25.4</v>
      </c>
      <c r="BQ71" s="81">
        <f t="shared" si="45"/>
        <v>0</v>
      </c>
      <c r="BR71" s="81">
        <f t="shared" si="46"/>
        <v>0</v>
      </c>
      <c r="BS71" s="80">
        <f t="shared" si="47"/>
        <v>0</v>
      </c>
      <c r="BT71" s="80">
        <f t="shared" si="48"/>
        <v>34</v>
      </c>
      <c r="BU71" s="80">
        <f t="shared" si="48"/>
        <v>46</v>
      </c>
      <c r="BV71" s="80">
        <f t="shared" si="48"/>
        <v>43</v>
      </c>
      <c r="BW71" s="80">
        <f t="shared" si="49"/>
        <v>43</v>
      </c>
    </row>
    <row r="72" spans="1:75" x14ac:dyDescent="0.25">
      <c r="A72" s="83" t="s">
        <v>93</v>
      </c>
      <c r="B72" s="75">
        <v>3.4</v>
      </c>
      <c r="C72" s="75">
        <v>3.4</v>
      </c>
      <c r="D72" s="75">
        <v>3.4</v>
      </c>
      <c r="E72" s="75">
        <v>3.4</v>
      </c>
      <c r="F72" s="75">
        <v>4.8</v>
      </c>
      <c r="G72" s="75">
        <v>4.8</v>
      </c>
      <c r="H72" s="75">
        <v>4.8</v>
      </c>
      <c r="I72" s="75">
        <v>4.8</v>
      </c>
      <c r="J72" s="75">
        <v>4.8</v>
      </c>
      <c r="K72" s="75">
        <v>4.8</v>
      </c>
      <c r="L72" s="75">
        <v>4.8</v>
      </c>
      <c r="M72" s="75">
        <v>4.8</v>
      </c>
      <c r="N72" s="75">
        <v>4.8</v>
      </c>
      <c r="O72" s="75">
        <v>4.8</v>
      </c>
      <c r="P72" s="75">
        <v>4.8</v>
      </c>
      <c r="Q72" s="75">
        <v>4.8</v>
      </c>
      <c r="R72" s="75">
        <v>4.8</v>
      </c>
      <c r="S72" s="75">
        <v>4.8</v>
      </c>
      <c r="T72" s="75">
        <v>4.8</v>
      </c>
      <c r="U72" s="75">
        <v>4.8</v>
      </c>
      <c r="V72" s="75">
        <v>4.8</v>
      </c>
      <c r="W72" s="75"/>
      <c r="X72" s="75">
        <v>4.8</v>
      </c>
      <c r="Y72" s="75">
        <v>4.8</v>
      </c>
      <c r="Z72" s="75"/>
      <c r="AA72" s="75">
        <v>4.8</v>
      </c>
      <c r="AB72" s="75">
        <v>4.8</v>
      </c>
      <c r="AC72" s="75">
        <v>4.8</v>
      </c>
      <c r="AD72" s="75">
        <v>4.8</v>
      </c>
      <c r="AE72" s="75">
        <v>4.8</v>
      </c>
      <c r="AF72" s="75">
        <v>4.8</v>
      </c>
      <c r="AG72" s="65">
        <v>14</v>
      </c>
      <c r="AH72" s="48">
        <f t="shared" si="8"/>
        <v>4.8</v>
      </c>
      <c r="AI72" s="49">
        <f t="shared" si="9"/>
        <v>3.4</v>
      </c>
      <c r="AK72" s="51"/>
      <c r="AY72" s="1" t="s">
        <v>94</v>
      </c>
      <c r="AZ72" s="81">
        <f>ROUND(C85,0)</f>
        <v>118</v>
      </c>
      <c r="BA72" s="80">
        <f t="shared" si="41"/>
        <v>95</v>
      </c>
      <c r="BB72" s="80">
        <f t="shared" si="41"/>
        <v>51.3</v>
      </c>
      <c r="BC72" s="80">
        <f t="shared" si="41"/>
        <v>52.1</v>
      </c>
      <c r="BD72" s="80">
        <f t="shared" si="41"/>
        <v>104</v>
      </c>
      <c r="BE72" s="81">
        <f t="shared" si="43"/>
        <v>102</v>
      </c>
      <c r="BF72" s="81">
        <f t="shared" si="44"/>
        <v>70</v>
      </c>
      <c r="BG72" s="81">
        <f t="shared" si="42"/>
        <v>22.6</v>
      </c>
      <c r="BH72" s="81">
        <f t="shared" si="42"/>
        <v>13.7</v>
      </c>
      <c r="BI72" s="81">
        <f t="shared" si="42"/>
        <v>15</v>
      </c>
      <c r="BJ72" s="81">
        <f t="shared" si="42"/>
        <v>76</v>
      </c>
      <c r="BK72" s="81">
        <f t="shared" si="42"/>
        <v>66</v>
      </c>
      <c r="BL72" s="81">
        <f t="shared" si="42"/>
        <v>105.4</v>
      </c>
      <c r="BM72" s="81">
        <f t="shared" si="42"/>
        <v>102</v>
      </c>
      <c r="BN72" s="81">
        <f t="shared" si="42"/>
        <v>114.2</v>
      </c>
      <c r="BO72" s="81">
        <f t="shared" si="42"/>
        <v>114.8</v>
      </c>
      <c r="BP72" s="81">
        <f t="shared" si="42"/>
        <v>74</v>
      </c>
      <c r="BQ72" s="81">
        <f t="shared" si="45"/>
        <v>0</v>
      </c>
      <c r="BR72" s="81">
        <f t="shared" si="46"/>
        <v>0</v>
      </c>
      <c r="BS72" s="80">
        <f t="shared" si="47"/>
        <v>0</v>
      </c>
      <c r="BT72" s="80">
        <f t="shared" si="48"/>
        <v>124</v>
      </c>
      <c r="BU72" s="80">
        <f t="shared" si="48"/>
        <v>120</v>
      </c>
      <c r="BV72" s="80">
        <f t="shared" si="48"/>
        <v>110</v>
      </c>
      <c r="BW72" s="80">
        <f t="shared" si="49"/>
        <v>108</v>
      </c>
    </row>
    <row r="73" spans="1:75" x14ac:dyDescent="0.25">
      <c r="A73" s="64" t="s">
        <v>95</v>
      </c>
      <c r="B73" s="75">
        <v>3</v>
      </c>
      <c r="C73" s="75">
        <v>3</v>
      </c>
      <c r="D73" s="75">
        <v>3</v>
      </c>
      <c r="E73" s="75">
        <v>3</v>
      </c>
      <c r="F73" s="75">
        <v>3</v>
      </c>
      <c r="G73" s="75">
        <v>3</v>
      </c>
      <c r="H73" s="75">
        <v>3</v>
      </c>
      <c r="I73" s="75">
        <v>3</v>
      </c>
      <c r="J73" s="75">
        <v>3</v>
      </c>
      <c r="K73" s="75">
        <v>3</v>
      </c>
      <c r="L73" s="75">
        <v>3</v>
      </c>
      <c r="M73" s="75">
        <v>3</v>
      </c>
      <c r="N73" s="75">
        <v>3</v>
      </c>
      <c r="O73" s="75">
        <v>3</v>
      </c>
      <c r="P73" s="75">
        <v>3</v>
      </c>
      <c r="Q73" s="75">
        <v>3</v>
      </c>
      <c r="R73" s="75">
        <v>3</v>
      </c>
      <c r="S73" s="75">
        <v>3</v>
      </c>
      <c r="T73" s="75">
        <v>3</v>
      </c>
      <c r="U73" s="75">
        <v>3</v>
      </c>
      <c r="V73" s="75">
        <v>3</v>
      </c>
      <c r="W73" s="75"/>
      <c r="X73" s="75">
        <v>3</v>
      </c>
      <c r="Y73" s="75">
        <v>3</v>
      </c>
      <c r="Z73" s="75"/>
      <c r="AA73" s="75">
        <v>3</v>
      </c>
      <c r="AB73" s="75">
        <v>3</v>
      </c>
      <c r="AC73" s="75">
        <v>3</v>
      </c>
      <c r="AD73" s="75">
        <v>3</v>
      </c>
      <c r="AE73" s="75">
        <v>3</v>
      </c>
      <c r="AF73" s="75">
        <v>3</v>
      </c>
      <c r="AG73" s="65">
        <v>10.050000000000001</v>
      </c>
      <c r="AH73" s="48">
        <f t="shared" si="8"/>
        <v>3</v>
      </c>
      <c r="AI73" s="49">
        <f t="shared" si="9"/>
        <v>3</v>
      </c>
      <c r="AK73" s="51"/>
      <c r="AY73" s="1" t="s">
        <v>96</v>
      </c>
      <c r="AZ73" s="81">
        <f>ROUND(C91,0)</f>
        <v>40</v>
      </c>
      <c r="BA73" s="81">
        <f>D91</f>
        <v>0</v>
      </c>
      <c r="BB73" s="81">
        <f>E91</f>
        <v>0</v>
      </c>
      <c r="BC73" s="81">
        <f>F91</f>
        <v>0</v>
      </c>
      <c r="BD73" s="81">
        <f>G91</f>
        <v>32</v>
      </c>
      <c r="BE73" s="81">
        <f>I91</f>
        <v>45</v>
      </c>
      <c r="BF73" s="81">
        <f>K91</f>
        <v>46</v>
      </c>
      <c r="BG73" s="81">
        <f t="shared" ref="BG73:BP73" si="50">M91</f>
        <v>64</v>
      </c>
      <c r="BH73" s="81">
        <f t="shared" si="50"/>
        <v>65</v>
      </c>
      <c r="BI73" s="81">
        <f t="shared" si="50"/>
        <v>66</v>
      </c>
      <c r="BJ73" s="81">
        <f t="shared" si="50"/>
        <v>74</v>
      </c>
      <c r="BK73" s="81">
        <f t="shared" si="50"/>
        <v>76</v>
      </c>
      <c r="BL73" s="81">
        <f t="shared" si="50"/>
        <v>72</v>
      </c>
      <c r="BM73" s="81">
        <f t="shared" si="50"/>
        <v>72</v>
      </c>
      <c r="BN73" s="81">
        <f t="shared" si="50"/>
        <v>73.5</v>
      </c>
      <c r="BO73" s="81">
        <f t="shared" si="50"/>
        <v>62.1</v>
      </c>
      <c r="BP73" s="81">
        <f t="shared" si="50"/>
        <v>64.900000000000006</v>
      </c>
      <c r="BQ73" s="81">
        <f>X91</f>
        <v>68</v>
      </c>
      <c r="BR73" s="81">
        <f>Z91</f>
        <v>0</v>
      </c>
      <c r="BS73" s="81">
        <f>AB91</f>
        <v>0</v>
      </c>
      <c r="BT73" s="81">
        <f>AD91</f>
        <v>0</v>
      </c>
      <c r="BU73" s="81">
        <f>AE91</f>
        <v>0</v>
      </c>
      <c r="BV73" s="81">
        <f>AF91</f>
        <v>0</v>
      </c>
      <c r="BW73" s="81">
        <f>B91</f>
        <v>0</v>
      </c>
    </row>
    <row r="74" spans="1:75" x14ac:dyDescent="0.25">
      <c r="A74" s="64" t="s">
        <v>97</v>
      </c>
      <c r="B74" s="75">
        <v>2</v>
      </c>
      <c r="C74" s="75">
        <v>2</v>
      </c>
      <c r="D74" s="75">
        <v>2</v>
      </c>
      <c r="E74" s="75">
        <v>2</v>
      </c>
      <c r="F74" s="75">
        <v>2</v>
      </c>
      <c r="G74" s="75">
        <v>2</v>
      </c>
      <c r="H74" s="75">
        <v>2</v>
      </c>
      <c r="I74" s="75">
        <v>2</v>
      </c>
      <c r="J74" s="75">
        <v>2</v>
      </c>
      <c r="K74" s="75">
        <v>2</v>
      </c>
      <c r="L74" s="75">
        <v>2</v>
      </c>
      <c r="M74" s="75">
        <v>2</v>
      </c>
      <c r="N74" s="75">
        <v>2</v>
      </c>
      <c r="O74" s="75">
        <v>2</v>
      </c>
      <c r="P74" s="75">
        <v>2</v>
      </c>
      <c r="Q74" s="75">
        <v>2</v>
      </c>
      <c r="R74" s="75">
        <v>2</v>
      </c>
      <c r="S74" s="75">
        <v>2</v>
      </c>
      <c r="T74" s="75">
        <v>2</v>
      </c>
      <c r="U74" s="75">
        <v>2</v>
      </c>
      <c r="V74" s="75">
        <v>2</v>
      </c>
      <c r="W74" s="75"/>
      <c r="X74" s="75">
        <v>2</v>
      </c>
      <c r="Y74" s="75">
        <v>2</v>
      </c>
      <c r="Z74" s="75"/>
      <c r="AA74" s="75">
        <v>2</v>
      </c>
      <c r="AB74" s="75">
        <v>2</v>
      </c>
      <c r="AC74" s="75">
        <v>2</v>
      </c>
      <c r="AD74" s="75">
        <v>2</v>
      </c>
      <c r="AE74" s="75">
        <v>2</v>
      </c>
      <c r="AF74" s="75">
        <v>2</v>
      </c>
      <c r="AG74" s="65">
        <v>6.2</v>
      </c>
      <c r="AH74" s="48">
        <f t="shared" si="8"/>
        <v>2</v>
      </c>
      <c r="AI74" s="49">
        <f t="shared" si="9"/>
        <v>2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</row>
    <row r="75" spans="1:75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>
        <v>3.54</v>
      </c>
      <c r="W75" s="84"/>
      <c r="X75" s="84">
        <v>3.54</v>
      </c>
      <c r="Y75" s="84">
        <v>3.54</v>
      </c>
      <c r="Z75" s="84"/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8"/>
        <v>3.54</v>
      </c>
      <c r="AI75" s="49">
        <f t="shared" si="9"/>
        <v>3.54</v>
      </c>
      <c r="AK75" s="51"/>
      <c r="AZ75" s="81">
        <f>VALUE(AZ68)</f>
        <v>55</v>
      </c>
      <c r="BA75" s="81">
        <f t="shared" ref="BA75:BW75" si="51">VALUE(BA68)</f>
        <v>50</v>
      </c>
      <c r="BB75" s="81">
        <f t="shared" si="51"/>
        <v>47.6</v>
      </c>
      <c r="BC75" s="81">
        <f t="shared" si="51"/>
        <v>58.1</v>
      </c>
      <c r="BD75" s="81">
        <f t="shared" si="51"/>
        <v>43.9</v>
      </c>
      <c r="BE75" s="81">
        <f t="shared" si="51"/>
        <v>53.2</v>
      </c>
      <c r="BF75" s="81">
        <f t="shared" si="51"/>
        <v>54.4</v>
      </c>
      <c r="BG75" s="81">
        <f t="shared" si="51"/>
        <v>48.6</v>
      </c>
      <c r="BH75" s="81">
        <f t="shared" si="51"/>
        <v>51.2</v>
      </c>
      <c r="BI75" s="81">
        <f t="shared" si="51"/>
        <v>58</v>
      </c>
      <c r="BJ75" s="81">
        <f t="shared" si="51"/>
        <v>55.6</v>
      </c>
      <c r="BK75" s="81">
        <f t="shared" si="51"/>
        <v>51.8</v>
      </c>
      <c r="BL75" s="81">
        <f t="shared" si="51"/>
        <v>51</v>
      </c>
      <c r="BM75" s="81">
        <f t="shared" si="51"/>
        <v>52.9</v>
      </c>
      <c r="BN75" s="81">
        <f t="shared" si="51"/>
        <v>57</v>
      </c>
      <c r="BO75" s="81">
        <f t="shared" si="51"/>
        <v>65.2</v>
      </c>
      <c r="BP75" s="81">
        <f t="shared" si="51"/>
        <v>46.4</v>
      </c>
      <c r="BQ75" s="81">
        <f t="shared" si="51"/>
        <v>52.3</v>
      </c>
      <c r="BR75" s="81">
        <f t="shared" si="51"/>
        <v>0</v>
      </c>
      <c r="BS75" s="81">
        <f t="shared" si="51"/>
        <v>65</v>
      </c>
      <c r="BT75" s="81">
        <f t="shared" si="51"/>
        <v>60</v>
      </c>
      <c r="BU75" s="81">
        <f t="shared" si="51"/>
        <v>59</v>
      </c>
      <c r="BV75" s="81">
        <f t="shared" si="51"/>
        <v>52</v>
      </c>
      <c r="BW75" s="81">
        <f t="shared" si="51"/>
        <v>56</v>
      </c>
    </row>
    <row r="76" spans="1:75" ht="15.75" thickBot="1" x14ac:dyDescent="0.3">
      <c r="A76" s="86" t="s">
        <v>99</v>
      </c>
      <c r="B76" s="70">
        <f t="shared" ref="B76:C76" si="52">SUM(B63:B75)</f>
        <v>82.740000000000009</v>
      </c>
      <c r="C76" s="70">
        <f t="shared" si="52"/>
        <v>64.739999999999995</v>
      </c>
      <c r="D76" s="70">
        <f t="shared" ref="D76" si="53">SUM(D63:D75)</f>
        <v>64.739999999999995</v>
      </c>
      <c r="E76" s="70">
        <f t="shared" ref="E76:AG76" si="54">SUM(E63:E75)</f>
        <v>66.739999999999995</v>
      </c>
      <c r="F76" s="70">
        <f t="shared" si="54"/>
        <v>68.14</v>
      </c>
      <c r="G76" s="70">
        <f t="shared" si="54"/>
        <v>68.14</v>
      </c>
      <c r="H76" s="70">
        <f t="shared" si="54"/>
        <v>110.14</v>
      </c>
      <c r="I76" s="70">
        <f t="shared" si="54"/>
        <v>187.34</v>
      </c>
      <c r="J76" s="70">
        <f t="shared" si="54"/>
        <v>198.34</v>
      </c>
      <c r="K76" s="70">
        <f t="shared" si="54"/>
        <v>294.14000000000004</v>
      </c>
      <c r="L76" s="70">
        <f t="shared" si="54"/>
        <v>277.14000000000004</v>
      </c>
      <c r="M76" s="70">
        <f t="shared" si="54"/>
        <v>364.84000000000003</v>
      </c>
      <c r="N76" s="70">
        <f t="shared" si="54"/>
        <v>285.44</v>
      </c>
      <c r="O76" s="70">
        <f t="shared" si="54"/>
        <v>263.74000000000007</v>
      </c>
      <c r="P76" s="70">
        <f t="shared" si="54"/>
        <v>210.74</v>
      </c>
      <c r="Q76" s="70">
        <f t="shared" si="54"/>
        <v>216.54000000000002</v>
      </c>
      <c r="R76" s="70">
        <f t="shared" si="54"/>
        <v>204.14000000000001</v>
      </c>
      <c r="S76" s="70">
        <f t="shared" ref="S76:T76" si="55">SUM(S63:S75)</f>
        <v>197.74</v>
      </c>
      <c r="T76" s="70">
        <f t="shared" si="55"/>
        <v>198.04000000000002</v>
      </c>
      <c r="U76" s="70">
        <f t="shared" ref="U76:V76" si="56">SUM(U63:U75)</f>
        <v>199.24</v>
      </c>
      <c r="V76" s="70">
        <f t="shared" si="56"/>
        <v>192.34000000000003</v>
      </c>
      <c r="W76" s="70"/>
      <c r="X76" s="70">
        <f t="shared" ref="X76" si="57">SUM(X63:X75)</f>
        <v>269.54000000000002</v>
      </c>
      <c r="Y76" s="70">
        <f t="shared" ref="Y76:AA76" si="58">SUM(Y63:Y75)</f>
        <v>325.54000000000002</v>
      </c>
      <c r="Z76" s="70"/>
      <c r="AA76" s="70">
        <f t="shared" si="58"/>
        <v>348.84000000000003</v>
      </c>
      <c r="AB76" s="70">
        <f t="shared" ref="AB76:AC76" si="59">SUM(AB63:AB75)</f>
        <v>261.94000000000005</v>
      </c>
      <c r="AC76" s="70">
        <f t="shared" si="59"/>
        <v>263.64000000000004</v>
      </c>
      <c r="AD76" s="70">
        <f t="shared" ref="AD76:AE76" si="60">SUM(AD63:AD75)</f>
        <v>213.64000000000001</v>
      </c>
      <c r="AE76" s="70">
        <f t="shared" si="60"/>
        <v>200.64000000000001</v>
      </c>
      <c r="AF76" s="70">
        <f t="shared" ref="AF76" si="61">SUM(AF63:AF75)</f>
        <v>158.64000000000001</v>
      </c>
      <c r="AG76" s="71">
        <f t="shared" si="54"/>
        <v>489.91</v>
      </c>
      <c r="AH76" s="48">
        <f t="shared" si="8"/>
        <v>364.84000000000003</v>
      </c>
      <c r="AI76" s="49">
        <f t="shared" si="9"/>
        <v>64.739999999999995</v>
      </c>
      <c r="AK76" s="51"/>
      <c r="AZ76" s="81">
        <f t="shared" ref="AZ76:BW80" si="62">VALUE(AZ69)</f>
        <v>0</v>
      </c>
      <c r="BA76" s="81">
        <f t="shared" si="62"/>
        <v>0</v>
      </c>
      <c r="BB76" s="81">
        <f t="shared" si="62"/>
        <v>0</v>
      </c>
      <c r="BC76" s="81">
        <f t="shared" si="62"/>
        <v>0</v>
      </c>
      <c r="BD76" s="81">
        <f t="shared" si="62"/>
        <v>0</v>
      </c>
      <c r="BE76" s="81">
        <f t="shared" si="62"/>
        <v>0</v>
      </c>
      <c r="BF76" s="81">
        <f t="shared" si="62"/>
        <v>0</v>
      </c>
      <c r="BG76" s="81">
        <f t="shared" si="62"/>
        <v>0</v>
      </c>
      <c r="BH76" s="81">
        <f t="shared" si="62"/>
        <v>0</v>
      </c>
      <c r="BI76" s="81">
        <f t="shared" si="62"/>
        <v>0</v>
      </c>
      <c r="BJ76" s="81">
        <f t="shared" si="62"/>
        <v>0</v>
      </c>
      <c r="BK76" s="81">
        <f t="shared" si="62"/>
        <v>0</v>
      </c>
      <c r="BL76" s="81">
        <f t="shared" si="62"/>
        <v>0</v>
      </c>
      <c r="BM76" s="81">
        <f t="shared" si="62"/>
        <v>0</v>
      </c>
      <c r="BN76" s="81">
        <f t="shared" si="62"/>
        <v>0</v>
      </c>
      <c r="BO76" s="81">
        <f t="shared" si="62"/>
        <v>0</v>
      </c>
      <c r="BP76" s="81">
        <f t="shared" si="62"/>
        <v>0</v>
      </c>
      <c r="BQ76" s="81">
        <f t="shared" si="62"/>
        <v>0</v>
      </c>
      <c r="BR76" s="81">
        <f t="shared" si="62"/>
        <v>0</v>
      </c>
      <c r="BS76" s="81">
        <f t="shared" si="62"/>
        <v>0</v>
      </c>
      <c r="BT76" s="81">
        <f t="shared" si="62"/>
        <v>0</v>
      </c>
      <c r="BU76" s="81">
        <f t="shared" si="62"/>
        <v>0</v>
      </c>
      <c r="BV76" s="81">
        <f t="shared" si="62"/>
        <v>0</v>
      </c>
      <c r="BW76" s="81">
        <f t="shared" si="62"/>
        <v>0</v>
      </c>
    </row>
    <row r="77" spans="1:75" x14ac:dyDescent="0.25">
      <c r="A77" s="45" t="s">
        <v>100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60">
        <v>60</v>
      </c>
      <c r="AH77" s="48">
        <f t="shared" si="8"/>
        <v>0</v>
      </c>
      <c r="AI77" s="49">
        <f t="shared" si="9"/>
        <v>0</v>
      </c>
      <c r="AK77" s="51"/>
      <c r="AZ77" s="81">
        <f t="shared" si="62"/>
        <v>380</v>
      </c>
      <c r="BA77" s="81">
        <f t="shared" si="62"/>
        <v>377</v>
      </c>
      <c r="BB77" s="81">
        <f t="shared" si="62"/>
        <v>366</v>
      </c>
      <c r="BC77" s="81">
        <f t="shared" si="62"/>
        <v>428</v>
      </c>
      <c r="BD77" s="81">
        <f t="shared" si="62"/>
        <v>442</v>
      </c>
      <c r="BE77" s="81">
        <f t="shared" si="62"/>
        <v>492</v>
      </c>
      <c r="BF77" s="81">
        <f t="shared" si="62"/>
        <v>356</v>
      </c>
      <c r="BG77" s="81">
        <f t="shared" si="62"/>
        <v>371</v>
      </c>
      <c r="BH77" s="81">
        <f t="shared" si="62"/>
        <v>389</v>
      </c>
      <c r="BI77" s="81">
        <f t="shared" si="62"/>
        <v>364</v>
      </c>
      <c r="BJ77" s="81">
        <f t="shared" si="62"/>
        <v>429</v>
      </c>
      <c r="BK77" s="81">
        <f t="shared" si="62"/>
        <v>389</v>
      </c>
      <c r="BL77" s="81">
        <f t="shared" si="62"/>
        <v>416</v>
      </c>
      <c r="BM77" s="81">
        <f t="shared" si="62"/>
        <v>511.2</v>
      </c>
      <c r="BN77" s="81">
        <f t="shared" si="62"/>
        <v>548.5</v>
      </c>
      <c r="BO77" s="81">
        <f t="shared" si="62"/>
        <v>527.29999999999995</v>
      </c>
      <c r="BP77" s="81">
        <f t="shared" si="62"/>
        <v>497</v>
      </c>
      <c r="BQ77" s="81">
        <f t="shared" si="62"/>
        <v>493.4</v>
      </c>
      <c r="BR77" s="81">
        <f t="shared" si="62"/>
        <v>0</v>
      </c>
      <c r="BS77" s="81">
        <f t="shared" si="62"/>
        <v>385</v>
      </c>
      <c r="BT77" s="81">
        <f t="shared" si="62"/>
        <v>388</v>
      </c>
      <c r="BU77" s="81">
        <f t="shared" si="62"/>
        <v>390</v>
      </c>
      <c r="BV77" s="81">
        <f t="shared" si="62"/>
        <v>396</v>
      </c>
      <c r="BW77" s="81">
        <f t="shared" si="62"/>
        <v>404</v>
      </c>
    </row>
    <row r="78" spans="1:75" x14ac:dyDescent="0.25">
      <c r="A78" s="64" t="s">
        <v>101</v>
      </c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65">
        <v>32</v>
      </c>
      <c r="AH78" s="48">
        <f t="shared" si="8"/>
        <v>0</v>
      </c>
      <c r="AI78" s="49">
        <f t="shared" si="9"/>
        <v>0</v>
      </c>
      <c r="AK78" s="51"/>
      <c r="AZ78" s="81">
        <f t="shared" si="62"/>
        <v>39</v>
      </c>
      <c r="BA78" s="81">
        <f t="shared" si="62"/>
        <v>40</v>
      </c>
      <c r="BB78" s="81">
        <f t="shared" si="62"/>
        <v>45</v>
      </c>
      <c r="BC78" s="81">
        <f t="shared" si="62"/>
        <v>3.8</v>
      </c>
      <c r="BD78" s="81">
        <f t="shared" si="62"/>
        <v>4</v>
      </c>
      <c r="BE78" s="81">
        <f t="shared" si="62"/>
        <v>5.2</v>
      </c>
      <c r="BF78" s="81">
        <f t="shared" si="62"/>
        <v>34</v>
      </c>
      <c r="BG78" s="81">
        <f t="shared" si="62"/>
        <v>39.6</v>
      </c>
      <c r="BH78" s="81">
        <f t="shared" si="62"/>
        <v>40</v>
      </c>
      <c r="BI78" s="81">
        <f t="shared" si="62"/>
        <v>38</v>
      </c>
      <c r="BJ78" s="81">
        <f t="shared" si="62"/>
        <v>30.8</v>
      </c>
      <c r="BK78" s="81">
        <f t="shared" si="62"/>
        <v>27.6</v>
      </c>
      <c r="BL78" s="81">
        <f t="shared" si="62"/>
        <v>35.799999999999997</v>
      </c>
      <c r="BM78" s="81">
        <f t="shared" si="62"/>
        <v>35.299999999999997</v>
      </c>
      <c r="BN78" s="81">
        <f t="shared" si="62"/>
        <v>32.1</v>
      </c>
      <c r="BO78" s="81">
        <f t="shared" si="62"/>
        <v>34.299999999999997</v>
      </c>
      <c r="BP78" s="81">
        <f t="shared" si="62"/>
        <v>25.4</v>
      </c>
      <c r="BQ78" s="81">
        <f t="shared" si="62"/>
        <v>0</v>
      </c>
      <c r="BR78" s="81">
        <f t="shared" si="62"/>
        <v>0</v>
      </c>
      <c r="BS78" s="81">
        <f t="shared" si="62"/>
        <v>0</v>
      </c>
      <c r="BT78" s="81">
        <f t="shared" si="62"/>
        <v>34</v>
      </c>
      <c r="BU78" s="81">
        <f t="shared" si="62"/>
        <v>46</v>
      </c>
      <c r="BV78" s="81">
        <f t="shared" si="62"/>
        <v>43</v>
      </c>
      <c r="BW78" s="81">
        <f t="shared" si="62"/>
        <v>43</v>
      </c>
    </row>
    <row r="79" spans="1:75" ht="15.75" thickBot="1" x14ac:dyDescent="0.3">
      <c r="A79" s="83" t="s">
        <v>102</v>
      </c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8">
        <v>14</v>
      </c>
      <c r="AH79" s="48">
        <f t="shared" si="8"/>
        <v>0</v>
      </c>
      <c r="AI79" s="49">
        <f t="shared" si="9"/>
        <v>0</v>
      </c>
      <c r="AK79" s="51"/>
      <c r="AZ79" s="81">
        <f t="shared" si="62"/>
        <v>118</v>
      </c>
      <c r="BA79" s="81">
        <f t="shared" si="62"/>
        <v>95</v>
      </c>
      <c r="BB79" s="81">
        <f t="shared" si="62"/>
        <v>51.3</v>
      </c>
      <c r="BC79" s="81">
        <f t="shared" si="62"/>
        <v>52.1</v>
      </c>
      <c r="BD79" s="81">
        <f t="shared" si="62"/>
        <v>104</v>
      </c>
      <c r="BE79" s="81">
        <f t="shared" si="62"/>
        <v>102</v>
      </c>
      <c r="BF79" s="81">
        <f t="shared" si="62"/>
        <v>70</v>
      </c>
      <c r="BG79" s="81">
        <f t="shared" si="62"/>
        <v>22.6</v>
      </c>
      <c r="BH79" s="81">
        <f t="shared" si="62"/>
        <v>13.7</v>
      </c>
      <c r="BI79" s="81">
        <f t="shared" si="62"/>
        <v>15</v>
      </c>
      <c r="BJ79" s="81">
        <f t="shared" si="62"/>
        <v>76</v>
      </c>
      <c r="BK79" s="81">
        <f t="shared" si="62"/>
        <v>66</v>
      </c>
      <c r="BL79" s="81">
        <f t="shared" si="62"/>
        <v>105.4</v>
      </c>
      <c r="BM79" s="81">
        <f t="shared" si="62"/>
        <v>102</v>
      </c>
      <c r="BN79" s="81">
        <f t="shared" si="62"/>
        <v>114.2</v>
      </c>
      <c r="BO79" s="81">
        <f t="shared" si="62"/>
        <v>114.8</v>
      </c>
      <c r="BP79" s="81">
        <f t="shared" si="62"/>
        <v>74</v>
      </c>
      <c r="BQ79" s="81">
        <f t="shared" si="62"/>
        <v>0</v>
      </c>
      <c r="BR79" s="81">
        <f t="shared" si="62"/>
        <v>0</v>
      </c>
      <c r="BS79" s="81">
        <f t="shared" si="62"/>
        <v>0</v>
      </c>
      <c r="BT79" s="81">
        <f t="shared" si="62"/>
        <v>124</v>
      </c>
      <c r="BU79" s="81">
        <f t="shared" si="62"/>
        <v>120</v>
      </c>
      <c r="BV79" s="81">
        <f t="shared" si="62"/>
        <v>110</v>
      </c>
      <c r="BW79" s="81">
        <f t="shared" si="62"/>
        <v>108</v>
      </c>
    </row>
    <row r="80" spans="1:75" ht="15.75" thickBot="1" x14ac:dyDescent="0.3">
      <c r="A80" s="86" t="s">
        <v>103</v>
      </c>
      <c r="B80" s="70">
        <f t="shared" ref="B80:C80" si="63">B77+B78+B79</f>
        <v>0</v>
      </c>
      <c r="C80" s="70">
        <f t="shared" si="63"/>
        <v>0</v>
      </c>
      <c r="D80" s="70">
        <f t="shared" ref="D80" si="64">D77+D78+D79</f>
        <v>0</v>
      </c>
      <c r="E80" s="70">
        <f t="shared" ref="E80:R80" si="65">E77+E78+E79</f>
        <v>0</v>
      </c>
      <c r="F80" s="70">
        <f t="shared" si="65"/>
        <v>0</v>
      </c>
      <c r="G80" s="70">
        <f t="shared" si="65"/>
        <v>0</v>
      </c>
      <c r="H80" s="70">
        <f t="shared" si="65"/>
        <v>0</v>
      </c>
      <c r="I80" s="70">
        <f t="shared" si="65"/>
        <v>0</v>
      </c>
      <c r="J80" s="70">
        <f t="shared" si="65"/>
        <v>0</v>
      </c>
      <c r="K80" s="70">
        <f t="shared" si="65"/>
        <v>0</v>
      </c>
      <c r="L80" s="70">
        <f t="shared" si="65"/>
        <v>0</v>
      </c>
      <c r="M80" s="70">
        <f t="shared" si="65"/>
        <v>0</v>
      </c>
      <c r="N80" s="70">
        <f t="shared" si="65"/>
        <v>0</v>
      </c>
      <c r="O80" s="70">
        <f t="shared" si="65"/>
        <v>0</v>
      </c>
      <c r="P80" s="70">
        <f t="shared" si="65"/>
        <v>0</v>
      </c>
      <c r="Q80" s="70">
        <f t="shared" si="65"/>
        <v>0</v>
      </c>
      <c r="R80" s="70">
        <f t="shared" si="65"/>
        <v>0</v>
      </c>
      <c r="S80" s="70">
        <f t="shared" ref="S80:T80" si="66">S77+S78+S79</f>
        <v>0</v>
      </c>
      <c r="T80" s="70">
        <f t="shared" si="66"/>
        <v>0</v>
      </c>
      <c r="U80" s="70">
        <f t="shared" ref="U80:V80" si="67">U77+U78+U79</f>
        <v>0</v>
      </c>
      <c r="V80" s="70">
        <f t="shared" si="67"/>
        <v>0</v>
      </c>
      <c r="W80" s="70"/>
      <c r="X80" s="70">
        <f t="shared" ref="X80" si="68">X77+X78+X79</f>
        <v>0</v>
      </c>
      <c r="Y80" s="70">
        <f t="shared" ref="Y80:AA80" si="69">Y77+Y78+Y79</f>
        <v>0</v>
      </c>
      <c r="Z80" s="70"/>
      <c r="AA80" s="70">
        <f t="shared" si="69"/>
        <v>0</v>
      </c>
      <c r="AB80" s="70">
        <f t="shared" ref="AB80:AC80" si="70">AB77+AB78+AB79</f>
        <v>0</v>
      </c>
      <c r="AC80" s="70">
        <f t="shared" si="70"/>
        <v>0</v>
      </c>
      <c r="AD80" s="70">
        <f t="shared" ref="AD80:AE80" si="71">AD77+AD78+AD79</f>
        <v>0</v>
      </c>
      <c r="AE80" s="70">
        <f t="shared" si="71"/>
        <v>0</v>
      </c>
      <c r="AF80" s="70">
        <f t="shared" ref="AF80" si="72">AF77+AF78+AF79</f>
        <v>0</v>
      </c>
      <c r="AG80" s="71">
        <f>SUM(AG77:AG79)</f>
        <v>106</v>
      </c>
      <c r="AH80" s="48">
        <f t="shared" si="8"/>
        <v>0</v>
      </c>
      <c r="AI80" s="49">
        <f t="shared" si="9"/>
        <v>0</v>
      </c>
      <c r="AK80" s="51"/>
      <c r="AZ80" s="81">
        <f t="shared" si="62"/>
        <v>40</v>
      </c>
      <c r="BA80" s="81">
        <f t="shared" si="62"/>
        <v>0</v>
      </c>
      <c r="BB80" s="81">
        <f t="shared" si="62"/>
        <v>0</v>
      </c>
      <c r="BC80" s="81">
        <f t="shared" si="62"/>
        <v>0</v>
      </c>
      <c r="BD80" s="81">
        <f t="shared" si="62"/>
        <v>32</v>
      </c>
      <c r="BE80" s="81">
        <f t="shared" si="62"/>
        <v>45</v>
      </c>
      <c r="BF80" s="81">
        <f t="shared" si="62"/>
        <v>46</v>
      </c>
      <c r="BG80" s="81">
        <f t="shared" si="62"/>
        <v>64</v>
      </c>
      <c r="BH80" s="81">
        <f t="shared" si="62"/>
        <v>65</v>
      </c>
      <c r="BI80" s="81">
        <f t="shared" si="62"/>
        <v>66</v>
      </c>
      <c r="BJ80" s="81">
        <f t="shared" si="62"/>
        <v>74</v>
      </c>
      <c r="BK80" s="81">
        <f t="shared" si="62"/>
        <v>76</v>
      </c>
      <c r="BL80" s="81">
        <f t="shared" si="62"/>
        <v>72</v>
      </c>
      <c r="BM80" s="81">
        <f t="shared" si="62"/>
        <v>72</v>
      </c>
      <c r="BN80" s="81">
        <f t="shared" si="62"/>
        <v>73.5</v>
      </c>
      <c r="BO80" s="81">
        <f t="shared" si="62"/>
        <v>62.1</v>
      </c>
      <c r="BP80" s="81">
        <f t="shared" si="62"/>
        <v>64.900000000000006</v>
      </c>
      <c r="BQ80" s="81">
        <f t="shared" si="62"/>
        <v>68</v>
      </c>
      <c r="BR80" s="81">
        <f t="shared" si="62"/>
        <v>0</v>
      </c>
      <c r="BS80" s="81">
        <f t="shared" si="62"/>
        <v>0</v>
      </c>
      <c r="BT80" s="81">
        <f t="shared" si="62"/>
        <v>0</v>
      </c>
      <c r="BU80" s="81">
        <f t="shared" si="62"/>
        <v>0</v>
      </c>
      <c r="BV80" s="81">
        <f t="shared" si="62"/>
        <v>0</v>
      </c>
      <c r="BW80" s="81">
        <f t="shared" si="62"/>
        <v>0</v>
      </c>
    </row>
    <row r="81" spans="1:64" x14ac:dyDescent="0.25">
      <c r="A81" s="45" t="s">
        <v>104</v>
      </c>
      <c r="B81" s="46">
        <v>56</v>
      </c>
      <c r="C81" s="46">
        <v>55</v>
      </c>
      <c r="D81" s="46">
        <v>50</v>
      </c>
      <c r="E81" s="46">
        <v>47.6</v>
      </c>
      <c r="F81" s="46">
        <v>58.1</v>
      </c>
      <c r="G81" s="46">
        <v>43.9</v>
      </c>
      <c r="H81" s="46">
        <v>57.5</v>
      </c>
      <c r="I81" s="46">
        <v>53.2</v>
      </c>
      <c r="J81" s="46">
        <v>53.2</v>
      </c>
      <c r="K81" s="46">
        <v>54.4</v>
      </c>
      <c r="L81" s="46">
        <v>57.6</v>
      </c>
      <c r="M81" s="46">
        <v>48.6</v>
      </c>
      <c r="N81" s="46">
        <v>51.2</v>
      </c>
      <c r="O81" s="46">
        <v>58</v>
      </c>
      <c r="P81" s="46">
        <v>55.6</v>
      </c>
      <c r="Q81" s="46">
        <v>51.8</v>
      </c>
      <c r="R81" s="46">
        <v>51</v>
      </c>
      <c r="S81" s="46">
        <v>52.9</v>
      </c>
      <c r="T81" s="46">
        <v>57</v>
      </c>
      <c r="U81" s="46">
        <v>65.2</v>
      </c>
      <c r="V81" s="46">
        <v>46.4</v>
      </c>
      <c r="W81" s="46"/>
      <c r="X81" s="46">
        <v>52.3</v>
      </c>
      <c r="Y81" s="46">
        <v>51.2</v>
      </c>
      <c r="Z81" s="46"/>
      <c r="AA81" s="46">
        <v>58.5</v>
      </c>
      <c r="AB81" s="46">
        <v>65</v>
      </c>
      <c r="AC81" s="46">
        <v>62</v>
      </c>
      <c r="AD81" s="46">
        <v>60</v>
      </c>
      <c r="AE81" s="46">
        <v>59</v>
      </c>
      <c r="AF81" s="46">
        <v>52</v>
      </c>
      <c r="AG81" s="60"/>
      <c r="AH81" s="48">
        <f t="shared" si="8"/>
        <v>65.2</v>
      </c>
      <c r="AI81" s="49">
        <f t="shared" si="9"/>
        <v>43.9</v>
      </c>
      <c r="AK81" s="51"/>
      <c r="AY81" s="81"/>
    </row>
    <row r="82" spans="1:64" x14ac:dyDescent="0.25">
      <c r="A82" s="64" t="s">
        <v>105</v>
      </c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65"/>
      <c r="AH82" s="48">
        <f t="shared" ref="AH82:AH125" si="73">MAX(B82:AF82)</f>
        <v>0</v>
      </c>
      <c r="AI82" s="49">
        <f t="shared" ref="AI82:AI125" si="74">MIN(B82:AF82)</f>
        <v>0</v>
      </c>
      <c r="AK82" s="51"/>
      <c r="AY82" s="81"/>
      <c r="BF82" s="81"/>
      <c r="BG82" s="81"/>
      <c r="BH82" s="81"/>
      <c r="BI82" s="81"/>
      <c r="BJ82" s="81"/>
      <c r="BK82" s="81"/>
    </row>
    <row r="83" spans="1:64" x14ac:dyDescent="0.25">
      <c r="A83" s="64" t="s">
        <v>106</v>
      </c>
      <c r="B83" s="75">
        <v>404</v>
      </c>
      <c r="C83" s="75">
        <v>380</v>
      </c>
      <c r="D83" s="75">
        <v>377</v>
      </c>
      <c r="E83" s="75">
        <v>366</v>
      </c>
      <c r="F83" s="75">
        <v>428</v>
      </c>
      <c r="G83" s="75">
        <v>442</v>
      </c>
      <c r="H83" s="75">
        <v>457</v>
      </c>
      <c r="I83" s="75">
        <v>492</v>
      </c>
      <c r="J83" s="75">
        <v>492</v>
      </c>
      <c r="K83" s="75">
        <v>356</v>
      </c>
      <c r="L83" s="75">
        <v>396</v>
      </c>
      <c r="M83" s="75">
        <v>371</v>
      </c>
      <c r="N83" s="75">
        <v>389</v>
      </c>
      <c r="O83" s="75">
        <v>364</v>
      </c>
      <c r="P83" s="75">
        <v>429</v>
      </c>
      <c r="Q83" s="75">
        <v>389</v>
      </c>
      <c r="R83" s="75">
        <v>416</v>
      </c>
      <c r="S83" s="75">
        <v>511.2</v>
      </c>
      <c r="T83" s="75">
        <v>548.5</v>
      </c>
      <c r="U83" s="75">
        <v>527.29999999999995</v>
      </c>
      <c r="V83" s="75">
        <v>497</v>
      </c>
      <c r="W83" s="75"/>
      <c r="X83" s="75">
        <v>493.4</v>
      </c>
      <c r="Y83" s="75">
        <v>370</v>
      </c>
      <c r="Z83" s="75"/>
      <c r="AA83" s="75">
        <v>376.5</v>
      </c>
      <c r="AB83" s="75">
        <v>385</v>
      </c>
      <c r="AC83" s="75">
        <v>385</v>
      </c>
      <c r="AD83" s="75">
        <v>388</v>
      </c>
      <c r="AE83" s="75">
        <v>390</v>
      </c>
      <c r="AF83" s="75">
        <v>396</v>
      </c>
      <c r="AG83" s="87"/>
      <c r="AH83" s="48">
        <f t="shared" si="73"/>
        <v>548.5</v>
      </c>
      <c r="AI83" s="49">
        <f t="shared" si="74"/>
        <v>356</v>
      </c>
      <c r="AK83" s="51"/>
      <c r="AY83" s="81"/>
      <c r="BF83" s="80"/>
      <c r="BG83" s="80"/>
      <c r="BH83" s="80"/>
      <c r="BI83" s="80"/>
      <c r="BJ83" s="80"/>
      <c r="BK83" s="81"/>
    </row>
    <row r="84" spans="1:64" x14ac:dyDescent="0.25">
      <c r="A84" s="64" t="s">
        <v>107</v>
      </c>
      <c r="B84" s="75">
        <v>43</v>
      </c>
      <c r="C84" s="75">
        <v>39</v>
      </c>
      <c r="D84" s="75">
        <v>40</v>
      </c>
      <c r="E84" s="88">
        <v>45</v>
      </c>
      <c r="F84" s="88">
        <v>3.8</v>
      </c>
      <c r="G84" s="88">
        <v>4</v>
      </c>
      <c r="H84" s="88">
        <v>4.7</v>
      </c>
      <c r="I84" s="88">
        <v>5.2</v>
      </c>
      <c r="J84" s="88">
        <v>5.2</v>
      </c>
      <c r="K84" s="88">
        <v>34</v>
      </c>
      <c r="L84" s="88">
        <v>25.6</v>
      </c>
      <c r="M84" s="88">
        <v>39.6</v>
      </c>
      <c r="N84" s="88">
        <v>40</v>
      </c>
      <c r="O84" s="88">
        <v>38</v>
      </c>
      <c r="P84" s="88">
        <v>30.8</v>
      </c>
      <c r="Q84" s="88">
        <v>27.6</v>
      </c>
      <c r="R84" s="88">
        <v>35.799999999999997</v>
      </c>
      <c r="S84" s="88">
        <v>35.299999999999997</v>
      </c>
      <c r="T84" s="88">
        <v>32.1</v>
      </c>
      <c r="U84" s="88">
        <v>34.299999999999997</v>
      </c>
      <c r="V84" s="88">
        <v>25.4</v>
      </c>
      <c r="W84" s="88"/>
      <c r="X84" s="88">
        <v>0</v>
      </c>
      <c r="Y84" s="88">
        <v>0</v>
      </c>
      <c r="Z84" s="88"/>
      <c r="AA84" s="88">
        <v>0</v>
      </c>
      <c r="AB84" s="88">
        <v>0</v>
      </c>
      <c r="AC84" s="88">
        <v>32</v>
      </c>
      <c r="AD84" s="88">
        <v>34</v>
      </c>
      <c r="AE84" s="88">
        <v>46</v>
      </c>
      <c r="AF84" s="88">
        <v>43</v>
      </c>
      <c r="AG84" s="87"/>
      <c r="AH84" s="48">
        <f t="shared" si="73"/>
        <v>46</v>
      </c>
      <c r="AI84" s="49">
        <f t="shared" si="74"/>
        <v>0</v>
      </c>
      <c r="AK84" s="51"/>
      <c r="AY84" s="81"/>
      <c r="BF84" s="80"/>
      <c r="BG84" s="81">
        <f t="array" ref="BG84:BL107">TRANSPOSE(AZ68:BW73)</f>
        <v>55</v>
      </c>
      <c r="BH84" s="81">
        <v>0</v>
      </c>
      <c r="BI84" s="81">
        <v>380</v>
      </c>
      <c r="BJ84" s="81">
        <v>39</v>
      </c>
      <c r="BK84" s="81">
        <v>118</v>
      </c>
      <c r="BL84" s="81">
        <v>40</v>
      </c>
    </row>
    <row r="85" spans="1:64" x14ac:dyDescent="0.25">
      <c r="A85" s="64" t="s">
        <v>108</v>
      </c>
      <c r="B85" s="46">
        <v>108</v>
      </c>
      <c r="C85" s="46">
        <v>118</v>
      </c>
      <c r="D85" s="46">
        <v>95</v>
      </c>
      <c r="E85" s="46">
        <v>51.3</v>
      </c>
      <c r="F85" s="46">
        <v>52.1</v>
      </c>
      <c r="G85" s="46">
        <v>104</v>
      </c>
      <c r="H85" s="46">
        <v>92</v>
      </c>
      <c r="I85" s="46">
        <v>102</v>
      </c>
      <c r="J85" s="46">
        <v>102</v>
      </c>
      <c r="K85" s="46">
        <v>70</v>
      </c>
      <c r="L85" s="46">
        <v>16</v>
      </c>
      <c r="M85" s="46">
        <v>22.6</v>
      </c>
      <c r="N85" s="46">
        <v>13.7</v>
      </c>
      <c r="O85" s="46">
        <v>15</v>
      </c>
      <c r="P85" s="46">
        <f>38*2</f>
        <v>76</v>
      </c>
      <c r="Q85" s="46">
        <v>66</v>
      </c>
      <c r="R85" s="46">
        <v>105.4</v>
      </c>
      <c r="S85" s="46">
        <v>102</v>
      </c>
      <c r="T85" s="46">
        <v>114.2</v>
      </c>
      <c r="U85" s="46">
        <v>114.8</v>
      </c>
      <c r="V85" s="46">
        <v>74</v>
      </c>
      <c r="W85" s="46"/>
      <c r="X85" s="46">
        <v>0</v>
      </c>
      <c r="Y85" s="46">
        <v>0</v>
      </c>
      <c r="Z85" s="46"/>
      <c r="AA85" s="46">
        <v>0</v>
      </c>
      <c r="AB85" s="46">
        <v>0</v>
      </c>
      <c r="AC85" s="46">
        <v>68</v>
      </c>
      <c r="AD85" s="46">
        <v>124</v>
      </c>
      <c r="AE85" s="46">
        <v>120</v>
      </c>
      <c r="AF85" s="46">
        <v>110</v>
      </c>
      <c r="AG85" s="87"/>
      <c r="AH85" s="48">
        <f t="shared" si="73"/>
        <v>124</v>
      </c>
      <c r="AI85" s="49">
        <f t="shared" si="74"/>
        <v>0</v>
      </c>
      <c r="AK85" s="51"/>
      <c r="AY85" s="81"/>
      <c r="BF85" s="80"/>
      <c r="BG85" s="81">
        <v>50</v>
      </c>
      <c r="BH85" s="81">
        <v>0</v>
      </c>
      <c r="BI85" s="81">
        <v>377</v>
      </c>
      <c r="BJ85" s="81">
        <v>40</v>
      </c>
      <c r="BK85" s="81">
        <v>95</v>
      </c>
      <c r="BL85" s="81">
        <v>0</v>
      </c>
    </row>
    <row r="86" spans="1:64" x14ac:dyDescent="0.25">
      <c r="A86" s="64" t="s">
        <v>109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 t="s">
        <v>313</v>
      </c>
      <c r="AF86" s="89" t="s">
        <v>313</v>
      </c>
      <c r="AG86" s="87"/>
      <c r="AH86" s="48">
        <f t="shared" si="73"/>
        <v>0</v>
      </c>
      <c r="AI86" s="49">
        <f t="shared" si="74"/>
        <v>0</v>
      </c>
      <c r="AK86" s="51"/>
      <c r="AY86" s="81"/>
      <c r="BF86" s="80"/>
      <c r="BG86" s="81">
        <v>47.6</v>
      </c>
      <c r="BH86" s="81">
        <v>0</v>
      </c>
      <c r="BI86" s="81">
        <v>366</v>
      </c>
      <c r="BJ86" s="81">
        <v>45</v>
      </c>
      <c r="BK86" s="81">
        <v>51.3</v>
      </c>
      <c r="BL86" s="81">
        <v>0</v>
      </c>
    </row>
    <row r="87" spans="1:64" ht="15.75" thickBot="1" x14ac:dyDescent="0.3">
      <c r="A87" s="64" t="s">
        <v>110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7"/>
      <c r="AH87" s="48">
        <f t="shared" si="73"/>
        <v>0</v>
      </c>
      <c r="AI87" s="49">
        <f t="shared" si="74"/>
        <v>0</v>
      </c>
      <c r="AK87" s="51"/>
      <c r="AL87" s="90" t="s">
        <v>111</v>
      </c>
      <c r="AM87" s="90"/>
      <c r="AY87" s="81"/>
      <c r="BF87" s="81"/>
      <c r="BG87" s="81">
        <v>58.1</v>
      </c>
      <c r="BH87" s="81">
        <v>0</v>
      </c>
      <c r="BI87" s="81">
        <v>428</v>
      </c>
      <c r="BJ87" s="81">
        <v>3.8</v>
      </c>
      <c r="BK87" s="81">
        <v>52.1</v>
      </c>
      <c r="BL87" s="81">
        <v>0</v>
      </c>
    </row>
    <row r="88" spans="1:64" x14ac:dyDescent="0.25">
      <c r="A88" s="64" t="s">
        <v>112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7"/>
      <c r="AH88" s="48">
        <f t="shared" si="73"/>
        <v>0</v>
      </c>
      <c r="AI88" s="49">
        <f t="shared" si="74"/>
        <v>0</v>
      </c>
      <c r="AK88" s="91"/>
      <c r="AL88" s="92"/>
      <c r="AM88" s="92"/>
      <c r="AN88" s="93"/>
      <c r="AY88" s="81"/>
      <c r="BF88" s="81"/>
      <c r="BG88" s="81">
        <v>43.9</v>
      </c>
      <c r="BH88" s="81">
        <v>0</v>
      </c>
      <c r="BI88" s="81">
        <v>442</v>
      </c>
      <c r="BJ88" s="81">
        <v>4</v>
      </c>
      <c r="BK88" s="81">
        <v>104</v>
      </c>
      <c r="BL88" s="81">
        <v>32</v>
      </c>
    </row>
    <row r="89" spans="1:64" x14ac:dyDescent="0.25">
      <c r="A89" s="64" t="s">
        <v>113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7"/>
      <c r="AH89" s="48">
        <f t="shared" si="73"/>
        <v>0</v>
      </c>
      <c r="AI89" s="49">
        <f t="shared" si="74"/>
        <v>0</v>
      </c>
      <c r="AK89" s="94" t="s">
        <v>114</v>
      </c>
      <c r="AL89" s="75"/>
      <c r="AM89" s="88"/>
      <c r="AN89" s="95"/>
      <c r="AY89" s="81"/>
      <c r="BF89" s="81"/>
      <c r="BG89" s="81">
        <v>53.2</v>
      </c>
      <c r="BH89" s="81">
        <v>0</v>
      </c>
      <c r="BI89" s="81">
        <v>492</v>
      </c>
      <c r="BJ89" s="81">
        <v>5.2</v>
      </c>
      <c r="BK89" s="81">
        <v>102</v>
      </c>
      <c r="BL89" s="81">
        <v>45</v>
      </c>
    </row>
    <row r="90" spans="1:64" x14ac:dyDescent="0.25">
      <c r="A90" s="96" t="s">
        <v>115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97"/>
      <c r="AH90" s="48">
        <f t="shared" si="73"/>
        <v>0</v>
      </c>
      <c r="AI90" s="49">
        <f t="shared" si="74"/>
        <v>0</v>
      </c>
      <c r="AK90" s="94" t="s">
        <v>116</v>
      </c>
      <c r="AL90" s="88"/>
      <c r="AM90" s="88"/>
      <c r="AN90" s="95"/>
      <c r="AY90" s="81"/>
      <c r="BF90" s="81"/>
      <c r="BG90" s="81">
        <v>54.4</v>
      </c>
      <c r="BH90" s="81">
        <v>0</v>
      </c>
      <c r="BI90" s="81">
        <v>356</v>
      </c>
      <c r="BJ90" s="81">
        <v>34</v>
      </c>
      <c r="BK90" s="81">
        <v>70</v>
      </c>
      <c r="BL90" s="81">
        <v>46</v>
      </c>
    </row>
    <row r="91" spans="1:64" ht="15.75" thickBot="1" x14ac:dyDescent="0.3">
      <c r="A91" s="96" t="s">
        <v>117</v>
      </c>
      <c r="B91" s="89">
        <v>0</v>
      </c>
      <c r="C91" s="89">
        <v>40</v>
      </c>
      <c r="D91" s="89">
        <v>0</v>
      </c>
      <c r="E91" s="89">
        <v>0</v>
      </c>
      <c r="F91" s="89">
        <v>0</v>
      </c>
      <c r="G91" s="89">
        <v>32</v>
      </c>
      <c r="H91" s="89">
        <v>40</v>
      </c>
      <c r="I91" s="89">
        <v>45</v>
      </c>
      <c r="J91" s="89">
        <v>45</v>
      </c>
      <c r="K91" s="89">
        <v>46</v>
      </c>
      <c r="L91" s="89">
        <v>62.1</v>
      </c>
      <c r="M91" s="89">
        <v>64</v>
      </c>
      <c r="N91" s="89">
        <v>65</v>
      </c>
      <c r="O91" s="89">
        <v>66</v>
      </c>
      <c r="P91" s="89">
        <v>74</v>
      </c>
      <c r="Q91" s="89">
        <v>76</v>
      </c>
      <c r="R91" s="89">
        <v>72</v>
      </c>
      <c r="S91" s="89">
        <v>72</v>
      </c>
      <c r="T91" s="89">
        <v>73.5</v>
      </c>
      <c r="U91" s="89">
        <v>62.1</v>
      </c>
      <c r="V91" s="89">
        <v>64.900000000000006</v>
      </c>
      <c r="W91" s="89"/>
      <c r="X91" s="89">
        <v>68</v>
      </c>
      <c r="Y91" s="89">
        <v>71</v>
      </c>
      <c r="Z91" s="89"/>
      <c r="AA91" s="89">
        <v>0</v>
      </c>
      <c r="AB91" s="89">
        <v>0</v>
      </c>
      <c r="AC91" s="89">
        <v>0</v>
      </c>
      <c r="AD91" s="89">
        <v>0</v>
      </c>
      <c r="AE91" s="89">
        <v>0</v>
      </c>
      <c r="AF91" s="89">
        <v>0</v>
      </c>
      <c r="AG91" s="97"/>
      <c r="AH91" s="48">
        <f t="shared" si="73"/>
        <v>76</v>
      </c>
      <c r="AI91" s="49">
        <f t="shared" si="74"/>
        <v>0</v>
      </c>
      <c r="AK91" s="98"/>
      <c r="AL91" s="46"/>
      <c r="AM91" s="46"/>
      <c r="AN91" s="99"/>
      <c r="AY91" s="81"/>
      <c r="BF91" s="81"/>
      <c r="BG91" s="81">
        <v>48.6</v>
      </c>
      <c r="BH91" s="81">
        <v>0</v>
      </c>
      <c r="BI91" s="81">
        <v>371</v>
      </c>
      <c r="BJ91" s="81">
        <v>39.6</v>
      </c>
      <c r="BK91" s="81">
        <v>22.6</v>
      </c>
      <c r="BL91" s="81">
        <v>64</v>
      </c>
    </row>
    <row r="92" spans="1:64" ht="15.75" thickBot="1" x14ac:dyDescent="0.3">
      <c r="A92" s="86" t="s">
        <v>118</v>
      </c>
      <c r="B92" s="70">
        <f t="shared" ref="B92:C92" si="75">SUMIF(B81:B91,"&gt;0")</f>
        <v>611</v>
      </c>
      <c r="C92" s="70">
        <f t="shared" si="75"/>
        <v>632</v>
      </c>
      <c r="D92" s="70">
        <f t="shared" ref="D92" si="76">SUMIF(D81:D91,"&gt;0")</f>
        <v>562</v>
      </c>
      <c r="E92" s="70">
        <f t="shared" ref="E92:R92" si="77">SUMIF(E81:E91,"&gt;0")</f>
        <v>509.90000000000003</v>
      </c>
      <c r="F92" s="70">
        <f t="shared" si="77"/>
        <v>542</v>
      </c>
      <c r="G92" s="70">
        <f t="shared" si="77"/>
        <v>625.9</v>
      </c>
      <c r="H92" s="70">
        <f t="shared" si="77"/>
        <v>651.20000000000005</v>
      </c>
      <c r="I92" s="70">
        <f t="shared" si="77"/>
        <v>697.40000000000009</v>
      </c>
      <c r="J92" s="70">
        <f t="shared" si="77"/>
        <v>697.40000000000009</v>
      </c>
      <c r="K92" s="70">
        <f t="shared" si="77"/>
        <v>560.4</v>
      </c>
      <c r="L92" s="70">
        <f t="shared" si="77"/>
        <v>557.30000000000007</v>
      </c>
      <c r="M92" s="70">
        <f t="shared" si="77"/>
        <v>545.80000000000007</v>
      </c>
      <c r="N92" s="70">
        <f t="shared" si="77"/>
        <v>558.9</v>
      </c>
      <c r="O92" s="70">
        <f t="shared" si="77"/>
        <v>541</v>
      </c>
      <c r="P92" s="70">
        <f t="shared" si="77"/>
        <v>665.4</v>
      </c>
      <c r="Q92" s="70">
        <f t="shared" si="77"/>
        <v>610.40000000000009</v>
      </c>
      <c r="R92" s="70">
        <f t="shared" si="77"/>
        <v>680.2</v>
      </c>
      <c r="S92" s="70">
        <f t="shared" ref="S92:T92" si="78">SUMIF(S81:S91,"&gt;0")</f>
        <v>773.4</v>
      </c>
      <c r="T92" s="70">
        <f t="shared" si="78"/>
        <v>825.30000000000007</v>
      </c>
      <c r="U92" s="70">
        <f t="shared" ref="U92:V92" si="79">SUMIF(U81:U91,"&gt;0")</f>
        <v>803.69999999999993</v>
      </c>
      <c r="V92" s="70">
        <f t="shared" si="79"/>
        <v>707.69999999999993</v>
      </c>
      <c r="W92" s="70"/>
      <c r="X92" s="70">
        <f t="shared" ref="X92" si="80">SUMIF(X81:X91,"&gt;0")</f>
        <v>613.69999999999993</v>
      </c>
      <c r="Y92" s="70">
        <f t="shared" ref="Y92:AA92" si="81">SUMIF(Y81:Y91,"&gt;0")</f>
        <v>492.2</v>
      </c>
      <c r="Z92" s="70"/>
      <c r="AA92" s="70">
        <f t="shared" si="81"/>
        <v>435</v>
      </c>
      <c r="AB92" s="70">
        <f t="shared" ref="AB92:AC92" si="82">SUMIF(AB81:AB91,"&gt;0")</f>
        <v>450</v>
      </c>
      <c r="AC92" s="70">
        <f t="shared" si="82"/>
        <v>547</v>
      </c>
      <c r="AD92" s="70">
        <f t="shared" ref="AD92:AE92" si="83">SUMIF(AD81:AD91,"&gt;0")</f>
        <v>606</v>
      </c>
      <c r="AE92" s="70">
        <f t="shared" si="83"/>
        <v>615</v>
      </c>
      <c r="AF92" s="70">
        <f t="shared" ref="AF92" si="84">SUMIF(AF81:AF91,"&gt;0")</f>
        <v>601</v>
      </c>
      <c r="AG92" s="100">
        <f>SUM(AG81:AG91)</f>
        <v>0</v>
      </c>
      <c r="AH92" s="48">
        <f t="shared" si="73"/>
        <v>825.30000000000007</v>
      </c>
      <c r="AI92" s="49">
        <f t="shared" si="74"/>
        <v>435</v>
      </c>
      <c r="AK92" s="98"/>
      <c r="AL92" s="89"/>
      <c r="AM92" s="101"/>
      <c r="AN92" s="202"/>
      <c r="AY92" s="81"/>
      <c r="BF92" s="81"/>
      <c r="BG92" s="81">
        <v>51.2</v>
      </c>
      <c r="BH92" s="81">
        <v>0</v>
      </c>
      <c r="BI92" s="81">
        <v>389</v>
      </c>
      <c r="BJ92" s="81">
        <v>40</v>
      </c>
      <c r="BK92" s="81">
        <v>13.7</v>
      </c>
      <c r="BL92" s="81">
        <v>65</v>
      </c>
    </row>
    <row r="93" spans="1:64" x14ac:dyDescent="0.25">
      <c r="A93" s="45" t="s">
        <v>119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/>
      <c r="X93" s="88">
        <v>0</v>
      </c>
      <c r="Y93" s="88">
        <v>0</v>
      </c>
      <c r="Z93" s="88"/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73"/>
        <v>0</v>
      </c>
      <c r="AI93" s="49">
        <f t="shared" si="74"/>
        <v>0</v>
      </c>
      <c r="AK93" s="98"/>
      <c r="AL93" s="89"/>
      <c r="AM93" s="89"/>
      <c r="AN93" s="203"/>
      <c r="BF93" s="81"/>
      <c r="BG93" s="81">
        <v>58</v>
      </c>
      <c r="BH93" s="81">
        <v>0</v>
      </c>
      <c r="BI93" s="81">
        <v>364</v>
      </c>
      <c r="BJ93" s="81">
        <v>38</v>
      </c>
      <c r="BK93" s="81">
        <v>15</v>
      </c>
      <c r="BL93" s="81">
        <v>66</v>
      </c>
    </row>
    <row r="94" spans="1:64" ht="15.75" thickBot="1" x14ac:dyDescent="0.3">
      <c r="A94" s="64" t="s">
        <v>120</v>
      </c>
      <c r="B94" s="89">
        <v>0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/>
      <c r="X94" s="89">
        <v>0</v>
      </c>
      <c r="Y94" s="89">
        <v>0</v>
      </c>
      <c r="Z94" s="89"/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73"/>
        <v>0</v>
      </c>
      <c r="AI94" s="49">
        <f t="shared" si="74"/>
        <v>0</v>
      </c>
      <c r="AK94" s="103"/>
      <c r="AL94" s="104"/>
      <c r="AM94" s="104"/>
      <c r="AN94" s="105"/>
      <c r="BF94" s="81"/>
      <c r="BG94" s="81">
        <v>55.6</v>
      </c>
      <c r="BH94" s="81">
        <v>0</v>
      </c>
      <c r="BI94" s="81">
        <v>429</v>
      </c>
      <c r="BJ94" s="81">
        <v>30.8</v>
      </c>
      <c r="BK94" s="81">
        <v>76</v>
      </c>
      <c r="BL94" s="81">
        <v>74</v>
      </c>
    </row>
    <row r="95" spans="1:64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/>
      <c r="X95" s="106">
        <v>0</v>
      </c>
      <c r="Y95" s="106">
        <v>0</v>
      </c>
      <c r="Z95" s="106"/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73"/>
        <v>0</v>
      </c>
      <c r="AI95" s="49">
        <f t="shared" si="74"/>
        <v>0</v>
      </c>
      <c r="BF95" s="81"/>
      <c r="BG95" s="81">
        <v>51.8</v>
      </c>
      <c r="BH95" s="81">
        <v>0</v>
      </c>
      <c r="BI95" s="81">
        <v>389</v>
      </c>
      <c r="BJ95" s="81">
        <v>27.6</v>
      </c>
      <c r="BK95" s="81">
        <v>66</v>
      </c>
      <c r="BL95" s="81">
        <v>76</v>
      </c>
    </row>
    <row r="96" spans="1:64" ht="15.75" thickBot="1" x14ac:dyDescent="0.3">
      <c r="A96" s="86" t="s">
        <v>122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100">
        <f>SUM(AG93:AG95)</f>
        <v>55.4</v>
      </c>
      <c r="AH96" s="48">
        <f t="shared" si="73"/>
        <v>0</v>
      </c>
      <c r="AI96" s="49">
        <f t="shared" si="74"/>
        <v>0</v>
      </c>
      <c r="BF96" s="81"/>
      <c r="BG96" s="81">
        <v>51</v>
      </c>
      <c r="BH96" s="81">
        <v>0</v>
      </c>
      <c r="BI96" s="81">
        <v>416</v>
      </c>
      <c r="BJ96" s="81">
        <v>35.799999999999997</v>
      </c>
      <c r="BK96" s="81">
        <v>105.4</v>
      </c>
      <c r="BL96" s="81">
        <v>72</v>
      </c>
    </row>
    <row r="97" spans="1:64" ht="15.75" thickBot="1" x14ac:dyDescent="0.3">
      <c r="A97" s="86" t="s">
        <v>123</v>
      </c>
      <c r="B97" s="107">
        <f t="shared" ref="B97:C97" si="85">B58+B62+B80+B76+B92+B96</f>
        <v>1176.989</v>
      </c>
      <c r="C97" s="107">
        <f t="shared" si="85"/>
        <v>1190.989</v>
      </c>
      <c r="D97" s="107">
        <f t="shared" ref="D97" si="86">D58+D62+D80+D76+D92+D96</f>
        <v>1120.989</v>
      </c>
      <c r="E97" s="107">
        <f t="shared" ref="E97:AG97" si="87">E58+E62+E80+E76+E92+E96</f>
        <v>1070.8890000000001</v>
      </c>
      <c r="F97" s="107">
        <f t="shared" si="87"/>
        <v>1104.3890000000001</v>
      </c>
      <c r="G97" s="107">
        <f t="shared" si="87"/>
        <v>1188.289</v>
      </c>
      <c r="H97" s="107">
        <f t="shared" si="87"/>
        <v>1255.5889999999999</v>
      </c>
      <c r="I97" s="107">
        <f t="shared" si="87"/>
        <v>1378.989</v>
      </c>
      <c r="J97" s="107">
        <f t="shared" si="87"/>
        <v>1404.989</v>
      </c>
      <c r="K97" s="107">
        <f t="shared" si="87"/>
        <v>1348.7890000000002</v>
      </c>
      <c r="L97" s="107">
        <f t="shared" si="87"/>
        <v>1438.6890000000003</v>
      </c>
      <c r="M97" s="107">
        <f t="shared" si="87"/>
        <v>1425.0890000000002</v>
      </c>
      <c r="N97" s="107">
        <f t="shared" si="87"/>
        <v>1363.6889999999999</v>
      </c>
      <c r="O97" s="107">
        <f t="shared" si="87"/>
        <v>1314.0890000000002</v>
      </c>
      <c r="P97" s="107">
        <f t="shared" si="87"/>
        <v>1385.489</v>
      </c>
      <c r="Q97" s="107">
        <f t="shared" si="87"/>
        <v>1395.3890000000001</v>
      </c>
      <c r="R97" s="107">
        <f t="shared" si="87"/>
        <v>1474.3890000000001</v>
      </c>
      <c r="S97" s="107">
        <f t="shared" ref="S97:T97" si="88">S58+S62+S80+S76+S92+S96</f>
        <v>1510.8890000000001</v>
      </c>
      <c r="T97" s="107">
        <f t="shared" si="88"/>
        <v>1516.7890000000002</v>
      </c>
      <c r="U97" s="107">
        <f t="shared" ref="U97:V97" si="89">U58+U62+U80+U76+U92+U96</f>
        <v>1546.3890000000001</v>
      </c>
      <c r="V97" s="107">
        <f t="shared" si="89"/>
        <v>1443.489</v>
      </c>
      <c r="W97" s="107"/>
      <c r="X97" s="107">
        <f t="shared" ref="X97" si="90">X58+X62+X80+X76+X92+X96</f>
        <v>1416.6889999999999</v>
      </c>
      <c r="Y97" s="107">
        <f t="shared" ref="Y97:AA97" si="91">Y58+Y62+Y80+Y76+Y92+Y96</f>
        <v>1481.1890000000001</v>
      </c>
      <c r="Z97" s="107"/>
      <c r="AA97" s="107">
        <f t="shared" si="91"/>
        <v>1369.2890000000002</v>
      </c>
      <c r="AB97" s="107">
        <f t="shared" ref="AB97:AC97" si="92">AB58+AB62+AB80+AB76+AB92+AB96</f>
        <v>1297.3890000000001</v>
      </c>
      <c r="AC97" s="107">
        <f t="shared" si="92"/>
        <v>1384.0890000000002</v>
      </c>
      <c r="AD97" s="107">
        <f t="shared" ref="AD97:AE97" si="93">AD58+AD62+AD80+AD76+AD92+AD96</f>
        <v>1433.0889999999999</v>
      </c>
      <c r="AE97" s="107">
        <f t="shared" si="93"/>
        <v>1395.0889999999999</v>
      </c>
      <c r="AF97" s="107">
        <f t="shared" ref="AF97" si="94">AF58+AF62+AF80+AF76+AF92+AF96</f>
        <v>1313.0889999999999</v>
      </c>
      <c r="AG97" s="71">
        <f t="shared" si="87"/>
        <v>2231.81</v>
      </c>
      <c r="AH97" s="48">
        <f t="shared" si="73"/>
        <v>1546.3890000000001</v>
      </c>
      <c r="AI97" s="49">
        <f t="shared" si="74"/>
        <v>1070.8890000000001</v>
      </c>
      <c r="BF97" s="81"/>
      <c r="BG97" s="81">
        <v>52.9</v>
      </c>
      <c r="BH97" s="81">
        <v>0</v>
      </c>
      <c r="BI97" s="81">
        <v>511.2</v>
      </c>
      <c r="BJ97" s="81">
        <v>35.299999999999997</v>
      </c>
      <c r="BK97" s="81">
        <v>102</v>
      </c>
      <c r="BL97" s="81">
        <v>72</v>
      </c>
    </row>
    <row r="98" spans="1:64" ht="15.75" thickBot="1" x14ac:dyDescent="0.3">
      <c r="A98" s="108" t="s">
        <v>124</v>
      </c>
      <c r="B98" s="109">
        <v>0</v>
      </c>
      <c r="C98" s="109">
        <v>0</v>
      </c>
      <c r="D98" s="109">
        <v>0</v>
      </c>
      <c r="E98" s="109"/>
      <c r="F98" s="109"/>
      <c r="G98" s="109"/>
      <c r="H98" s="109"/>
      <c r="I98" s="109"/>
      <c r="J98" s="109"/>
      <c r="K98" s="109">
        <v>200</v>
      </c>
      <c r="L98" s="109">
        <v>250</v>
      </c>
      <c r="M98" s="109">
        <v>250</v>
      </c>
      <c r="N98" s="109">
        <v>250</v>
      </c>
      <c r="O98" s="109">
        <v>250</v>
      </c>
      <c r="P98" s="109"/>
      <c r="Q98" s="109"/>
      <c r="R98" s="109"/>
      <c r="S98" s="109"/>
      <c r="T98" s="109"/>
      <c r="U98" s="109"/>
      <c r="V98" s="109">
        <v>100</v>
      </c>
      <c r="W98" s="109">
        <v>150</v>
      </c>
      <c r="X98" s="109">
        <v>250</v>
      </c>
      <c r="Y98" s="109">
        <v>280</v>
      </c>
      <c r="Z98" s="109"/>
      <c r="AA98" s="109">
        <v>280</v>
      </c>
      <c r="AB98" s="109">
        <v>270</v>
      </c>
      <c r="AC98" s="109">
        <v>100</v>
      </c>
      <c r="AD98" s="109">
        <v>0</v>
      </c>
      <c r="AE98" s="109">
        <v>0</v>
      </c>
      <c r="AF98" s="109">
        <v>0</v>
      </c>
      <c r="AG98" s="100"/>
      <c r="AH98" s="48">
        <f t="shared" si="73"/>
        <v>280</v>
      </c>
      <c r="AI98" s="49">
        <f t="shared" si="74"/>
        <v>0</v>
      </c>
      <c r="BF98" s="81"/>
      <c r="BG98" s="81">
        <v>57</v>
      </c>
      <c r="BH98" s="81">
        <v>0</v>
      </c>
      <c r="BI98" s="81">
        <v>548.5</v>
      </c>
      <c r="BJ98" s="81">
        <v>32.1</v>
      </c>
      <c r="BK98" s="81">
        <v>114.2</v>
      </c>
      <c r="BL98" s="81">
        <v>73.5</v>
      </c>
    </row>
    <row r="99" spans="1:64" ht="15.75" thickBot="1" x14ac:dyDescent="0.3">
      <c r="A99" s="86" t="s">
        <v>125</v>
      </c>
      <c r="B99" s="107">
        <f t="shared" ref="B99:C99" si="95">B97+B98</f>
        <v>1176.989</v>
      </c>
      <c r="C99" s="107">
        <f t="shared" si="95"/>
        <v>1190.989</v>
      </c>
      <c r="D99" s="107">
        <f t="shared" ref="D99" si="96">D97+D98</f>
        <v>1120.989</v>
      </c>
      <c r="E99" s="107">
        <f t="shared" ref="E99:R99" si="97">E97+E98</f>
        <v>1070.8890000000001</v>
      </c>
      <c r="F99" s="107">
        <f t="shared" si="97"/>
        <v>1104.3890000000001</v>
      </c>
      <c r="G99" s="107">
        <f t="shared" si="97"/>
        <v>1188.289</v>
      </c>
      <c r="H99" s="107">
        <f t="shared" si="97"/>
        <v>1255.5889999999999</v>
      </c>
      <c r="I99" s="107">
        <f t="shared" si="97"/>
        <v>1378.989</v>
      </c>
      <c r="J99" s="107">
        <f t="shared" si="97"/>
        <v>1404.989</v>
      </c>
      <c r="K99" s="107">
        <f t="shared" si="97"/>
        <v>1548.7890000000002</v>
      </c>
      <c r="L99" s="107">
        <f t="shared" si="97"/>
        <v>1688.6890000000003</v>
      </c>
      <c r="M99" s="107">
        <f t="shared" si="97"/>
        <v>1675.0890000000002</v>
      </c>
      <c r="N99" s="107">
        <f t="shared" si="97"/>
        <v>1613.6889999999999</v>
      </c>
      <c r="O99" s="107">
        <f t="shared" si="97"/>
        <v>1564.0890000000002</v>
      </c>
      <c r="P99" s="107">
        <f t="shared" si="97"/>
        <v>1385.489</v>
      </c>
      <c r="Q99" s="107">
        <f t="shared" si="97"/>
        <v>1395.3890000000001</v>
      </c>
      <c r="R99" s="107">
        <f t="shared" si="97"/>
        <v>1474.3890000000001</v>
      </c>
      <c r="S99" s="107">
        <f t="shared" ref="S99:T99" si="98">S97+S98</f>
        <v>1510.8890000000001</v>
      </c>
      <c r="T99" s="107">
        <f t="shared" si="98"/>
        <v>1516.7890000000002</v>
      </c>
      <c r="U99" s="107">
        <f t="shared" ref="U99:V99" si="99">U97+U98</f>
        <v>1546.3890000000001</v>
      </c>
      <c r="V99" s="107">
        <f t="shared" si="99"/>
        <v>1543.489</v>
      </c>
      <c r="W99" s="107"/>
      <c r="X99" s="107">
        <f t="shared" ref="X99" si="100">X97+X98</f>
        <v>1666.6889999999999</v>
      </c>
      <c r="Y99" s="107">
        <f t="shared" ref="Y99:AA99" si="101">Y97+Y98</f>
        <v>1761.1890000000001</v>
      </c>
      <c r="Z99" s="107"/>
      <c r="AA99" s="107">
        <f t="shared" si="101"/>
        <v>1649.2890000000002</v>
      </c>
      <c r="AB99" s="107">
        <f t="shared" ref="AB99:AC99" si="102">AB97+AB98</f>
        <v>1567.3890000000001</v>
      </c>
      <c r="AC99" s="107">
        <f t="shared" si="102"/>
        <v>1484.0890000000002</v>
      </c>
      <c r="AD99" s="107">
        <f t="shared" ref="AD99:AE99" si="103">AD97+AD98</f>
        <v>1433.0889999999999</v>
      </c>
      <c r="AE99" s="107">
        <f t="shared" si="103"/>
        <v>1395.0889999999999</v>
      </c>
      <c r="AF99" s="107">
        <f t="shared" ref="AF99" si="104">AF97+AF98</f>
        <v>1313.0889999999999</v>
      </c>
      <c r="AG99" s="100">
        <f>AG96+AG92+AG80+AG76+AG58+AG98</f>
        <v>1693.71</v>
      </c>
      <c r="AH99" s="48">
        <f t="shared" si="73"/>
        <v>1761.1890000000001</v>
      </c>
      <c r="AI99" s="49">
        <f t="shared" si="74"/>
        <v>1070.8890000000001</v>
      </c>
      <c r="BF99" s="81"/>
      <c r="BG99" s="81">
        <v>65.2</v>
      </c>
      <c r="BH99" s="81">
        <v>0</v>
      </c>
      <c r="BI99" s="81">
        <v>527.29999999999995</v>
      </c>
      <c r="BJ99" s="81">
        <v>34.299999999999997</v>
      </c>
      <c r="BK99" s="81">
        <v>114.8</v>
      </c>
      <c r="BL99" s="81">
        <v>62.1</v>
      </c>
    </row>
    <row r="100" spans="1:64" ht="15.75" thickBot="1" x14ac:dyDescent="0.3">
      <c r="A100" s="86" t="s">
        <v>126</v>
      </c>
      <c r="B100" s="107">
        <f t="shared" ref="B100:C100" si="105">B99-(B107)</f>
        <v>1176.989</v>
      </c>
      <c r="C100" s="107">
        <f t="shared" si="105"/>
        <v>1189.989</v>
      </c>
      <c r="D100" s="107">
        <f t="shared" ref="D100" si="106">D99-(D107)</f>
        <v>1120.989</v>
      </c>
      <c r="E100" s="107">
        <f t="shared" ref="E100:M100" si="107">E99-(E107)</f>
        <v>1070.8890000000001</v>
      </c>
      <c r="F100" s="107">
        <f t="shared" si="107"/>
        <v>1104.3890000000001</v>
      </c>
      <c r="G100" s="107">
        <f t="shared" si="107"/>
        <v>1188.289</v>
      </c>
      <c r="H100" s="107">
        <f t="shared" si="107"/>
        <v>1255.5889999999999</v>
      </c>
      <c r="I100" s="107">
        <f t="shared" si="107"/>
        <v>1378.989</v>
      </c>
      <c r="J100" s="107">
        <f t="shared" si="107"/>
        <v>1404.989</v>
      </c>
      <c r="K100" s="107">
        <f t="shared" si="107"/>
        <v>1548.7890000000002</v>
      </c>
      <c r="L100" s="107">
        <f t="shared" si="107"/>
        <v>1688.6890000000003</v>
      </c>
      <c r="M100" s="107">
        <f t="shared" si="107"/>
        <v>1675.0890000000002</v>
      </c>
      <c r="N100" s="107">
        <f>N99-(N107)</f>
        <v>1613.6889999999999</v>
      </c>
      <c r="O100" s="107">
        <f t="shared" ref="O100:R100" si="108">O99-(O107)</f>
        <v>1564.0890000000002</v>
      </c>
      <c r="P100" s="107">
        <f t="shared" si="108"/>
        <v>1385.489</v>
      </c>
      <c r="Q100" s="107">
        <f t="shared" si="108"/>
        <v>1395.3890000000001</v>
      </c>
      <c r="R100" s="107">
        <f t="shared" si="108"/>
        <v>1474.3890000000001</v>
      </c>
      <c r="S100" s="107">
        <f t="shared" ref="S100:T100" si="109">S99-(S107)</f>
        <v>1510.8890000000001</v>
      </c>
      <c r="T100" s="107">
        <f t="shared" si="109"/>
        <v>1516.7890000000002</v>
      </c>
      <c r="U100" s="107">
        <f t="shared" ref="U100:V100" si="110">U99-(U107)</f>
        <v>1546.3890000000001</v>
      </c>
      <c r="V100" s="107">
        <f t="shared" si="110"/>
        <v>1543.489</v>
      </c>
      <c r="W100" s="107"/>
      <c r="X100" s="107">
        <f t="shared" ref="X100" si="111">X99-(X107)</f>
        <v>1666.6889999999999</v>
      </c>
      <c r="Y100" s="107">
        <f t="shared" ref="Y100:AA100" si="112">Y99-(Y107)</f>
        <v>1761.1890000000001</v>
      </c>
      <c r="Z100" s="107"/>
      <c r="AA100" s="107">
        <f t="shared" si="112"/>
        <v>1649.2890000000002</v>
      </c>
      <c r="AB100" s="107">
        <f t="shared" ref="AB100:AC100" si="113">AB99-(AB107)</f>
        <v>1567.3890000000001</v>
      </c>
      <c r="AC100" s="107">
        <f t="shared" si="113"/>
        <v>1484.0890000000002</v>
      </c>
      <c r="AD100" s="107">
        <f t="shared" ref="AD100:AE100" si="114">AD99-(AD107)</f>
        <v>1433.0889999999999</v>
      </c>
      <c r="AE100" s="107">
        <f t="shared" si="114"/>
        <v>1395.0889999999999</v>
      </c>
      <c r="AF100" s="107">
        <f t="shared" ref="AF100" si="115">AF99-(AF107)</f>
        <v>1313.0889999999999</v>
      </c>
      <c r="AG100" s="100"/>
      <c r="AH100" s="48">
        <f t="shared" si="73"/>
        <v>1761.1890000000001</v>
      </c>
      <c r="AI100" s="49">
        <f t="shared" si="74"/>
        <v>1070.8890000000001</v>
      </c>
      <c r="BF100" s="81"/>
      <c r="BG100" s="81">
        <v>46.4</v>
      </c>
      <c r="BH100" s="81">
        <v>0</v>
      </c>
      <c r="BI100" s="81">
        <v>497</v>
      </c>
      <c r="BJ100" s="81">
        <v>25.4</v>
      </c>
      <c r="BK100" s="81">
        <v>74</v>
      </c>
      <c r="BL100" s="81">
        <v>64.900000000000006</v>
      </c>
    </row>
    <row r="101" spans="1:64" x14ac:dyDescent="0.25">
      <c r="A101" s="45" t="s">
        <v>107</v>
      </c>
      <c r="B101" s="88">
        <f t="shared" ref="B101:C101" si="116">IF(B84&lt;0,B84*-1,0)</f>
        <v>0</v>
      </c>
      <c r="C101" s="88">
        <f t="shared" si="116"/>
        <v>0</v>
      </c>
      <c r="D101" s="88">
        <f t="shared" ref="D101" si="117">IF(D84&lt;0,D84*-1,0)</f>
        <v>0</v>
      </c>
      <c r="E101" s="88">
        <f t="shared" ref="E101:R101" si="118">IF(E84&lt;0,E84*-1,0)</f>
        <v>0</v>
      </c>
      <c r="F101" s="88">
        <f t="shared" si="118"/>
        <v>0</v>
      </c>
      <c r="G101" s="88">
        <f t="shared" si="118"/>
        <v>0</v>
      </c>
      <c r="H101" s="88">
        <f t="shared" si="118"/>
        <v>0</v>
      </c>
      <c r="I101" s="88">
        <f t="shared" si="118"/>
        <v>0</v>
      </c>
      <c r="J101" s="88">
        <f t="shared" si="118"/>
        <v>0</v>
      </c>
      <c r="K101" s="88">
        <f t="shared" si="118"/>
        <v>0</v>
      </c>
      <c r="L101" s="88">
        <f t="shared" si="118"/>
        <v>0</v>
      </c>
      <c r="M101" s="88">
        <f t="shared" si="118"/>
        <v>0</v>
      </c>
      <c r="N101" s="88">
        <f t="shared" si="118"/>
        <v>0</v>
      </c>
      <c r="O101" s="88">
        <f t="shared" si="118"/>
        <v>0</v>
      </c>
      <c r="P101" s="88">
        <f t="shared" si="118"/>
        <v>0</v>
      </c>
      <c r="Q101" s="88">
        <f t="shared" si="118"/>
        <v>0</v>
      </c>
      <c r="R101" s="88">
        <f t="shared" si="118"/>
        <v>0</v>
      </c>
      <c r="S101" s="88">
        <f t="shared" ref="S101:T101" si="119">IF(S84&lt;0,S84*-1,0)</f>
        <v>0</v>
      </c>
      <c r="T101" s="88">
        <f t="shared" si="119"/>
        <v>0</v>
      </c>
      <c r="U101" s="88">
        <f t="shared" ref="U101:V101" si="120">IF(U84&lt;0,U84*-1,0)</f>
        <v>0</v>
      </c>
      <c r="V101" s="88">
        <f t="shared" si="120"/>
        <v>0</v>
      </c>
      <c r="W101" s="88"/>
      <c r="X101" s="88">
        <f t="shared" ref="X101" si="121">IF(X84&lt;0,X84*-1,0)</f>
        <v>0</v>
      </c>
      <c r="Y101" s="88">
        <f t="shared" ref="Y101:AA101" si="122">IF(Y84&lt;0,Y84*-1,0)</f>
        <v>0</v>
      </c>
      <c r="Z101" s="88"/>
      <c r="AA101" s="88">
        <f t="shared" si="122"/>
        <v>0</v>
      </c>
      <c r="AB101" s="88">
        <f t="shared" ref="AB101:AC101" si="123">IF(AB84&lt;0,AB84*-1,0)</f>
        <v>0</v>
      </c>
      <c r="AC101" s="88">
        <f t="shared" si="123"/>
        <v>0</v>
      </c>
      <c r="AD101" s="88">
        <f t="shared" ref="AD101:AE101" si="124">IF(AD84&lt;0,AD84*-1,0)</f>
        <v>0</v>
      </c>
      <c r="AE101" s="88">
        <f t="shared" si="124"/>
        <v>0</v>
      </c>
      <c r="AF101" s="88">
        <f t="shared" ref="AF101" si="125">IF(AF84&lt;0,AF84*-1,0)</f>
        <v>0</v>
      </c>
      <c r="AG101" s="60"/>
      <c r="AH101" s="48">
        <f t="shared" si="73"/>
        <v>0</v>
      </c>
      <c r="AI101" s="49">
        <f t="shared" si="74"/>
        <v>0</v>
      </c>
      <c r="BF101" s="80"/>
      <c r="BG101" s="81">
        <v>52.3</v>
      </c>
      <c r="BH101" s="81">
        <v>0</v>
      </c>
      <c r="BI101" s="81">
        <v>493.4</v>
      </c>
      <c r="BJ101" s="81">
        <v>0</v>
      </c>
      <c r="BK101" s="81">
        <v>0</v>
      </c>
      <c r="BL101" s="81">
        <v>68</v>
      </c>
    </row>
    <row r="102" spans="1:64" x14ac:dyDescent="0.25">
      <c r="A102" s="64" t="s">
        <v>105</v>
      </c>
      <c r="B102" s="88">
        <f t="shared" ref="B102:C102" si="126">IF(B82&lt;0,B82*-1,0)</f>
        <v>0</v>
      </c>
      <c r="C102" s="88">
        <f t="shared" si="126"/>
        <v>0</v>
      </c>
      <c r="D102" s="88">
        <f t="shared" ref="D102" si="127">IF(D82&lt;0,D82*-1,0)</f>
        <v>0</v>
      </c>
      <c r="E102" s="88">
        <f t="shared" ref="E102:R102" si="128">IF(E82&lt;0,E82*-1,0)</f>
        <v>0</v>
      </c>
      <c r="F102" s="88">
        <f t="shared" si="128"/>
        <v>0</v>
      </c>
      <c r="G102" s="88">
        <f t="shared" si="128"/>
        <v>0</v>
      </c>
      <c r="H102" s="88">
        <f t="shared" si="128"/>
        <v>0</v>
      </c>
      <c r="I102" s="88">
        <f t="shared" si="128"/>
        <v>0</v>
      </c>
      <c r="J102" s="88">
        <f t="shared" si="128"/>
        <v>0</v>
      </c>
      <c r="K102" s="88">
        <f t="shared" si="128"/>
        <v>0</v>
      </c>
      <c r="L102" s="88">
        <f t="shared" si="128"/>
        <v>0</v>
      </c>
      <c r="M102" s="88">
        <f t="shared" si="128"/>
        <v>0</v>
      </c>
      <c r="N102" s="88">
        <f t="shared" si="128"/>
        <v>0</v>
      </c>
      <c r="O102" s="88">
        <f t="shared" si="128"/>
        <v>0</v>
      </c>
      <c r="P102" s="88">
        <f t="shared" si="128"/>
        <v>0</v>
      </c>
      <c r="Q102" s="88">
        <f t="shared" si="128"/>
        <v>0</v>
      </c>
      <c r="R102" s="88">
        <f t="shared" si="128"/>
        <v>0</v>
      </c>
      <c r="S102" s="88">
        <f t="shared" ref="S102:T102" si="129">IF(S82&lt;0,S82*-1,0)</f>
        <v>0</v>
      </c>
      <c r="T102" s="88">
        <f t="shared" si="129"/>
        <v>0</v>
      </c>
      <c r="U102" s="88">
        <f t="shared" ref="U102:V102" si="130">IF(U82&lt;0,U82*-1,0)</f>
        <v>0</v>
      </c>
      <c r="V102" s="88">
        <f t="shared" si="130"/>
        <v>0</v>
      </c>
      <c r="W102" s="88"/>
      <c r="X102" s="88">
        <f t="shared" ref="X102" si="131">IF(X82&lt;0,X82*-1,0)</f>
        <v>0</v>
      </c>
      <c r="Y102" s="88">
        <f t="shared" ref="Y102:AA102" si="132">IF(Y82&lt;0,Y82*-1,0)</f>
        <v>0</v>
      </c>
      <c r="Z102" s="88"/>
      <c r="AA102" s="88">
        <f t="shared" si="132"/>
        <v>0</v>
      </c>
      <c r="AB102" s="88">
        <f t="shared" ref="AB102:AC102" si="133">IF(AB82&lt;0,AB82*-1,0)</f>
        <v>0</v>
      </c>
      <c r="AC102" s="88">
        <f t="shared" si="133"/>
        <v>0</v>
      </c>
      <c r="AD102" s="88">
        <f t="shared" ref="AD102:AE102" si="134">IF(AD82&lt;0,AD82*-1,0)</f>
        <v>0</v>
      </c>
      <c r="AE102" s="88">
        <f t="shared" si="134"/>
        <v>0</v>
      </c>
      <c r="AF102" s="88">
        <f t="shared" ref="AF102" si="135">IF(AF82&lt;0,AF82*-1,0)</f>
        <v>0</v>
      </c>
      <c r="AG102" s="65"/>
      <c r="AH102" s="48">
        <f t="shared" si="73"/>
        <v>0</v>
      </c>
      <c r="AI102" s="49">
        <f t="shared" si="74"/>
        <v>0</v>
      </c>
      <c r="BF102" s="80"/>
      <c r="BG102" s="81">
        <v>0</v>
      </c>
      <c r="BH102" s="81">
        <v>0</v>
      </c>
      <c r="BI102" s="81">
        <v>0</v>
      </c>
      <c r="BJ102" s="81">
        <v>0</v>
      </c>
      <c r="BK102" s="81">
        <v>0</v>
      </c>
      <c r="BL102" s="81">
        <v>0</v>
      </c>
    </row>
    <row r="103" spans="1:64" x14ac:dyDescent="0.25">
      <c r="A103" s="96" t="s">
        <v>127</v>
      </c>
      <c r="B103" s="88">
        <f t="shared" ref="B103:C103" si="136">IF(B85&lt;0,B85*-1,0)</f>
        <v>0</v>
      </c>
      <c r="C103" s="88">
        <f t="shared" si="136"/>
        <v>0</v>
      </c>
      <c r="D103" s="88">
        <f t="shared" ref="D103" si="137">IF(D85&lt;0,D85*-1,0)</f>
        <v>0</v>
      </c>
      <c r="E103" s="88">
        <f t="shared" ref="E103:R103" si="138">IF(E85&lt;0,E85*-1,0)</f>
        <v>0</v>
      </c>
      <c r="F103" s="88">
        <f t="shared" si="138"/>
        <v>0</v>
      </c>
      <c r="G103" s="88">
        <f t="shared" si="138"/>
        <v>0</v>
      </c>
      <c r="H103" s="88">
        <f t="shared" si="138"/>
        <v>0</v>
      </c>
      <c r="I103" s="88">
        <f t="shared" si="138"/>
        <v>0</v>
      </c>
      <c r="J103" s="88">
        <f t="shared" si="138"/>
        <v>0</v>
      </c>
      <c r="K103" s="88">
        <f t="shared" si="138"/>
        <v>0</v>
      </c>
      <c r="L103" s="88">
        <f t="shared" si="138"/>
        <v>0</v>
      </c>
      <c r="M103" s="88">
        <f t="shared" si="138"/>
        <v>0</v>
      </c>
      <c r="N103" s="88">
        <f t="shared" si="138"/>
        <v>0</v>
      </c>
      <c r="O103" s="88">
        <f t="shared" si="138"/>
        <v>0</v>
      </c>
      <c r="P103" s="88">
        <f t="shared" si="138"/>
        <v>0</v>
      </c>
      <c r="Q103" s="88">
        <f t="shared" si="138"/>
        <v>0</v>
      </c>
      <c r="R103" s="88">
        <f t="shared" si="138"/>
        <v>0</v>
      </c>
      <c r="S103" s="88">
        <f t="shared" ref="S103:T103" si="139">IF(S85&lt;0,S85*-1,0)</f>
        <v>0</v>
      </c>
      <c r="T103" s="88">
        <f t="shared" si="139"/>
        <v>0</v>
      </c>
      <c r="U103" s="88">
        <f t="shared" ref="U103:V103" si="140">IF(U85&lt;0,U85*-1,0)</f>
        <v>0</v>
      </c>
      <c r="V103" s="88">
        <f t="shared" si="140"/>
        <v>0</v>
      </c>
      <c r="W103" s="88"/>
      <c r="X103" s="88">
        <f t="shared" ref="X103" si="141">IF(X85&lt;0,X85*-1,0)</f>
        <v>0</v>
      </c>
      <c r="Y103" s="88">
        <f t="shared" ref="Y103:AA103" si="142">IF(Y85&lt;0,Y85*-1,0)</f>
        <v>0</v>
      </c>
      <c r="Z103" s="88"/>
      <c r="AA103" s="88">
        <f t="shared" si="142"/>
        <v>0</v>
      </c>
      <c r="AB103" s="88">
        <f t="shared" ref="AB103:AC103" si="143">IF(AB85&lt;0,AB85*-1,0)</f>
        <v>0</v>
      </c>
      <c r="AC103" s="88">
        <f t="shared" si="143"/>
        <v>0</v>
      </c>
      <c r="AD103" s="88">
        <f t="shared" ref="AD103:AE103" si="144">IF(AD85&lt;0,AD85*-1,0)</f>
        <v>0</v>
      </c>
      <c r="AE103" s="88">
        <f t="shared" si="144"/>
        <v>0</v>
      </c>
      <c r="AF103" s="88">
        <f t="shared" ref="AF103" si="145">IF(AF85&lt;0,AF85*-1,0)</f>
        <v>0</v>
      </c>
      <c r="AG103" s="110"/>
      <c r="AH103" s="48">
        <f t="shared" si="73"/>
        <v>0</v>
      </c>
      <c r="AI103" s="49">
        <f t="shared" si="74"/>
        <v>0</v>
      </c>
      <c r="BF103" s="80"/>
      <c r="BG103" s="81">
        <v>65</v>
      </c>
      <c r="BH103" s="81">
        <v>0</v>
      </c>
      <c r="BI103" s="81">
        <v>385</v>
      </c>
      <c r="BJ103" s="81">
        <v>0</v>
      </c>
      <c r="BK103" s="81">
        <v>0</v>
      </c>
      <c r="BL103" s="81">
        <v>0</v>
      </c>
    </row>
    <row r="104" spans="1:64" x14ac:dyDescent="0.25">
      <c r="A104" s="96" t="s">
        <v>128</v>
      </c>
      <c r="B104" s="88">
        <f t="shared" ref="B104:C104" si="146">IF(B83&lt;0,B83*-1,0)</f>
        <v>0</v>
      </c>
      <c r="C104" s="88">
        <f t="shared" si="146"/>
        <v>0</v>
      </c>
      <c r="D104" s="88">
        <f t="shared" ref="D104" si="147">IF(D83&lt;0,D83*-1,0)</f>
        <v>0</v>
      </c>
      <c r="E104" s="88">
        <f t="shared" ref="E104:R104" si="148">IF(E83&lt;0,E83*-1,0)</f>
        <v>0</v>
      </c>
      <c r="F104" s="88">
        <f t="shared" si="148"/>
        <v>0</v>
      </c>
      <c r="G104" s="88">
        <f t="shared" si="148"/>
        <v>0</v>
      </c>
      <c r="H104" s="88">
        <f t="shared" si="148"/>
        <v>0</v>
      </c>
      <c r="I104" s="88">
        <f t="shared" si="148"/>
        <v>0</v>
      </c>
      <c r="J104" s="88">
        <f t="shared" si="148"/>
        <v>0</v>
      </c>
      <c r="K104" s="88">
        <f t="shared" si="148"/>
        <v>0</v>
      </c>
      <c r="L104" s="88">
        <f t="shared" si="148"/>
        <v>0</v>
      </c>
      <c r="M104" s="88">
        <f t="shared" si="148"/>
        <v>0</v>
      </c>
      <c r="N104" s="88">
        <f t="shared" si="148"/>
        <v>0</v>
      </c>
      <c r="O104" s="88">
        <f t="shared" si="148"/>
        <v>0</v>
      </c>
      <c r="P104" s="88">
        <f t="shared" si="148"/>
        <v>0</v>
      </c>
      <c r="Q104" s="88">
        <f t="shared" si="148"/>
        <v>0</v>
      </c>
      <c r="R104" s="88">
        <f t="shared" si="148"/>
        <v>0</v>
      </c>
      <c r="S104" s="88">
        <f t="shared" ref="S104:T104" si="149">IF(S83&lt;0,S83*-1,0)</f>
        <v>0</v>
      </c>
      <c r="T104" s="88">
        <f t="shared" si="149"/>
        <v>0</v>
      </c>
      <c r="U104" s="88">
        <f t="shared" ref="U104:V104" si="150">IF(U83&lt;0,U83*-1,0)</f>
        <v>0</v>
      </c>
      <c r="V104" s="88">
        <f t="shared" si="150"/>
        <v>0</v>
      </c>
      <c r="W104" s="88"/>
      <c r="X104" s="88">
        <f t="shared" ref="X104" si="151">IF(X83&lt;0,X83*-1,0)</f>
        <v>0</v>
      </c>
      <c r="Y104" s="88">
        <f t="shared" ref="Y104:AA104" si="152">IF(Y83&lt;0,Y83*-1,0)</f>
        <v>0</v>
      </c>
      <c r="Z104" s="88"/>
      <c r="AA104" s="88">
        <f t="shared" si="152"/>
        <v>0</v>
      </c>
      <c r="AB104" s="88">
        <f t="shared" ref="AB104:AC104" si="153">IF(AB83&lt;0,AB83*-1,0)</f>
        <v>0</v>
      </c>
      <c r="AC104" s="88">
        <f t="shared" si="153"/>
        <v>0</v>
      </c>
      <c r="AD104" s="88">
        <f t="shared" ref="AD104:AE104" si="154">IF(AD83&lt;0,AD83*-1,0)</f>
        <v>0</v>
      </c>
      <c r="AE104" s="88">
        <f t="shared" si="154"/>
        <v>0</v>
      </c>
      <c r="AF104" s="88">
        <f t="shared" ref="AF104" si="155">IF(AF83&lt;0,AF83*-1,0)</f>
        <v>0</v>
      </c>
      <c r="AG104" s="110"/>
      <c r="AH104" s="48">
        <f t="shared" si="73"/>
        <v>0</v>
      </c>
      <c r="AI104" s="49">
        <f t="shared" si="74"/>
        <v>0</v>
      </c>
      <c r="BF104" s="80"/>
      <c r="BG104" s="81">
        <v>60</v>
      </c>
      <c r="BH104" s="81">
        <v>0</v>
      </c>
      <c r="BI104" s="81">
        <v>388</v>
      </c>
      <c r="BJ104" s="81">
        <v>34</v>
      </c>
      <c r="BK104" s="81">
        <v>124</v>
      </c>
      <c r="BL104" s="81">
        <v>0</v>
      </c>
    </row>
    <row r="105" spans="1:64" x14ac:dyDescent="0.25">
      <c r="A105" s="96" t="s">
        <v>104</v>
      </c>
      <c r="B105" s="88">
        <f t="shared" ref="B105:C105" si="156">IF(B81&lt;0,B81*-1,0)</f>
        <v>0</v>
      </c>
      <c r="C105" s="88">
        <f t="shared" si="156"/>
        <v>0</v>
      </c>
      <c r="D105" s="88">
        <f t="shared" ref="D105" si="157">IF(D81&lt;0,D81*-1,0)</f>
        <v>0</v>
      </c>
      <c r="E105" s="88">
        <f t="shared" ref="E105:R105" si="158">IF(E81&lt;0,E81*-1,0)</f>
        <v>0</v>
      </c>
      <c r="F105" s="88">
        <f t="shared" si="158"/>
        <v>0</v>
      </c>
      <c r="G105" s="88">
        <f t="shared" si="158"/>
        <v>0</v>
      </c>
      <c r="H105" s="88">
        <f t="shared" si="158"/>
        <v>0</v>
      </c>
      <c r="I105" s="88">
        <f t="shared" si="158"/>
        <v>0</v>
      </c>
      <c r="J105" s="88">
        <f t="shared" si="158"/>
        <v>0</v>
      </c>
      <c r="K105" s="88">
        <f t="shared" si="158"/>
        <v>0</v>
      </c>
      <c r="L105" s="88">
        <f t="shared" si="158"/>
        <v>0</v>
      </c>
      <c r="M105" s="88">
        <f t="shared" si="158"/>
        <v>0</v>
      </c>
      <c r="N105" s="88">
        <f t="shared" si="158"/>
        <v>0</v>
      </c>
      <c r="O105" s="88">
        <f t="shared" si="158"/>
        <v>0</v>
      </c>
      <c r="P105" s="88">
        <f t="shared" si="158"/>
        <v>0</v>
      </c>
      <c r="Q105" s="88">
        <f t="shared" si="158"/>
        <v>0</v>
      </c>
      <c r="R105" s="88">
        <f t="shared" si="158"/>
        <v>0</v>
      </c>
      <c r="S105" s="88">
        <f t="shared" ref="S105:T105" si="159">IF(S81&lt;0,S81*-1,0)</f>
        <v>0</v>
      </c>
      <c r="T105" s="88">
        <f t="shared" si="159"/>
        <v>0</v>
      </c>
      <c r="U105" s="88">
        <f t="shared" ref="U105:V105" si="160">IF(U81&lt;0,U81*-1,0)</f>
        <v>0</v>
      </c>
      <c r="V105" s="88">
        <f t="shared" si="160"/>
        <v>0</v>
      </c>
      <c r="W105" s="88"/>
      <c r="X105" s="88">
        <f t="shared" ref="X105" si="161">IF(X81&lt;0,X81*-1,0)</f>
        <v>0</v>
      </c>
      <c r="Y105" s="88">
        <f t="shared" ref="Y105:AA105" si="162">IF(Y81&lt;0,Y81*-1,0)</f>
        <v>0</v>
      </c>
      <c r="Z105" s="88"/>
      <c r="AA105" s="88">
        <f t="shared" si="162"/>
        <v>0</v>
      </c>
      <c r="AB105" s="88">
        <f t="shared" ref="AB105:AC105" si="163">IF(AB81&lt;0,AB81*-1,0)</f>
        <v>0</v>
      </c>
      <c r="AC105" s="88">
        <f t="shared" si="163"/>
        <v>0</v>
      </c>
      <c r="AD105" s="88">
        <f t="shared" ref="AD105:AE105" si="164">IF(AD81&lt;0,AD81*-1,0)</f>
        <v>0</v>
      </c>
      <c r="AE105" s="88">
        <f t="shared" si="164"/>
        <v>0</v>
      </c>
      <c r="AF105" s="88">
        <f t="shared" ref="AF105" si="165">IF(AF81&lt;0,AF81*-1,0)</f>
        <v>0</v>
      </c>
      <c r="AG105" s="110"/>
      <c r="AH105" s="48">
        <f t="shared" si="73"/>
        <v>0</v>
      </c>
      <c r="AI105" s="49">
        <f t="shared" si="74"/>
        <v>0</v>
      </c>
      <c r="BF105" s="80"/>
      <c r="BG105" s="81">
        <v>59</v>
      </c>
      <c r="BH105" s="81">
        <v>0</v>
      </c>
      <c r="BI105" s="81">
        <v>390</v>
      </c>
      <c r="BJ105" s="81">
        <v>46</v>
      </c>
      <c r="BK105" s="81">
        <v>120</v>
      </c>
      <c r="BL105" s="81">
        <v>0</v>
      </c>
    </row>
    <row r="106" spans="1:64" ht="15.75" thickBot="1" x14ac:dyDescent="0.3">
      <c r="A106" s="96" t="s">
        <v>129</v>
      </c>
      <c r="B106" s="106">
        <v>0</v>
      </c>
      <c r="C106" s="106">
        <v>1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/>
      <c r="X106" s="106">
        <v>0</v>
      </c>
      <c r="Y106" s="106">
        <v>0</v>
      </c>
      <c r="Z106" s="106"/>
      <c r="AA106" s="106">
        <v>0</v>
      </c>
      <c r="AB106" s="106">
        <v>0</v>
      </c>
      <c r="AC106" s="106">
        <v>0</v>
      </c>
      <c r="AD106" s="106">
        <v>0</v>
      </c>
      <c r="AE106" s="106">
        <v>0</v>
      </c>
      <c r="AF106" s="106">
        <v>0</v>
      </c>
      <c r="AG106" s="97"/>
      <c r="AH106" s="48">
        <f t="shared" si="73"/>
        <v>1</v>
      </c>
      <c r="AI106" s="49">
        <f t="shared" si="74"/>
        <v>0</v>
      </c>
      <c r="BG106" s="81">
        <v>52</v>
      </c>
      <c r="BH106" s="81">
        <v>0</v>
      </c>
      <c r="BI106" s="81">
        <v>396</v>
      </c>
      <c r="BJ106" s="81">
        <v>43</v>
      </c>
      <c r="BK106" s="81">
        <v>110</v>
      </c>
      <c r="BL106" s="81">
        <v>0</v>
      </c>
    </row>
    <row r="107" spans="1:64" ht="15.75" thickBot="1" x14ac:dyDescent="0.3">
      <c r="A107" s="111" t="s">
        <v>130</v>
      </c>
      <c r="B107" s="70">
        <f t="shared" ref="B107:C107" si="166">SUM(B101:B106)</f>
        <v>0</v>
      </c>
      <c r="C107" s="70">
        <f t="shared" si="166"/>
        <v>1</v>
      </c>
      <c r="D107" s="70">
        <f t="shared" ref="D107" si="167">SUM(D101:D106)</f>
        <v>0</v>
      </c>
      <c r="E107" s="70">
        <f t="shared" ref="E107:R107" si="168">SUM(E101:E106)</f>
        <v>0</v>
      </c>
      <c r="F107" s="70">
        <f t="shared" si="168"/>
        <v>0</v>
      </c>
      <c r="G107" s="70">
        <f t="shared" si="168"/>
        <v>0</v>
      </c>
      <c r="H107" s="70">
        <f t="shared" si="168"/>
        <v>0</v>
      </c>
      <c r="I107" s="70">
        <f t="shared" si="168"/>
        <v>0</v>
      </c>
      <c r="J107" s="70">
        <f t="shared" si="168"/>
        <v>0</v>
      </c>
      <c r="K107" s="70">
        <f t="shared" si="168"/>
        <v>0</v>
      </c>
      <c r="L107" s="70">
        <f t="shared" si="168"/>
        <v>0</v>
      </c>
      <c r="M107" s="70">
        <f t="shared" si="168"/>
        <v>0</v>
      </c>
      <c r="N107" s="70">
        <f t="shared" si="168"/>
        <v>0</v>
      </c>
      <c r="O107" s="70">
        <f t="shared" si="168"/>
        <v>0</v>
      </c>
      <c r="P107" s="70">
        <f t="shared" si="168"/>
        <v>0</v>
      </c>
      <c r="Q107" s="70">
        <f t="shared" si="168"/>
        <v>0</v>
      </c>
      <c r="R107" s="70">
        <f t="shared" si="168"/>
        <v>0</v>
      </c>
      <c r="S107" s="70">
        <f t="shared" ref="S107:T107" si="169">SUM(S101:S106)</f>
        <v>0</v>
      </c>
      <c r="T107" s="70">
        <f t="shared" si="169"/>
        <v>0</v>
      </c>
      <c r="U107" s="70">
        <f t="shared" ref="U107:V107" si="170">SUM(U101:U106)</f>
        <v>0</v>
      </c>
      <c r="V107" s="70">
        <f t="shared" si="170"/>
        <v>0</v>
      </c>
      <c r="W107" s="70"/>
      <c r="X107" s="70">
        <f t="shared" ref="X107" si="171">SUM(X101:X106)</f>
        <v>0</v>
      </c>
      <c r="Y107" s="70">
        <f t="shared" ref="Y107" si="172">SUM(Y101:Y106)</f>
        <v>0</v>
      </c>
      <c r="Z107" s="70"/>
      <c r="AA107" s="70">
        <v>0</v>
      </c>
      <c r="AB107" s="70">
        <v>0</v>
      </c>
      <c r="AC107" s="70">
        <v>0</v>
      </c>
      <c r="AD107" s="70">
        <v>0</v>
      </c>
      <c r="AE107" s="70">
        <v>0</v>
      </c>
      <c r="AF107" s="70">
        <v>0</v>
      </c>
      <c r="AG107" s="100"/>
      <c r="AH107" s="48">
        <f t="shared" si="73"/>
        <v>1</v>
      </c>
      <c r="AI107" s="49">
        <f t="shared" si="74"/>
        <v>0</v>
      </c>
      <c r="AK107" s="51"/>
      <c r="BG107" s="81">
        <v>56</v>
      </c>
      <c r="BH107" s="81">
        <v>0</v>
      </c>
      <c r="BI107" s="81">
        <v>404</v>
      </c>
      <c r="BJ107" s="81">
        <v>43</v>
      </c>
      <c r="BK107" s="81">
        <v>108</v>
      </c>
      <c r="BL107" s="81">
        <v>0</v>
      </c>
    </row>
    <row r="108" spans="1:64" ht="15.75" thickBot="1" x14ac:dyDescent="0.3">
      <c r="A108" s="86" t="s">
        <v>131</v>
      </c>
      <c r="B108" s="70">
        <f t="shared" ref="B108:C108" si="173">B92-B107</f>
        <v>611</v>
      </c>
      <c r="C108" s="70">
        <f t="shared" si="173"/>
        <v>631</v>
      </c>
      <c r="D108" s="70">
        <f t="shared" ref="D108" si="174">D92-D107</f>
        <v>562</v>
      </c>
      <c r="E108" s="70">
        <f t="shared" ref="E108:R108" si="175">E92-E107</f>
        <v>509.90000000000003</v>
      </c>
      <c r="F108" s="70">
        <f t="shared" si="175"/>
        <v>542</v>
      </c>
      <c r="G108" s="70">
        <f t="shared" si="175"/>
        <v>625.9</v>
      </c>
      <c r="H108" s="70">
        <f t="shared" si="175"/>
        <v>651.20000000000005</v>
      </c>
      <c r="I108" s="70">
        <f t="shared" si="175"/>
        <v>697.40000000000009</v>
      </c>
      <c r="J108" s="70">
        <f t="shared" si="175"/>
        <v>697.40000000000009</v>
      </c>
      <c r="K108" s="70">
        <f t="shared" si="175"/>
        <v>560.4</v>
      </c>
      <c r="L108" s="70">
        <f t="shared" si="175"/>
        <v>557.30000000000007</v>
      </c>
      <c r="M108" s="70">
        <f t="shared" si="175"/>
        <v>545.80000000000007</v>
      </c>
      <c r="N108" s="70">
        <f t="shared" si="175"/>
        <v>558.9</v>
      </c>
      <c r="O108" s="70">
        <f t="shared" si="175"/>
        <v>541</v>
      </c>
      <c r="P108" s="70">
        <f t="shared" si="175"/>
        <v>665.4</v>
      </c>
      <c r="Q108" s="70">
        <f t="shared" si="175"/>
        <v>610.40000000000009</v>
      </c>
      <c r="R108" s="70">
        <f t="shared" si="175"/>
        <v>680.2</v>
      </c>
      <c r="S108" s="70">
        <f t="shared" ref="S108:T108" si="176">S92-S107</f>
        <v>773.4</v>
      </c>
      <c r="T108" s="70">
        <f t="shared" si="176"/>
        <v>825.30000000000007</v>
      </c>
      <c r="U108" s="70">
        <f t="shared" ref="U108:V108" si="177">U92-U107</f>
        <v>803.69999999999993</v>
      </c>
      <c r="V108" s="70">
        <f t="shared" si="177"/>
        <v>707.69999999999993</v>
      </c>
      <c r="W108" s="70"/>
      <c r="X108" s="70">
        <f t="shared" ref="X108" si="178">X92-X107</f>
        <v>613.69999999999993</v>
      </c>
      <c r="Y108" s="70">
        <f t="shared" ref="Y108:AA108" si="179">Y92-Y107</f>
        <v>492.2</v>
      </c>
      <c r="Z108" s="70"/>
      <c r="AA108" s="70">
        <f t="shared" si="179"/>
        <v>435</v>
      </c>
      <c r="AB108" s="70">
        <f t="shared" ref="AB108:AC108" si="180">AB92-AB107</f>
        <v>450</v>
      </c>
      <c r="AC108" s="70">
        <f t="shared" si="180"/>
        <v>547</v>
      </c>
      <c r="AD108" s="70">
        <f t="shared" ref="AD108:AE108" si="181">AD92-AD107</f>
        <v>606</v>
      </c>
      <c r="AE108" s="70">
        <f t="shared" si="181"/>
        <v>615</v>
      </c>
      <c r="AF108" s="70">
        <f t="shared" ref="AF108" si="182">AF92-AF107</f>
        <v>601</v>
      </c>
      <c r="AG108" s="100"/>
      <c r="AH108" s="48">
        <f t="shared" si="73"/>
        <v>825.30000000000007</v>
      </c>
      <c r="AI108" s="49">
        <f t="shared" si="74"/>
        <v>435</v>
      </c>
    </row>
    <row r="109" spans="1:64" x14ac:dyDescent="0.25">
      <c r="A109" s="112" t="s">
        <v>132</v>
      </c>
      <c r="B109" s="113">
        <v>50</v>
      </c>
      <c r="C109" s="113">
        <v>50</v>
      </c>
      <c r="D109" s="113">
        <v>49.98</v>
      </c>
      <c r="E109" s="113">
        <v>50</v>
      </c>
      <c r="F109" s="113">
        <v>49.914000000000001</v>
      </c>
      <c r="G109" s="113">
        <v>49.981999999999999</v>
      </c>
      <c r="H109" s="113">
        <v>50.018000000000001</v>
      </c>
      <c r="I109" s="113">
        <v>50.094999999999999</v>
      </c>
      <c r="J109" s="113">
        <v>50.094999999999999</v>
      </c>
      <c r="K109" s="113">
        <v>50.01</v>
      </c>
      <c r="L109" s="113">
        <v>50.030999999999999</v>
      </c>
      <c r="M109" s="113">
        <v>50.106000000000002</v>
      </c>
      <c r="N109" s="113">
        <v>50.079000000000001</v>
      </c>
      <c r="O109" s="113">
        <v>49.987000000000002</v>
      </c>
      <c r="P109" s="113">
        <v>50.036000000000001</v>
      </c>
      <c r="Q109" s="113">
        <v>50.02</v>
      </c>
      <c r="R109" s="113">
        <v>50.034999999999997</v>
      </c>
      <c r="S109" s="113">
        <v>50.03</v>
      </c>
      <c r="T109" s="113">
        <v>49.85</v>
      </c>
      <c r="U109" s="113">
        <v>49.84</v>
      </c>
      <c r="V109" s="113">
        <v>50.02</v>
      </c>
      <c r="W109" s="113"/>
      <c r="X109" s="113">
        <v>49.97</v>
      </c>
      <c r="Y109" s="113">
        <v>50.09</v>
      </c>
      <c r="Z109" s="113"/>
      <c r="AA109" s="113">
        <v>49.91</v>
      </c>
      <c r="AB109" s="113">
        <v>50.04</v>
      </c>
      <c r="AC109" s="113">
        <v>50.058999999999997</v>
      </c>
      <c r="AD109" s="113">
        <v>50.01</v>
      </c>
      <c r="AE109" s="113">
        <v>49.99</v>
      </c>
      <c r="AF109" s="113">
        <v>50.04</v>
      </c>
      <c r="AG109" s="114"/>
      <c r="AH109" s="48">
        <f t="shared" si="73"/>
        <v>50.106000000000002</v>
      </c>
      <c r="AI109" s="49">
        <f t="shared" si="74"/>
        <v>49.84</v>
      </c>
    </row>
    <row r="110" spans="1:64" x14ac:dyDescent="0.25">
      <c r="A110" s="115" t="s">
        <v>133</v>
      </c>
      <c r="B110" s="75">
        <v>130.6</v>
      </c>
      <c r="C110" s="75">
        <v>132</v>
      </c>
      <c r="D110" s="75">
        <v>130</v>
      </c>
      <c r="E110" s="75">
        <v>131.19999999999999</v>
      </c>
      <c r="F110" s="75">
        <v>127.6</v>
      </c>
      <c r="G110" s="75">
        <v>129.69999999999999</v>
      </c>
      <c r="H110" s="75">
        <v>127.3</v>
      </c>
      <c r="I110" s="75">
        <v>127.1</v>
      </c>
      <c r="J110" s="75">
        <v>127.1</v>
      </c>
      <c r="K110" s="75">
        <v>128.19999999999999</v>
      </c>
      <c r="L110" s="75">
        <v>125.3</v>
      </c>
      <c r="M110" s="75">
        <v>128</v>
      </c>
      <c r="N110" s="75">
        <v>127.5</v>
      </c>
      <c r="O110" s="75">
        <v>127.3</v>
      </c>
      <c r="P110" s="75">
        <v>124.5</v>
      </c>
      <c r="Q110" s="75">
        <v>125</v>
      </c>
      <c r="R110" s="75">
        <v>123.4</v>
      </c>
      <c r="S110" s="75">
        <v>123.1</v>
      </c>
      <c r="T110" s="75">
        <v>122.2</v>
      </c>
      <c r="U110" s="75">
        <v>122.5</v>
      </c>
      <c r="V110" s="75">
        <v>122.5</v>
      </c>
      <c r="W110" s="75"/>
      <c r="X110" s="75">
        <v>125</v>
      </c>
      <c r="Y110" s="75">
        <v>125</v>
      </c>
      <c r="Z110" s="75"/>
      <c r="AA110" s="75">
        <v>128.80000000000001</v>
      </c>
      <c r="AB110" s="75">
        <v>128.80000000000001</v>
      </c>
      <c r="AC110" s="75">
        <v>128.80000000000001</v>
      </c>
      <c r="AD110" s="75">
        <v>128</v>
      </c>
      <c r="AE110" s="75">
        <v>128</v>
      </c>
      <c r="AF110" s="75">
        <v>129.5</v>
      </c>
      <c r="AG110" s="116"/>
      <c r="AH110" s="48">
        <f t="shared" si="73"/>
        <v>132</v>
      </c>
      <c r="AI110" s="49">
        <f t="shared" si="74"/>
        <v>122.2</v>
      </c>
    </row>
    <row r="111" spans="1:64" x14ac:dyDescent="0.25">
      <c r="A111" s="115" t="s">
        <v>134</v>
      </c>
      <c r="B111" s="75">
        <v>133.5</v>
      </c>
      <c r="C111" s="75">
        <v>134</v>
      </c>
      <c r="D111" s="75">
        <v>133</v>
      </c>
      <c r="E111" s="75">
        <v>134.30000000000001</v>
      </c>
      <c r="F111" s="75">
        <v>131.5</v>
      </c>
      <c r="G111" s="75">
        <v>132.9</v>
      </c>
      <c r="H111" s="75">
        <v>130.9</v>
      </c>
      <c r="I111" s="75">
        <v>130.30000000000001</v>
      </c>
      <c r="J111" s="75">
        <v>130.30000000000001</v>
      </c>
      <c r="K111" s="75">
        <v>129.5</v>
      </c>
      <c r="L111" s="75">
        <v>127.1</v>
      </c>
      <c r="M111" s="75">
        <v>129.9</v>
      </c>
      <c r="N111" s="75">
        <v>130.4</v>
      </c>
      <c r="O111" s="75">
        <v>129.9</v>
      </c>
      <c r="P111" s="75">
        <v>126.5</v>
      </c>
      <c r="Q111" s="75">
        <v>127.6</v>
      </c>
      <c r="R111" s="75">
        <v>126</v>
      </c>
      <c r="S111" s="75">
        <v>126</v>
      </c>
      <c r="T111" s="75">
        <v>125.4</v>
      </c>
      <c r="U111" s="75">
        <v>125.5</v>
      </c>
      <c r="V111" s="75">
        <v>125.5</v>
      </c>
      <c r="W111" s="75"/>
      <c r="X111" s="75">
        <v>127.6</v>
      </c>
      <c r="Y111" s="75">
        <v>127.6</v>
      </c>
      <c r="Z111" s="75"/>
      <c r="AA111" s="75">
        <v>129.9</v>
      </c>
      <c r="AB111" s="75">
        <v>130.5</v>
      </c>
      <c r="AC111" s="75">
        <v>130.69999999999999</v>
      </c>
      <c r="AD111" s="75">
        <v>131</v>
      </c>
      <c r="AE111" s="75">
        <v>131</v>
      </c>
      <c r="AF111" s="75">
        <v>132</v>
      </c>
      <c r="AG111" s="116"/>
      <c r="AH111" s="48">
        <f t="shared" si="73"/>
        <v>134.30000000000001</v>
      </c>
      <c r="AI111" s="49">
        <f t="shared" si="74"/>
        <v>125.4</v>
      </c>
    </row>
    <row r="112" spans="1:64" x14ac:dyDescent="0.25">
      <c r="A112" s="115" t="s">
        <v>135</v>
      </c>
      <c r="B112" s="75">
        <v>130</v>
      </c>
      <c r="C112" s="75">
        <v>132</v>
      </c>
      <c r="D112" s="75">
        <v>131</v>
      </c>
      <c r="E112" s="75">
        <v>130.6</v>
      </c>
      <c r="F112" s="75">
        <v>128.69999999999999</v>
      </c>
      <c r="G112" s="75">
        <v>128.69999999999999</v>
      </c>
      <c r="H112" s="75">
        <v>127</v>
      </c>
      <c r="I112" s="75">
        <v>128.19999999999999</v>
      </c>
      <c r="J112" s="75">
        <v>128.19999999999999</v>
      </c>
      <c r="K112" s="75">
        <v>127.8</v>
      </c>
      <c r="L112" s="75">
        <v>125.2</v>
      </c>
      <c r="M112" s="75">
        <v>127.2</v>
      </c>
      <c r="N112" s="75">
        <v>127.7</v>
      </c>
      <c r="O112" s="75">
        <v>124.7</v>
      </c>
      <c r="P112" s="75">
        <v>124.6</v>
      </c>
      <c r="Q112" s="75">
        <v>126.1</v>
      </c>
      <c r="R112" s="75">
        <v>125.4</v>
      </c>
      <c r="S112" s="75">
        <v>126</v>
      </c>
      <c r="T112" s="75">
        <v>125.9</v>
      </c>
      <c r="U112" s="75">
        <v>125.9</v>
      </c>
      <c r="V112" s="75">
        <v>125.9</v>
      </c>
      <c r="W112" s="75"/>
      <c r="X112" s="75">
        <v>127.5</v>
      </c>
      <c r="Y112" s="75">
        <v>127.5</v>
      </c>
      <c r="Z112" s="75"/>
      <c r="AA112" s="75">
        <v>131.30000000000001</v>
      </c>
      <c r="AB112" s="75">
        <v>130.69999999999999</v>
      </c>
      <c r="AC112" s="75">
        <v>130.69999999999999</v>
      </c>
      <c r="AD112" s="75">
        <v>127</v>
      </c>
      <c r="AE112" s="75">
        <v>127</v>
      </c>
      <c r="AF112" s="75">
        <v>130</v>
      </c>
      <c r="AG112" s="116"/>
      <c r="AH112" s="48">
        <f t="shared" si="73"/>
        <v>132</v>
      </c>
      <c r="AI112" s="49">
        <f t="shared" si="74"/>
        <v>124.6</v>
      </c>
    </row>
    <row r="113" spans="1:35" x14ac:dyDescent="0.25">
      <c r="A113" s="117" t="s">
        <v>136</v>
      </c>
      <c r="B113" s="75">
        <v>132.96</v>
      </c>
      <c r="C113" s="75">
        <v>135</v>
      </c>
      <c r="D113" s="75">
        <v>132</v>
      </c>
      <c r="E113" s="75">
        <v>132.69999999999999</v>
      </c>
      <c r="F113" s="75">
        <v>130.1</v>
      </c>
      <c r="G113" s="75">
        <v>130.19999999999999</v>
      </c>
      <c r="H113" s="75">
        <v>128</v>
      </c>
      <c r="I113" s="75">
        <v>127</v>
      </c>
      <c r="J113" s="75">
        <v>127</v>
      </c>
      <c r="K113" s="75">
        <v>125.9</v>
      </c>
      <c r="L113" s="75">
        <v>122.5</v>
      </c>
      <c r="M113" s="75">
        <v>124.4</v>
      </c>
      <c r="N113" s="75">
        <v>125.1</v>
      </c>
      <c r="O113" s="75">
        <v>126</v>
      </c>
      <c r="P113" s="75">
        <v>122.8</v>
      </c>
      <c r="Q113" s="75">
        <v>125.1</v>
      </c>
      <c r="R113" s="75">
        <v>126.1</v>
      </c>
      <c r="S113" s="75">
        <v>127.3</v>
      </c>
      <c r="T113" s="75">
        <v>124.1</v>
      </c>
      <c r="U113" s="75">
        <v>124.3</v>
      </c>
      <c r="V113" s="75">
        <v>124.3</v>
      </c>
      <c r="W113" s="75"/>
      <c r="X113" s="75">
        <v>124.6</v>
      </c>
      <c r="Y113" s="75">
        <v>124.6</v>
      </c>
      <c r="Z113" s="75"/>
      <c r="AA113" s="75">
        <v>129.9</v>
      </c>
      <c r="AB113" s="75">
        <v>129.5</v>
      </c>
      <c r="AC113" s="75">
        <v>130</v>
      </c>
      <c r="AD113" s="75">
        <v>128</v>
      </c>
      <c r="AE113" s="75">
        <v>128</v>
      </c>
      <c r="AF113" s="75">
        <v>130</v>
      </c>
      <c r="AG113" s="116"/>
      <c r="AH113" s="48">
        <f t="shared" si="73"/>
        <v>135</v>
      </c>
      <c r="AI113" s="49">
        <f t="shared" si="74"/>
        <v>122.5</v>
      </c>
    </row>
    <row r="114" spans="1:35" x14ac:dyDescent="0.25">
      <c r="A114" s="117" t="s">
        <v>137</v>
      </c>
      <c r="B114" s="118">
        <v>132.9</v>
      </c>
      <c r="C114" s="118">
        <v>133</v>
      </c>
      <c r="D114" s="118">
        <v>130</v>
      </c>
      <c r="E114" s="118">
        <v>132.9</v>
      </c>
      <c r="F114" s="118">
        <v>129.4</v>
      </c>
      <c r="G114" s="118">
        <v>134.9</v>
      </c>
      <c r="H114" s="118">
        <v>131</v>
      </c>
      <c r="I114" s="118">
        <v>132.30000000000001</v>
      </c>
      <c r="J114" s="118">
        <v>132.30000000000001</v>
      </c>
      <c r="K114" s="118">
        <v>133.6</v>
      </c>
      <c r="L114" s="118">
        <v>131.30000000000001</v>
      </c>
      <c r="M114" s="118">
        <v>132.30000000000001</v>
      </c>
      <c r="N114" s="118">
        <v>133.1</v>
      </c>
      <c r="O114" s="118">
        <v>124.9</v>
      </c>
      <c r="P114" s="118">
        <v>133.30000000000001</v>
      </c>
      <c r="Q114" s="118">
        <v>134.30000000000001</v>
      </c>
      <c r="R114" s="118">
        <v>132.4</v>
      </c>
      <c r="S114" s="118">
        <v>131.19999999999999</v>
      </c>
      <c r="T114" s="118">
        <v>130.69999999999999</v>
      </c>
      <c r="U114" s="118">
        <v>130.5</v>
      </c>
      <c r="V114" s="118">
        <v>130.5</v>
      </c>
      <c r="W114" s="118"/>
      <c r="X114" s="118">
        <v>134.1</v>
      </c>
      <c r="Y114" s="118">
        <v>134.1</v>
      </c>
      <c r="Z114" s="118"/>
      <c r="AA114" s="118">
        <v>134.36000000000001</v>
      </c>
      <c r="AB114" s="118">
        <v>135.69999999999999</v>
      </c>
      <c r="AC114" s="118">
        <v>135.69999999999999</v>
      </c>
      <c r="AD114" s="118">
        <v>131.9</v>
      </c>
      <c r="AE114" s="118">
        <v>131.9</v>
      </c>
      <c r="AF114" s="118">
        <v>132</v>
      </c>
      <c r="AG114" s="119"/>
      <c r="AH114" s="48">
        <f t="shared" si="73"/>
        <v>135.69999999999999</v>
      </c>
      <c r="AI114" s="49">
        <f t="shared" si="74"/>
        <v>124.9</v>
      </c>
    </row>
    <row r="115" spans="1:35" x14ac:dyDescent="0.25">
      <c r="A115" s="115" t="s">
        <v>138</v>
      </c>
      <c r="B115" s="75">
        <v>129</v>
      </c>
      <c r="C115" s="75">
        <v>129</v>
      </c>
      <c r="D115" s="75">
        <v>132</v>
      </c>
      <c r="E115" s="75">
        <v>129</v>
      </c>
      <c r="F115" s="75">
        <v>132.69999999999999</v>
      </c>
      <c r="G115" s="75">
        <v>130</v>
      </c>
      <c r="H115" s="75">
        <v>126</v>
      </c>
      <c r="I115" s="75">
        <v>131</v>
      </c>
      <c r="J115" s="75">
        <v>131</v>
      </c>
      <c r="K115" s="75">
        <v>126.1</v>
      </c>
      <c r="L115" s="75">
        <v>130.69999999999999</v>
      </c>
      <c r="M115" s="75">
        <v>129.80000000000001</v>
      </c>
      <c r="N115" s="75">
        <v>130.1</v>
      </c>
      <c r="O115" s="75">
        <v>128.80000000000001</v>
      </c>
      <c r="P115" s="75">
        <v>123.3</v>
      </c>
      <c r="Q115" s="75">
        <v>132.4</v>
      </c>
      <c r="R115" s="75">
        <v>134.30000000000001</v>
      </c>
      <c r="S115" s="75">
        <v>133.4</v>
      </c>
      <c r="T115" s="75">
        <v>128.6</v>
      </c>
      <c r="U115" s="75">
        <v>127.9</v>
      </c>
      <c r="V115" s="75">
        <v>127.9</v>
      </c>
      <c r="W115" s="75"/>
      <c r="X115" s="75">
        <v>129</v>
      </c>
      <c r="Y115" s="75">
        <v>129</v>
      </c>
      <c r="Z115" s="75"/>
      <c r="AA115" s="75">
        <v>130.4</v>
      </c>
      <c r="AB115" s="75">
        <v>128.30000000000001</v>
      </c>
      <c r="AC115" s="75">
        <v>128</v>
      </c>
      <c r="AD115" s="75">
        <v>129</v>
      </c>
      <c r="AE115" s="75">
        <v>129</v>
      </c>
      <c r="AF115" s="75">
        <v>130</v>
      </c>
      <c r="AG115" s="116"/>
      <c r="AH115" s="48">
        <f t="shared" si="73"/>
        <v>134.30000000000001</v>
      </c>
      <c r="AI115" s="49">
        <f t="shared" si="74"/>
        <v>123.3</v>
      </c>
    </row>
    <row r="116" spans="1:35" ht="15.75" thickBot="1" x14ac:dyDescent="0.3">
      <c r="A116" s="115" t="s">
        <v>139</v>
      </c>
      <c r="B116" s="104">
        <v>67.2</v>
      </c>
      <c r="C116" s="104">
        <v>67.8</v>
      </c>
      <c r="D116" s="104">
        <v>67</v>
      </c>
      <c r="E116" s="104">
        <v>67.599999999999994</v>
      </c>
      <c r="F116" s="104">
        <v>66</v>
      </c>
      <c r="G116" s="104">
        <v>66.900000000000006</v>
      </c>
      <c r="H116" s="104">
        <v>66</v>
      </c>
      <c r="I116" s="104">
        <v>65.7</v>
      </c>
      <c r="J116" s="104">
        <v>65.7</v>
      </c>
      <c r="K116" s="104">
        <v>65</v>
      </c>
      <c r="L116" s="104">
        <v>63.8</v>
      </c>
      <c r="M116" s="104">
        <v>65.599999999999994</v>
      </c>
      <c r="N116" s="104">
        <v>64.900000000000006</v>
      </c>
      <c r="O116" s="104">
        <v>64.8</v>
      </c>
      <c r="P116" s="104">
        <v>63.3</v>
      </c>
      <c r="Q116" s="104">
        <v>63.8</v>
      </c>
      <c r="R116" s="104">
        <v>63.3</v>
      </c>
      <c r="S116" s="104">
        <v>63.5</v>
      </c>
      <c r="T116" s="104">
        <v>63.2</v>
      </c>
      <c r="U116" s="104">
        <v>63.2</v>
      </c>
      <c r="V116" s="104">
        <v>63.2</v>
      </c>
      <c r="W116" s="104"/>
      <c r="X116" s="104">
        <v>64.2</v>
      </c>
      <c r="Y116" s="104">
        <v>64.2</v>
      </c>
      <c r="Z116" s="104"/>
      <c r="AA116" s="104">
        <v>65.099999999999994</v>
      </c>
      <c r="AB116" s="104">
        <v>65.7</v>
      </c>
      <c r="AC116" s="104">
        <v>65.8</v>
      </c>
      <c r="AD116" s="104">
        <v>65.900000000000006</v>
      </c>
      <c r="AE116" s="104">
        <v>65.900000000000006</v>
      </c>
      <c r="AF116" s="104">
        <v>66.900000000000006</v>
      </c>
      <c r="AG116" s="120"/>
      <c r="AH116" s="48">
        <f t="shared" si="73"/>
        <v>67.8</v>
      </c>
      <c r="AI116" s="49">
        <f t="shared" si="74"/>
        <v>63.2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73"/>
        <v>0</v>
      </c>
      <c r="AI117" s="49">
        <f t="shared" si="74"/>
        <v>0</v>
      </c>
    </row>
    <row r="118" spans="1:35" ht="15.75" thickBot="1" x14ac:dyDescent="0.3">
      <c r="A118" s="122" t="s">
        <v>141</v>
      </c>
      <c r="B118" s="123">
        <f t="shared" ref="B118" si="183">SUM(B22,B28,B31:B32,B66,B68:B69,B71,B73,B119:B123,B155,B161,B167,B176,B178,B190,B197,B200:B201,B208,B210,B212,B216:B218,B220:B222,B227,B233:B234,B236:B238,B246,B251)</f>
        <v>127.13999999999999</v>
      </c>
      <c r="C118" s="123">
        <f>SUM(C22,C28,C31:C32,C66,C68:C69,C71,C73,C119:C123,C155,C161,C167,C176,C178,C190,C197,C200:C201,C208,C210,C212,C216:C218,C220:C222,C227,C233:C234,C236:C238,C246,C251)</f>
        <v>105.14</v>
      </c>
      <c r="D118" s="123">
        <f>SUM(D22,D28,D31:D32,D66,D68:D69,D71,D73,D119:D123,D155,D161,D167,D176,D178,D190,D197,D200:D201,D208,D210,D212,D216:D218,D220:D222,D227,D233:D234,D236:D238,D246,D251)</f>
        <v>99.14</v>
      </c>
      <c r="E118" s="123">
        <f t="shared" ref="E118:O118" si="184">SUM(E22,E28,E31:E32,E66,E68:E69,E71,E73,E119:E123,E155,E161,E167,E176,E178,E190,E197,E200:E201,E208,E210,E212,E216:E218,E220:E222,E227,E233:E234,E236:E238,E246,E251)</f>
        <v>110.34</v>
      </c>
      <c r="F118" s="123">
        <f t="shared" si="184"/>
        <v>120.24000000000001</v>
      </c>
      <c r="G118" s="123">
        <f t="shared" si="184"/>
        <v>133.12</v>
      </c>
      <c r="H118" s="123">
        <f t="shared" si="184"/>
        <v>163.94</v>
      </c>
      <c r="I118" s="123">
        <f t="shared" si="184"/>
        <v>205.14</v>
      </c>
      <c r="J118" s="123">
        <f t="shared" si="184"/>
        <v>205.14</v>
      </c>
      <c r="K118" s="123">
        <f t="shared" si="184"/>
        <v>302.64</v>
      </c>
      <c r="L118" s="123">
        <f t="shared" si="184"/>
        <v>321.94</v>
      </c>
      <c r="M118" s="123">
        <f t="shared" si="184"/>
        <v>332.03699999999998</v>
      </c>
      <c r="N118" s="123">
        <f t="shared" si="184"/>
        <v>315.83999999999997</v>
      </c>
      <c r="O118" s="123">
        <f t="shared" si="184"/>
        <v>295.42</v>
      </c>
      <c r="P118" s="123">
        <v>42</v>
      </c>
      <c r="Q118" s="123">
        <f t="shared" ref="Q118:R118" si="185">SUM(Q22,Q28,Q31:Q32,Q66,Q68:Q69,Q71,Q73,Q119:Q123,Q155,Q161,Q167,Q176,Q178,Q190,Q197,Q200:Q201,Q208,Q210,Q212,Q216:Q218,Q220:Q222,Q227,Q233:Q234,Q236:Q238,Q246,Q251)</f>
        <v>273.57499999999999</v>
      </c>
      <c r="R118" s="123">
        <f t="shared" si="185"/>
        <v>270.64699999999999</v>
      </c>
      <c r="S118" s="123">
        <f t="shared" ref="S118:T118" si="186">SUM(S22,S28,S31:S32,S66,S68:S69,S71,S73,S119:S123,S155,S161,S167,S176,S178,S190,S197,S200:S201,S208,S210,S212,S216:S218,S220:S222,S227,S233:S234,S236:S238,S246,S251)</f>
        <v>265.44</v>
      </c>
      <c r="T118" s="123">
        <f t="shared" si="186"/>
        <v>266.02000000000004</v>
      </c>
      <c r="U118" s="123">
        <f t="shared" ref="U118:V118" si="187">SUM(U22,U28,U31:U32,U66,U68:U69,U71,U73,U119:U123,U155,U161,U167,U176,U178,U190,U197,U200:U201,U208,U210,U212,U216:U218,U220:U222,U227,U233:U234,U236:U238,U246,U251)</f>
        <v>275.74</v>
      </c>
      <c r="V118" s="123">
        <f t="shared" si="187"/>
        <v>268.84000000000003</v>
      </c>
      <c r="W118" s="123"/>
      <c r="X118" s="123">
        <f t="shared" ref="X118" si="188">SUM(X22,X28,X31:X32,X66,X68:X69,X71,X73,X119:X123,X155,X161,X167,X176,X178,X190,X197,X200:X201,X208,X210,X212,X216:X218,X220:X222,X227,X233:X234,X236:X238,X246,X251)</f>
        <v>298.16000000000003</v>
      </c>
      <c r="Y118" s="123">
        <f t="shared" ref="Y118:AA118" si="189">SUM(Y22,Y28,Y31:Y32,Y66,Y68:Y69,Y71,Y73,Y119:Y123,Y155,Y161,Y167,Y176,Y178,Y190,Y197,Y200:Y201,Y208,Y210,Y212,Y216:Y218,Y220:Y222,Y227,Y233:Y234,Y236:Y238,Y246,Y251)</f>
        <v>366.42</v>
      </c>
      <c r="Z118" s="123"/>
      <c r="AA118" s="123">
        <f t="shared" si="189"/>
        <v>364.88</v>
      </c>
      <c r="AB118" s="123">
        <f t="shared" ref="AB118:AC118" si="190">SUM(AB22,AB28,AB31:AB32,AB66,AB68:AB69,AB71,AB73,AB119:AB123,AB155,AB161,AB167,AB176,AB178,AB190,AB197,AB200:AB201,AB208,AB210,AB212,AB216:AB218,AB220:AB222,AB227,AB233:AB234,AB236:AB238,AB246,AB251)</f>
        <v>277.44</v>
      </c>
      <c r="AC118" s="123">
        <f t="shared" si="190"/>
        <v>260.44</v>
      </c>
      <c r="AD118" s="123">
        <f t="shared" ref="AD118:AE118" si="191">SUM(AD22,AD28,AD31:AD32,AD66,AD68:AD69,AD71,AD73,AD119:AD123,AD155,AD161,AD167,AD176,AD178,AD190,AD197,AD200:AD201,AD208,AD210,AD212,AD216:AD218,AD220:AD222,AD227,AD233:AD234,AD236:AD238,AD246,AD251)</f>
        <v>229.44</v>
      </c>
      <c r="AE118" s="123">
        <f t="shared" si="191"/>
        <v>193.44</v>
      </c>
      <c r="AF118" s="123">
        <f t="shared" ref="AF118" si="192">SUM(AF22,AF28,AF31:AF32,AF66,AF68:AF69,AF71,AF73,AF119:AF123,AF155,AF161,AF167,AF176,AF178,AF190,AF197,AF200:AF201,AF208,AF210,AF212,AF216:AF218,AF220:AF222,AF227,AF233:AF234,AF236:AF238,AF246,AF251)</f>
        <v>139.44</v>
      </c>
      <c r="AG118" s="124"/>
      <c r="AH118" s="48">
        <f t="shared" si="73"/>
        <v>366.42</v>
      </c>
      <c r="AI118" s="49">
        <f t="shared" si="74"/>
        <v>42</v>
      </c>
    </row>
    <row r="119" spans="1:35" x14ac:dyDescent="0.25">
      <c r="A119" s="125" t="s">
        <v>142</v>
      </c>
      <c r="B119" s="126">
        <v>-12</v>
      </c>
      <c r="C119" s="126">
        <v>-14</v>
      </c>
      <c r="D119" s="126">
        <v>-22</v>
      </c>
      <c r="E119" s="126">
        <v>-18</v>
      </c>
      <c r="F119" s="126">
        <v>-28.6</v>
      </c>
      <c r="G119" s="126">
        <v>-18.100000000000001</v>
      </c>
      <c r="H119" s="126">
        <v>-15</v>
      </c>
      <c r="I119" s="126">
        <v>-3</v>
      </c>
      <c r="J119" s="126">
        <v>-3</v>
      </c>
      <c r="K119" s="126">
        <v>28</v>
      </c>
      <c r="L119" s="126">
        <v>23.7</v>
      </c>
      <c r="M119" s="126">
        <v>44.3</v>
      </c>
      <c r="N119" s="126">
        <v>31.4</v>
      </c>
      <c r="O119" s="126">
        <v>33.6</v>
      </c>
      <c r="P119" s="126">
        <v>22.2</v>
      </c>
      <c r="Q119" s="126">
        <v>16.3</v>
      </c>
      <c r="R119" s="126">
        <v>13.6</v>
      </c>
      <c r="S119" s="126">
        <v>11.9</v>
      </c>
      <c r="T119" s="126">
        <v>12</v>
      </c>
      <c r="U119" s="126">
        <v>8.4</v>
      </c>
      <c r="V119" s="126">
        <v>8.4</v>
      </c>
      <c r="W119" s="126"/>
      <c r="X119" s="126">
        <v>27.7</v>
      </c>
      <c r="Y119" s="126">
        <v>37.799999999999997</v>
      </c>
      <c r="Z119" s="126"/>
      <c r="AA119" s="126">
        <v>34.5</v>
      </c>
      <c r="AB119" s="126">
        <v>24</v>
      </c>
      <c r="AC119" s="126">
        <v>26</v>
      </c>
      <c r="AD119" s="126">
        <v>10</v>
      </c>
      <c r="AE119" s="126">
        <v>5</v>
      </c>
      <c r="AF119" s="126">
        <v>-5</v>
      </c>
      <c r="AG119" s="127">
        <v>75</v>
      </c>
      <c r="AH119" s="48">
        <f t="shared" si="73"/>
        <v>44.3</v>
      </c>
      <c r="AI119" s="49">
        <f t="shared" si="74"/>
        <v>-28.6</v>
      </c>
    </row>
    <row r="120" spans="1:35" x14ac:dyDescent="0.25">
      <c r="A120" s="128" t="s">
        <v>143</v>
      </c>
      <c r="B120" s="129">
        <v>-17</v>
      </c>
      <c r="C120" s="129">
        <v>-17</v>
      </c>
      <c r="D120" s="129">
        <v>-30</v>
      </c>
      <c r="E120" s="129">
        <v>-23.2</v>
      </c>
      <c r="F120" s="129">
        <v>-38.1</v>
      </c>
      <c r="G120" s="129">
        <v>-23.7</v>
      </c>
      <c r="H120" s="129">
        <v>-17.2</v>
      </c>
      <c r="I120" s="129">
        <v>-2</v>
      </c>
      <c r="J120" s="129">
        <v>-2</v>
      </c>
      <c r="K120" s="129">
        <v>40</v>
      </c>
      <c r="L120" s="129">
        <v>33.299999999999997</v>
      </c>
      <c r="M120" s="129">
        <v>63</v>
      </c>
      <c r="N120" s="129">
        <v>46.1</v>
      </c>
      <c r="O120" s="129">
        <v>50.1</v>
      </c>
      <c r="P120" s="129">
        <v>29.1</v>
      </c>
      <c r="Q120" s="129">
        <v>22.9</v>
      </c>
      <c r="R120" s="129">
        <v>17.8</v>
      </c>
      <c r="S120" s="129">
        <v>16.7</v>
      </c>
      <c r="T120" s="129">
        <v>16.600000000000001</v>
      </c>
      <c r="U120" s="129">
        <v>11.9</v>
      </c>
      <c r="V120" s="129">
        <v>11.9</v>
      </c>
      <c r="W120" s="129"/>
      <c r="X120" s="129">
        <v>40.6</v>
      </c>
      <c r="Y120" s="129">
        <v>54.3</v>
      </c>
      <c r="Z120" s="129"/>
      <c r="AA120" s="129">
        <v>48.6</v>
      </c>
      <c r="AB120" s="129">
        <v>33</v>
      </c>
      <c r="AC120" s="129">
        <v>35</v>
      </c>
      <c r="AD120" s="129">
        <v>11</v>
      </c>
      <c r="AE120" s="129">
        <v>6</v>
      </c>
      <c r="AF120" s="129">
        <v>-8</v>
      </c>
      <c r="AG120" s="127">
        <v>240</v>
      </c>
      <c r="AH120" s="48">
        <f t="shared" si="73"/>
        <v>63</v>
      </c>
      <c r="AI120" s="49">
        <f t="shared" si="74"/>
        <v>-38.1</v>
      </c>
    </row>
    <row r="121" spans="1:35" x14ac:dyDescent="0.25">
      <c r="A121" s="128" t="s">
        <v>144</v>
      </c>
      <c r="B121" s="129">
        <v>0</v>
      </c>
      <c r="C121" s="129">
        <v>-10</v>
      </c>
      <c r="D121" s="129">
        <v>-3</v>
      </c>
      <c r="E121" s="129">
        <v>-10.3</v>
      </c>
      <c r="F121" s="129">
        <v>-3</v>
      </c>
      <c r="G121" s="129">
        <v>-3</v>
      </c>
      <c r="H121" s="129">
        <v>3</v>
      </c>
      <c r="I121" s="129">
        <v>11</v>
      </c>
      <c r="J121" s="129">
        <v>11</v>
      </c>
      <c r="K121" s="129">
        <v>31</v>
      </c>
      <c r="L121" s="129">
        <v>35</v>
      </c>
      <c r="M121" s="129">
        <v>25</v>
      </c>
      <c r="N121" s="129">
        <v>-3</v>
      </c>
      <c r="O121" s="129">
        <v>-1</v>
      </c>
      <c r="P121" s="129">
        <v>15</v>
      </c>
      <c r="Q121" s="129">
        <v>12</v>
      </c>
      <c r="R121" s="129">
        <v>13</v>
      </c>
      <c r="S121" s="129">
        <v>16</v>
      </c>
      <c r="T121" s="129">
        <v>16</v>
      </c>
      <c r="U121" s="129">
        <v>18.600000000000001</v>
      </c>
      <c r="V121" s="129">
        <v>18.600000000000001</v>
      </c>
      <c r="W121" s="129"/>
      <c r="X121" s="129">
        <v>16</v>
      </c>
      <c r="Y121" s="129">
        <v>33</v>
      </c>
      <c r="Z121" s="129"/>
      <c r="AA121" s="129">
        <v>46.6</v>
      </c>
      <c r="AB121" s="129">
        <v>34</v>
      </c>
      <c r="AC121" s="129">
        <v>15</v>
      </c>
      <c r="AD121" s="129">
        <v>12</v>
      </c>
      <c r="AE121" s="129">
        <v>0</v>
      </c>
      <c r="AF121" s="129">
        <v>-8</v>
      </c>
      <c r="AG121" s="127">
        <v>240</v>
      </c>
      <c r="AH121" s="48">
        <f t="shared" si="73"/>
        <v>46.6</v>
      </c>
      <c r="AI121" s="49">
        <f t="shared" si="74"/>
        <v>-10.3</v>
      </c>
    </row>
    <row r="122" spans="1:35" ht="15.75" thickBot="1" x14ac:dyDescent="0.3">
      <c r="A122" s="128" t="s">
        <v>145</v>
      </c>
      <c r="B122" s="129">
        <v>9</v>
      </c>
      <c r="C122" s="129">
        <v>2</v>
      </c>
      <c r="D122" s="129">
        <v>0</v>
      </c>
      <c r="E122" s="129">
        <v>0.9</v>
      </c>
      <c r="F122" s="129">
        <v>0.2</v>
      </c>
      <c r="G122" s="129">
        <v>-4.3</v>
      </c>
      <c r="H122" s="129">
        <v>-3</v>
      </c>
      <c r="I122" s="129">
        <v>-5</v>
      </c>
      <c r="J122" s="129">
        <v>-5</v>
      </c>
      <c r="K122" s="129">
        <v>17</v>
      </c>
      <c r="L122" s="129">
        <v>18</v>
      </c>
      <c r="M122" s="129">
        <v>30.4</v>
      </c>
      <c r="N122" s="129">
        <v>10.7</v>
      </c>
      <c r="O122" s="129">
        <v>10.9</v>
      </c>
      <c r="P122" s="129">
        <v>7.8</v>
      </c>
      <c r="Q122" s="129">
        <v>6.5</v>
      </c>
      <c r="R122" s="129">
        <v>4.4000000000000004</v>
      </c>
      <c r="S122" s="129">
        <v>5.3</v>
      </c>
      <c r="T122" s="129">
        <v>2.2999999999999998</v>
      </c>
      <c r="U122" s="129">
        <v>3.7</v>
      </c>
      <c r="V122" s="129">
        <v>3.7</v>
      </c>
      <c r="W122" s="129"/>
      <c r="X122" s="129">
        <v>11.5</v>
      </c>
      <c r="Y122" s="129">
        <v>22.8</v>
      </c>
      <c r="Z122" s="129"/>
      <c r="AA122" s="129">
        <v>38.9</v>
      </c>
      <c r="AB122" s="129">
        <v>10</v>
      </c>
      <c r="AC122" s="129">
        <v>8</v>
      </c>
      <c r="AD122" s="129">
        <v>0</v>
      </c>
      <c r="AE122" s="129">
        <v>-4</v>
      </c>
      <c r="AF122" s="129">
        <v>-6</v>
      </c>
      <c r="AG122" s="127">
        <v>60</v>
      </c>
      <c r="AH122" s="48">
        <f t="shared" si="73"/>
        <v>38.9</v>
      </c>
      <c r="AI122" s="49">
        <f t="shared" si="74"/>
        <v>-6</v>
      </c>
    </row>
    <row r="123" spans="1:35" x14ac:dyDescent="0.25">
      <c r="A123" s="125" t="s">
        <v>146</v>
      </c>
      <c r="B123" s="130">
        <v>85</v>
      </c>
      <c r="C123" s="130">
        <v>70</v>
      </c>
      <c r="D123" s="130">
        <v>80</v>
      </c>
      <c r="E123" s="130">
        <f>53*1.6</f>
        <v>84.800000000000011</v>
      </c>
      <c r="F123" s="130">
        <f>71*1.6</f>
        <v>113.60000000000001</v>
      </c>
      <c r="G123" s="130">
        <f>66.3*1.6</f>
        <v>106.08</v>
      </c>
      <c r="H123" s="130">
        <f>75*1.6</f>
        <v>120</v>
      </c>
      <c r="I123" s="130">
        <f>80*1.6</f>
        <v>128</v>
      </c>
      <c r="J123" s="130">
        <f>80*1.6</f>
        <v>128</v>
      </c>
      <c r="K123" s="130">
        <f>68*1.6</f>
        <v>108.80000000000001</v>
      </c>
      <c r="L123" s="130">
        <f>83*1.6</f>
        <v>132.80000000000001</v>
      </c>
      <c r="M123" s="130">
        <f>51.9*1.63</f>
        <v>84.596999999999994</v>
      </c>
      <c r="N123" s="130">
        <f>90*1.64</f>
        <v>147.6</v>
      </c>
      <c r="O123" s="130">
        <f>72*1.64</f>
        <v>118.08</v>
      </c>
      <c r="P123" s="130">
        <f>70*1.64</f>
        <v>114.8</v>
      </c>
      <c r="Q123" s="130">
        <f>74.5*1.63</f>
        <v>121.43499999999999</v>
      </c>
      <c r="R123" s="130">
        <f>78.9*1.63</f>
        <v>128.607</v>
      </c>
      <c r="S123" s="130">
        <f>80.5*1.6</f>
        <v>128.80000000000001</v>
      </c>
      <c r="T123" s="130">
        <f>81.8*1.6</f>
        <v>130.88</v>
      </c>
      <c r="U123" s="130">
        <f>92.5*1.6</f>
        <v>148</v>
      </c>
      <c r="V123" s="130">
        <f>92.5*1.6</f>
        <v>148</v>
      </c>
      <c r="W123" s="130"/>
      <c r="X123" s="130">
        <f>78.7*1.6</f>
        <v>125.92000000000002</v>
      </c>
      <c r="Y123" s="130">
        <f>88.8*1.6</f>
        <v>142.08000000000001</v>
      </c>
      <c r="Z123" s="130"/>
      <c r="AA123" s="130">
        <f>74.9*1.6</f>
        <v>119.84000000000002</v>
      </c>
      <c r="AB123" s="130">
        <v>100</v>
      </c>
      <c r="AC123" s="130">
        <v>100</v>
      </c>
      <c r="AD123" s="130">
        <v>120</v>
      </c>
      <c r="AE123" s="130">
        <v>110</v>
      </c>
      <c r="AF123" s="130">
        <v>90</v>
      </c>
      <c r="AG123" s="131">
        <v>120</v>
      </c>
      <c r="AH123" s="48">
        <f t="shared" si="73"/>
        <v>148</v>
      </c>
      <c r="AI123" s="49">
        <f t="shared" si="74"/>
        <v>70</v>
      </c>
    </row>
    <row r="124" spans="1:35" x14ac:dyDescent="0.25">
      <c r="A124" s="128" t="s">
        <v>147</v>
      </c>
      <c r="B124" s="130">
        <v>68</v>
      </c>
      <c r="C124" s="130">
        <v>65</v>
      </c>
      <c r="D124" s="130">
        <v>70</v>
      </c>
      <c r="E124" s="130">
        <v>65</v>
      </c>
      <c r="F124" s="130">
        <v>79</v>
      </c>
      <c r="G124" s="130">
        <v>75.2</v>
      </c>
      <c r="H124" s="130">
        <v>82</v>
      </c>
      <c r="I124" s="130">
        <v>85</v>
      </c>
      <c r="J124" s="130">
        <v>85</v>
      </c>
      <c r="K124" s="130">
        <v>75</v>
      </c>
      <c r="L124" s="130">
        <v>88</v>
      </c>
      <c r="M124" s="130">
        <v>60.2</v>
      </c>
      <c r="N124" s="130">
        <v>84</v>
      </c>
      <c r="O124" s="130">
        <v>78</v>
      </c>
      <c r="P124" s="130">
        <f>68*1.64</f>
        <v>111.52</v>
      </c>
      <c r="Q124" s="130">
        <v>79.900000000000006</v>
      </c>
      <c r="R124" s="130">
        <v>83.7</v>
      </c>
      <c r="S124" s="130">
        <v>83.7</v>
      </c>
      <c r="T124" s="130">
        <v>85.2</v>
      </c>
      <c r="U124" s="130">
        <v>93.3</v>
      </c>
      <c r="V124" s="130">
        <v>93.3</v>
      </c>
      <c r="W124" s="130"/>
      <c r="X124" s="130">
        <v>83.8</v>
      </c>
      <c r="Y124" s="130">
        <v>90.7</v>
      </c>
      <c r="Z124" s="130"/>
      <c r="AA124" s="130">
        <v>79.599999999999994</v>
      </c>
      <c r="AB124" s="130">
        <v>84</v>
      </c>
      <c r="AC124" s="130">
        <v>83.5</v>
      </c>
      <c r="AD124" s="130">
        <v>86</v>
      </c>
      <c r="AE124" s="130">
        <v>80</v>
      </c>
      <c r="AF124" s="130">
        <v>76</v>
      </c>
      <c r="AG124" s="131"/>
      <c r="AH124" s="48">
        <f t="shared" si="73"/>
        <v>111.52</v>
      </c>
      <c r="AI124" s="49">
        <f t="shared" si="74"/>
        <v>60.2</v>
      </c>
    </row>
    <row r="125" spans="1:35" x14ac:dyDescent="0.25">
      <c r="A125" s="128" t="s">
        <v>148</v>
      </c>
      <c r="B125" s="130">
        <v>50</v>
      </c>
      <c r="C125" s="130">
        <v>38</v>
      </c>
      <c r="D125" s="130">
        <v>55</v>
      </c>
      <c r="E125" s="130">
        <v>49</v>
      </c>
      <c r="F125" s="130">
        <v>73</v>
      </c>
      <c r="G125" s="130">
        <v>52.3</v>
      </c>
      <c r="H125" s="130">
        <v>43</v>
      </c>
      <c r="I125" s="130">
        <v>18</v>
      </c>
      <c r="J125" s="130">
        <v>18</v>
      </c>
      <c r="K125" s="130">
        <v>-29</v>
      </c>
      <c r="L125" s="130">
        <v>-17</v>
      </c>
      <c r="M125" s="130">
        <v>-56.8</v>
      </c>
      <c r="N125" s="130">
        <v>0.1</v>
      </c>
      <c r="O125" s="130">
        <v>0.1</v>
      </c>
      <c r="P125" s="130">
        <v>-23</v>
      </c>
      <c r="Q125" s="130">
        <v>38.5</v>
      </c>
      <c r="R125" s="130">
        <v>45.8</v>
      </c>
      <c r="S125" s="130">
        <v>43.2</v>
      </c>
      <c r="T125" s="130">
        <v>46.6</v>
      </c>
      <c r="U125" s="130">
        <v>54.9</v>
      </c>
      <c r="V125" s="130">
        <v>54.9</v>
      </c>
      <c r="W125" s="130"/>
      <c r="X125" s="130">
        <v>-9.6</v>
      </c>
      <c r="Y125" s="130">
        <v>-33.700000000000003</v>
      </c>
      <c r="Z125" s="130"/>
      <c r="AA125" s="130">
        <v>-44.8</v>
      </c>
      <c r="AB125" s="130">
        <v>-44.8</v>
      </c>
      <c r="AC125" s="130">
        <v>-17</v>
      </c>
      <c r="AD125" s="130">
        <v>24</v>
      </c>
      <c r="AE125" s="130">
        <v>34</v>
      </c>
      <c r="AF125" s="130">
        <v>50</v>
      </c>
      <c r="AG125" s="131"/>
      <c r="AH125" s="48">
        <f t="shared" si="73"/>
        <v>73</v>
      </c>
      <c r="AI125" s="49">
        <f t="shared" si="74"/>
        <v>-56.8</v>
      </c>
    </row>
    <row r="126" spans="1:35" ht="15.75" thickBot="1" x14ac:dyDescent="0.3">
      <c r="A126" s="128" t="s">
        <v>149</v>
      </c>
      <c r="B126" s="130">
        <v>71</v>
      </c>
      <c r="C126" s="130">
        <v>65</v>
      </c>
      <c r="D126" s="130">
        <v>76</v>
      </c>
      <c r="E126" s="130">
        <v>67</v>
      </c>
      <c r="F126" s="130">
        <v>85.3</v>
      </c>
      <c r="G126" s="130">
        <v>85.4</v>
      </c>
      <c r="H126" s="130">
        <v>91</v>
      </c>
      <c r="I126" s="130">
        <v>95</v>
      </c>
      <c r="J126" s="130">
        <v>95</v>
      </c>
      <c r="K126" s="130">
        <v>71</v>
      </c>
      <c r="L126" s="130">
        <v>85</v>
      </c>
      <c r="M126" s="130">
        <v>83.1</v>
      </c>
      <c r="N126" s="130">
        <v>91.3</v>
      </c>
      <c r="O126" s="130">
        <v>85</v>
      </c>
      <c r="P126" s="130">
        <v>77</v>
      </c>
      <c r="Q126" s="130">
        <v>87.1</v>
      </c>
      <c r="R126" s="130">
        <v>92.7</v>
      </c>
      <c r="S126" s="130">
        <v>91</v>
      </c>
      <c r="T126" s="130">
        <v>95.3</v>
      </c>
      <c r="U126" s="130">
        <v>100.4</v>
      </c>
      <c r="V126" s="130">
        <v>85</v>
      </c>
      <c r="W126" s="130"/>
      <c r="X126" s="130">
        <v>89.8</v>
      </c>
      <c r="Y126" s="130">
        <v>88.7</v>
      </c>
      <c r="Z126" s="130"/>
      <c r="AA126" s="130">
        <v>75.7</v>
      </c>
      <c r="AB126" s="130">
        <v>75.7</v>
      </c>
      <c r="AC126" s="130">
        <v>81</v>
      </c>
      <c r="AD126" s="130">
        <v>85</v>
      </c>
      <c r="AE126" s="130">
        <v>81</v>
      </c>
      <c r="AF126" s="130">
        <v>73</v>
      </c>
      <c r="AG126" s="127"/>
      <c r="AH126" s="48">
        <f>MAX(B126:AF126)</f>
        <v>100.4</v>
      </c>
      <c r="AI126" s="49">
        <f>MIN(B126:AF126)</f>
        <v>65</v>
      </c>
    </row>
    <row r="127" spans="1:35" x14ac:dyDescent="0.25">
      <c r="A127" s="125" t="s">
        <v>293</v>
      </c>
      <c r="B127" s="130">
        <v>15</v>
      </c>
      <c r="C127" s="130">
        <v>10</v>
      </c>
      <c r="D127" s="130">
        <v>15</v>
      </c>
      <c r="E127" s="130">
        <v>11</v>
      </c>
      <c r="F127" s="130">
        <v>25</v>
      </c>
      <c r="G127" s="130">
        <v>24</v>
      </c>
      <c r="H127" s="130">
        <v>31</v>
      </c>
      <c r="I127" s="130">
        <v>35</v>
      </c>
      <c r="J127" s="130">
        <v>35</v>
      </c>
      <c r="K127" s="130">
        <v>-14</v>
      </c>
      <c r="L127" s="130">
        <v>-16</v>
      </c>
      <c r="M127" s="130">
        <v>24</v>
      </c>
      <c r="N127" s="130">
        <v>48</v>
      </c>
      <c r="O127" s="130">
        <v>48</v>
      </c>
      <c r="P127" s="130">
        <v>11</v>
      </c>
      <c r="Q127" s="130">
        <v>0</v>
      </c>
      <c r="R127" s="130">
        <v>-3</v>
      </c>
      <c r="S127" s="130">
        <v>23</v>
      </c>
      <c r="T127" s="130">
        <v>49.8</v>
      </c>
      <c r="U127" s="130">
        <v>24.1</v>
      </c>
      <c r="V127" s="130">
        <v>29.4</v>
      </c>
      <c r="W127" s="130"/>
      <c r="X127" s="130">
        <v>1.3</v>
      </c>
      <c r="Y127" s="130">
        <v>-41.9</v>
      </c>
      <c r="Z127" s="130"/>
      <c r="AA127" s="130">
        <v>-15.8</v>
      </c>
      <c r="AB127" s="130">
        <v>-15.8</v>
      </c>
      <c r="AC127" s="130">
        <v>-7</v>
      </c>
      <c r="AD127" s="130">
        <v>-27</v>
      </c>
      <c r="AE127" s="130">
        <v>-18</v>
      </c>
      <c r="AF127" s="130">
        <v>-10</v>
      </c>
      <c r="AG127" s="127"/>
      <c r="AH127" s="48">
        <f>MAX(B127:AF127)</f>
        <v>49.8</v>
      </c>
      <c r="AI127" s="49">
        <f>MIN(B127:AF127)</f>
        <v>-41.9</v>
      </c>
    </row>
    <row r="128" spans="1:35" x14ac:dyDescent="0.25">
      <c r="A128" s="128" t="s">
        <v>151</v>
      </c>
      <c r="B128" s="118">
        <v>-16</v>
      </c>
      <c r="C128" s="118">
        <v>-14</v>
      </c>
      <c r="D128" s="118">
        <v>-13</v>
      </c>
      <c r="E128" s="118">
        <v>-15</v>
      </c>
      <c r="F128" s="118">
        <v>-16</v>
      </c>
      <c r="G128" s="118">
        <v>-17.2</v>
      </c>
      <c r="H128" s="118">
        <v>-27</v>
      </c>
      <c r="I128" s="118">
        <v>-40</v>
      </c>
      <c r="J128" s="118">
        <v>-40</v>
      </c>
      <c r="K128" s="118">
        <v>-55</v>
      </c>
      <c r="L128" s="118">
        <v>-57</v>
      </c>
      <c r="M128" s="118">
        <v>-61.8</v>
      </c>
      <c r="N128" s="118">
        <v>-55.6</v>
      </c>
      <c r="O128" s="118">
        <v>-50</v>
      </c>
      <c r="P128" s="118">
        <v>-44</v>
      </c>
      <c r="Q128" s="118">
        <v>-41.3</v>
      </c>
      <c r="R128" s="118">
        <v>-38.6</v>
      </c>
      <c r="S128" s="118">
        <v>-41.3</v>
      </c>
      <c r="T128" s="118">
        <v>-44.5</v>
      </c>
      <c r="U128" s="118">
        <v>-47.7</v>
      </c>
      <c r="V128" s="118">
        <v>-51.1</v>
      </c>
      <c r="W128" s="118"/>
      <c r="X128" s="118">
        <v>-67.7</v>
      </c>
      <c r="Y128" s="118">
        <v>-63.7</v>
      </c>
      <c r="Z128" s="118"/>
      <c r="AA128" s="118">
        <v>-56.8</v>
      </c>
      <c r="AB128" s="118">
        <v>-56.8</v>
      </c>
      <c r="AC128" s="118">
        <v>-48</v>
      </c>
      <c r="AD128" s="118">
        <v>-34</v>
      </c>
      <c r="AE128" s="118">
        <v>-28</v>
      </c>
      <c r="AF128" s="118">
        <v>-23</v>
      </c>
      <c r="AG128" s="127"/>
      <c r="AH128" s="48">
        <f>MAX(B128:AF128)</f>
        <v>-13</v>
      </c>
      <c r="AI128" s="49">
        <f>MIN(B128:AF128)</f>
        <v>-67.7</v>
      </c>
    </row>
    <row r="129" spans="1:37" x14ac:dyDescent="0.25">
      <c r="A129" s="128" t="s">
        <v>292</v>
      </c>
      <c r="B129" s="118">
        <v>99</v>
      </c>
      <c r="C129" s="118">
        <v>89</v>
      </c>
      <c r="D129" s="118">
        <v>81</v>
      </c>
      <c r="E129" s="118">
        <v>90</v>
      </c>
      <c r="F129" s="118">
        <v>87</v>
      </c>
      <c r="G129" s="118">
        <v>87</v>
      </c>
      <c r="H129" s="118">
        <v>91</v>
      </c>
      <c r="I129" s="118">
        <v>97</v>
      </c>
      <c r="J129" s="118">
        <v>97</v>
      </c>
      <c r="K129" s="118">
        <v>104</v>
      </c>
      <c r="L129" s="118">
        <v>111</v>
      </c>
      <c r="M129" s="118">
        <v>108.4</v>
      </c>
      <c r="N129" s="118">
        <v>108</v>
      </c>
      <c r="O129" s="118">
        <v>108</v>
      </c>
      <c r="P129" s="118">
        <v>119</v>
      </c>
      <c r="Q129" s="118">
        <v>111</v>
      </c>
      <c r="R129" s="118">
        <v>113.8</v>
      </c>
      <c r="S129" s="118">
        <v>123.1</v>
      </c>
      <c r="T129" s="118">
        <v>120</v>
      </c>
      <c r="U129" s="118">
        <v>125.7</v>
      </c>
      <c r="V129" s="118">
        <v>125.7</v>
      </c>
      <c r="W129" s="118"/>
      <c r="X129" s="118">
        <v>116.4</v>
      </c>
      <c r="Y129" s="118">
        <v>112.9</v>
      </c>
      <c r="Z129" s="118"/>
      <c r="AA129" s="118">
        <v>100.9</v>
      </c>
      <c r="AB129" s="118">
        <v>100.9</v>
      </c>
      <c r="AC129" s="118">
        <v>91</v>
      </c>
      <c r="AD129" s="118">
        <v>113</v>
      </c>
      <c r="AE129" s="118">
        <v>117</v>
      </c>
      <c r="AF129" s="118">
        <v>110</v>
      </c>
      <c r="AG129" s="127"/>
      <c r="AH129" s="48">
        <f>MAX(B129:AF129)</f>
        <v>125.7</v>
      </c>
      <c r="AI129" s="49">
        <f>MIN(B129:AF129)</f>
        <v>81</v>
      </c>
    </row>
    <row r="130" spans="1:37" ht="15.75" thickBot="1" x14ac:dyDescent="0.3">
      <c r="A130" s="128" t="s">
        <v>153</v>
      </c>
      <c r="B130" s="118">
        <v>99</v>
      </c>
      <c r="C130" s="118">
        <v>82</v>
      </c>
      <c r="D130" s="118">
        <v>92</v>
      </c>
      <c r="E130" s="118">
        <v>92</v>
      </c>
      <c r="F130" s="118">
        <v>93</v>
      </c>
      <c r="G130" s="118">
        <v>92</v>
      </c>
      <c r="H130" s="118">
        <v>97.2</v>
      </c>
      <c r="I130" s="118">
        <v>104</v>
      </c>
      <c r="J130" s="118">
        <v>104</v>
      </c>
      <c r="K130" s="118">
        <v>105</v>
      </c>
      <c r="L130" s="118">
        <v>108</v>
      </c>
      <c r="M130" s="118">
        <v>110.2</v>
      </c>
      <c r="N130" s="118">
        <v>111</v>
      </c>
      <c r="O130" s="118">
        <v>111</v>
      </c>
      <c r="P130" s="118">
        <v>121</v>
      </c>
      <c r="Q130" s="118">
        <v>112</v>
      </c>
      <c r="R130" s="118">
        <v>114.6</v>
      </c>
      <c r="S130" s="118">
        <v>125.4</v>
      </c>
      <c r="T130" s="118">
        <v>120.2</v>
      </c>
      <c r="U130" s="118">
        <v>128.1</v>
      </c>
      <c r="V130" s="118">
        <v>128.1</v>
      </c>
      <c r="W130" s="118"/>
      <c r="X130" s="118">
        <v>124.58</v>
      </c>
      <c r="Y130" s="118">
        <v>122.2</v>
      </c>
      <c r="Z130" s="118"/>
      <c r="AA130" s="118">
        <v>111.3</v>
      </c>
      <c r="AB130" s="118">
        <v>111.3</v>
      </c>
      <c r="AC130" s="118">
        <v>102</v>
      </c>
      <c r="AD130" s="118">
        <v>121</v>
      </c>
      <c r="AE130" s="118">
        <v>123</v>
      </c>
      <c r="AF130" s="118">
        <v>113</v>
      </c>
      <c r="AG130" s="127"/>
      <c r="AH130" s="48">
        <f>MAX(B130:AF130)</f>
        <v>128.1</v>
      </c>
      <c r="AI130" s="49">
        <f>MIN(B130:AF130)</f>
        <v>82</v>
      </c>
    </row>
    <row r="131" spans="1:37" x14ac:dyDescent="0.25">
      <c r="A131" s="132" t="s">
        <v>154</v>
      </c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4"/>
      <c r="AG131" s="44"/>
      <c r="AH131" s="48"/>
      <c r="AI131" s="49"/>
    </row>
    <row r="132" spans="1:37" x14ac:dyDescent="0.25">
      <c r="A132" s="135" t="s">
        <v>155</v>
      </c>
      <c r="B132" s="136">
        <v>1983.85</v>
      </c>
      <c r="C132" s="136">
        <v>1984.08</v>
      </c>
      <c r="D132" s="136">
        <v>1984.3</v>
      </c>
      <c r="E132" s="136">
        <v>1984.5</v>
      </c>
      <c r="F132" s="136">
        <v>1984.7</v>
      </c>
      <c r="G132" s="136">
        <v>1984.9</v>
      </c>
      <c r="H132" s="136"/>
      <c r="I132" s="136">
        <v>1985.1</v>
      </c>
      <c r="J132" s="136"/>
      <c r="K132" s="136">
        <v>1985.21</v>
      </c>
      <c r="L132" s="136"/>
      <c r="M132" s="136">
        <v>1985.05</v>
      </c>
      <c r="N132" s="136">
        <v>1985.3</v>
      </c>
      <c r="O132" s="136">
        <v>1985.4</v>
      </c>
      <c r="P132" s="136">
        <v>1985.42</v>
      </c>
      <c r="Q132" s="136">
        <v>1985.5</v>
      </c>
      <c r="R132" s="136"/>
      <c r="S132" s="136">
        <v>1985.32</v>
      </c>
      <c r="T132" s="136">
        <v>1985.42</v>
      </c>
      <c r="U132" s="136">
        <v>1985.52</v>
      </c>
      <c r="V132" s="136">
        <v>1985.52</v>
      </c>
      <c r="W132" s="136"/>
      <c r="X132" s="136">
        <v>1985.55</v>
      </c>
      <c r="Y132" s="136"/>
      <c r="Z132" s="136">
        <v>1985.3</v>
      </c>
      <c r="AA132" s="136"/>
      <c r="AB132" s="136"/>
      <c r="AC132" s="136">
        <v>1985.18</v>
      </c>
      <c r="AD132" s="136"/>
      <c r="AE132" s="136">
        <v>1985</v>
      </c>
      <c r="AF132" s="137"/>
      <c r="AG132" s="138"/>
      <c r="AH132" s="48"/>
      <c r="AI132" s="49"/>
    </row>
    <row r="133" spans="1:37" x14ac:dyDescent="0.25">
      <c r="A133" s="135" t="s">
        <v>156</v>
      </c>
      <c r="B133" s="139">
        <v>520.54</v>
      </c>
      <c r="C133" s="139">
        <v>520.79999999999995</v>
      </c>
      <c r="D133" s="139">
        <v>521.09</v>
      </c>
      <c r="E133" s="139">
        <v>521.4</v>
      </c>
      <c r="F133" s="139">
        <v>521.70000000000005</v>
      </c>
      <c r="G133" s="139">
        <v>522</v>
      </c>
      <c r="H133" s="139"/>
      <c r="I133" s="139">
        <v>522.23</v>
      </c>
      <c r="J133" s="139"/>
      <c r="K133" s="139">
        <v>522.23</v>
      </c>
      <c r="L133" s="139"/>
      <c r="M133" s="139">
        <v>521.89</v>
      </c>
      <c r="N133" s="139">
        <v>521.39</v>
      </c>
      <c r="O133" s="139">
        <v>521.14</v>
      </c>
      <c r="P133" s="139">
        <v>521.1</v>
      </c>
      <c r="Q133" s="139">
        <v>521.02</v>
      </c>
      <c r="R133" s="139"/>
      <c r="S133" s="139">
        <v>520.86</v>
      </c>
      <c r="T133" s="139">
        <v>520.83000000000004</v>
      </c>
      <c r="U133" s="139">
        <v>520.84</v>
      </c>
      <c r="V133" s="139">
        <v>520.87</v>
      </c>
      <c r="W133" s="139"/>
      <c r="X133" s="139">
        <v>520.71</v>
      </c>
      <c r="Y133" s="139"/>
      <c r="Z133" s="139">
        <v>520.17999999999995</v>
      </c>
      <c r="AA133" s="139"/>
      <c r="AB133" s="139"/>
      <c r="AC133" s="139">
        <v>519.16999999999996</v>
      </c>
      <c r="AD133" s="139"/>
      <c r="AE133" s="139"/>
      <c r="AF133" s="140"/>
      <c r="AG133" s="138"/>
      <c r="AH133" s="48"/>
      <c r="AI133" s="49"/>
    </row>
    <row r="134" spans="1:37" x14ac:dyDescent="0.25">
      <c r="A134" s="135" t="s">
        <v>158</v>
      </c>
      <c r="B134" s="139">
        <v>623.04</v>
      </c>
      <c r="C134" s="139">
        <v>623.45000000000005</v>
      </c>
      <c r="D134" s="139">
        <v>623.76</v>
      </c>
      <c r="E134" s="139">
        <v>624.11</v>
      </c>
      <c r="F134" s="139">
        <v>624.45000000000005</v>
      </c>
      <c r="G134" s="139">
        <v>624.74</v>
      </c>
      <c r="H134" s="139"/>
      <c r="I134" s="139">
        <v>624.82000000000005</v>
      </c>
      <c r="J134" s="139"/>
      <c r="K134" s="139">
        <v>624.66999999999996</v>
      </c>
      <c r="L134" s="139"/>
      <c r="M134" s="139">
        <v>624.38</v>
      </c>
      <c r="N134" s="139">
        <v>623.94000000000005</v>
      </c>
      <c r="O134" s="139">
        <v>623.61</v>
      </c>
      <c r="P134" s="139">
        <v>623.52</v>
      </c>
      <c r="Q134" s="139">
        <v>623.42999999999995</v>
      </c>
      <c r="R134" s="139">
        <v>623.4</v>
      </c>
      <c r="S134" s="139">
        <v>623.41999999999996</v>
      </c>
      <c r="T134" s="139">
        <v>623.35</v>
      </c>
      <c r="U134" s="139">
        <v>623.20000000000005</v>
      </c>
      <c r="V134" s="139">
        <v>623.09</v>
      </c>
      <c r="W134" s="139"/>
      <c r="X134" s="139">
        <v>622.91999999999996</v>
      </c>
      <c r="Y134" s="139"/>
      <c r="Z134" s="139">
        <v>622.41999999999996</v>
      </c>
      <c r="AA134" s="139"/>
      <c r="AB134" s="139"/>
      <c r="AC134" s="139">
        <v>621.54</v>
      </c>
      <c r="AD134" s="139">
        <v>621.61</v>
      </c>
      <c r="AE134" s="139">
        <v>621.76</v>
      </c>
      <c r="AF134" s="140">
        <v>622.22</v>
      </c>
      <c r="AG134" s="138"/>
      <c r="AH134" s="48"/>
      <c r="AI134" s="49"/>
    </row>
    <row r="135" spans="1:37" x14ac:dyDescent="0.25">
      <c r="A135" s="135" t="s">
        <v>159</v>
      </c>
      <c r="B135" s="139">
        <v>335.47</v>
      </c>
      <c r="C135" s="139">
        <v>335.8</v>
      </c>
      <c r="D135" s="139">
        <v>336.27</v>
      </c>
      <c r="E135" s="139">
        <v>336.64</v>
      </c>
      <c r="F135" s="139">
        <v>336.88</v>
      </c>
      <c r="G135" s="139">
        <v>337.07</v>
      </c>
      <c r="H135" s="139"/>
      <c r="I135" s="139">
        <v>337.18</v>
      </c>
      <c r="J135" s="139"/>
      <c r="K135" s="139">
        <v>337.03</v>
      </c>
      <c r="L135" s="139"/>
      <c r="M135" s="139">
        <v>336.71</v>
      </c>
      <c r="N135" s="139">
        <v>336.23</v>
      </c>
      <c r="O135" s="139">
        <v>335.78</v>
      </c>
      <c r="P135" s="139">
        <v>335.48</v>
      </c>
      <c r="Q135" s="139">
        <v>335.2</v>
      </c>
      <c r="R135" s="139"/>
      <c r="S135" s="139">
        <v>335.35</v>
      </c>
      <c r="T135" s="139">
        <v>335.65</v>
      </c>
      <c r="U135" s="139">
        <v>335.89</v>
      </c>
      <c r="V135" s="139">
        <v>335.99</v>
      </c>
      <c r="W135" s="139"/>
      <c r="X135" s="139">
        <v>336.02</v>
      </c>
      <c r="Y135" s="139"/>
      <c r="Z135" s="139">
        <v>335.83</v>
      </c>
      <c r="AA135" s="139"/>
      <c r="AB135" s="139"/>
      <c r="AC135" s="139">
        <v>335.42</v>
      </c>
      <c r="AD135" s="139"/>
      <c r="AE135" s="139"/>
      <c r="AF135" s="140"/>
      <c r="AG135" s="138"/>
      <c r="AH135" s="48"/>
      <c r="AI135" s="49"/>
    </row>
    <row r="136" spans="1:37" x14ac:dyDescent="0.25">
      <c r="A136" s="135" t="s">
        <v>160</v>
      </c>
      <c r="B136" s="139">
        <v>884.5</v>
      </c>
      <c r="C136" s="139">
        <v>885.1</v>
      </c>
      <c r="D136" s="139">
        <v>885.7</v>
      </c>
      <c r="E136" s="139">
        <v>886.2</v>
      </c>
      <c r="F136" s="139">
        <v>886.7</v>
      </c>
      <c r="G136" s="139">
        <v>887</v>
      </c>
      <c r="H136" s="139"/>
      <c r="I136" s="139">
        <v>887.3</v>
      </c>
      <c r="J136" s="139"/>
      <c r="K136" s="139">
        <v>887.1</v>
      </c>
      <c r="L136" s="139"/>
      <c r="M136" s="139">
        <v>557.1</v>
      </c>
      <c r="N136" s="139">
        <v>887</v>
      </c>
      <c r="O136" s="139">
        <v>886.9</v>
      </c>
      <c r="P136" s="139">
        <v>886.6</v>
      </c>
      <c r="Q136" s="139">
        <v>886.4</v>
      </c>
      <c r="R136" s="139"/>
      <c r="S136" s="139">
        <v>886</v>
      </c>
      <c r="T136" s="139">
        <v>886</v>
      </c>
      <c r="U136" s="139">
        <v>885.7</v>
      </c>
      <c r="V136" s="139">
        <v>884.9</v>
      </c>
      <c r="W136" s="139"/>
      <c r="X136" s="139">
        <v>883.6</v>
      </c>
      <c r="Y136" s="139"/>
      <c r="Z136" s="139">
        <v>883.1</v>
      </c>
      <c r="AA136" s="139"/>
      <c r="AB136" s="139"/>
      <c r="AC136" s="139"/>
      <c r="AD136" s="139"/>
      <c r="AE136" s="139"/>
      <c r="AF136" s="140">
        <v>882.6</v>
      </c>
      <c r="AG136" s="138"/>
      <c r="AH136" s="48"/>
      <c r="AI136" s="49"/>
    </row>
    <row r="137" spans="1:37" ht="15.75" thickBot="1" x14ac:dyDescent="0.3">
      <c r="A137" s="135" t="s">
        <v>161</v>
      </c>
      <c r="B137" s="141">
        <v>1519.62</v>
      </c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  <c r="AF137" s="142"/>
      <c r="AG137" s="138"/>
      <c r="AH137" s="48"/>
      <c r="AI137" s="49"/>
    </row>
    <row r="138" spans="1:37" ht="15.75" thickBot="1" x14ac:dyDescent="0.3">
      <c r="A138" s="143" t="s">
        <v>162</v>
      </c>
      <c r="B138" s="144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193">SUM(B139:B243)</f>
        <v>0</v>
      </c>
      <c r="C244" s="160">
        <f t="shared" si="193"/>
        <v>0</v>
      </c>
      <c r="D244" s="160">
        <f t="shared" si="193"/>
        <v>0</v>
      </c>
      <c r="E244" s="160">
        <f t="shared" si="193"/>
        <v>0</v>
      </c>
      <c r="F244" s="160">
        <f t="shared" si="193"/>
        <v>0</v>
      </c>
      <c r="G244" s="160">
        <f t="shared" si="193"/>
        <v>0</v>
      </c>
      <c r="H244" s="160">
        <f t="shared" si="193"/>
        <v>0</v>
      </c>
      <c r="I244" s="160">
        <f t="shared" si="193"/>
        <v>0</v>
      </c>
      <c r="J244" s="160">
        <f t="shared" si="193"/>
        <v>0</v>
      </c>
      <c r="K244" s="160">
        <f t="shared" si="193"/>
        <v>0</v>
      </c>
      <c r="L244" s="160">
        <f t="shared" si="193"/>
        <v>0</v>
      </c>
      <c r="M244" s="160">
        <f t="shared" si="193"/>
        <v>0</v>
      </c>
      <c r="N244" s="160">
        <f t="shared" si="193"/>
        <v>0</v>
      </c>
      <c r="O244" s="160">
        <f t="shared" si="193"/>
        <v>0</v>
      </c>
      <c r="P244" s="160">
        <f t="shared" si="193"/>
        <v>0</v>
      </c>
      <c r="Q244" s="160">
        <f t="shared" si="193"/>
        <v>0</v>
      </c>
      <c r="R244" s="160">
        <f t="shared" si="193"/>
        <v>0</v>
      </c>
      <c r="S244" s="160">
        <f t="shared" si="193"/>
        <v>0</v>
      </c>
      <c r="T244" s="160">
        <f t="shared" si="193"/>
        <v>0</v>
      </c>
      <c r="U244" s="160">
        <f t="shared" si="193"/>
        <v>0</v>
      </c>
      <c r="V244" s="160">
        <f t="shared" si="193"/>
        <v>0</v>
      </c>
      <c r="W244" s="160">
        <f t="shared" si="193"/>
        <v>0</v>
      </c>
      <c r="X244" s="160">
        <f t="shared" si="193"/>
        <v>0</v>
      </c>
      <c r="Y244" s="160">
        <f t="shared" si="193"/>
        <v>0</v>
      </c>
      <c r="Z244" s="160">
        <f t="shared" si="193"/>
        <v>0</v>
      </c>
      <c r="AA244" s="160">
        <f t="shared" si="193"/>
        <v>0</v>
      </c>
      <c r="AB244" s="160">
        <f t="shared" si="193"/>
        <v>0</v>
      </c>
      <c r="AC244" s="160">
        <f t="shared" si="193"/>
        <v>0</v>
      </c>
      <c r="AD244" s="160">
        <f t="shared" si="193"/>
        <v>0</v>
      </c>
      <c r="AE244" s="160">
        <f t="shared" si="193"/>
        <v>0</v>
      </c>
      <c r="AF244" s="161">
        <f t="shared" si="193"/>
        <v>0</v>
      </c>
      <c r="AG244" s="162">
        <f t="shared" si="193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194">AF246</f>
        <v>0.3</v>
      </c>
      <c r="C246" s="165">
        <v>0.3</v>
      </c>
      <c r="D246" s="165">
        <f t="shared" ref="D246:S251" si="195">C246</f>
        <v>0.3</v>
      </c>
      <c r="E246" s="165">
        <f t="shared" si="195"/>
        <v>0.3</v>
      </c>
      <c r="F246" s="165">
        <f t="shared" si="195"/>
        <v>0.3</v>
      </c>
      <c r="G246" s="165">
        <f t="shared" si="195"/>
        <v>0.3</v>
      </c>
      <c r="H246" s="165">
        <f t="shared" si="195"/>
        <v>0.3</v>
      </c>
      <c r="I246" s="165">
        <f t="shared" si="195"/>
        <v>0.3</v>
      </c>
      <c r="J246" s="165">
        <f t="shared" si="195"/>
        <v>0.3</v>
      </c>
      <c r="K246" s="165">
        <f t="shared" si="195"/>
        <v>0.3</v>
      </c>
      <c r="L246" s="165">
        <f t="shared" si="195"/>
        <v>0.3</v>
      </c>
      <c r="M246" s="165">
        <f t="shared" si="195"/>
        <v>0.3</v>
      </c>
      <c r="N246" s="165">
        <f t="shared" si="195"/>
        <v>0.3</v>
      </c>
      <c r="O246" s="165">
        <f t="shared" si="195"/>
        <v>0.3</v>
      </c>
      <c r="P246" s="165">
        <f t="shared" si="195"/>
        <v>0.3</v>
      </c>
      <c r="Q246" s="165">
        <f t="shared" si="195"/>
        <v>0.3</v>
      </c>
      <c r="R246" s="165">
        <f t="shared" si="195"/>
        <v>0.3</v>
      </c>
      <c r="S246" s="165">
        <f t="shared" si="195"/>
        <v>0.3</v>
      </c>
      <c r="T246" s="165">
        <f t="shared" ref="T246:AF251" si="196">S246</f>
        <v>0.3</v>
      </c>
      <c r="U246" s="165">
        <f t="shared" si="196"/>
        <v>0.3</v>
      </c>
      <c r="V246" s="165">
        <f t="shared" si="196"/>
        <v>0.3</v>
      </c>
      <c r="W246" s="165">
        <f t="shared" si="196"/>
        <v>0.3</v>
      </c>
      <c r="X246" s="165">
        <f t="shared" si="196"/>
        <v>0.3</v>
      </c>
      <c r="Y246" s="165">
        <f t="shared" si="196"/>
        <v>0.3</v>
      </c>
      <c r="Z246" s="165">
        <f t="shared" si="196"/>
        <v>0.3</v>
      </c>
      <c r="AA246" s="165">
        <f t="shared" si="196"/>
        <v>0.3</v>
      </c>
      <c r="AB246" s="165">
        <f t="shared" si="196"/>
        <v>0.3</v>
      </c>
      <c r="AC246" s="165">
        <f t="shared" si="196"/>
        <v>0.3</v>
      </c>
      <c r="AD246" s="165">
        <f t="shared" si="196"/>
        <v>0.3</v>
      </c>
      <c r="AE246" s="165">
        <f t="shared" si="196"/>
        <v>0.3</v>
      </c>
      <c r="AF246" s="165">
        <f t="shared" si="196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194"/>
        <v>0.4</v>
      </c>
      <c r="C247" s="151">
        <v>0.4</v>
      </c>
      <c r="D247" s="151">
        <f t="shared" si="195"/>
        <v>0.4</v>
      </c>
      <c r="E247" s="151">
        <f t="shared" si="195"/>
        <v>0.4</v>
      </c>
      <c r="F247" s="151">
        <f t="shared" si="195"/>
        <v>0.4</v>
      </c>
      <c r="G247" s="151">
        <f t="shared" si="195"/>
        <v>0.4</v>
      </c>
      <c r="H247" s="151">
        <f t="shared" si="195"/>
        <v>0.4</v>
      </c>
      <c r="I247" s="151">
        <f t="shared" si="195"/>
        <v>0.4</v>
      </c>
      <c r="J247" s="151">
        <f t="shared" si="195"/>
        <v>0.4</v>
      </c>
      <c r="K247" s="151">
        <f t="shared" si="195"/>
        <v>0.4</v>
      </c>
      <c r="L247" s="151">
        <f t="shared" si="195"/>
        <v>0.4</v>
      </c>
      <c r="M247" s="151">
        <f t="shared" si="195"/>
        <v>0.4</v>
      </c>
      <c r="N247" s="151">
        <f t="shared" si="195"/>
        <v>0.4</v>
      </c>
      <c r="O247" s="151">
        <f t="shared" si="195"/>
        <v>0.4</v>
      </c>
      <c r="P247" s="151">
        <f t="shared" si="195"/>
        <v>0.4</v>
      </c>
      <c r="Q247" s="151">
        <f t="shared" si="195"/>
        <v>0.4</v>
      </c>
      <c r="R247" s="151">
        <f t="shared" si="195"/>
        <v>0.4</v>
      </c>
      <c r="S247" s="151">
        <f t="shared" si="195"/>
        <v>0.4</v>
      </c>
      <c r="T247" s="151">
        <f t="shared" si="196"/>
        <v>0.4</v>
      </c>
      <c r="U247" s="151">
        <f t="shared" si="196"/>
        <v>0.4</v>
      </c>
      <c r="V247" s="151">
        <f t="shared" si="196"/>
        <v>0.4</v>
      </c>
      <c r="W247" s="151">
        <f t="shared" si="196"/>
        <v>0.4</v>
      </c>
      <c r="X247" s="151">
        <f t="shared" si="196"/>
        <v>0.4</v>
      </c>
      <c r="Y247" s="151">
        <f t="shared" si="196"/>
        <v>0.4</v>
      </c>
      <c r="Z247" s="151">
        <f t="shared" si="196"/>
        <v>0.4</v>
      </c>
      <c r="AA247" s="151">
        <f t="shared" si="196"/>
        <v>0.4</v>
      </c>
      <c r="AB247" s="151">
        <f t="shared" si="196"/>
        <v>0.4</v>
      </c>
      <c r="AC247" s="151">
        <f t="shared" si="196"/>
        <v>0.4</v>
      </c>
      <c r="AD247" s="151">
        <f t="shared" si="196"/>
        <v>0.4</v>
      </c>
      <c r="AE247" s="151">
        <f t="shared" si="196"/>
        <v>0.4</v>
      </c>
      <c r="AF247" s="151">
        <f t="shared" si="196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194"/>
        <v>1.5</v>
      </c>
      <c r="C248" s="151">
        <v>1.5</v>
      </c>
      <c r="D248" s="151">
        <f t="shared" si="195"/>
        <v>1.5</v>
      </c>
      <c r="E248" s="151">
        <f t="shared" si="195"/>
        <v>1.5</v>
      </c>
      <c r="F248" s="151">
        <f t="shared" si="195"/>
        <v>1.5</v>
      </c>
      <c r="G248" s="151">
        <f t="shared" si="195"/>
        <v>1.5</v>
      </c>
      <c r="H248" s="151">
        <f t="shared" si="195"/>
        <v>1.5</v>
      </c>
      <c r="I248" s="151">
        <f t="shared" si="195"/>
        <v>1.5</v>
      </c>
      <c r="J248" s="151">
        <f t="shared" si="195"/>
        <v>1.5</v>
      </c>
      <c r="K248" s="151">
        <f t="shared" si="195"/>
        <v>1.5</v>
      </c>
      <c r="L248" s="151">
        <f t="shared" si="195"/>
        <v>1.5</v>
      </c>
      <c r="M248" s="151">
        <f t="shared" si="195"/>
        <v>1.5</v>
      </c>
      <c r="N248" s="151">
        <f t="shared" si="195"/>
        <v>1.5</v>
      </c>
      <c r="O248" s="151">
        <f t="shared" si="195"/>
        <v>1.5</v>
      </c>
      <c r="P248" s="151">
        <f t="shared" si="195"/>
        <v>1.5</v>
      </c>
      <c r="Q248" s="151">
        <f t="shared" si="195"/>
        <v>1.5</v>
      </c>
      <c r="R248" s="151">
        <f t="shared" si="195"/>
        <v>1.5</v>
      </c>
      <c r="S248" s="151">
        <f t="shared" si="195"/>
        <v>1.5</v>
      </c>
      <c r="T248" s="151">
        <f t="shared" si="196"/>
        <v>1.5</v>
      </c>
      <c r="U248" s="151">
        <f t="shared" si="196"/>
        <v>1.5</v>
      </c>
      <c r="V248" s="151">
        <f t="shared" si="196"/>
        <v>1.5</v>
      </c>
      <c r="W248" s="151">
        <f t="shared" si="196"/>
        <v>1.5</v>
      </c>
      <c r="X248" s="151">
        <f t="shared" si="196"/>
        <v>1.5</v>
      </c>
      <c r="Y248" s="151">
        <f t="shared" si="196"/>
        <v>1.5</v>
      </c>
      <c r="Z248" s="151">
        <f t="shared" si="196"/>
        <v>1.5</v>
      </c>
      <c r="AA248" s="151">
        <f t="shared" si="196"/>
        <v>1.5</v>
      </c>
      <c r="AB248" s="151">
        <f t="shared" si="196"/>
        <v>1.5</v>
      </c>
      <c r="AC248" s="151">
        <f t="shared" si="196"/>
        <v>1.5</v>
      </c>
      <c r="AD248" s="151">
        <f t="shared" si="196"/>
        <v>1.5</v>
      </c>
      <c r="AE248" s="151">
        <f t="shared" si="196"/>
        <v>1.5</v>
      </c>
      <c r="AF248" s="151">
        <f t="shared" si="196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194"/>
        <v>0.3</v>
      </c>
      <c r="C249" s="151">
        <v>0.3</v>
      </c>
      <c r="D249" s="151">
        <f t="shared" si="195"/>
        <v>0.3</v>
      </c>
      <c r="E249" s="151">
        <f t="shared" si="195"/>
        <v>0.3</v>
      </c>
      <c r="F249" s="151">
        <f t="shared" si="195"/>
        <v>0.3</v>
      </c>
      <c r="G249" s="151">
        <f t="shared" si="195"/>
        <v>0.3</v>
      </c>
      <c r="H249" s="151">
        <f t="shared" si="195"/>
        <v>0.3</v>
      </c>
      <c r="I249" s="151">
        <f t="shared" si="195"/>
        <v>0.3</v>
      </c>
      <c r="J249" s="151">
        <f t="shared" si="195"/>
        <v>0.3</v>
      </c>
      <c r="K249" s="151">
        <f t="shared" si="195"/>
        <v>0.3</v>
      </c>
      <c r="L249" s="151">
        <f t="shared" si="195"/>
        <v>0.3</v>
      </c>
      <c r="M249" s="151">
        <f t="shared" si="195"/>
        <v>0.3</v>
      </c>
      <c r="N249" s="151">
        <f t="shared" si="195"/>
        <v>0.3</v>
      </c>
      <c r="O249" s="151">
        <f t="shared" si="195"/>
        <v>0.3</v>
      </c>
      <c r="P249" s="151">
        <f t="shared" si="195"/>
        <v>0.3</v>
      </c>
      <c r="Q249" s="151">
        <f t="shared" si="195"/>
        <v>0.3</v>
      </c>
      <c r="R249" s="151">
        <f t="shared" si="195"/>
        <v>0.3</v>
      </c>
      <c r="S249" s="151">
        <f t="shared" si="195"/>
        <v>0.3</v>
      </c>
      <c r="T249" s="151">
        <f t="shared" si="196"/>
        <v>0.3</v>
      </c>
      <c r="U249" s="151">
        <f t="shared" si="196"/>
        <v>0.3</v>
      </c>
      <c r="V249" s="151">
        <f t="shared" si="196"/>
        <v>0.3</v>
      </c>
      <c r="W249" s="151">
        <f t="shared" si="196"/>
        <v>0.3</v>
      </c>
      <c r="X249" s="151">
        <f t="shared" si="196"/>
        <v>0.3</v>
      </c>
      <c r="Y249" s="151">
        <f t="shared" si="196"/>
        <v>0.3</v>
      </c>
      <c r="Z249" s="151">
        <f t="shared" si="196"/>
        <v>0.3</v>
      </c>
      <c r="AA249" s="151">
        <f t="shared" si="196"/>
        <v>0.3</v>
      </c>
      <c r="AB249" s="151">
        <f t="shared" si="196"/>
        <v>0.3</v>
      </c>
      <c r="AC249" s="151">
        <f t="shared" si="196"/>
        <v>0.3</v>
      </c>
      <c r="AD249" s="151">
        <f t="shared" si="196"/>
        <v>0.3</v>
      </c>
      <c r="AE249" s="151">
        <f t="shared" si="196"/>
        <v>0.3</v>
      </c>
      <c r="AF249" s="151">
        <f t="shared" si="196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194"/>
        <v>0.4</v>
      </c>
      <c r="C250" s="151">
        <v>0.4</v>
      </c>
      <c r="D250" s="151">
        <f t="shared" si="195"/>
        <v>0.4</v>
      </c>
      <c r="E250" s="151">
        <f t="shared" si="195"/>
        <v>0.4</v>
      </c>
      <c r="F250" s="151">
        <f t="shared" si="195"/>
        <v>0.4</v>
      </c>
      <c r="G250" s="151">
        <f t="shared" si="195"/>
        <v>0.4</v>
      </c>
      <c r="H250" s="151">
        <f t="shared" si="195"/>
        <v>0.4</v>
      </c>
      <c r="I250" s="151">
        <f t="shared" si="195"/>
        <v>0.4</v>
      </c>
      <c r="J250" s="151">
        <f t="shared" si="195"/>
        <v>0.4</v>
      </c>
      <c r="K250" s="151">
        <f t="shared" si="195"/>
        <v>0.4</v>
      </c>
      <c r="L250" s="151">
        <f t="shared" si="195"/>
        <v>0.4</v>
      </c>
      <c r="M250" s="151">
        <f t="shared" si="195"/>
        <v>0.4</v>
      </c>
      <c r="N250" s="151">
        <f t="shared" si="195"/>
        <v>0.4</v>
      </c>
      <c r="O250" s="151">
        <f t="shared" si="195"/>
        <v>0.4</v>
      </c>
      <c r="P250" s="151">
        <f t="shared" si="195"/>
        <v>0.4</v>
      </c>
      <c r="Q250" s="151">
        <f t="shared" si="195"/>
        <v>0.4</v>
      </c>
      <c r="R250" s="151">
        <f t="shared" si="195"/>
        <v>0.4</v>
      </c>
      <c r="S250" s="151">
        <f t="shared" si="195"/>
        <v>0.4</v>
      </c>
      <c r="T250" s="151">
        <f t="shared" si="196"/>
        <v>0.4</v>
      </c>
      <c r="U250" s="151">
        <f t="shared" si="196"/>
        <v>0.4</v>
      </c>
      <c r="V250" s="151">
        <f t="shared" si="196"/>
        <v>0.4</v>
      </c>
      <c r="W250" s="151">
        <f t="shared" si="196"/>
        <v>0.4</v>
      </c>
      <c r="X250" s="151">
        <f t="shared" si="196"/>
        <v>0.4</v>
      </c>
      <c r="Y250" s="151">
        <f t="shared" si="196"/>
        <v>0.4</v>
      </c>
      <c r="Z250" s="151">
        <f t="shared" si="196"/>
        <v>0.4</v>
      </c>
      <c r="AA250" s="151">
        <f t="shared" si="196"/>
        <v>0.4</v>
      </c>
      <c r="AB250" s="151">
        <f t="shared" si="196"/>
        <v>0.4</v>
      </c>
      <c r="AC250" s="151">
        <f t="shared" si="196"/>
        <v>0.4</v>
      </c>
      <c r="AD250" s="151">
        <f t="shared" si="196"/>
        <v>0.4</v>
      </c>
      <c r="AE250" s="151">
        <f t="shared" si="196"/>
        <v>0.4</v>
      </c>
      <c r="AF250" s="151">
        <f t="shared" si="196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194"/>
        <v>0.64</v>
      </c>
      <c r="C251" s="156">
        <v>0.64</v>
      </c>
      <c r="D251" s="156">
        <f t="shared" si="195"/>
        <v>0.64</v>
      </c>
      <c r="E251" s="156">
        <f t="shared" si="195"/>
        <v>0.64</v>
      </c>
      <c r="F251" s="156">
        <f t="shared" si="195"/>
        <v>0.64</v>
      </c>
      <c r="G251" s="156">
        <f t="shared" si="195"/>
        <v>0.64</v>
      </c>
      <c r="H251" s="156">
        <f t="shared" si="195"/>
        <v>0.64</v>
      </c>
      <c r="I251" s="156">
        <f t="shared" si="195"/>
        <v>0.64</v>
      </c>
      <c r="J251" s="156">
        <f t="shared" si="195"/>
        <v>0.64</v>
      </c>
      <c r="K251" s="156">
        <f t="shared" si="195"/>
        <v>0.64</v>
      </c>
      <c r="L251" s="156">
        <f t="shared" si="195"/>
        <v>0.64</v>
      </c>
      <c r="M251" s="156">
        <f t="shared" si="195"/>
        <v>0.64</v>
      </c>
      <c r="N251" s="156">
        <f t="shared" si="195"/>
        <v>0.64</v>
      </c>
      <c r="O251" s="156">
        <f t="shared" si="195"/>
        <v>0.64</v>
      </c>
      <c r="P251" s="156">
        <f t="shared" si="195"/>
        <v>0.64</v>
      </c>
      <c r="Q251" s="156">
        <f t="shared" si="195"/>
        <v>0.64</v>
      </c>
      <c r="R251" s="156">
        <f t="shared" si="195"/>
        <v>0.64</v>
      </c>
      <c r="S251" s="156">
        <f t="shared" si="195"/>
        <v>0.64</v>
      </c>
      <c r="T251" s="156">
        <f t="shared" si="196"/>
        <v>0.64</v>
      </c>
      <c r="U251" s="156">
        <f t="shared" si="196"/>
        <v>0.64</v>
      </c>
      <c r="V251" s="156">
        <f t="shared" si="196"/>
        <v>0.64</v>
      </c>
      <c r="W251" s="156">
        <f t="shared" si="196"/>
        <v>0.64</v>
      </c>
      <c r="X251" s="156">
        <f t="shared" si="196"/>
        <v>0.64</v>
      </c>
      <c r="Y251" s="156">
        <f t="shared" si="196"/>
        <v>0.64</v>
      </c>
      <c r="Z251" s="156">
        <f t="shared" si="196"/>
        <v>0.64</v>
      </c>
      <c r="AA251" s="156">
        <f t="shared" si="196"/>
        <v>0.64</v>
      </c>
      <c r="AB251" s="156">
        <f t="shared" si="196"/>
        <v>0.64</v>
      </c>
      <c r="AC251" s="156">
        <f t="shared" si="196"/>
        <v>0.64</v>
      </c>
      <c r="AD251" s="156">
        <f t="shared" si="196"/>
        <v>0.64</v>
      </c>
      <c r="AE251" s="156">
        <f t="shared" si="196"/>
        <v>0.64</v>
      </c>
      <c r="AF251" s="156">
        <f t="shared" si="196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197">SUM(B246:B251)</f>
        <v>3.54</v>
      </c>
      <c r="C252" s="160">
        <f t="shared" si="197"/>
        <v>3.54</v>
      </c>
      <c r="D252" s="160">
        <f t="shared" si="197"/>
        <v>3.54</v>
      </c>
      <c r="E252" s="160">
        <f t="shared" si="197"/>
        <v>3.54</v>
      </c>
      <c r="F252" s="160">
        <f t="shared" si="197"/>
        <v>3.54</v>
      </c>
      <c r="G252" s="160">
        <f t="shared" si="197"/>
        <v>3.54</v>
      </c>
      <c r="H252" s="160">
        <f t="shared" si="197"/>
        <v>3.54</v>
      </c>
      <c r="I252" s="160">
        <f t="shared" si="197"/>
        <v>3.54</v>
      </c>
      <c r="J252" s="160">
        <f t="shared" si="197"/>
        <v>3.54</v>
      </c>
      <c r="K252" s="160">
        <f t="shared" si="197"/>
        <v>3.54</v>
      </c>
      <c r="L252" s="160">
        <f t="shared" si="197"/>
        <v>3.54</v>
      </c>
      <c r="M252" s="160">
        <f t="shared" si="197"/>
        <v>3.54</v>
      </c>
      <c r="N252" s="160">
        <f t="shared" si="197"/>
        <v>3.54</v>
      </c>
      <c r="O252" s="160">
        <f t="shared" si="197"/>
        <v>3.54</v>
      </c>
      <c r="P252" s="160">
        <f t="shared" si="197"/>
        <v>3.54</v>
      </c>
      <c r="Q252" s="160">
        <f t="shared" si="197"/>
        <v>3.54</v>
      </c>
      <c r="R252" s="160">
        <f t="shared" si="197"/>
        <v>3.54</v>
      </c>
      <c r="S252" s="160">
        <f t="shared" si="197"/>
        <v>3.54</v>
      </c>
      <c r="T252" s="160">
        <f t="shared" si="197"/>
        <v>3.54</v>
      </c>
      <c r="U252" s="160">
        <f t="shared" si="197"/>
        <v>3.54</v>
      </c>
      <c r="V252" s="160">
        <f t="shared" si="197"/>
        <v>3.54</v>
      </c>
      <c r="W252" s="160">
        <f t="shared" si="197"/>
        <v>3.54</v>
      </c>
      <c r="X252" s="160">
        <f t="shared" si="197"/>
        <v>3.54</v>
      </c>
      <c r="Y252" s="160">
        <f t="shared" si="197"/>
        <v>3.54</v>
      </c>
      <c r="Z252" s="160">
        <f t="shared" si="197"/>
        <v>3.54</v>
      </c>
      <c r="AA252" s="160">
        <f t="shared" si="197"/>
        <v>3.54</v>
      </c>
      <c r="AB252" s="160">
        <f t="shared" si="197"/>
        <v>3.54</v>
      </c>
      <c r="AC252" s="160">
        <f t="shared" si="197"/>
        <v>3.54</v>
      </c>
      <c r="AD252" s="160">
        <f t="shared" si="197"/>
        <v>3.54</v>
      </c>
      <c r="AE252" s="160">
        <f t="shared" si="197"/>
        <v>3.54</v>
      </c>
      <c r="AF252" s="160">
        <f t="shared" si="197"/>
        <v>3.54</v>
      </c>
      <c r="AG252" s="170">
        <f t="shared" si="197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1688.6890000000003</v>
      </c>
      <c r="C256" s="173">
        <f>INDEX(G9:N9,1,MATCH(MAX(G99:N99),G99:N99,0))</f>
        <v>0.3125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2080/10/4)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3618" priority="90">
      <formula>$AH11=0</formula>
    </cfRule>
  </conditionalFormatting>
  <conditionalFormatting sqref="A132:A253">
    <cfRule type="expression" dxfId="3617" priority="91">
      <formula>$AH132=0</formula>
    </cfRule>
  </conditionalFormatting>
  <conditionalFormatting sqref="B8">
    <cfRule type="expression" dxfId="3616" priority="150">
      <formula>AND(C$9&gt;=8/24,C$9&lt;14/24)</formula>
    </cfRule>
    <cfRule type="expression" dxfId="3615" priority="149">
      <formula>AND(C$9&gt;=14/24,C$9&lt;20/24)</formula>
    </cfRule>
    <cfRule type="expression" dxfId="3614" priority="152">
      <formula>C$9&gt;=20/24</formula>
    </cfRule>
    <cfRule type="expression" dxfId="3613" priority="151">
      <formula>C$9&lt;8/24</formula>
    </cfRule>
  </conditionalFormatting>
  <conditionalFormatting sqref="B9:AF52 B59:R61 B62:D68 E63:E68 F63:L74 M68:P74 B69:E74 G69:AF74 B77:AF99 B101:AF117 B119:AF137 B244:AF244 B246:B252">
    <cfRule type="expression" dxfId="3612" priority="41">
      <formula>B$9&gt;=20/24</formula>
    </cfRule>
    <cfRule type="expression" dxfId="3611" priority="42">
      <formula>AND(B$9&gt;=14/24,B$9&lt;20/24)</formula>
    </cfRule>
    <cfRule type="expression" dxfId="3610" priority="43">
      <formula>AND(B$9&gt;=8/24,B$9&lt;14/24)</formula>
    </cfRule>
    <cfRule type="expression" dxfId="3609" priority="44">
      <formula>B$9&lt;8/24</formula>
    </cfRule>
  </conditionalFormatting>
  <conditionalFormatting sqref="B53:AF57">
    <cfRule type="expression" dxfId="3608" priority="53">
      <formula>B$9&lt;8/24</formula>
    </cfRule>
  </conditionalFormatting>
  <conditionalFormatting sqref="D246:AF252">
    <cfRule type="expression" dxfId="3607" priority="136">
      <formula>AND(D$9&gt;=8/24,D$9&lt;14/24)</formula>
    </cfRule>
    <cfRule type="expression" dxfId="3606" priority="135">
      <formula>AND(D$9&gt;=14/24,D$9&lt;20/24)</formula>
    </cfRule>
    <cfRule type="expression" dxfId="3605" priority="134">
      <formula>D$9&gt;=20/24</formula>
    </cfRule>
    <cfRule type="expression" dxfId="3604" priority="137">
      <formula>D$9&lt;8/24</formula>
    </cfRule>
  </conditionalFormatting>
  <conditionalFormatting sqref="E59:L60 S59:AF62 E62:R62">
    <cfRule type="expression" dxfId="3603" priority="68">
      <formula>E$9&gt;=20/24</formula>
    </cfRule>
    <cfRule type="expression" dxfId="3602" priority="69">
      <formula>AND(E$9&gt;=14/24,E$9&lt;20/24)</formula>
    </cfRule>
    <cfRule type="expression" dxfId="3601" priority="70">
      <formula>AND(E$9&gt;=8/24,E$9&lt;14/24)</formula>
    </cfRule>
    <cfRule type="expression" dxfId="3600" priority="71">
      <formula>E$9&lt;8/24</formula>
    </cfRule>
  </conditionalFormatting>
  <conditionalFormatting sqref="E68:P68">
    <cfRule type="expression" dxfId="3599" priority="49">
      <formula>E$9&gt;=20/24</formula>
    </cfRule>
    <cfRule type="expression" dxfId="3598" priority="50">
      <formula>AND(E$9&gt;=14/24,E$9&lt;20/24)</formula>
    </cfRule>
    <cfRule type="expression" dxfId="3597" priority="51">
      <formula>AND(E$9&gt;=8/24,E$9&lt;14/24)</formula>
    </cfRule>
    <cfRule type="expression" dxfId="3596" priority="52">
      <formula>E$9&lt;8/24</formula>
    </cfRule>
  </conditionalFormatting>
  <conditionalFormatting sqref="E63:AF67">
    <cfRule type="expression" dxfId="3595" priority="54">
      <formula>E$9&gt;=20/24</formula>
    </cfRule>
    <cfRule type="expression" dxfId="3594" priority="55">
      <formula>AND(E$9&gt;=14/24,E$9&lt;20/24)</formula>
    </cfRule>
    <cfRule type="expression" dxfId="3593" priority="56">
      <formula>AND(E$9&gt;=8/24,E$9&lt;14/24)</formula>
    </cfRule>
    <cfRule type="expression" dxfId="3592" priority="57">
      <formula>E$9&lt;8/24</formula>
    </cfRule>
  </conditionalFormatting>
  <conditionalFormatting sqref="G63:L65">
    <cfRule type="expression" dxfId="3591" priority="85">
      <formula>G$9&lt;8/24</formula>
    </cfRule>
    <cfRule type="expression" dxfId="3590" priority="84">
      <formula>AND(G$9&gt;=8/24,G$9&lt;14/24)</formula>
    </cfRule>
    <cfRule type="expression" dxfId="3589" priority="83">
      <formula>AND(G$9&gt;=14/24,G$9&lt;20/24)</formula>
    </cfRule>
    <cfRule type="expression" dxfId="3588" priority="82">
      <formula>G$9&gt;=20/24</formula>
    </cfRule>
  </conditionalFormatting>
  <conditionalFormatting sqref="L68:AF68">
    <cfRule type="expression" dxfId="3587" priority="81">
      <formula>L$9&lt;8/24</formula>
    </cfRule>
    <cfRule type="expression" dxfId="3586" priority="78">
      <formula>L$9&gt;=20/24</formula>
    </cfRule>
    <cfRule type="expression" dxfId="3585" priority="79">
      <formula>AND(L$9&gt;=14/24,L$9&lt;20/24)</formula>
    </cfRule>
    <cfRule type="expression" dxfId="3584" priority="80">
      <formula>AND(L$9&gt;=8/24,L$9&lt;14/24)</formula>
    </cfRule>
  </conditionalFormatting>
  <conditionalFormatting sqref="M8 S8 AB8">
    <cfRule type="expression" dxfId="3583" priority="141">
      <formula>AND(N$9&gt;=14/24,N$9&lt;20/24)</formula>
    </cfRule>
    <cfRule type="expression" dxfId="3582" priority="143">
      <formula>N$9&lt;8/24</formula>
    </cfRule>
    <cfRule type="expression" dxfId="3581" priority="142">
      <formula>AND(N$9&gt;=8/24,N$9&lt;14/24)</formula>
    </cfRule>
  </conditionalFormatting>
  <conditionalFormatting sqref="M11:AF56 E11:L57 B11:D60 M57:R57 S57:AF80 E58:R58 E59:K60 L59:R61 B61:K61 E62:R62 AG62 B62:D68 E63:E68 F63:R74 B69:E74 B75:R80 AG80">
    <cfRule type="expression" dxfId="3580" priority="40">
      <formula>B11&gt;$AG11</formula>
    </cfRule>
  </conditionalFormatting>
  <conditionalFormatting sqref="M53:AF55 B53:L57">
    <cfRule type="expression" dxfId="3579" priority="39">
      <formula>AND(B$9&gt;=8/24,B$9&lt;14/24)</formula>
    </cfRule>
    <cfRule type="expression" dxfId="3578" priority="38">
      <formula>AND(B$9&gt;=14/24,B$9&lt;20/24)</formula>
    </cfRule>
    <cfRule type="expression" dxfId="3577" priority="37">
      <formula>B$9&gt;=20/24</formula>
    </cfRule>
  </conditionalFormatting>
  <conditionalFormatting sqref="M56:AF57">
    <cfRule type="expression" dxfId="3576" priority="48">
      <formula>AND(M$9&gt;=8/24,M$9&lt;14/24)</formula>
    </cfRule>
    <cfRule type="expression" dxfId="3575" priority="47">
      <formula>AND(M$9&gt;=14/24,M$9&lt;20/24)</formula>
    </cfRule>
    <cfRule type="expression" dxfId="3574" priority="46">
      <formula>M$9&gt;=20/24</formula>
    </cfRule>
  </conditionalFormatting>
  <conditionalFormatting sqref="O3:P3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573" priority="140">
      <formula>N$9&gt;=20/24</formula>
    </cfRule>
  </conditionalFormatting>
  <conditionalFormatting sqref="S8">
    <cfRule type="expression" dxfId="3572" priority="129">
      <formula>AND(U$9&gt;=8/24,U$9&lt;14/24)</formula>
    </cfRule>
    <cfRule type="expression" dxfId="3571" priority="128">
      <formula>AND(U$9&gt;=14/24,U$9&lt;20/24)</formula>
    </cfRule>
    <cfRule type="expression" dxfId="3570" priority="127">
      <formula>U$9&gt;=20/24</formula>
    </cfRule>
    <cfRule type="expression" dxfId="3569" priority="130">
      <formula>U$9&lt;8/24</formula>
    </cfRule>
  </conditionalFormatting>
  <conditionalFormatting sqref="V3 AB3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568" priority="126">
      <formula>AD$9&lt;8/24</formula>
    </cfRule>
    <cfRule type="expression" dxfId="3567" priority="125">
      <formula>AND(AD$9&gt;=8/24,AD$9&lt;14/24)</formula>
    </cfRule>
    <cfRule type="expression" dxfId="3566" priority="124">
      <formula>AND(AD$9&gt;=14/24,AD$9&lt;20/24)</formula>
    </cfRule>
    <cfRule type="expression" dxfId="3565" priority="123">
      <formula>AD$9&gt;=20/24</formula>
    </cfRule>
  </conditionalFormatting>
  <conditionalFormatting sqref="AG58">
    <cfRule type="expression" dxfId="3564" priority="118">
      <formula>AG58&gt;$AG58</formula>
    </cfRule>
  </conditionalFormatting>
  <conditionalFormatting sqref="AG62">
    <cfRule type="expression" dxfId="3563" priority="101">
      <formula>AG$9&gt;=20/24</formula>
    </cfRule>
    <cfRule type="expression" dxfId="3562" priority="102">
      <formula>AND(AG$9&gt;=14/24,AG$9&lt;20/24)</formula>
    </cfRule>
    <cfRule type="expression" dxfId="3561" priority="103">
      <formula>AND(AG$9&gt;=8/24,AG$9&lt;14/24)</formula>
    </cfRule>
    <cfRule type="expression" dxfId="3560" priority="104">
      <formula>AG$9&lt;8/24</formula>
    </cfRule>
  </conditionalFormatting>
  <conditionalFormatting sqref="AG75:AG76">
    <cfRule type="expression" dxfId="3559" priority="96">
      <formula>AG75&gt;$AG75</formula>
    </cfRule>
  </conditionalFormatting>
  <conditionalFormatting sqref="AG80">
    <cfRule type="expression" dxfId="3558" priority="97">
      <formula>AG$9&gt;=20/24</formula>
    </cfRule>
    <cfRule type="expression" dxfId="3557" priority="98">
      <formula>AND(AG$9&gt;=14/24,AG$9&lt;20/24)</formula>
    </cfRule>
    <cfRule type="expression" dxfId="3556" priority="99">
      <formula>AND(AG$9&gt;=8/24,AG$9&lt;14/24)</formula>
    </cfRule>
    <cfRule type="expression" dxfId="3555" priority="100">
      <formula>AG$9&lt;8/24</formula>
    </cfRule>
  </conditionalFormatting>
  <conditionalFormatting sqref="AG97">
    <cfRule type="expression" dxfId="3554" priority="120">
      <formula>AND(AG$9&gt;=14/24,AG$9&lt;20/24)</formula>
    </cfRule>
    <cfRule type="expression" dxfId="3553" priority="121">
      <formula>AND(AG$9&gt;=8/24,AG$9&lt;14/24)</formula>
    </cfRule>
    <cfRule type="expression" dxfId="3552" priority="119">
      <formula>AG$9&gt;=20/24</formula>
    </cfRule>
    <cfRule type="expression" dxfId="3551" priority="122">
      <formula>AG$9&lt;8/24</formula>
    </cfRule>
  </conditionalFormatting>
  <conditionalFormatting sqref="AL4:AL6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550" priority="144">
      <formula>AJ$9&gt;=20/24</formula>
    </cfRule>
    <cfRule type="expression" dxfId="3549" priority="147">
      <formula>AJ$9&lt;8/24</formula>
    </cfRule>
    <cfRule type="expression" dxfId="3548" priority="146">
      <formula>AND(AJ$9&gt;=8/24,AJ$9&lt;14/24)</formula>
    </cfRule>
    <cfRule type="expression" dxfId="3547" priority="145">
      <formula>AND(AJ$9&gt;=14/24,AJ$9&lt;20/24)</formula>
    </cfRule>
  </conditionalFormatting>
  <conditionalFormatting sqref="AL88:AN88 AL94:AN94">
    <cfRule type="expression" dxfId="3546" priority="111">
      <formula>AL$9&gt;=20/24</formula>
    </cfRule>
    <cfRule type="expression" dxfId="3545" priority="113">
      <formula>AND(AL$9&gt;=8/24,AL$9&lt;14/24)</formula>
    </cfRule>
    <cfRule type="expression" dxfId="3544" priority="114">
      <formula>AL$9&lt;8/24</formula>
    </cfRule>
    <cfRule type="expression" dxfId="3543" priority="112">
      <formula>AND(AL$9&gt;=14/24,AL$9&lt;20/24)</formula>
    </cfRule>
  </conditionalFormatting>
  <conditionalFormatting sqref="AM15:AM21 AN16:AR21">
    <cfRule type="expression" dxfId="3542" priority="16">
      <formula>AX$9&lt;8/24</formula>
    </cfRule>
    <cfRule type="expression" dxfId="3541" priority="13">
      <formula>AX$9&gt;=20/24</formula>
    </cfRule>
    <cfRule type="expression" dxfId="3540" priority="14">
      <formula>AND(AX$9&gt;=14/24,AX$9&lt;20/24)</formula>
    </cfRule>
    <cfRule type="expression" dxfId="3539" priority="15">
      <formula>AND(AX$9&gt;=8/24,AX$9&lt;14/24)</formula>
    </cfRule>
  </conditionalFormatting>
  <conditionalFormatting sqref="AN89:AN92">
    <cfRule type="expression" dxfId="3538" priority="107">
      <formula>AN$9&gt;=20/24</formula>
    </cfRule>
    <cfRule type="expression" dxfId="3537" priority="110">
      <formula>AN$9&lt;8/24</formula>
    </cfRule>
    <cfRule type="expression" dxfId="3536" priority="109">
      <formula>AND(AN$9&gt;=8/24,AN$9&lt;14/24)</formula>
    </cfRule>
    <cfRule type="expression" dxfId="3535" priority="108">
      <formula>AND(AN$9&gt;=14/24,AN$9&lt;20/24)</formula>
    </cfRule>
  </conditionalFormatting>
  <conditionalFormatting sqref="AN15:AR15">
    <cfRule type="expression" dxfId="3534" priority="2">
      <formula>AND(U$9&gt;=14/24,U$9&lt;20/24)</formula>
    </cfRule>
    <cfRule type="expression" dxfId="3533" priority="3">
      <formula>AND(U$9&gt;=8/24,U$9&lt;14/24)</formula>
    </cfRule>
    <cfRule type="expression" dxfId="3532" priority="4">
      <formula>U$9&lt;8/24</formula>
    </cfRule>
    <cfRule type="expression" dxfId="3531" priority="1">
      <formula>U$9&gt;=20/24</formula>
    </cfRule>
  </conditionalFormatting>
  <conditionalFormatting sqref="AS15">
    <cfRule type="expression" dxfId="3530" priority="10">
      <formula>AND(AA$9&gt;=14/24,AA$9&lt;20/24)</formula>
    </cfRule>
    <cfRule type="expression" dxfId="3529" priority="11">
      <formula>AND(AA$9&gt;=8/24,AA$9&lt;14/24)</formula>
    </cfRule>
    <cfRule type="expression" dxfId="3528" priority="9">
      <formula>AA$9&gt;=20/24</formula>
    </cfRule>
    <cfRule type="expression" dxfId="3527" priority="12">
      <formula>AA$9&lt;8/24</formula>
    </cfRule>
  </conditionalFormatting>
  <conditionalFormatting sqref="AS16:AS21">
    <cfRule type="expression" dxfId="3526" priority="17">
      <formula>BE$9&gt;=20/24</formula>
    </cfRule>
    <cfRule type="expression" dxfId="3525" priority="20">
      <formula>BE$9&lt;8/24</formula>
    </cfRule>
    <cfRule type="expression" dxfId="3524" priority="19">
      <formula>AND(BE$9&gt;=8/24,BE$9&lt;14/24)</formula>
    </cfRule>
    <cfRule type="expression" dxfId="3523" priority="18">
      <formula>AND(BE$9&gt;=14/24,BE$9&lt;20/24)</formula>
    </cfRule>
  </conditionalFormatting>
  <conditionalFormatting sqref="AT15 AX15">
    <cfRule type="expression" dxfId="3522" priority="24">
      <formula>AC$9&lt;8/24</formula>
    </cfRule>
    <cfRule type="expression" dxfId="3521" priority="23">
      <formula>AND(AC$9&gt;=8/24,AC$9&lt;14/24)</formula>
    </cfRule>
    <cfRule type="expression" dxfId="3520" priority="21">
      <formula>AC$9&gt;=20/24</formula>
    </cfRule>
    <cfRule type="expression" dxfId="3519" priority="22">
      <formula>AND(AC$9&gt;=14/24,AC$9&lt;20/24)</formula>
    </cfRule>
  </conditionalFormatting>
  <conditionalFormatting sqref="AT16:AT21">
    <cfRule type="expression" dxfId="3518" priority="28">
      <formula>BG$9&lt;8/24</formula>
    </cfRule>
    <cfRule type="expression" dxfId="3517" priority="27">
      <formula>AND(BG$9&gt;=8/24,BG$9&lt;14/24)</formula>
    </cfRule>
    <cfRule type="expression" dxfId="3516" priority="26">
      <formula>AND(BG$9&gt;=14/24,BG$9&lt;20/24)</formula>
    </cfRule>
    <cfRule type="expression" dxfId="3515" priority="25">
      <formula>BG$9&gt;=20/24</formula>
    </cfRule>
  </conditionalFormatting>
  <conditionalFormatting sqref="AU15:AV15">
    <cfRule type="expression" dxfId="3514" priority="29">
      <formula>AE$9&gt;=20/24</formula>
    </cfRule>
    <cfRule type="expression" dxfId="3513" priority="30">
      <formula>AND(AE$9&gt;=14/24,AE$9&lt;20/24)</formula>
    </cfRule>
    <cfRule type="expression" dxfId="3512" priority="32">
      <formula>AE$9&lt;8/24</formula>
    </cfRule>
    <cfRule type="expression" dxfId="3511" priority="31">
      <formula>AND(AE$9&gt;=8/24,AE$9&lt;14/24)</formula>
    </cfRule>
  </conditionalFormatting>
  <conditionalFormatting sqref="AU16:AX21">
    <cfRule type="expression" dxfId="3510" priority="36">
      <formula>BI$9&lt;8/24</formula>
    </cfRule>
    <cfRule type="expression" dxfId="3509" priority="35">
      <formula>AND(BI$9&gt;=8/24,BI$9&lt;14/24)</formula>
    </cfRule>
    <cfRule type="expression" dxfId="3508" priority="33">
      <formula>BI$9&gt;=20/24</formula>
    </cfRule>
    <cfRule type="expression" dxfId="3507" priority="34">
      <formula>AND(BI$9&gt;=14/24,BI$9&lt;20/24)</formula>
    </cfRule>
  </conditionalFormatting>
  <conditionalFormatting sqref="AW15">
    <cfRule type="expression" dxfId="3506" priority="5">
      <formula>B$9&gt;=20/24</formula>
    </cfRule>
    <cfRule type="expression" dxfId="3505" priority="8">
      <formula>B$9&lt;8/24</formula>
    </cfRule>
    <cfRule type="expression" dxfId="3504" priority="7">
      <formula>AND(B$9&gt;=8/24,B$9&lt;14/24)</formula>
    </cfRule>
    <cfRule type="expression" dxfId="3503" priority="6">
      <formula>AND(B$9&gt;=14/24,B$9&lt;20/24)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0C9D1-506D-4F0C-A791-AD093BA1D273}">
  <sheetPr codeName="Sheet6"/>
  <dimension ref="A1:CJ294"/>
  <sheetViews>
    <sheetView zoomScale="118" zoomScaleNormal="118" workbookViewId="0">
      <pane xSplit="1" ySplit="10" topLeftCell="AX83" activePane="bottomRight" state="frozen"/>
      <selection activeCell="Z63" sqref="Z63"/>
      <selection pane="topRight" activeCell="Z63" sqref="Z63"/>
      <selection pane="bottomLeft" activeCell="Z63" sqref="Z63"/>
      <selection pane="bottomRight" activeCell="BN102" sqref="BN102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2080/10/5</v>
      </c>
      <c r="C4" s="214"/>
      <c r="D4" s="214"/>
      <c r="E4" s="215" t="str">
        <f ca="1">"2080/"&amp;"10/"&amp;INT(MID(CELL("filename",G6),FIND("]",CELL("filename",G6))+1,200))</f>
        <v>2080/10/5</v>
      </c>
      <c r="F4" s="215"/>
      <c r="G4" s="215"/>
      <c r="H4" s="215" t="str">
        <f ca="1">TEXT(E4,"dddd")</f>
        <v>Saturday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658</v>
      </c>
      <c r="C5" s="30">
        <f t="shared" ref="C5:AE5" si="0">D92</f>
        <v>695</v>
      </c>
      <c r="D5" s="30">
        <f t="shared" si="0"/>
        <v>667</v>
      </c>
      <c r="E5" s="30">
        <f t="shared" si="0"/>
        <v>705</v>
      </c>
      <c r="F5" s="30">
        <f t="shared" si="0"/>
        <v>705</v>
      </c>
      <c r="G5" s="30">
        <f t="shared" si="0"/>
        <v>620.79999999999995</v>
      </c>
      <c r="H5" s="30">
        <f t="shared" si="0"/>
        <v>637.1</v>
      </c>
      <c r="I5" s="30">
        <f t="shared" si="0"/>
        <v>575</v>
      </c>
      <c r="J5" s="30">
        <f t="shared" si="0"/>
        <v>597.1</v>
      </c>
      <c r="K5" s="30">
        <f t="shared" si="0"/>
        <v>489</v>
      </c>
      <c r="L5" s="30">
        <f t="shared" si="0"/>
        <v>485.8</v>
      </c>
      <c r="M5" s="30">
        <f t="shared" si="0"/>
        <v>490.2</v>
      </c>
      <c r="N5" s="30">
        <f t="shared" si="0"/>
        <v>587.4</v>
      </c>
      <c r="O5" s="30">
        <f t="shared" si="0"/>
        <v>665.7</v>
      </c>
      <c r="P5" s="30">
        <f t="shared" si="0"/>
        <v>727.5</v>
      </c>
      <c r="Q5" s="30">
        <f t="shared" si="0"/>
        <v>731.7</v>
      </c>
      <c r="R5" s="30">
        <f t="shared" si="0"/>
        <v>795.09999999999991</v>
      </c>
      <c r="S5" s="30">
        <f t="shared" si="0"/>
        <v>825.5</v>
      </c>
      <c r="T5" s="30">
        <f t="shared" si="0"/>
        <v>778.7</v>
      </c>
      <c r="U5" s="30">
        <f t="shared" si="0"/>
        <v>720.8</v>
      </c>
      <c r="V5" s="30">
        <f t="shared" si="0"/>
        <v>567.40000000000009</v>
      </c>
      <c r="W5" s="30">
        <f t="shared" si="0"/>
        <v>567.9</v>
      </c>
      <c r="X5" s="30">
        <f t="shared" si="0"/>
        <v>424.1</v>
      </c>
      <c r="Y5" s="30">
        <f t="shared" si="0"/>
        <v>309.2</v>
      </c>
      <c r="Z5" s="30">
        <f t="shared" si="0"/>
        <v>234.89999999999998</v>
      </c>
      <c r="AA5" s="30">
        <f t="shared" si="0"/>
        <v>294.60000000000002</v>
      </c>
      <c r="AB5" s="30">
        <f t="shared" si="0"/>
        <v>588.79999999999995</v>
      </c>
      <c r="AC5" s="30">
        <f t="shared" si="0"/>
        <v>619</v>
      </c>
      <c r="AD5" s="30">
        <f t="shared" si="0"/>
        <v>582</v>
      </c>
      <c r="AE5" s="30">
        <f t="shared" si="0"/>
        <v>655</v>
      </c>
      <c r="AF5" s="30">
        <f>B92</f>
        <v>644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1707MW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Load=1220</v>
      </c>
      <c r="B7" s="35">
        <f>B100</f>
        <v>1312.8890000000001</v>
      </c>
      <c r="C7" s="35">
        <f t="shared" ref="C7:AF7" si="1">C100</f>
        <v>1219.8890000000001</v>
      </c>
      <c r="D7" s="35">
        <f t="shared" si="1"/>
        <v>1256.8890000000001</v>
      </c>
      <c r="E7" s="35">
        <f t="shared" si="1"/>
        <v>1228.8890000000001</v>
      </c>
      <c r="F7" s="35">
        <f t="shared" si="1"/>
        <v>1266.8890000000001</v>
      </c>
      <c r="G7" s="35">
        <f t="shared" si="1"/>
        <v>1266.8890000000001</v>
      </c>
      <c r="H7" s="35">
        <f t="shared" si="1"/>
        <v>1332.6890000000001</v>
      </c>
      <c r="I7" s="35">
        <f t="shared" si="1"/>
        <v>1410.989</v>
      </c>
      <c r="J7" s="35">
        <f t="shared" si="1"/>
        <v>1391.8890000000001</v>
      </c>
      <c r="K7" s="35">
        <f t="shared" si="1"/>
        <v>1706.2890000000002</v>
      </c>
      <c r="L7" s="35">
        <f t="shared" si="1"/>
        <v>1706.6890000000001</v>
      </c>
      <c r="M7" s="35">
        <f t="shared" si="1"/>
        <v>1691.89</v>
      </c>
      <c r="N7" s="35">
        <f t="shared" si="1"/>
        <v>1563.69</v>
      </c>
      <c r="O7" s="35">
        <f t="shared" si="1"/>
        <v>1523.79</v>
      </c>
      <c r="P7" s="35">
        <f t="shared" si="1"/>
        <v>1446.69</v>
      </c>
      <c r="Q7" s="35">
        <f t="shared" si="1"/>
        <v>1478.49</v>
      </c>
      <c r="R7" s="35">
        <f t="shared" si="1"/>
        <v>1472.0900000000001</v>
      </c>
      <c r="S7" s="35">
        <f t="shared" si="1"/>
        <v>1478.69</v>
      </c>
      <c r="T7" s="35">
        <f t="shared" si="1"/>
        <v>1515.19</v>
      </c>
      <c r="U7" s="35">
        <f t="shared" si="1"/>
        <v>1526.69</v>
      </c>
      <c r="V7" s="35">
        <f t="shared" si="1"/>
        <v>1566.0900000000001</v>
      </c>
      <c r="W7" s="35">
        <f t="shared" si="1"/>
        <v>1547.5900000000001</v>
      </c>
      <c r="X7" s="35">
        <f t="shared" si="1"/>
        <v>1646.99</v>
      </c>
      <c r="Y7" s="35">
        <f t="shared" si="1"/>
        <v>1809.8899999999999</v>
      </c>
      <c r="Z7" s="35">
        <f t="shared" si="1"/>
        <v>1864.2900000000002</v>
      </c>
      <c r="AA7" s="35">
        <f t="shared" si="1"/>
        <v>1783.29</v>
      </c>
      <c r="AB7" s="35">
        <f t="shared" si="1"/>
        <v>1707.19</v>
      </c>
      <c r="AC7" s="35">
        <f t="shared" si="1"/>
        <v>1612.79</v>
      </c>
      <c r="AD7" s="35">
        <f t="shared" si="1"/>
        <v>1584.39</v>
      </c>
      <c r="AE7" s="35">
        <f t="shared" si="1"/>
        <v>1384.99</v>
      </c>
      <c r="AF7" s="35">
        <f t="shared" si="1"/>
        <v>1314.49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1706.289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1706.289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23.998999999999999</v>
      </c>
      <c r="C11" s="46">
        <v>23.998999999999999</v>
      </c>
      <c r="D11" s="46">
        <v>23.998999999999999</v>
      </c>
      <c r="E11" s="46">
        <v>23.998999999999999</v>
      </c>
      <c r="F11" s="46">
        <v>23.998999999999999</v>
      </c>
      <c r="G11" s="46">
        <v>23.998999999999999</v>
      </c>
      <c r="H11" s="46">
        <v>23.998999999999999</v>
      </c>
      <c r="I11" s="46">
        <v>23.998999999999999</v>
      </c>
      <c r="J11" s="46">
        <v>23.998999999999999</v>
      </c>
      <c r="K11" s="46">
        <v>23.998999999999999</v>
      </c>
      <c r="L11" s="46">
        <v>23.998999999999999</v>
      </c>
      <c r="M11" s="46">
        <v>24</v>
      </c>
      <c r="N11" s="46">
        <v>24</v>
      </c>
      <c r="O11" s="46">
        <v>24</v>
      </c>
      <c r="P11" s="46">
        <v>24</v>
      </c>
      <c r="Q11" s="46">
        <v>24.8</v>
      </c>
      <c r="R11" s="46">
        <v>24</v>
      </c>
      <c r="S11" s="46">
        <v>24</v>
      </c>
      <c r="T11" s="46">
        <v>24</v>
      </c>
      <c r="U11" s="46">
        <v>24</v>
      </c>
      <c r="V11" s="46">
        <v>24</v>
      </c>
      <c r="W11" s="46">
        <v>24</v>
      </c>
      <c r="X11" s="46">
        <v>24</v>
      </c>
      <c r="Y11" s="46">
        <v>24</v>
      </c>
      <c r="Z11" s="46">
        <v>24</v>
      </c>
      <c r="AA11" s="46">
        <v>24</v>
      </c>
      <c r="AB11" s="46">
        <v>24</v>
      </c>
      <c r="AC11" s="46">
        <v>24</v>
      </c>
      <c r="AD11" s="46">
        <v>24</v>
      </c>
      <c r="AE11" s="46">
        <v>24</v>
      </c>
      <c r="AF11" s="46">
        <v>24</v>
      </c>
      <c r="AG11" s="47">
        <v>86</v>
      </c>
      <c r="AH11" s="48">
        <f t="shared" ref="AH11:AH16" si="2">MAX(B11:AF11)</f>
        <v>24.8</v>
      </c>
      <c r="AI11" s="49">
        <f t="shared" ref="AI11:AI16" si="3">MIN(B11:AF11)</f>
        <v>23.998999999999999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8</v>
      </c>
      <c r="C12" s="46">
        <v>8</v>
      </c>
      <c r="D12" s="46">
        <v>8</v>
      </c>
      <c r="E12" s="46">
        <v>8</v>
      </c>
      <c r="F12" s="46">
        <v>8</v>
      </c>
      <c r="G12" s="46">
        <v>8</v>
      </c>
      <c r="H12" s="46">
        <v>8</v>
      </c>
      <c r="I12" s="46">
        <v>8</v>
      </c>
      <c r="J12" s="46">
        <v>8</v>
      </c>
      <c r="K12" s="46">
        <v>8</v>
      </c>
      <c r="L12" s="46">
        <v>8</v>
      </c>
      <c r="M12" s="46">
        <v>8</v>
      </c>
      <c r="N12" s="46">
        <v>8</v>
      </c>
      <c r="O12" s="46">
        <v>8</v>
      </c>
      <c r="P12" s="46">
        <v>8</v>
      </c>
      <c r="Q12" s="46">
        <v>8</v>
      </c>
      <c r="R12" s="46">
        <v>8</v>
      </c>
      <c r="S12" s="46">
        <v>8</v>
      </c>
      <c r="T12" s="46">
        <v>8</v>
      </c>
      <c r="U12" s="46">
        <v>8</v>
      </c>
      <c r="V12" s="46">
        <v>8</v>
      </c>
      <c r="W12" s="46">
        <v>8</v>
      </c>
      <c r="X12" s="46">
        <v>8</v>
      </c>
      <c r="Y12" s="46">
        <v>8</v>
      </c>
      <c r="Z12" s="46">
        <v>8</v>
      </c>
      <c r="AA12" s="46">
        <v>8</v>
      </c>
      <c r="AB12" s="46">
        <v>8</v>
      </c>
      <c r="AC12" s="46">
        <v>8</v>
      </c>
      <c r="AD12" s="46">
        <v>8</v>
      </c>
      <c r="AE12" s="46">
        <v>8</v>
      </c>
      <c r="AF12" s="46">
        <v>8</v>
      </c>
      <c r="AG12" s="50">
        <v>54</v>
      </c>
      <c r="AH12" s="48">
        <f t="shared" si="2"/>
        <v>8</v>
      </c>
      <c r="AI12" s="49">
        <f t="shared" si="3"/>
        <v>8</v>
      </c>
      <c r="AK12" s="51"/>
      <c r="AL12" s="52" t="str">
        <f ca="1">MID(CELL("filename",C7),FIND("]",CELL("filename",C7))+1,600)</f>
        <v>5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9.6</v>
      </c>
      <c r="C13" s="46">
        <v>9.6</v>
      </c>
      <c r="D13" s="46">
        <v>9.6</v>
      </c>
      <c r="E13" s="46">
        <v>9.6</v>
      </c>
      <c r="F13" s="46">
        <v>9.6</v>
      </c>
      <c r="G13" s="46">
        <v>9.6</v>
      </c>
      <c r="H13" s="46">
        <v>9.6</v>
      </c>
      <c r="I13" s="46">
        <v>9.6</v>
      </c>
      <c r="J13" s="46">
        <v>9.6</v>
      </c>
      <c r="K13" s="46">
        <v>9.6</v>
      </c>
      <c r="L13" s="46">
        <v>9.6</v>
      </c>
      <c r="M13" s="46">
        <v>9.6</v>
      </c>
      <c r="N13" s="46">
        <v>9.6</v>
      </c>
      <c r="O13" s="46">
        <v>9.6</v>
      </c>
      <c r="P13" s="46">
        <v>9.6</v>
      </c>
      <c r="Q13" s="46">
        <v>9.6</v>
      </c>
      <c r="R13" s="46">
        <v>9.6</v>
      </c>
      <c r="S13" s="46">
        <v>9.6</v>
      </c>
      <c r="T13" s="46">
        <v>9.6</v>
      </c>
      <c r="U13" s="46">
        <v>9.6</v>
      </c>
      <c r="V13" s="46">
        <v>9.6</v>
      </c>
      <c r="W13" s="46">
        <v>9.6</v>
      </c>
      <c r="X13" s="46">
        <v>9.6</v>
      </c>
      <c r="Y13" s="46">
        <v>9.6</v>
      </c>
      <c r="Z13" s="46">
        <v>9.6</v>
      </c>
      <c r="AA13" s="46">
        <v>9.6</v>
      </c>
      <c r="AB13" s="46">
        <v>9.6</v>
      </c>
      <c r="AC13" s="46">
        <v>9.6</v>
      </c>
      <c r="AD13" s="46">
        <v>9.6</v>
      </c>
      <c r="AE13" s="46">
        <v>9.6</v>
      </c>
      <c r="AF13" s="46">
        <v>9.6</v>
      </c>
      <c r="AG13" s="50">
        <v>54</v>
      </c>
      <c r="AH13" s="48">
        <f t="shared" si="2"/>
        <v>9.6</v>
      </c>
      <c r="AI13" s="49">
        <f t="shared" si="3"/>
        <v>9.6</v>
      </c>
      <c r="AK13" s="51"/>
      <c r="AL13" s="52" t="str">
        <f ca="1">"Daily Load Curve(Excluding of Export) of Nepal ("&amp;A4&amp;" "&amp;B4&amp;")"</f>
        <v>Daily Load Curve(Excluding of Export) of Nepal (Nepali Date: 2080/10/5)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14.2</v>
      </c>
      <c r="C14" s="46">
        <v>14.2</v>
      </c>
      <c r="D14" s="46">
        <v>14.2</v>
      </c>
      <c r="E14" s="46">
        <v>14.2</v>
      </c>
      <c r="F14" s="46">
        <v>14.2</v>
      </c>
      <c r="G14" s="46">
        <v>14.2</v>
      </c>
      <c r="H14" s="46">
        <v>14.2</v>
      </c>
      <c r="I14" s="46">
        <v>14.2</v>
      </c>
      <c r="J14" s="46">
        <v>14.2</v>
      </c>
      <c r="K14" s="46">
        <v>14.2</v>
      </c>
      <c r="L14" s="46">
        <v>14.2</v>
      </c>
      <c r="M14" s="46">
        <v>14.2</v>
      </c>
      <c r="N14" s="46">
        <v>14.2</v>
      </c>
      <c r="O14" s="46">
        <v>14.2</v>
      </c>
      <c r="P14" s="46">
        <v>14.2</v>
      </c>
      <c r="Q14" s="46">
        <v>14.2</v>
      </c>
      <c r="R14" s="46">
        <v>14.2</v>
      </c>
      <c r="S14" s="46">
        <v>14.2</v>
      </c>
      <c r="T14" s="46">
        <v>14.2</v>
      </c>
      <c r="U14" s="46">
        <v>14.2</v>
      </c>
      <c r="V14" s="46">
        <v>14.2</v>
      </c>
      <c r="W14" s="46">
        <v>14.2</v>
      </c>
      <c r="X14" s="46">
        <v>14.2</v>
      </c>
      <c r="Y14" s="46">
        <v>14.2</v>
      </c>
      <c r="Z14" s="46">
        <v>14.2</v>
      </c>
      <c r="AA14" s="46">
        <v>14.2</v>
      </c>
      <c r="AB14" s="46">
        <v>14.2</v>
      </c>
      <c r="AC14" s="46">
        <v>14.2</v>
      </c>
      <c r="AD14" s="46">
        <v>14.2</v>
      </c>
      <c r="AE14" s="46">
        <v>14.2</v>
      </c>
      <c r="AF14" s="46">
        <v>14.2</v>
      </c>
      <c r="AG14" s="47">
        <v>52.4</v>
      </c>
      <c r="AH14" s="48">
        <f t="shared" si="2"/>
        <v>14.2</v>
      </c>
      <c r="AI14" s="49">
        <f t="shared" si="3"/>
        <v>14.2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28.1</v>
      </c>
      <c r="C15" s="46">
        <v>28.1</v>
      </c>
      <c r="D15" s="46">
        <v>28.1</v>
      </c>
      <c r="E15" s="46">
        <v>28.1</v>
      </c>
      <c r="F15" s="46">
        <v>28.1</v>
      </c>
      <c r="G15" s="46">
        <v>28.1</v>
      </c>
      <c r="H15" s="46">
        <v>28.1</v>
      </c>
      <c r="I15" s="46">
        <v>28.1</v>
      </c>
      <c r="J15" s="46">
        <v>28.1</v>
      </c>
      <c r="K15" s="46">
        <v>28.1</v>
      </c>
      <c r="L15" s="46">
        <v>28.1</v>
      </c>
      <c r="M15" s="46">
        <v>28.1</v>
      </c>
      <c r="N15" s="46">
        <v>28.1</v>
      </c>
      <c r="O15" s="46">
        <v>28.1</v>
      </c>
      <c r="P15" s="46">
        <v>28.1</v>
      </c>
      <c r="Q15" s="46">
        <v>28.1</v>
      </c>
      <c r="R15" s="46">
        <v>28.1</v>
      </c>
      <c r="S15" s="46">
        <v>28.1</v>
      </c>
      <c r="T15" s="46">
        <v>28.1</v>
      </c>
      <c r="U15" s="46">
        <v>28.1</v>
      </c>
      <c r="V15" s="46">
        <v>28.1</v>
      </c>
      <c r="W15" s="46">
        <v>28.1</v>
      </c>
      <c r="X15" s="46">
        <v>28.1</v>
      </c>
      <c r="Y15" s="46">
        <v>28.1</v>
      </c>
      <c r="Z15" s="53">
        <v>28.1</v>
      </c>
      <c r="AA15" s="53">
        <v>28.1</v>
      </c>
      <c r="AB15" s="53">
        <v>28.1</v>
      </c>
      <c r="AC15" s="53">
        <v>28.1</v>
      </c>
      <c r="AD15" s="53">
        <v>28.1</v>
      </c>
      <c r="AE15" s="53">
        <v>28.1</v>
      </c>
      <c r="AF15" s="53">
        <v>28.1</v>
      </c>
      <c r="AG15" s="50">
        <v>50</v>
      </c>
      <c r="AH15" s="48">
        <f t="shared" si="2"/>
        <v>28.1</v>
      </c>
      <c r="AI15" s="49">
        <f t="shared" si="3"/>
        <v>28.1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16.5</v>
      </c>
      <c r="C16" s="46">
        <v>16.5</v>
      </c>
      <c r="D16" s="46">
        <v>16.5</v>
      </c>
      <c r="E16" s="46">
        <v>16.5</v>
      </c>
      <c r="F16" s="46">
        <v>16.5</v>
      </c>
      <c r="G16" s="46">
        <v>16.5</v>
      </c>
      <c r="H16" s="46">
        <v>16.5</v>
      </c>
      <c r="I16" s="46">
        <v>16.5</v>
      </c>
      <c r="J16" s="46">
        <v>16.5</v>
      </c>
      <c r="K16" s="46">
        <v>16.5</v>
      </c>
      <c r="L16" s="46">
        <v>16.5</v>
      </c>
      <c r="M16" s="46">
        <v>16.5</v>
      </c>
      <c r="N16" s="46">
        <v>16.5</v>
      </c>
      <c r="O16" s="46">
        <v>16.5</v>
      </c>
      <c r="P16" s="46">
        <v>16.5</v>
      </c>
      <c r="Q16" s="46">
        <v>16.5</v>
      </c>
      <c r="R16" s="46">
        <v>16.5</v>
      </c>
      <c r="S16" s="46">
        <v>16.5</v>
      </c>
      <c r="T16" s="46">
        <v>16.5</v>
      </c>
      <c r="U16" s="46">
        <v>16.5</v>
      </c>
      <c r="V16" s="46">
        <v>16.5</v>
      </c>
      <c r="W16" s="46">
        <v>16.5</v>
      </c>
      <c r="X16" s="46">
        <v>16.5</v>
      </c>
      <c r="Y16" s="46">
        <v>16.5</v>
      </c>
      <c r="Z16" s="46">
        <v>16.5</v>
      </c>
      <c r="AA16" s="46">
        <v>16.5</v>
      </c>
      <c r="AB16" s="46">
        <v>16.5</v>
      </c>
      <c r="AC16" s="46">
        <v>16.5</v>
      </c>
      <c r="AD16" s="46">
        <v>16.5</v>
      </c>
      <c r="AE16" s="46">
        <v>16.5</v>
      </c>
      <c r="AF16" s="46">
        <v>16.5</v>
      </c>
      <c r="AG16" s="50">
        <v>45</v>
      </c>
      <c r="AH16" s="48">
        <f t="shared" si="2"/>
        <v>16.5</v>
      </c>
      <c r="AI16" s="49">
        <f t="shared" si="3"/>
        <v>16.5</v>
      </c>
      <c r="AK16" s="51"/>
      <c r="AL16" s="54" t="s">
        <v>7</v>
      </c>
      <c r="AM16" s="59">
        <f>B58</f>
        <v>456.24900000000002</v>
      </c>
      <c r="AN16" s="59">
        <f t="shared" ref="AN16:AR16" si="4">C58</f>
        <v>456.24900000000002</v>
      </c>
      <c r="AO16" s="59">
        <f t="shared" si="4"/>
        <v>456.24900000000002</v>
      </c>
      <c r="AP16" s="59">
        <f t="shared" si="4"/>
        <v>456.24900000000002</v>
      </c>
      <c r="AQ16" s="59">
        <f t="shared" si="4"/>
        <v>456.24900000000002</v>
      </c>
      <c r="AR16" s="59">
        <f t="shared" si="4"/>
        <v>456.24900000000002</v>
      </c>
      <c r="AS16" s="59">
        <f>I58</f>
        <v>456.24900000000002</v>
      </c>
      <c r="AT16" s="59">
        <f>K58</f>
        <v>456.24900000000002</v>
      </c>
      <c r="AU16" s="59">
        <f t="shared" ref="AU16:AX16" si="5">M58</f>
        <v>456.25000000000006</v>
      </c>
      <c r="AV16" s="59">
        <f t="shared" si="5"/>
        <v>456.25000000000006</v>
      </c>
      <c r="AW16" s="59">
        <f t="shared" si="5"/>
        <v>456.25000000000006</v>
      </c>
      <c r="AX16" s="59">
        <f t="shared" si="5"/>
        <v>456.25000000000006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14</v>
      </c>
      <c r="C17" s="46">
        <v>14</v>
      </c>
      <c r="D17" s="46">
        <v>14</v>
      </c>
      <c r="E17" s="46">
        <v>14</v>
      </c>
      <c r="F17" s="46">
        <v>14</v>
      </c>
      <c r="G17" s="46">
        <v>14</v>
      </c>
      <c r="H17" s="46">
        <v>14</v>
      </c>
      <c r="I17" s="46">
        <v>14</v>
      </c>
      <c r="J17" s="46">
        <v>14</v>
      </c>
      <c r="K17" s="46">
        <v>14</v>
      </c>
      <c r="L17" s="46">
        <v>14</v>
      </c>
      <c r="M17" s="46">
        <v>14</v>
      </c>
      <c r="N17" s="46">
        <v>14</v>
      </c>
      <c r="O17" s="46">
        <v>14</v>
      </c>
      <c r="P17" s="46">
        <v>14</v>
      </c>
      <c r="Q17" s="46">
        <v>14</v>
      </c>
      <c r="R17" s="46">
        <v>14</v>
      </c>
      <c r="S17" s="46">
        <v>14</v>
      </c>
      <c r="T17" s="46">
        <v>14</v>
      </c>
      <c r="U17" s="46">
        <v>14</v>
      </c>
      <c r="V17" s="46">
        <v>14</v>
      </c>
      <c r="W17" s="46">
        <v>14</v>
      </c>
      <c r="X17" s="46">
        <v>14</v>
      </c>
      <c r="Y17" s="46">
        <v>14</v>
      </c>
      <c r="Z17" s="46">
        <v>14</v>
      </c>
      <c r="AA17" s="46">
        <v>14</v>
      </c>
      <c r="AB17" s="46">
        <v>14</v>
      </c>
      <c r="AC17" s="46">
        <v>14</v>
      </c>
      <c r="AD17" s="46">
        <v>14</v>
      </c>
      <c r="AE17" s="46">
        <v>14</v>
      </c>
      <c r="AF17" s="46">
        <v>14</v>
      </c>
      <c r="AG17" s="50">
        <v>44</v>
      </c>
      <c r="AH17" s="48">
        <f>MAX(B17:AG17)</f>
        <v>44</v>
      </c>
      <c r="AI17" s="49">
        <f>MIN(B17:AG17)</f>
        <v>14</v>
      </c>
      <c r="AK17" s="51"/>
      <c r="AL17" s="54" t="s">
        <v>27</v>
      </c>
      <c r="AM17" s="59">
        <f>B62</f>
        <v>77.2</v>
      </c>
      <c r="AN17" s="59">
        <f t="shared" ref="AN17:AR17" si="6">C62</f>
        <v>37.200000000000003</v>
      </c>
      <c r="AO17" s="59">
        <f t="shared" si="6"/>
        <v>37.200000000000003</v>
      </c>
      <c r="AP17" s="59">
        <f t="shared" si="6"/>
        <v>37.200000000000003</v>
      </c>
      <c r="AQ17" s="59">
        <f t="shared" si="6"/>
        <v>37.200000000000003</v>
      </c>
      <c r="AR17" s="59">
        <f t="shared" si="6"/>
        <v>37.200000000000003</v>
      </c>
      <c r="AS17" s="59">
        <f>I62</f>
        <v>87.2</v>
      </c>
      <c r="AT17" s="59">
        <f>K62</f>
        <v>167.2</v>
      </c>
      <c r="AU17" s="59">
        <f t="shared" ref="AU17:AX17" si="7">M62</f>
        <v>296.60000000000002</v>
      </c>
      <c r="AV17" s="59">
        <f t="shared" si="7"/>
        <v>204.6</v>
      </c>
      <c r="AW17" s="59">
        <f t="shared" si="7"/>
        <v>126.5</v>
      </c>
      <c r="AX17" s="59">
        <f t="shared" si="7"/>
        <v>126.5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8</v>
      </c>
      <c r="C18" s="46">
        <v>8</v>
      </c>
      <c r="D18" s="46">
        <v>8</v>
      </c>
      <c r="E18" s="46">
        <v>8</v>
      </c>
      <c r="F18" s="46">
        <v>8</v>
      </c>
      <c r="G18" s="46">
        <v>8</v>
      </c>
      <c r="H18" s="46">
        <v>8</v>
      </c>
      <c r="I18" s="46">
        <v>8</v>
      </c>
      <c r="J18" s="46">
        <v>8</v>
      </c>
      <c r="K18" s="46">
        <v>8</v>
      </c>
      <c r="L18" s="46">
        <v>8</v>
      </c>
      <c r="M18" s="46">
        <v>8</v>
      </c>
      <c r="N18" s="46">
        <v>8</v>
      </c>
      <c r="O18" s="46">
        <v>8</v>
      </c>
      <c r="P18" s="46">
        <v>8</v>
      </c>
      <c r="Q18" s="46">
        <v>8</v>
      </c>
      <c r="R18" s="46">
        <v>8</v>
      </c>
      <c r="S18" s="46">
        <v>8</v>
      </c>
      <c r="T18" s="46">
        <v>8</v>
      </c>
      <c r="U18" s="46">
        <v>8</v>
      </c>
      <c r="V18" s="46">
        <v>8</v>
      </c>
      <c r="W18" s="46">
        <v>8</v>
      </c>
      <c r="X18" s="46">
        <v>8</v>
      </c>
      <c r="Y18" s="46">
        <v>8</v>
      </c>
      <c r="Z18" s="46">
        <v>8</v>
      </c>
      <c r="AA18" s="46">
        <v>8</v>
      </c>
      <c r="AB18" s="46">
        <v>8</v>
      </c>
      <c r="AC18" s="46">
        <v>8</v>
      </c>
      <c r="AD18" s="46">
        <v>8</v>
      </c>
      <c r="AE18" s="46">
        <v>8</v>
      </c>
      <c r="AF18" s="46">
        <v>8</v>
      </c>
      <c r="AG18" s="50">
        <v>42</v>
      </c>
      <c r="AH18" s="48">
        <f t="shared" ref="AH18:AH81" si="8">MAX(B18:AF18)</f>
        <v>8</v>
      </c>
      <c r="AI18" s="49">
        <f t="shared" ref="AI18:AI81" si="9">MIN(B18:AF18)</f>
        <v>8</v>
      </c>
      <c r="AK18" s="51"/>
      <c r="AL18" s="54" t="s">
        <v>29</v>
      </c>
      <c r="AM18" s="59">
        <f>B76</f>
        <v>135.43999999999997</v>
      </c>
      <c r="AN18" s="59">
        <f t="shared" ref="AN18:AR18" si="10">C76</f>
        <v>68.44</v>
      </c>
      <c r="AO18" s="59">
        <f t="shared" si="10"/>
        <v>68.44</v>
      </c>
      <c r="AP18" s="59">
        <f t="shared" si="10"/>
        <v>68.44</v>
      </c>
      <c r="AQ18" s="59">
        <f t="shared" si="10"/>
        <v>68.44</v>
      </c>
      <c r="AR18" s="59">
        <f t="shared" si="10"/>
        <v>68.44</v>
      </c>
      <c r="AS18" s="59">
        <f>I76</f>
        <v>160.44000000000003</v>
      </c>
      <c r="AT18" s="59">
        <f>K76</f>
        <v>285.74000000000007</v>
      </c>
      <c r="AU18" s="59">
        <f t="shared" ref="AU18:AX18" si="11">M76</f>
        <v>253.24000000000004</v>
      </c>
      <c r="AV18" s="59">
        <f t="shared" si="11"/>
        <v>212.64000000000001</v>
      </c>
      <c r="AW18" s="59">
        <f t="shared" si="11"/>
        <v>193.64000000000001</v>
      </c>
      <c r="AX18" s="59">
        <f t="shared" si="11"/>
        <v>198.23999999999998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11</v>
      </c>
      <c r="C19" s="46">
        <v>11</v>
      </c>
      <c r="D19" s="46">
        <v>11</v>
      </c>
      <c r="E19" s="46">
        <v>11</v>
      </c>
      <c r="F19" s="46">
        <v>11</v>
      </c>
      <c r="G19" s="46">
        <v>11</v>
      </c>
      <c r="H19" s="46">
        <v>11</v>
      </c>
      <c r="I19" s="46">
        <v>11</v>
      </c>
      <c r="J19" s="46">
        <v>11</v>
      </c>
      <c r="K19" s="46">
        <v>11</v>
      </c>
      <c r="L19" s="46">
        <v>11</v>
      </c>
      <c r="M19" s="46">
        <v>11</v>
      </c>
      <c r="N19" s="46">
        <v>11</v>
      </c>
      <c r="O19" s="46">
        <v>11</v>
      </c>
      <c r="P19" s="46">
        <v>11</v>
      </c>
      <c r="Q19" s="46">
        <v>11</v>
      </c>
      <c r="R19" s="46">
        <v>11</v>
      </c>
      <c r="S19" s="46">
        <v>11</v>
      </c>
      <c r="T19" s="46">
        <v>11</v>
      </c>
      <c r="U19" s="46">
        <v>11</v>
      </c>
      <c r="V19" s="46">
        <v>11</v>
      </c>
      <c r="W19" s="46">
        <v>11</v>
      </c>
      <c r="X19" s="46">
        <v>11</v>
      </c>
      <c r="Y19" s="46">
        <v>11</v>
      </c>
      <c r="Z19" s="46">
        <v>11</v>
      </c>
      <c r="AA19" s="46">
        <v>11</v>
      </c>
      <c r="AB19" s="46">
        <v>11</v>
      </c>
      <c r="AC19" s="46">
        <v>11</v>
      </c>
      <c r="AD19" s="46">
        <v>11</v>
      </c>
      <c r="AE19" s="46">
        <v>11</v>
      </c>
      <c r="AF19" s="46">
        <v>11</v>
      </c>
      <c r="AG19" s="50">
        <v>38.46</v>
      </c>
      <c r="AH19" s="48">
        <f t="shared" si="8"/>
        <v>11</v>
      </c>
      <c r="AI19" s="49">
        <f t="shared" si="9"/>
        <v>11</v>
      </c>
      <c r="AK19" s="51"/>
      <c r="AL19" s="54" t="s">
        <v>31</v>
      </c>
      <c r="AM19" s="59">
        <f>B92</f>
        <v>644</v>
      </c>
      <c r="AN19" s="59">
        <f t="shared" ref="AN19:AR19" si="12">C92</f>
        <v>658</v>
      </c>
      <c r="AO19" s="59">
        <f t="shared" si="12"/>
        <v>695</v>
      </c>
      <c r="AP19" s="59">
        <f t="shared" si="12"/>
        <v>667</v>
      </c>
      <c r="AQ19" s="59">
        <f t="shared" si="12"/>
        <v>705</v>
      </c>
      <c r="AR19" s="59">
        <f t="shared" si="12"/>
        <v>705</v>
      </c>
      <c r="AS19" s="59">
        <f>I92</f>
        <v>637.1</v>
      </c>
      <c r="AT19" s="59">
        <f>K92</f>
        <v>597.1</v>
      </c>
      <c r="AU19" s="59">
        <f t="shared" ref="AU19:AX19" si="13">M92</f>
        <v>485.8</v>
      </c>
      <c r="AV19" s="59">
        <f t="shared" si="13"/>
        <v>490.2</v>
      </c>
      <c r="AW19" s="59">
        <f t="shared" si="13"/>
        <v>587.4</v>
      </c>
      <c r="AX19" s="59">
        <f t="shared" si="13"/>
        <v>665.7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7.8</v>
      </c>
      <c r="C20" s="46">
        <v>7.8</v>
      </c>
      <c r="D20" s="46">
        <v>7.8</v>
      </c>
      <c r="E20" s="46">
        <v>7.8</v>
      </c>
      <c r="F20" s="46">
        <v>7.8</v>
      </c>
      <c r="G20" s="46">
        <v>7.8</v>
      </c>
      <c r="H20" s="46">
        <v>7.8</v>
      </c>
      <c r="I20" s="46">
        <v>7.8</v>
      </c>
      <c r="J20" s="46">
        <v>7.8</v>
      </c>
      <c r="K20" s="46">
        <v>7.8</v>
      </c>
      <c r="L20" s="46">
        <v>7.8</v>
      </c>
      <c r="M20" s="46">
        <v>7.8</v>
      </c>
      <c r="N20" s="46">
        <v>7.8</v>
      </c>
      <c r="O20" s="46">
        <v>7.8</v>
      </c>
      <c r="P20" s="46">
        <v>7.8</v>
      </c>
      <c r="Q20" s="46">
        <v>7.8</v>
      </c>
      <c r="R20" s="46">
        <v>7.8</v>
      </c>
      <c r="S20" s="46">
        <v>7.8</v>
      </c>
      <c r="T20" s="46">
        <v>7.8</v>
      </c>
      <c r="U20" s="46">
        <v>7.8</v>
      </c>
      <c r="V20" s="46">
        <v>7.8</v>
      </c>
      <c r="W20" s="46">
        <v>7.8</v>
      </c>
      <c r="X20" s="46">
        <v>7.8</v>
      </c>
      <c r="Y20" s="46">
        <v>7.8</v>
      </c>
      <c r="Z20" s="46">
        <v>7.8</v>
      </c>
      <c r="AA20" s="46">
        <v>7.8</v>
      </c>
      <c r="AB20" s="46">
        <v>7.8</v>
      </c>
      <c r="AC20" s="46">
        <v>7.8</v>
      </c>
      <c r="AD20" s="46">
        <v>7.8</v>
      </c>
      <c r="AE20" s="46">
        <v>7.8</v>
      </c>
      <c r="AF20" s="46">
        <v>7.8</v>
      </c>
      <c r="AG20" s="50">
        <v>38.46</v>
      </c>
      <c r="AH20" s="48">
        <f t="shared" si="8"/>
        <v>7.8</v>
      </c>
      <c r="AI20" s="49">
        <f t="shared" si="9"/>
        <v>7.8</v>
      </c>
      <c r="AK20" s="51"/>
      <c r="AL20" s="54" t="s">
        <v>33</v>
      </c>
      <c r="AM20" s="59">
        <f>B80</f>
        <v>0</v>
      </c>
      <c r="AN20" s="59">
        <f t="shared" ref="AN20:AR20" si="14">C80</f>
        <v>0</v>
      </c>
      <c r="AO20" s="59">
        <f t="shared" si="14"/>
        <v>0</v>
      </c>
      <c r="AP20" s="59">
        <f t="shared" si="14"/>
        <v>0</v>
      </c>
      <c r="AQ20" s="59">
        <f t="shared" si="14"/>
        <v>0</v>
      </c>
      <c r="AR20" s="59">
        <f t="shared" si="14"/>
        <v>0</v>
      </c>
      <c r="AS20" s="59">
        <f>I80</f>
        <v>0</v>
      </c>
      <c r="AT20" s="59">
        <f>K80</f>
        <v>0</v>
      </c>
      <c r="AU20" s="59">
        <f t="shared" ref="AU20:AX20" si="15">M80</f>
        <v>0</v>
      </c>
      <c r="AV20" s="59">
        <f t="shared" si="15"/>
        <v>0</v>
      </c>
      <c r="AW20" s="59">
        <f t="shared" si="15"/>
        <v>0</v>
      </c>
      <c r="AX20" s="59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13</v>
      </c>
      <c r="C21" s="46">
        <v>13</v>
      </c>
      <c r="D21" s="46">
        <v>13</v>
      </c>
      <c r="E21" s="46">
        <v>13</v>
      </c>
      <c r="F21" s="46">
        <v>13</v>
      </c>
      <c r="G21" s="46">
        <v>13</v>
      </c>
      <c r="H21" s="46">
        <v>13</v>
      </c>
      <c r="I21" s="46">
        <v>13</v>
      </c>
      <c r="J21" s="46">
        <v>13</v>
      </c>
      <c r="K21" s="46">
        <v>13</v>
      </c>
      <c r="L21" s="46">
        <v>13</v>
      </c>
      <c r="M21" s="46">
        <v>13</v>
      </c>
      <c r="N21" s="46">
        <v>13</v>
      </c>
      <c r="O21" s="46">
        <v>13</v>
      </c>
      <c r="P21" s="46">
        <v>13</v>
      </c>
      <c r="Q21" s="46">
        <v>13</v>
      </c>
      <c r="R21" s="46">
        <v>13</v>
      </c>
      <c r="S21" s="46">
        <v>13</v>
      </c>
      <c r="T21" s="46">
        <v>13</v>
      </c>
      <c r="U21" s="46">
        <v>13</v>
      </c>
      <c r="V21" s="46">
        <v>13</v>
      </c>
      <c r="W21" s="46">
        <v>13</v>
      </c>
      <c r="X21" s="46">
        <v>13</v>
      </c>
      <c r="Y21" s="46">
        <v>13</v>
      </c>
      <c r="Z21" s="46">
        <v>13</v>
      </c>
      <c r="AA21" s="46">
        <v>13</v>
      </c>
      <c r="AB21" s="46">
        <v>13</v>
      </c>
      <c r="AC21" s="46">
        <v>13</v>
      </c>
      <c r="AD21" s="46">
        <v>13</v>
      </c>
      <c r="AE21" s="46">
        <v>13</v>
      </c>
      <c r="AF21" s="46">
        <v>13</v>
      </c>
      <c r="AG21" s="50">
        <v>36</v>
      </c>
      <c r="AH21" s="48">
        <f t="shared" si="8"/>
        <v>13</v>
      </c>
      <c r="AI21" s="49">
        <f t="shared" si="9"/>
        <v>13</v>
      </c>
      <c r="AK21" s="51"/>
      <c r="AL21" s="54" t="s">
        <v>35</v>
      </c>
      <c r="AM21" s="59">
        <f>B98</f>
        <v>0</v>
      </c>
      <c r="AN21" s="59">
        <f t="shared" ref="AN21:AR21" si="16">C98</f>
        <v>0</v>
      </c>
      <c r="AO21" s="59">
        <f t="shared" si="16"/>
        <v>0</v>
      </c>
      <c r="AP21" s="59">
        <f t="shared" si="16"/>
        <v>0</v>
      </c>
      <c r="AQ21" s="59">
        <f t="shared" si="16"/>
        <v>0</v>
      </c>
      <c r="AR21" s="59">
        <f t="shared" si="16"/>
        <v>0</v>
      </c>
      <c r="AS21" s="59">
        <f>I98</f>
        <v>70</v>
      </c>
      <c r="AT21" s="59">
        <f>K98</f>
        <v>200</v>
      </c>
      <c r="AU21" s="59">
        <f t="shared" ref="AU21:AX21" si="17">M98</f>
        <v>200</v>
      </c>
      <c r="AV21" s="59">
        <f t="shared" si="17"/>
        <v>200</v>
      </c>
      <c r="AW21" s="59">
        <f t="shared" si="17"/>
        <v>160</v>
      </c>
      <c r="AX21" s="59">
        <f t="shared" si="17"/>
        <v>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6.9</v>
      </c>
      <c r="C22" s="46">
        <v>6.9</v>
      </c>
      <c r="D22" s="46">
        <v>6.9</v>
      </c>
      <c r="E22" s="46">
        <v>6.9</v>
      </c>
      <c r="F22" s="46">
        <v>6.9</v>
      </c>
      <c r="G22" s="46">
        <v>6.9</v>
      </c>
      <c r="H22" s="46">
        <v>6.9</v>
      </c>
      <c r="I22" s="46">
        <v>6.9</v>
      </c>
      <c r="J22" s="46">
        <v>6.9</v>
      </c>
      <c r="K22" s="46">
        <v>6.9</v>
      </c>
      <c r="L22" s="46">
        <v>6.9</v>
      </c>
      <c r="M22" s="46">
        <v>6.9</v>
      </c>
      <c r="N22" s="46">
        <v>6.9</v>
      </c>
      <c r="O22" s="46">
        <v>6.9</v>
      </c>
      <c r="P22" s="46">
        <v>6.9</v>
      </c>
      <c r="Q22" s="46">
        <v>6.9</v>
      </c>
      <c r="R22" s="46">
        <v>6.9</v>
      </c>
      <c r="S22" s="46">
        <v>6.9</v>
      </c>
      <c r="T22" s="46">
        <v>6.9</v>
      </c>
      <c r="U22" s="46">
        <v>6.9</v>
      </c>
      <c r="V22" s="46">
        <v>6.9</v>
      </c>
      <c r="W22" s="46">
        <v>6.9</v>
      </c>
      <c r="X22" s="46">
        <v>6.9</v>
      </c>
      <c r="Y22" s="46">
        <v>6.9</v>
      </c>
      <c r="Z22" s="46">
        <v>6.9</v>
      </c>
      <c r="AA22" s="46">
        <v>6.9</v>
      </c>
      <c r="AB22" s="46">
        <v>6.9</v>
      </c>
      <c r="AC22" s="46">
        <v>6.9</v>
      </c>
      <c r="AD22" s="46">
        <v>6.9</v>
      </c>
      <c r="AE22" s="46">
        <v>6.9</v>
      </c>
      <c r="AF22" s="46">
        <v>6.9</v>
      </c>
      <c r="AG22" s="60">
        <v>30</v>
      </c>
      <c r="AH22" s="48">
        <f t="shared" si="8"/>
        <v>6.9</v>
      </c>
      <c r="AI22" s="49">
        <f t="shared" si="9"/>
        <v>6.9</v>
      </c>
      <c r="AK22" s="51"/>
      <c r="AL22" s="61" t="s">
        <v>37</v>
      </c>
      <c r="AM22" s="62">
        <f>SUM(AM16:AM21)</f>
        <v>1312.8890000000001</v>
      </c>
      <c r="AN22" s="62">
        <f t="shared" ref="AN22:AX22" si="18">SUM(AN16:AN21)</f>
        <v>1219.8890000000001</v>
      </c>
      <c r="AO22" s="62">
        <f t="shared" si="18"/>
        <v>1256.8890000000001</v>
      </c>
      <c r="AP22" s="62">
        <f t="shared" si="18"/>
        <v>1228.8890000000001</v>
      </c>
      <c r="AQ22" s="62">
        <f t="shared" si="18"/>
        <v>1266.8890000000001</v>
      </c>
      <c r="AR22" s="62">
        <f t="shared" si="18"/>
        <v>1266.8890000000001</v>
      </c>
      <c r="AS22" s="62">
        <f t="shared" si="18"/>
        <v>1410.989</v>
      </c>
      <c r="AT22" s="62">
        <f t="shared" si="18"/>
        <v>1706.2890000000002</v>
      </c>
      <c r="AU22" s="62">
        <f t="shared" si="18"/>
        <v>1691.89</v>
      </c>
      <c r="AV22" s="62">
        <f t="shared" si="18"/>
        <v>1563.69</v>
      </c>
      <c r="AW22" s="62">
        <f t="shared" si="18"/>
        <v>1523.79</v>
      </c>
      <c r="AX22" s="62">
        <f t="shared" si="18"/>
        <v>1446.69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5.5</v>
      </c>
      <c r="C23" s="46">
        <v>5.5</v>
      </c>
      <c r="D23" s="46">
        <v>5.5</v>
      </c>
      <c r="E23" s="46">
        <v>5.5</v>
      </c>
      <c r="F23" s="46">
        <v>5.5</v>
      </c>
      <c r="G23" s="46">
        <v>5.5</v>
      </c>
      <c r="H23" s="46">
        <v>5.5</v>
      </c>
      <c r="I23" s="46">
        <v>5.5</v>
      </c>
      <c r="J23" s="46">
        <v>5.5</v>
      </c>
      <c r="K23" s="46">
        <v>5.5</v>
      </c>
      <c r="L23" s="46">
        <v>5.5</v>
      </c>
      <c r="M23" s="46">
        <v>5.5</v>
      </c>
      <c r="N23" s="46">
        <v>5.5</v>
      </c>
      <c r="O23" s="46">
        <v>5.5</v>
      </c>
      <c r="P23" s="46">
        <v>5.5</v>
      </c>
      <c r="Q23" s="46">
        <v>5.5</v>
      </c>
      <c r="R23" s="46">
        <v>5.5</v>
      </c>
      <c r="S23" s="46">
        <v>5.5</v>
      </c>
      <c r="T23" s="46">
        <v>5.5</v>
      </c>
      <c r="U23" s="46">
        <v>5.5</v>
      </c>
      <c r="V23" s="46">
        <v>5.5</v>
      </c>
      <c r="W23" s="46">
        <v>5.5</v>
      </c>
      <c r="X23" s="46">
        <v>5.5</v>
      </c>
      <c r="Y23" s="46">
        <v>5.5</v>
      </c>
      <c r="Z23" s="46">
        <v>5.5</v>
      </c>
      <c r="AA23" s="46">
        <v>5.5</v>
      </c>
      <c r="AB23" s="46">
        <v>5.5</v>
      </c>
      <c r="AC23" s="46">
        <v>5.5</v>
      </c>
      <c r="AD23" s="46">
        <v>5.5</v>
      </c>
      <c r="AE23" s="46">
        <v>5.5</v>
      </c>
      <c r="AF23" s="46">
        <v>5.5</v>
      </c>
      <c r="AG23" s="50">
        <v>24.2</v>
      </c>
      <c r="AH23" s="48">
        <f t="shared" si="8"/>
        <v>5.5</v>
      </c>
      <c r="AI23" s="49">
        <f t="shared" si="9"/>
        <v>5.5</v>
      </c>
      <c r="AK23" s="51"/>
      <c r="AL23" s="61" t="s">
        <v>39</v>
      </c>
      <c r="AM23" s="62">
        <f>B107*-1</f>
        <v>0</v>
      </c>
      <c r="AN23" s="62">
        <f t="shared" ref="AN23:AR23" si="19">C107*-1</f>
        <v>0</v>
      </c>
      <c r="AO23" s="62">
        <f t="shared" si="19"/>
        <v>0</v>
      </c>
      <c r="AP23" s="62">
        <f t="shared" si="19"/>
        <v>0</v>
      </c>
      <c r="AQ23" s="62">
        <f t="shared" si="19"/>
        <v>0</v>
      </c>
      <c r="AR23" s="62">
        <f t="shared" si="19"/>
        <v>0</v>
      </c>
      <c r="AS23" s="62">
        <f>I107*-1</f>
        <v>0</v>
      </c>
      <c r="AT23" s="62">
        <f>K107*-1</f>
        <v>0</v>
      </c>
      <c r="AU23" s="62">
        <f t="shared" ref="AU23:AX23" si="20">M107*-1</f>
        <v>0</v>
      </c>
      <c r="AV23" s="62">
        <f t="shared" si="20"/>
        <v>0</v>
      </c>
      <c r="AW23" s="62">
        <f t="shared" si="20"/>
        <v>0</v>
      </c>
      <c r="AX23" s="62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7.4</v>
      </c>
      <c r="C24" s="46">
        <v>7.4</v>
      </c>
      <c r="D24" s="46">
        <v>7.4</v>
      </c>
      <c r="E24" s="46">
        <v>7.4</v>
      </c>
      <c r="F24" s="46">
        <v>7.4</v>
      </c>
      <c r="G24" s="46">
        <v>7.4</v>
      </c>
      <c r="H24" s="46">
        <v>7.4</v>
      </c>
      <c r="I24" s="46">
        <v>7.4</v>
      </c>
      <c r="J24" s="46">
        <v>7.4</v>
      </c>
      <c r="K24" s="46">
        <v>7.4</v>
      </c>
      <c r="L24" s="46">
        <v>7.4</v>
      </c>
      <c r="M24" s="46">
        <v>7.4</v>
      </c>
      <c r="N24" s="46">
        <v>7.4</v>
      </c>
      <c r="O24" s="46">
        <v>7.4</v>
      </c>
      <c r="P24" s="46">
        <v>7.4</v>
      </c>
      <c r="Q24" s="46">
        <v>7.4</v>
      </c>
      <c r="R24" s="46">
        <v>7.4</v>
      </c>
      <c r="S24" s="46">
        <v>7.4</v>
      </c>
      <c r="T24" s="46">
        <v>7.4</v>
      </c>
      <c r="U24" s="46">
        <v>7.4</v>
      </c>
      <c r="V24" s="46">
        <v>7.4</v>
      </c>
      <c r="W24" s="46">
        <v>7.4</v>
      </c>
      <c r="X24" s="46">
        <v>7.4</v>
      </c>
      <c r="Y24" s="46">
        <v>7.4</v>
      </c>
      <c r="Z24" s="46">
        <v>7.4</v>
      </c>
      <c r="AA24" s="46">
        <v>7.4</v>
      </c>
      <c r="AB24" s="46">
        <v>7.4</v>
      </c>
      <c r="AC24" s="46">
        <v>7.4</v>
      </c>
      <c r="AD24" s="46">
        <v>7.4</v>
      </c>
      <c r="AE24" s="46">
        <v>7.4</v>
      </c>
      <c r="AF24" s="46">
        <v>7.4</v>
      </c>
      <c r="AG24" s="50">
        <v>28</v>
      </c>
      <c r="AH24" s="48">
        <f t="shared" si="8"/>
        <v>7.4</v>
      </c>
      <c r="AI24" s="49">
        <f t="shared" si="9"/>
        <v>7.4</v>
      </c>
      <c r="AK24" s="51"/>
      <c r="AL24" s="61" t="s">
        <v>41</v>
      </c>
      <c r="AM24" s="62">
        <f>AM22+AM23</f>
        <v>1312.8890000000001</v>
      </c>
      <c r="AN24" s="62">
        <f t="shared" ref="AN24:AX24" si="21">AN22+AN23</f>
        <v>1219.8890000000001</v>
      </c>
      <c r="AO24" s="62">
        <f t="shared" si="21"/>
        <v>1256.8890000000001</v>
      </c>
      <c r="AP24" s="62">
        <f t="shared" si="21"/>
        <v>1228.8890000000001</v>
      </c>
      <c r="AQ24" s="62">
        <f t="shared" si="21"/>
        <v>1266.8890000000001</v>
      </c>
      <c r="AR24" s="62">
        <f t="shared" si="21"/>
        <v>1266.8890000000001</v>
      </c>
      <c r="AS24" s="62">
        <f t="shared" si="21"/>
        <v>1410.989</v>
      </c>
      <c r="AT24" s="62">
        <f t="shared" si="21"/>
        <v>1706.2890000000002</v>
      </c>
      <c r="AU24" s="62">
        <f t="shared" si="21"/>
        <v>1691.89</v>
      </c>
      <c r="AV24" s="62">
        <f t="shared" si="21"/>
        <v>1563.69</v>
      </c>
      <c r="AW24" s="62">
        <f t="shared" si="21"/>
        <v>1523.79</v>
      </c>
      <c r="AX24" s="62">
        <f t="shared" si="21"/>
        <v>1446.69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4.8</v>
      </c>
      <c r="C25" s="46">
        <v>4.8</v>
      </c>
      <c r="D25" s="46">
        <v>4.8</v>
      </c>
      <c r="E25" s="46">
        <v>4.8</v>
      </c>
      <c r="F25" s="46">
        <v>4.8</v>
      </c>
      <c r="G25" s="46">
        <v>4.8</v>
      </c>
      <c r="H25" s="46">
        <v>4.8</v>
      </c>
      <c r="I25" s="46">
        <v>4.8</v>
      </c>
      <c r="J25" s="46">
        <v>4.8</v>
      </c>
      <c r="K25" s="46">
        <v>4.8</v>
      </c>
      <c r="L25" s="46">
        <v>4.8</v>
      </c>
      <c r="M25" s="46">
        <v>4.8</v>
      </c>
      <c r="N25" s="46">
        <v>4.8</v>
      </c>
      <c r="O25" s="46">
        <v>4.8</v>
      </c>
      <c r="P25" s="46">
        <v>4.8</v>
      </c>
      <c r="Q25" s="46">
        <v>4.8</v>
      </c>
      <c r="R25" s="46">
        <v>4.8</v>
      </c>
      <c r="S25" s="46">
        <v>4.8</v>
      </c>
      <c r="T25" s="46">
        <v>4.8</v>
      </c>
      <c r="U25" s="46">
        <v>4.8</v>
      </c>
      <c r="V25" s="46">
        <v>4.8</v>
      </c>
      <c r="W25" s="46">
        <v>4.8</v>
      </c>
      <c r="X25" s="46">
        <v>4.8</v>
      </c>
      <c r="Y25" s="46">
        <v>4.8</v>
      </c>
      <c r="Z25" s="46">
        <v>4.8</v>
      </c>
      <c r="AA25" s="46">
        <v>4.8</v>
      </c>
      <c r="AB25" s="46">
        <v>4.8</v>
      </c>
      <c r="AC25" s="46">
        <v>4.8</v>
      </c>
      <c r="AD25" s="46">
        <v>4.8</v>
      </c>
      <c r="AE25" s="46">
        <v>4.8</v>
      </c>
      <c r="AF25" s="46">
        <v>4.8</v>
      </c>
      <c r="AG25" s="60">
        <v>30</v>
      </c>
      <c r="AH25" s="48">
        <f t="shared" si="8"/>
        <v>4.8</v>
      </c>
      <c r="AI25" s="49">
        <f t="shared" si="9"/>
        <v>4.8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8.6</v>
      </c>
      <c r="C26" s="46">
        <v>8.6</v>
      </c>
      <c r="D26" s="46">
        <v>8.6</v>
      </c>
      <c r="E26" s="46">
        <v>8.6</v>
      </c>
      <c r="F26" s="46">
        <v>8.6</v>
      </c>
      <c r="G26" s="46">
        <v>8.6</v>
      </c>
      <c r="H26" s="46">
        <v>8.6</v>
      </c>
      <c r="I26" s="46">
        <v>8.6</v>
      </c>
      <c r="J26" s="46">
        <v>8.6</v>
      </c>
      <c r="K26" s="46">
        <v>8.6</v>
      </c>
      <c r="L26" s="46">
        <v>8.6</v>
      </c>
      <c r="M26" s="46">
        <v>8.6</v>
      </c>
      <c r="N26" s="46">
        <v>8.6</v>
      </c>
      <c r="O26" s="46">
        <v>8.6</v>
      </c>
      <c r="P26" s="46">
        <v>8.6</v>
      </c>
      <c r="Q26" s="46">
        <v>8.6</v>
      </c>
      <c r="R26" s="46">
        <v>8.6</v>
      </c>
      <c r="S26" s="46">
        <v>8.6</v>
      </c>
      <c r="T26" s="46">
        <v>8.6</v>
      </c>
      <c r="U26" s="46">
        <v>8.6</v>
      </c>
      <c r="V26" s="46">
        <v>8.6</v>
      </c>
      <c r="W26" s="46">
        <v>8.6</v>
      </c>
      <c r="X26" s="46">
        <v>8.6</v>
      </c>
      <c r="Y26" s="46">
        <v>8.6</v>
      </c>
      <c r="Z26" s="46">
        <v>8.6</v>
      </c>
      <c r="AA26" s="46">
        <v>8.6</v>
      </c>
      <c r="AB26" s="46">
        <v>8.6</v>
      </c>
      <c r="AC26" s="46">
        <v>8.6</v>
      </c>
      <c r="AD26" s="46">
        <v>8.6</v>
      </c>
      <c r="AE26" s="46">
        <v>8.6</v>
      </c>
      <c r="AF26" s="46">
        <v>8.6</v>
      </c>
      <c r="AG26" s="50">
        <v>25</v>
      </c>
      <c r="AH26" s="48">
        <f t="shared" si="8"/>
        <v>8.6</v>
      </c>
      <c r="AI26" s="49">
        <f t="shared" si="9"/>
        <v>8.6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5</v>
      </c>
      <c r="N27" s="46">
        <v>5</v>
      </c>
      <c r="O27" s="46">
        <v>5</v>
      </c>
      <c r="P27" s="46">
        <v>5</v>
      </c>
      <c r="Q27" s="46">
        <v>5</v>
      </c>
      <c r="R27" s="46">
        <v>5</v>
      </c>
      <c r="S27" s="46">
        <v>5</v>
      </c>
      <c r="T27" s="46">
        <v>5</v>
      </c>
      <c r="U27" s="46">
        <v>5</v>
      </c>
      <c r="V27" s="46">
        <v>5</v>
      </c>
      <c r="W27" s="46">
        <v>5</v>
      </c>
      <c r="X27" s="46">
        <v>5</v>
      </c>
      <c r="Y27" s="46">
        <v>5</v>
      </c>
      <c r="Z27" s="46">
        <v>5</v>
      </c>
      <c r="AA27" s="46">
        <v>5</v>
      </c>
      <c r="AB27" s="46">
        <v>5</v>
      </c>
      <c r="AC27" s="46">
        <v>5</v>
      </c>
      <c r="AD27" s="46">
        <v>5</v>
      </c>
      <c r="AE27" s="46">
        <v>5</v>
      </c>
      <c r="AF27" s="46">
        <v>5</v>
      </c>
      <c r="AG27" s="50">
        <v>25</v>
      </c>
      <c r="AH27" s="48">
        <f t="shared" si="8"/>
        <v>5</v>
      </c>
      <c r="AI27" s="49">
        <f t="shared" si="9"/>
        <v>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6</v>
      </c>
      <c r="C28" s="46">
        <v>6</v>
      </c>
      <c r="D28" s="46">
        <v>6</v>
      </c>
      <c r="E28" s="46">
        <v>6</v>
      </c>
      <c r="F28" s="46">
        <v>6</v>
      </c>
      <c r="G28" s="46">
        <v>6</v>
      </c>
      <c r="H28" s="46">
        <v>6</v>
      </c>
      <c r="I28" s="46">
        <v>6</v>
      </c>
      <c r="J28" s="46">
        <v>6</v>
      </c>
      <c r="K28" s="46">
        <v>6</v>
      </c>
      <c r="L28" s="46">
        <v>6</v>
      </c>
      <c r="M28" s="46">
        <v>6</v>
      </c>
      <c r="N28" s="46">
        <v>6</v>
      </c>
      <c r="O28" s="46">
        <v>6</v>
      </c>
      <c r="P28" s="46">
        <v>6</v>
      </c>
      <c r="Q28" s="46">
        <v>6</v>
      </c>
      <c r="R28" s="46">
        <v>6</v>
      </c>
      <c r="S28" s="46">
        <v>6</v>
      </c>
      <c r="T28" s="46">
        <v>6</v>
      </c>
      <c r="U28" s="46">
        <v>6</v>
      </c>
      <c r="V28" s="46">
        <v>6</v>
      </c>
      <c r="W28" s="46">
        <v>6</v>
      </c>
      <c r="X28" s="46">
        <v>6</v>
      </c>
      <c r="Y28" s="46">
        <v>6</v>
      </c>
      <c r="Z28" s="46">
        <v>6</v>
      </c>
      <c r="AA28" s="46">
        <v>6</v>
      </c>
      <c r="AB28" s="46">
        <v>6</v>
      </c>
      <c r="AC28" s="46">
        <v>6</v>
      </c>
      <c r="AD28" s="46">
        <v>6</v>
      </c>
      <c r="AE28" s="46">
        <v>6</v>
      </c>
      <c r="AF28" s="46">
        <v>6</v>
      </c>
      <c r="AG28" s="50">
        <v>25</v>
      </c>
      <c r="AH28" s="48">
        <f t="shared" si="8"/>
        <v>6</v>
      </c>
      <c r="AI28" s="49">
        <f t="shared" si="9"/>
        <v>6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6.4</v>
      </c>
      <c r="C29" s="46">
        <v>6.4</v>
      </c>
      <c r="D29" s="46">
        <v>6.4</v>
      </c>
      <c r="E29" s="46">
        <v>6.4</v>
      </c>
      <c r="F29" s="46">
        <v>6.4</v>
      </c>
      <c r="G29" s="46">
        <v>6.4</v>
      </c>
      <c r="H29" s="46">
        <v>6.4</v>
      </c>
      <c r="I29" s="46">
        <v>6.4</v>
      </c>
      <c r="J29" s="46">
        <v>6.4</v>
      </c>
      <c r="K29" s="46">
        <v>6.4</v>
      </c>
      <c r="L29" s="46">
        <v>6.4</v>
      </c>
      <c r="M29" s="46">
        <v>6.4</v>
      </c>
      <c r="N29" s="46">
        <v>6.4</v>
      </c>
      <c r="O29" s="46">
        <v>6.4</v>
      </c>
      <c r="P29" s="46">
        <v>6.4</v>
      </c>
      <c r="Q29" s="46">
        <v>6.4</v>
      </c>
      <c r="R29" s="46">
        <v>6.4</v>
      </c>
      <c r="S29" s="46">
        <v>6.4</v>
      </c>
      <c r="T29" s="46">
        <v>6.4</v>
      </c>
      <c r="U29" s="46">
        <v>6.4</v>
      </c>
      <c r="V29" s="46">
        <v>6.4</v>
      </c>
      <c r="W29" s="46">
        <v>6.4</v>
      </c>
      <c r="X29" s="46">
        <v>6.4</v>
      </c>
      <c r="Y29" s="46">
        <v>6.4</v>
      </c>
      <c r="Z29" s="46">
        <v>6.4</v>
      </c>
      <c r="AA29" s="46">
        <v>6.4</v>
      </c>
      <c r="AB29" s="46">
        <v>6.4</v>
      </c>
      <c r="AC29" s="46">
        <v>6.4</v>
      </c>
      <c r="AD29" s="46">
        <v>6.4</v>
      </c>
      <c r="AE29" s="46">
        <v>6.4</v>
      </c>
      <c r="AF29" s="46">
        <v>6.4</v>
      </c>
      <c r="AG29" s="50">
        <v>25</v>
      </c>
      <c r="AH29" s="48">
        <f t="shared" si="8"/>
        <v>6.4</v>
      </c>
      <c r="AI29" s="49">
        <f t="shared" si="9"/>
        <v>6.4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6.6</v>
      </c>
      <c r="C30" s="46">
        <v>6.6</v>
      </c>
      <c r="D30" s="46">
        <v>6.6</v>
      </c>
      <c r="E30" s="46">
        <v>6.6</v>
      </c>
      <c r="F30" s="46">
        <v>6.6</v>
      </c>
      <c r="G30" s="46">
        <v>6.6</v>
      </c>
      <c r="H30" s="46">
        <v>6.6</v>
      </c>
      <c r="I30" s="46">
        <v>6.6</v>
      </c>
      <c r="J30" s="46">
        <v>6.6</v>
      </c>
      <c r="K30" s="46">
        <v>6.6</v>
      </c>
      <c r="L30" s="46">
        <v>6.6</v>
      </c>
      <c r="M30" s="46">
        <v>6.6</v>
      </c>
      <c r="N30" s="46">
        <v>6.6</v>
      </c>
      <c r="O30" s="46">
        <v>6.6</v>
      </c>
      <c r="P30" s="46">
        <v>6.6</v>
      </c>
      <c r="Q30" s="46">
        <v>6.6</v>
      </c>
      <c r="R30" s="46">
        <v>6.6</v>
      </c>
      <c r="S30" s="46">
        <v>6.6</v>
      </c>
      <c r="T30" s="46">
        <v>6.6</v>
      </c>
      <c r="U30" s="46">
        <v>6.6</v>
      </c>
      <c r="V30" s="46">
        <v>6.6</v>
      </c>
      <c r="W30" s="46">
        <v>6.6</v>
      </c>
      <c r="X30" s="46">
        <v>6.6</v>
      </c>
      <c r="Y30" s="46">
        <v>6.6</v>
      </c>
      <c r="Z30" s="46">
        <v>6.6</v>
      </c>
      <c r="AA30" s="46">
        <v>6.6</v>
      </c>
      <c r="AB30" s="46">
        <v>6.6</v>
      </c>
      <c r="AC30" s="46">
        <v>6.6</v>
      </c>
      <c r="AD30" s="46">
        <v>6.6</v>
      </c>
      <c r="AE30" s="46">
        <v>6.6</v>
      </c>
      <c r="AF30" s="46">
        <v>6.6</v>
      </c>
      <c r="AG30" s="50">
        <v>23.5</v>
      </c>
      <c r="AH30" s="48">
        <f t="shared" si="8"/>
        <v>6.6</v>
      </c>
      <c r="AI30" s="49">
        <f t="shared" si="9"/>
        <v>6.6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>
        <v>3</v>
      </c>
      <c r="V31" s="46">
        <v>3</v>
      </c>
      <c r="W31" s="46">
        <v>3</v>
      </c>
      <c r="X31" s="46">
        <v>3</v>
      </c>
      <c r="Y31" s="46">
        <v>3</v>
      </c>
      <c r="Z31" s="46">
        <v>3</v>
      </c>
      <c r="AA31" s="46">
        <v>3</v>
      </c>
      <c r="AB31" s="46">
        <v>3</v>
      </c>
      <c r="AC31" s="46">
        <v>3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8"/>
        <v>3</v>
      </c>
      <c r="AI31" s="49">
        <f t="shared" si="9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5.5</v>
      </c>
      <c r="Q32" s="46">
        <v>5.5</v>
      </c>
      <c r="R32" s="46">
        <v>5.5</v>
      </c>
      <c r="S32" s="46">
        <v>5.5</v>
      </c>
      <c r="T32" s="46">
        <v>5.5</v>
      </c>
      <c r="U32" s="46">
        <v>5.5</v>
      </c>
      <c r="V32" s="46">
        <v>5.5</v>
      </c>
      <c r="W32" s="46">
        <v>5.5</v>
      </c>
      <c r="X32" s="46">
        <v>5.5</v>
      </c>
      <c r="Y32" s="46">
        <v>5.5</v>
      </c>
      <c r="Z32" s="46">
        <v>5.5</v>
      </c>
      <c r="AA32" s="46">
        <v>5.5</v>
      </c>
      <c r="AB32" s="46">
        <v>5.5</v>
      </c>
      <c r="AC32" s="46">
        <v>5.5</v>
      </c>
      <c r="AD32" s="46">
        <v>5.5</v>
      </c>
      <c r="AE32" s="46">
        <v>5.5</v>
      </c>
      <c r="AF32" s="46">
        <v>5.5</v>
      </c>
      <c r="AG32" s="50">
        <v>22.1</v>
      </c>
      <c r="AH32" s="48">
        <f t="shared" si="8"/>
        <v>5.5</v>
      </c>
      <c r="AI32" s="49">
        <f t="shared" si="9"/>
        <v>5.5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6</v>
      </c>
      <c r="C33" s="46">
        <v>6</v>
      </c>
      <c r="D33" s="46">
        <v>6</v>
      </c>
      <c r="E33" s="46">
        <v>6</v>
      </c>
      <c r="F33" s="46">
        <v>6</v>
      </c>
      <c r="G33" s="46">
        <v>6</v>
      </c>
      <c r="H33" s="46">
        <v>6</v>
      </c>
      <c r="I33" s="46">
        <v>6</v>
      </c>
      <c r="J33" s="46">
        <v>6</v>
      </c>
      <c r="K33" s="46">
        <v>6</v>
      </c>
      <c r="L33" s="46">
        <v>6</v>
      </c>
      <c r="M33" s="46">
        <v>6</v>
      </c>
      <c r="N33" s="46">
        <v>6</v>
      </c>
      <c r="O33" s="46">
        <v>6</v>
      </c>
      <c r="P33" s="46">
        <v>6</v>
      </c>
      <c r="Q33" s="46">
        <v>6</v>
      </c>
      <c r="R33" s="46">
        <v>6</v>
      </c>
      <c r="S33" s="46">
        <v>6</v>
      </c>
      <c r="T33" s="46">
        <v>6</v>
      </c>
      <c r="U33" s="46">
        <v>6</v>
      </c>
      <c r="V33" s="46">
        <v>6</v>
      </c>
      <c r="W33" s="46">
        <v>6</v>
      </c>
      <c r="X33" s="46">
        <v>6</v>
      </c>
      <c r="Y33" s="46">
        <v>6</v>
      </c>
      <c r="Z33" s="46">
        <v>6</v>
      </c>
      <c r="AA33" s="46">
        <v>6</v>
      </c>
      <c r="AB33" s="46">
        <v>6</v>
      </c>
      <c r="AC33" s="46">
        <v>6</v>
      </c>
      <c r="AD33" s="46">
        <v>6</v>
      </c>
      <c r="AE33" s="46">
        <v>6</v>
      </c>
      <c r="AF33" s="46">
        <v>6</v>
      </c>
      <c r="AG33" s="50">
        <v>22</v>
      </c>
      <c r="AH33" s="48">
        <f t="shared" si="8"/>
        <v>6</v>
      </c>
      <c r="AI33" s="49">
        <f t="shared" si="9"/>
        <v>6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9.9</v>
      </c>
      <c r="C34" s="46">
        <v>9.9</v>
      </c>
      <c r="D34" s="46">
        <v>9.9</v>
      </c>
      <c r="E34" s="46">
        <v>9.9</v>
      </c>
      <c r="F34" s="46">
        <v>9.9</v>
      </c>
      <c r="G34" s="46">
        <v>9.9</v>
      </c>
      <c r="H34" s="46">
        <v>9.9</v>
      </c>
      <c r="I34" s="46">
        <v>9.9</v>
      </c>
      <c r="J34" s="46">
        <v>9.9</v>
      </c>
      <c r="K34" s="46">
        <v>9.9</v>
      </c>
      <c r="L34" s="46">
        <v>9.9</v>
      </c>
      <c r="M34" s="46">
        <v>9.9</v>
      </c>
      <c r="N34" s="46">
        <v>9.9</v>
      </c>
      <c r="O34" s="46">
        <v>9.9</v>
      </c>
      <c r="P34" s="46">
        <v>9.9</v>
      </c>
      <c r="Q34" s="46">
        <v>9.9</v>
      </c>
      <c r="R34" s="46">
        <v>9.9</v>
      </c>
      <c r="S34" s="46">
        <v>9.9</v>
      </c>
      <c r="T34" s="46">
        <v>9.9</v>
      </c>
      <c r="U34" s="46">
        <v>9.9</v>
      </c>
      <c r="V34" s="46">
        <v>9.9</v>
      </c>
      <c r="W34" s="46">
        <v>9.9</v>
      </c>
      <c r="X34" s="46">
        <v>9.9</v>
      </c>
      <c r="Y34" s="46">
        <v>9.9</v>
      </c>
      <c r="Z34" s="46">
        <v>9.9</v>
      </c>
      <c r="AA34" s="46">
        <v>9.9</v>
      </c>
      <c r="AB34" s="46">
        <v>9.9</v>
      </c>
      <c r="AC34" s="46">
        <v>9.9</v>
      </c>
      <c r="AD34" s="46">
        <v>9.9</v>
      </c>
      <c r="AE34" s="46">
        <v>9.9</v>
      </c>
      <c r="AF34" s="46">
        <v>9.9</v>
      </c>
      <c r="AG34" s="50">
        <v>22</v>
      </c>
      <c r="AH34" s="48">
        <f t="shared" si="8"/>
        <v>9.9</v>
      </c>
      <c r="AI34" s="49">
        <f t="shared" si="9"/>
        <v>9.9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8"/>
        <v>4</v>
      </c>
      <c r="AI35" s="49">
        <f t="shared" si="9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>
        <v>4</v>
      </c>
      <c r="V36" s="46">
        <v>4</v>
      </c>
      <c r="W36" s="46">
        <v>4</v>
      </c>
      <c r="X36" s="46">
        <v>4</v>
      </c>
      <c r="Y36" s="46">
        <v>4</v>
      </c>
      <c r="Z36" s="46">
        <v>4</v>
      </c>
      <c r="AA36" s="46">
        <v>4</v>
      </c>
      <c r="AB36" s="46">
        <v>4</v>
      </c>
      <c r="AC36" s="46">
        <v>4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8"/>
        <v>4</v>
      </c>
      <c r="AI36" s="49">
        <f t="shared" si="9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>
        <v>5.7</v>
      </c>
      <c r="V37" s="46">
        <v>5.7</v>
      </c>
      <c r="W37" s="46">
        <v>5.7</v>
      </c>
      <c r="X37" s="46">
        <v>5.7</v>
      </c>
      <c r="Y37" s="46">
        <v>5.7</v>
      </c>
      <c r="Z37" s="46">
        <v>5.7</v>
      </c>
      <c r="AA37" s="46">
        <v>5.7</v>
      </c>
      <c r="AB37" s="46">
        <v>5.7</v>
      </c>
      <c r="AC37" s="46">
        <v>5.7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8"/>
        <v>5.7</v>
      </c>
      <c r="AI37" s="49">
        <f t="shared" si="9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7.2</v>
      </c>
      <c r="Q38" s="46">
        <v>7.2</v>
      </c>
      <c r="R38" s="46">
        <v>7.2</v>
      </c>
      <c r="S38" s="46">
        <v>7.2</v>
      </c>
      <c r="T38" s="46">
        <v>7.2</v>
      </c>
      <c r="U38" s="46">
        <v>7.2</v>
      </c>
      <c r="V38" s="46">
        <v>7.2</v>
      </c>
      <c r="W38" s="46">
        <v>7.2</v>
      </c>
      <c r="X38" s="46">
        <v>7.2</v>
      </c>
      <c r="Y38" s="46">
        <v>7.2</v>
      </c>
      <c r="Z38" s="46">
        <v>7.2</v>
      </c>
      <c r="AA38" s="46">
        <v>7.2</v>
      </c>
      <c r="AB38" s="46">
        <v>7.2</v>
      </c>
      <c r="AC38" s="46">
        <v>7.2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8"/>
        <v>7.2</v>
      </c>
      <c r="AI38" s="49">
        <f t="shared" si="9"/>
        <v>7.2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0</v>
      </c>
      <c r="C40" s="46">
        <v>0</v>
      </c>
      <c r="D40" s="46">
        <v>0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46">
        <v>0</v>
      </c>
      <c r="P40" s="46">
        <v>0</v>
      </c>
      <c r="Q40" s="46">
        <v>0</v>
      </c>
      <c r="R40" s="46">
        <v>0</v>
      </c>
      <c r="S40" s="46">
        <v>0</v>
      </c>
      <c r="T40" s="46">
        <v>0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6">
        <v>0</v>
      </c>
      <c r="AD40" s="46">
        <v>0</v>
      </c>
      <c r="AE40" s="46">
        <v>0</v>
      </c>
      <c r="AF40" s="46">
        <v>0</v>
      </c>
      <c r="AG40" s="50">
        <v>14.9</v>
      </c>
      <c r="AH40" s="48">
        <f t="shared" si="8"/>
        <v>0</v>
      </c>
      <c r="AI40" s="49">
        <f t="shared" si="9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8"/>
        <v>4</v>
      </c>
      <c r="AI41" s="49">
        <f t="shared" si="9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>
        <v>1.8</v>
      </c>
      <c r="V42" s="46">
        <v>1.8</v>
      </c>
      <c r="W42" s="46">
        <v>1.8</v>
      </c>
      <c r="X42" s="46">
        <v>1.8</v>
      </c>
      <c r="Y42" s="46">
        <v>1.8</v>
      </c>
      <c r="Z42" s="46">
        <v>1.8</v>
      </c>
      <c r="AA42" s="46">
        <v>1.8</v>
      </c>
      <c r="AB42" s="46">
        <v>1.8</v>
      </c>
      <c r="AC42" s="46">
        <v>1.8</v>
      </c>
      <c r="AD42" s="46">
        <v>1.8</v>
      </c>
      <c r="AE42" s="46">
        <v>1.8</v>
      </c>
      <c r="AF42" s="46">
        <v>1.8</v>
      </c>
      <c r="AG42" s="50">
        <v>13.6</v>
      </c>
      <c r="AH42" s="48">
        <f t="shared" si="8"/>
        <v>1.8</v>
      </c>
      <c r="AI42" s="49">
        <f t="shared" si="9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>
        <v>3.8</v>
      </c>
      <c r="V43" s="46">
        <v>3.8</v>
      </c>
      <c r="W43" s="46">
        <v>3.8</v>
      </c>
      <c r="X43" s="46">
        <v>3.8</v>
      </c>
      <c r="Y43" s="46">
        <v>3.8</v>
      </c>
      <c r="Z43" s="46">
        <v>3.8</v>
      </c>
      <c r="AA43" s="46">
        <v>3.8</v>
      </c>
      <c r="AB43" s="46">
        <v>3.8</v>
      </c>
      <c r="AC43" s="46">
        <v>3.8</v>
      </c>
      <c r="AD43" s="46">
        <v>3.8</v>
      </c>
      <c r="AE43" s="46">
        <v>3.8</v>
      </c>
      <c r="AF43" s="46">
        <v>3.8</v>
      </c>
      <c r="AG43" s="50">
        <v>13</v>
      </c>
      <c r="AH43" s="48">
        <f t="shared" si="8"/>
        <v>3.8</v>
      </c>
      <c r="AI43" s="49">
        <f t="shared" si="9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2.5</v>
      </c>
      <c r="C44" s="46">
        <v>2.5</v>
      </c>
      <c r="D44" s="46">
        <v>2.5</v>
      </c>
      <c r="E44" s="46">
        <v>2.5</v>
      </c>
      <c r="F44" s="46">
        <v>2.5</v>
      </c>
      <c r="G44" s="46">
        <v>2.5</v>
      </c>
      <c r="H44" s="46">
        <v>2.5</v>
      </c>
      <c r="I44" s="46">
        <v>2.5</v>
      </c>
      <c r="J44" s="46">
        <v>2.5</v>
      </c>
      <c r="K44" s="46">
        <v>2.5</v>
      </c>
      <c r="L44" s="46">
        <v>2.5</v>
      </c>
      <c r="M44" s="46">
        <v>2.5</v>
      </c>
      <c r="N44" s="46">
        <v>2.5</v>
      </c>
      <c r="O44" s="46">
        <v>2.5</v>
      </c>
      <c r="P44" s="46">
        <v>2.5</v>
      </c>
      <c r="Q44" s="46">
        <v>2.5</v>
      </c>
      <c r="R44" s="46">
        <v>2.5</v>
      </c>
      <c r="S44" s="46">
        <v>2.5</v>
      </c>
      <c r="T44" s="46">
        <v>2.5</v>
      </c>
      <c r="U44" s="46">
        <v>2.5</v>
      </c>
      <c r="V44" s="46">
        <v>2.5</v>
      </c>
      <c r="W44" s="46">
        <v>2.5</v>
      </c>
      <c r="X44" s="46">
        <v>2.5</v>
      </c>
      <c r="Y44" s="46">
        <v>2.5</v>
      </c>
      <c r="Z44" s="46">
        <v>2.5</v>
      </c>
      <c r="AA44" s="46">
        <v>2.5</v>
      </c>
      <c r="AB44" s="46">
        <v>2.5</v>
      </c>
      <c r="AC44" s="46">
        <v>2.5</v>
      </c>
      <c r="AD44" s="46">
        <v>2.5</v>
      </c>
      <c r="AE44" s="46">
        <v>2.5</v>
      </c>
      <c r="AF44" s="46">
        <v>2.5</v>
      </c>
      <c r="AG44" s="50">
        <v>12</v>
      </c>
      <c r="AH44" s="48">
        <f t="shared" si="8"/>
        <v>2.5</v>
      </c>
      <c r="AI44" s="49">
        <f t="shared" si="9"/>
        <v>2.5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>
        <v>9</v>
      </c>
      <c r="V45" s="46">
        <v>9</v>
      </c>
      <c r="W45" s="46">
        <v>9</v>
      </c>
      <c r="X45" s="46">
        <v>9</v>
      </c>
      <c r="Y45" s="46">
        <v>9</v>
      </c>
      <c r="Z45" s="46">
        <v>9</v>
      </c>
      <c r="AA45" s="46">
        <v>9</v>
      </c>
      <c r="AB45" s="46">
        <v>9</v>
      </c>
      <c r="AC45" s="46">
        <v>9</v>
      </c>
      <c r="AD45" s="46">
        <v>9</v>
      </c>
      <c r="AE45" s="46">
        <v>9</v>
      </c>
      <c r="AF45" s="46">
        <v>9</v>
      </c>
      <c r="AG45" s="50">
        <v>12</v>
      </c>
      <c r="AH45" s="48">
        <f t="shared" si="8"/>
        <v>9</v>
      </c>
      <c r="AI45" s="49">
        <f t="shared" si="9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>
        <v>3.5</v>
      </c>
      <c r="V47" s="46">
        <v>3.5</v>
      </c>
      <c r="W47" s="46">
        <v>3.5</v>
      </c>
      <c r="X47" s="46">
        <v>3.5</v>
      </c>
      <c r="Y47" s="46">
        <v>3.5</v>
      </c>
      <c r="Z47" s="46">
        <v>3.5</v>
      </c>
      <c r="AA47" s="46">
        <v>3.5</v>
      </c>
      <c r="AB47" s="46">
        <v>3.5</v>
      </c>
      <c r="AC47" s="46">
        <v>3.5</v>
      </c>
      <c r="AD47" s="46">
        <v>3.5</v>
      </c>
      <c r="AE47" s="46">
        <v>3.5</v>
      </c>
      <c r="AF47" s="46">
        <v>3.5</v>
      </c>
      <c r="AG47" s="63">
        <v>22</v>
      </c>
      <c r="AH47" s="48">
        <f t="shared" si="8"/>
        <v>3.5</v>
      </c>
      <c r="AI47" s="49">
        <f t="shared" si="9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>
        <v>5</v>
      </c>
      <c r="V48" s="46">
        <v>5</v>
      </c>
      <c r="W48" s="46">
        <v>5</v>
      </c>
      <c r="X48" s="46">
        <v>5</v>
      </c>
      <c r="Y48" s="46">
        <v>5</v>
      </c>
      <c r="Z48" s="46">
        <v>5</v>
      </c>
      <c r="AA48" s="46">
        <v>5</v>
      </c>
      <c r="AB48" s="46">
        <v>5</v>
      </c>
      <c r="AC48" s="46">
        <v>5</v>
      </c>
      <c r="AD48" s="46">
        <v>5</v>
      </c>
      <c r="AE48" s="46">
        <v>5</v>
      </c>
      <c r="AF48" s="46">
        <v>5</v>
      </c>
      <c r="AG48" s="60">
        <v>11.88</v>
      </c>
      <c r="AH48" s="48">
        <f t="shared" si="8"/>
        <v>5</v>
      </c>
      <c r="AI48" s="49">
        <f t="shared" si="9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5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4" t="s">
        <v>67</v>
      </c>
      <c r="B50" s="46">
        <v>2.4500000000000002</v>
      </c>
      <c r="C50" s="46">
        <v>2.4500000000000002</v>
      </c>
      <c r="D50" s="46">
        <v>2.4500000000000002</v>
      </c>
      <c r="E50" s="46">
        <v>2.4500000000000002</v>
      </c>
      <c r="F50" s="46">
        <v>2.4500000000000002</v>
      </c>
      <c r="G50" s="46">
        <v>2.4500000000000002</v>
      </c>
      <c r="H50" s="46">
        <v>2.4500000000000002</v>
      </c>
      <c r="I50" s="46">
        <v>2.4500000000000002</v>
      </c>
      <c r="J50" s="46">
        <v>2.4500000000000002</v>
      </c>
      <c r="K50" s="46">
        <v>2.4500000000000002</v>
      </c>
      <c r="L50" s="46">
        <v>2.4500000000000002</v>
      </c>
      <c r="M50" s="46">
        <v>2.4500000000000002</v>
      </c>
      <c r="N50" s="46">
        <v>2.4500000000000002</v>
      </c>
      <c r="O50" s="46">
        <v>2.4500000000000002</v>
      </c>
      <c r="P50" s="46">
        <v>2.4500000000000002</v>
      </c>
      <c r="Q50" s="46">
        <v>2.4500000000000002</v>
      </c>
      <c r="R50" s="46">
        <v>2.4500000000000002</v>
      </c>
      <c r="S50" s="46">
        <v>2.4500000000000002</v>
      </c>
      <c r="T50" s="46">
        <v>2.4500000000000002</v>
      </c>
      <c r="U50" s="46">
        <v>2.4500000000000002</v>
      </c>
      <c r="V50" s="46">
        <v>2.4500000000000002</v>
      </c>
      <c r="W50" s="46">
        <v>2.4500000000000002</v>
      </c>
      <c r="X50" s="46">
        <v>2.4500000000000002</v>
      </c>
      <c r="Y50" s="46">
        <v>2.4500000000000002</v>
      </c>
      <c r="Z50" s="46">
        <v>2.4500000000000002</v>
      </c>
      <c r="AA50" s="46">
        <v>2.4500000000000002</v>
      </c>
      <c r="AB50" s="46">
        <v>2.4500000000000002</v>
      </c>
      <c r="AC50" s="46">
        <v>2.4500000000000002</v>
      </c>
      <c r="AD50" s="46">
        <v>2.4500000000000002</v>
      </c>
      <c r="AE50" s="46">
        <v>2.4500000000000002</v>
      </c>
      <c r="AF50" s="46">
        <v>2.4500000000000002</v>
      </c>
      <c r="AG50" s="65">
        <v>11</v>
      </c>
      <c r="AH50" s="48">
        <f t="shared" si="8"/>
        <v>2.4500000000000002</v>
      </c>
      <c r="AI50" s="49">
        <f t="shared" si="9"/>
        <v>2.4500000000000002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65">
        <v>11</v>
      </c>
      <c r="AH51" s="48">
        <f t="shared" si="8"/>
        <v>3</v>
      </c>
      <c r="AI51" s="49">
        <f t="shared" si="9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5">
        <v>10</v>
      </c>
      <c r="AH52" s="48">
        <f t="shared" si="8"/>
        <v>4</v>
      </c>
      <c r="AI52" s="49">
        <f t="shared" si="9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>
        <v>4.5</v>
      </c>
      <c r="V53" s="46">
        <v>4.5</v>
      </c>
      <c r="W53" s="46">
        <v>4.5</v>
      </c>
      <c r="X53" s="46">
        <v>4.5</v>
      </c>
      <c r="Y53" s="46">
        <v>4.5</v>
      </c>
      <c r="Z53" s="46">
        <v>4.5</v>
      </c>
      <c r="AA53" s="46">
        <v>4.5</v>
      </c>
      <c r="AB53" s="46">
        <v>4.5</v>
      </c>
      <c r="AC53" s="46">
        <v>4.5</v>
      </c>
      <c r="AD53" s="46">
        <v>4.5</v>
      </c>
      <c r="AE53" s="46">
        <v>4.5</v>
      </c>
      <c r="AF53" s="46">
        <v>4.5</v>
      </c>
      <c r="AG53" s="65">
        <v>10</v>
      </c>
      <c r="AH53" s="48">
        <f t="shared" si="8"/>
        <v>4.5</v>
      </c>
      <c r="AI53" s="49">
        <f t="shared" si="9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5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5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>
        <v>150</v>
      </c>
      <c r="W56" s="67">
        <v>150</v>
      </c>
      <c r="X56" s="67">
        <v>150</v>
      </c>
      <c r="Y56" s="67">
        <v>150</v>
      </c>
      <c r="Z56" s="67">
        <v>150</v>
      </c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8" t="s">
        <v>74</v>
      </c>
      <c r="B57" s="67">
        <v>15</v>
      </c>
      <c r="C57" s="67">
        <v>15</v>
      </c>
      <c r="D57" s="67">
        <v>15</v>
      </c>
      <c r="E57" s="67">
        <v>15</v>
      </c>
      <c r="F57" s="67">
        <v>15</v>
      </c>
      <c r="G57" s="67">
        <v>15</v>
      </c>
      <c r="H57" s="67">
        <v>15</v>
      </c>
      <c r="I57" s="67">
        <v>15</v>
      </c>
      <c r="J57" s="67">
        <v>15</v>
      </c>
      <c r="K57" s="67">
        <v>15</v>
      </c>
      <c r="L57" s="67">
        <v>15</v>
      </c>
      <c r="M57" s="53">
        <f>10.6+4.8</f>
        <v>15.399999999999999</v>
      </c>
      <c r="N57" s="53">
        <f>11+4.9</f>
        <v>15.9</v>
      </c>
      <c r="O57" s="53">
        <f>16.1</f>
        <v>16.100000000000001</v>
      </c>
      <c r="P57" s="53">
        <f>8.5+1.6</f>
        <v>10.1</v>
      </c>
      <c r="Q57" s="53">
        <f>11.8+5.2</f>
        <v>17</v>
      </c>
      <c r="R57" s="53">
        <f t="shared" ref="R57:AF57" si="22">11.7+5.7</f>
        <v>17.399999999999999</v>
      </c>
      <c r="S57" s="53">
        <f t="shared" si="22"/>
        <v>17.399999999999999</v>
      </c>
      <c r="T57" s="53">
        <f t="shared" si="22"/>
        <v>17.399999999999999</v>
      </c>
      <c r="U57" s="53">
        <f t="shared" si="22"/>
        <v>17.399999999999999</v>
      </c>
      <c r="V57" s="53">
        <f t="shared" si="22"/>
        <v>17.399999999999999</v>
      </c>
      <c r="W57" s="53">
        <f t="shared" si="22"/>
        <v>17.399999999999999</v>
      </c>
      <c r="X57" s="53">
        <f t="shared" si="22"/>
        <v>17.399999999999999</v>
      </c>
      <c r="Y57" s="53">
        <f t="shared" si="22"/>
        <v>17.399999999999999</v>
      </c>
      <c r="Z57" s="67">
        <f t="shared" si="22"/>
        <v>17.399999999999999</v>
      </c>
      <c r="AA57" s="67">
        <f t="shared" si="22"/>
        <v>17.399999999999999</v>
      </c>
      <c r="AB57" s="67">
        <f t="shared" si="22"/>
        <v>17.399999999999999</v>
      </c>
      <c r="AC57" s="67">
        <f t="shared" si="22"/>
        <v>17.399999999999999</v>
      </c>
      <c r="AD57" s="67">
        <f t="shared" si="22"/>
        <v>17.399999999999999</v>
      </c>
      <c r="AE57" s="67">
        <f t="shared" si="22"/>
        <v>17.399999999999999</v>
      </c>
      <c r="AF57" s="67">
        <f t="shared" si="22"/>
        <v>17.399999999999999</v>
      </c>
      <c r="AG57" s="65">
        <v>240</v>
      </c>
      <c r="AH57" s="48">
        <f t="shared" si="8"/>
        <v>17.399999999999999</v>
      </c>
      <c r="AI57" s="49">
        <f t="shared" si="9"/>
        <v>10.1</v>
      </c>
      <c r="AK57" s="51"/>
    </row>
    <row r="58" spans="1:88" ht="15.75" thickBot="1" x14ac:dyDescent="0.3">
      <c r="A58" s="69" t="s">
        <v>75</v>
      </c>
      <c r="B58" s="70">
        <f t="shared" ref="B58:C58" si="23">SUM(B11:B56)</f>
        <v>456.24900000000002</v>
      </c>
      <c r="C58" s="70">
        <f t="shared" si="23"/>
        <v>456.24900000000002</v>
      </c>
      <c r="D58" s="70">
        <f t="shared" ref="D58" si="24">SUM(D11:D56)</f>
        <v>456.24900000000002</v>
      </c>
      <c r="E58" s="70">
        <f t="shared" ref="E58:AF58" si="25">SUM(E11:E56)</f>
        <v>456.24900000000002</v>
      </c>
      <c r="F58" s="70">
        <f t="shared" si="25"/>
        <v>456.24900000000002</v>
      </c>
      <c r="G58" s="70">
        <f t="shared" si="25"/>
        <v>456.24900000000002</v>
      </c>
      <c r="H58" s="70">
        <f t="shared" si="25"/>
        <v>456.24900000000002</v>
      </c>
      <c r="I58" s="70">
        <f t="shared" si="25"/>
        <v>456.24900000000002</v>
      </c>
      <c r="J58" s="70">
        <f t="shared" si="25"/>
        <v>456.24900000000002</v>
      </c>
      <c r="K58" s="70">
        <f t="shared" si="25"/>
        <v>456.24900000000002</v>
      </c>
      <c r="L58" s="70">
        <f t="shared" si="25"/>
        <v>456.24900000000002</v>
      </c>
      <c r="M58" s="70">
        <f t="shared" si="25"/>
        <v>456.25000000000006</v>
      </c>
      <c r="N58" s="70">
        <f t="shared" si="25"/>
        <v>456.25000000000006</v>
      </c>
      <c r="O58" s="70">
        <f t="shared" si="25"/>
        <v>456.25000000000006</v>
      </c>
      <c r="P58" s="70">
        <f t="shared" si="25"/>
        <v>456.25000000000006</v>
      </c>
      <c r="Q58" s="70">
        <f t="shared" si="25"/>
        <v>457.05</v>
      </c>
      <c r="R58" s="70">
        <f t="shared" si="25"/>
        <v>456.25000000000006</v>
      </c>
      <c r="S58" s="70">
        <f t="shared" ref="S58:T58" si="26">SUM(S11:S56)</f>
        <v>456.25000000000006</v>
      </c>
      <c r="T58" s="70">
        <f t="shared" si="26"/>
        <v>456.25000000000006</v>
      </c>
      <c r="U58" s="70">
        <f t="shared" ref="U58:V58" si="27">SUM(U11:U56)</f>
        <v>456.25000000000006</v>
      </c>
      <c r="V58" s="70">
        <f t="shared" si="27"/>
        <v>456.25000000000006</v>
      </c>
      <c r="W58" s="70">
        <f t="shared" ref="W58:X58" si="28">SUM(W11:W56)</f>
        <v>456.25000000000006</v>
      </c>
      <c r="X58" s="70">
        <f t="shared" si="28"/>
        <v>456.25000000000006</v>
      </c>
      <c r="Y58" s="70">
        <f t="shared" ref="Y58:Z58" si="29">SUM(Y11:Y56)</f>
        <v>456.25000000000006</v>
      </c>
      <c r="Z58" s="70">
        <f t="shared" si="29"/>
        <v>456.25000000000006</v>
      </c>
      <c r="AA58" s="70">
        <f t="shared" ref="AA58" si="30">SUM(AA11:AA56)</f>
        <v>456.25000000000006</v>
      </c>
      <c r="AB58" s="70">
        <f t="shared" si="25"/>
        <v>456.25000000000006</v>
      </c>
      <c r="AC58" s="70">
        <f t="shared" si="25"/>
        <v>456.25000000000006</v>
      </c>
      <c r="AD58" s="70">
        <f t="shared" si="25"/>
        <v>456.25000000000006</v>
      </c>
      <c r="AE58" s="70">
        <f t="shared" si="25"/>
        <v>456.25000000000006</v>
      </c>
      <c r="AF58" s="70">
        <f t="shared" si="25"/>
        <v>456.25000000000006</v>
      </c>
      <c r="AG58" s="71">
        <f>SUM(AG14:AG56)</f>
        <v>1042.4000000000001</v>
      </c>
      <c r="AH58" s="48">
        <f t="shared" si="8"/>
        <v>457.05</v>
      </c>
      <c r="AI58" s="49">
        <f t="shared" si="9"/>
        <v>456.24900000000002</v>
      </c>
      <c r="AK58" s="51"/>
    </row>
    <row r="59" spans="1:88" x14ac:dyDescent="0.25">
      <c r="A59" s="72" t="s">
        <v>76</v>
      </c>
      <c r="B59" s="46">
        <v>40</v>
      </c>
      <c r="C59" s="46">
        <v>0</v>
      </c>
      <c r="D59" s="46">
        <v>0</v>
      </c>
      <c r="E59" s="46">
        <v>0</v>
      </c>
      <c r="F59" s="46">
        <v>0</v>
      </c>
      <c r="G59" s="46">
        <v>0</v>
      </c>
      <c r="H59" s="46">
        <v>40</v>
      </c>
      <c r="I59" s="46">
        <v>50</v>
      </c>
      <c r="J59" s="46">
        <v>50</v>
      </c>
      <c r="K59" s="46">
        <v>130</v>
      </c>
      <c r="L59" s="46">
        <v>193</v>
      </c>
      <c r="M59" s="46">
        <v>260</v>
      </c>
      <c r="N59" s="73">
        <v>168</v>
      </c>
      <c r="O59" s="73">
        <v>90</v>
      </c>
      <c r="P59" s="73">
        <v>90</v>
      </c>
      <c r="Q59" s="73">
        <v>50</v>
      </c>
      <c r="R59" s="73">
        <v>40</v>
      </c>
      <c r="S59" s="73">
        <v>0</v>
      </c>
      <c r="T59" s="73">
        <v>0</v>
      </c>
      <c r="U59" s="73">
        <v>30.1</v>
      </c>
      <c r="V59" s="73">
        <v>14.9</v>
      </c>
      <c r="W59" s="73">
        <v>14.9</v>
      </c>
      <c r="X59" s="73">
        <v>40.200000000000003</v>
      </c>
      <c r="Y59" s="73">
        <v>193.5</v>
      </c>
      <c r="Z59" s="46">
        <v>331.3</v>
      </c>
      <c r="AA59" s="46">
        <v>351</v>
      </c>
      <c r="AB59" s="46">
        <v>290</v>
      </c>
      <c r="AC59" s="46">
        <v>120</v>
      </c>
      <c r="AD59" s="46">
        <v>120</v>
      </c>
      <c r="AE59" s="46">
        <v>152</v>
      </c>
      <c r="AF59" s="46">
        <v>70</v>
      </c>
      <c r="AG59" s="60">
        <v>456</v>
      </c>
      <c r="AH59" s="48">
        <f t="shared" si="8"/>
        <v>351</v>
      </c>
      <c r="AI59" s="49">
        <f t="shared" si="9"/>
        <v>0</v>
      </c>
      <c r="AK59" s="51"/>
    </row>
    <row r="60" spans="1:88" x14ac:dyDescent="0.25">
      <c r="A60" s="74" t="s">
        <v>77</v>
      </c>
      <c r="B60" s="75">
        <v>27</v>
      </c>
      <c r="C60" s="75">
        <v>27</v>
      </c>
      <c r="D60" s="75">
        <v>27</v>
      </c>
      <c r="E60" s="75">
        <v>27</v>
      </c>
      <c r="F60" s="75">
        <v>27</v>
      </c>
      <c r="G60" s="75">
        <v>27</v>
      </c>
      <c r="H60" s="75">
        <v>27</v>
      </c>
      <c r="I60" s="75">
        <v>27</v>
      </c>
      <c r="J60" s="75">
        <v>27</v>
      </c>
      <c r="K60" s="75">
        <v>27</v>
      </c>
      <c r="L60" s="75">
        <v>27</v>
      </c>
      <c r="M60" s="75">
        <v>27</v>
      </c>
      <c r="N60" s="75">
        <v>27</v>
      </c>
      <c r="O60" s="75">
        <v>27</v>
      </c>
      <c r="P60" s="75">
        <v>27</v>
      </c>
      <c r="Q60" s="75">
        <v>27</v>
      </c>
      <c r="R60" s="75">
        <v>27</v>
      </c>
      <c r="S60" s="75">
        <v>27</v>
      </c>
      <c r="T60" s="75">
        <v>27</v>
      </c>
      <c r="U60" s="75">
        <v>27</v>
      </c>
      <c r="V60" s="75">
        <v>27</v>
      </c>
      <c r="W60" s="75">
        <v>27</v>
      </c>
      <c r="X60" s="75">
        <v>27</v>
      </c>
      <c r="Y60" s="75">
        <v>27</v>
      </c>
      <c r="Z60" s="75">
        <v>27</v>
      </c>
      <c r="AA60" s="75">
        <v>27</v>
      </c>
      <c r="AB60" s="75">
        <v>27</v>
      </c>
      <c r="AC60" s="75">
        <v>27</v>
      </c>
      <c r="AD60" s="75">
        <v>27</v>
      </c>
      <c r="AE60" s="75">
        <v>27</v>
      </c>
      <c r="AF60" s="75">
        <v>27</v>
      </c>
      <c r="AG60" s="65">
        <v>60</v>
      </c>
      <c r="AH60" s="48">
        <f t="shared" si="8"/>
        <v>27</v>
      </c>
      <c r="AI60" s="49">
        <f t="shared" si="9"/>
        <v>27</v>
      </c>
      <c r="AK60" s="51"/>
    </row>
    <row r="61" spans="1:88" ht="15.75" thickBot="1" x14ac:dyDescent="0.3">
      <c r="A61" s="76" t="s">
        <v>78</v>
      </c>
      <c r="B61" s="77">
        <v>10.199999999999999</v>
      </c>
      <c r="C61" s="77">
        <v>10.199999999999999</v>
      </c>
      <c r="D61" s="77">
        <v>10.199999999999999</v>
      </c>
      <c r="E61" s="77">
        <v>10.199999999999999</v>
      </c>
      <c r="F61" s="77">
        <v>10.199999999999999</v>
      </c>
      <c r="G61" s="77">
        <v>10.199999999999999</v>
      </c>
      <c r="H61" s="77">
        <v>10.199999999999999</v>
      </c>
      <c r="I61" s="77">
        <v>10.199999999999999</v>
      </c>
      <c r="J61" s="77">
        <v>10.199999999999999</v>
      </c>
      <c r="K61" s="77">
        <v>10.199999999999999</v>
      </c>
      <c r="L61" s="77">
        <v>10.199999999999999</v>
      </c>
      <c r="M61" s="77">
        <v>9.6</v>
      </c>
      <c r="N61" s="77">
        <v>9.6</v>
      </c>
      <c r="O61" s="77">
        <v>9.5</v>
      </c>
      <c r="P61" s="77">
        <v>9.5</v>
      </c>
      <c r="Q61" s="77">
        <v>9.6</v>
      </c>
      <c r="R61" s="77">
        <v>9.6</v>
      </c>
      <c r="S61" s="77">
        <v>9.6</v>
      </c>
      <c r="T61" s="77">
        <v>9.6</v>
      </c>
      <c r="U61" s="77">
        <v>9.6</v>
      </c>
      <c r="V61" s="77">
        <v>9.6</v>
      </c>
      <c r="W61" s="77">
        <v>9.6</v>
      </c>
      <c r="X61" s="77">
        <v>9.6</v>
      </c>
      <c r="Y61" s="77">
        <v>9.6</v>
      </c>
      <c r="Z61" s="77">
        <v>7.5</v>
      </c>
      <c r="AA61" s="77">
        <v>7.5</v>
      </c>
      <c r="AB61" s="77">
        <v>9.1</v>
      </c>
      <c r="AC61" s="77">
        <v>9.1</v>
      </c>
      <c r="AD61" s="77">
        <v>9.1</v>
      </c>
      <c r="AE61" s="77">
        <v>9.1</v>
      </c>
      <c r="AF61" s="77">
        <v>9.1</v>
      </c>
      <c r="AG61" s="78">
        <v>22.1</v>
      </c>
      <c r="AH61" s="48">
        <f t="shared" si="8"/>
        <v>10.199999999999999</v>
      </c>
      <c r="AI61" s="49">
        <f t="shared" si="9"/>
        <v>7.5</v>
      </c>
      <c r="AK61" s="51"/>
    </row>
    <row r="62" spans="1:88" ht="15.75" thickBot="1" x14ac:dyDescent="0.3">
      <c r="A62" s="79" t="s">
        <v>79</v>
      </c>
      <c r="B62" s="70">
        <f t="shared" ref="B62:C62" si="31">SUM(B59:B61)</f>
        <v>77.2</v>
      </c>
      <c r="C62" s="70">
        <f t="shared" si="31"/>
        <v>37.200000000000003</v>
      </c>
      <c r="D62" s="70">
        <f t="shared" ref="D62" si="32">SUM(D59:D61)</f>
        <v>37.200000000000003</v>
      </c>
      <c r="E62" s="70">
        <f t="shared" ref="E62:AG62" si="33">SUM(E59:E61)</f>
        <v>37.200000000000003</v>
      </c>
      <c r="F62" s="70">
        <f t="shared" si="33"/>
        <v>37.200000000000003</v>
      </c>
      <c r="G62" s="70">
        <f t="shared" si="33"/>
        <v>37.200000000000003</v>
      </c>
      <c r="H62" s="70">
        <f t="shared" si="33"/>
        <v>77.2</v>
      </c>
      <c r="I62" s="70">
        <f t="shared" si="33"/>
        <v>87.2</v>
      </c>
      <c r="J62" s="70">
        <f t="shared" si="33"/>
        <v>87.2</v>
      </c>
      <c r="K62" s="70">
        <f t="shared" si="33"/>
        <v>167.2</v>
      </c>
      <c r="L62" s="70">
        <f t="shared" si="33"/>
        <v>230.2</v>
      </c>
      <c r="M62" s="70">
        <f t="shared" si="33"/>
        <v>296.60000000000002</v>
      </c>
      <c r="N62" s="70">
        <f t="shared" si="33"/>
        <v>204.6</v>
      </c>
      <c r="O62" s="70">
        <f t="shared" si="33"/>
        <v>126.5</v>
      </c>
      <c r="P62" s="70">
        <f t="shared" si="33"/>
        <v>126.5</v>
      </c>
      <c r="Q62" s="70">
        <f t="shared" si="33"/>
        <v>86.6</v>
      </c>
      <c r="R62" s="70">
        <f t="shared" si="33"/>
        <v>76.599999999999994</v>
      </c>
      <c r="S62" s="70">
        <f t="shared" ref="S62:T62" si="34">SUM(S59:S61)</f>
        <v>36.6</v>
      </c>
      <c r="T62" s="70">
        <f t="shared" si="34"/>
        <v>36.6</v>
      </c>
      <c r="U62" s="70">
        <f t="shared" ref="U62:V62" si="35">SUM(U59:U61)</f>
        <v>66.7</v>
      </c>
      <c r="V62" s="70">
        <f t="shared" si="35"/>
        <v>51.5</v>
      </c>
      <c r="W62" s="70">
        <f t="shared" ref="W62:X62" si="36">SUM(W59:W61)</f>
        <v>51.5</v>
      </c>
      <c r="X62" s="70">
        <f t="shared" si="36"/>
        <v>76.8</v>
      </c>
      <c r="Y62" s="70">
        <f t="shared" ref="Y62:Z62" si="37">SUM(Y59:Y61)</f>
        <v>230.1</v>
      </c>
      <c r="Z62" s="70">
        <f t="shared" si="37"/>
        <v>365.8</v>
      </c>
      <c r="AA62" s="70">
        <f t="shared" ref="AA62" si="38">SUM(AA59:AA61)</f>
        <v>385.5</v>
      </c>
      <c r="AB62" s="70">
        <f t="shared" si="33"/>
        <v>326.10000000000002</v>
      </c>
      <c r="AC62" s="70">
        <f t="shared" si="33"/>
        <v>156.1</v>
      </c>
      <c r="AD62" s="70">
        <f t="shared" si="33"/>
        <v>156.1</v>
      </c>
      <c r="AE62" s="70">
        <f t="shared" si="33"/>
        <v>188.1</v>
      </c>
      <c r="AF62" s="70">
        <f t="shared" si="33"/>
        <v>106.1</v>
      </c>
      <c r="AG62" s="71">
        <f t="shared" si="33"/>
        <v>538.1</v>
      </c>
      <c r="AH62" s="48">
        <f t="shared" si="8"/>
        <v>385.5</v>
      </c>
      <c r="AI62" s="49">
        <f t="shared" si="9"/>
        <v>36.6</v>
      </c>
      <c r="AK62" s="51"/>
    </row>
    <row r="63" spans="1:88" x14ac:dyDescent="0.25">
      <c r="A63" s="45" t="s">
        <v>80</v>
      </c>
      <c r="B63" s="46">
        <v>45</v>
      </c>
      <c r="C63" s="46">
        <v>0</v>
      </c>
      <c r="D63" s="46">
        <v>0</v>
      </c>
      <c r="E63" s="46">
        <v>0</v>
      </c>
      <c r="F63" s="46">
        <v>0</v>
      </c>
      <c r="G63" s="46">
        <v>0</v>
      </c>
      <c r="H63" s="46">
        <v>0</v>
      </c>
      <c r="I63" s="46">
        <v>0</v>
      </c>
      <c r="J63" s="46">
        <v>35</v>
      </c>
      <c r="K63" s="46">
        <v>92.3</v>
      </c>
      <c r="L63" s="46">
        <v>92.3</v>
      </c>
      <c r="M63" s="46">
        <v>61.1</v>
      </c>
      <c r="N63" s="46">
        <v>41.7</v>
      </c>
      <c r="O63" s="46">
        <v>30.6</v>
      </c>
      <c r="P63" s="46">
        <v>31</v>
      </c>
      <c r="Q63" s="46">
        <v>40</v>
      </c>
      <c r="R63" s="46">
        <v>40.4</v>
      </c>
      <c r="S63" s="46">
        <v>62.5</v>
      </c>
      <c r="T63" s="46">
        <v>69.599999999999994</v>
      </c>
      <c r="U63" s="46">
        <v>96.9</v>
      </c>
      <c r="V63" s="46">
        <v>61.8</v>
      </c>
      <c r="W63" s="46">
        <v>69.3</v>
      </c>
      <c r="X63" s="46">
        <v>91.8</v>
      </c>
      <c r="Y63" s="46">
        <v>121.3</v>
      </c>
      <c r="Z63" s="46">
        <v>111.6</v>
      </c>
      <c r="AA63" s="46">
        <v>96.8</v>
      </c>
      <c r="AB63" s="46">
        <v>91.4</v>
      </c>
      <c r="AC63" s="46">
        <v>61</v>
      </c>
      <c r="AD63" s="46">
        <v>60.7</v>
      </c>
      <c r="AE63" s="46">
        <v>48</v>
      </c>
      <c r="AF63" s="46">
        <v>31</v>
      </c>
      <c r="AG63" s="60">
        <v>144</v>
      </c>
      <c r="AH63" s="48">
        <f t="shared" si="8"/>
        <v>121.3</v>
      </c>
      <c r="AI63" s="49">
        <f t="shared" si="9"/>
        <v>0</v>
      </c>
      <c r="AK63" s="51"/>
    </row>
    <row r="64" spans="1:88" x14ac:dyDescent="0.25">
      <c r="A64" s="64" t="s">
        <v>81</v>
      </c>
      <c r="B64" s="75">
        <v>0</v>
      </c>
      <c r="C64" s="75">
        <v>0</v>
      </c>
      <c r="D64" s="75">
        <v>0</v>
      </c>
      <c r="E64" s="75">
        <v>0</v>
      </c>
      <c r="F64" s="75">
        <v>0</v>
      </c>
      <c r="G64" s="75">
        <v>0</v>
      </c>
      <c r="H64" s="75">
        <v>24</v>
      </c>
      <c r="I64" s="75">
        <v>60</v>
      </c>
      <c r="J64" s="75">
        <v>45</v>
      </c>
      <c r="K64" s="75">
        <v>50</v>
      </c>
      <c r="L64" s="75">
        <v>51</v>
      </c>
      <c r="M64" s="75">
        <v>62.1</v>
      </c>
      <c r="N64" s="75">
        <v>57</v>
      </c>
      <c r="O64" s="75">
        <v>46.4</v>
      </c>
      <c r="P64" s="75">
        <v>46.7</v>
      </c>
      <c r="Q64" s="75">
        <v>46</v>
      </c>
      <c r="R64" s="75">
        <v>46.5</v>
      </c>
      <c r="S64" s="75">
        <v>0</v>
      </c>
      <c r="T64" s="75">
        <v>0</v>
      </c>
      <c r="U64" s="75">
        <v>0</v>
      </c>
      <c r="V64" s="75">
        <v>0</v>
      </c>
      <c r="W64" s="75">
        <v>27.5</v>
      </c>
      <c r="X64" s="75">
        <v>24.4</v>
      </c>
      <c r="Y64" s="75">
        <v>64.8</v>
      </c>
      <c r="Z64" s="46">
        <v>70</v>
      </c>
      <c r="AA64" s="46">
        <v>67.3</v>
      </c>
      <c r="AB64" s="46">
        <v>44.8</v>
      </c>
      <c r="AC64" s="46">
        <v>34</v>
      </c>
      <c r="AD64" s="46">
        <v>31.6</v>
      </c>
      <c r="AE64" s="46">
        <v>0</v>
      </c>
      <c r="AF64" s="46">
        <v>0</v>
      </c>
      <c r="AG64" s="65">
        <v>70</v>
      </c>
      <c r="AH64" s="48">
        <f t="shared" si="8"/>
        <v>70</v>
      </c>
      <c r="AI64" s="49">
        <f t="shared" si="9"/>
        <v>0</v>
      </c>
      <c r="AK64" s="51"/>
    </row>
    <row r="65" spans="1:75" x14ac:dyDescent="0.25">
      <c r="A65" s="64" t="s">
        <v>82</v>
      </c>
      <c r="B65" s="75">
        <v>22</v>
      </c>
      <c r="C65" s="75">
        <v>0</v>
      </c>
      <c r="D65" s="75">
        <v>0</v>
      </c>
      <c r="E65" s="75">
        <v>0</v>
      </c>
      <c r="F65" s="75">
        <v>0</v>
      </c>
      <c r="G65" s="75">
        <v>0</v>
      </c>
      <c r="H65" s="75">
        <v>16</v>
      </c>
      <c r="I65" s="75">
        <v>22</v>
      </c>
      <c r="J65" s="75">
        <v>22</v>
      </c>
      <c r="K65" s="75">
        <v>47</v>
      </c>
      <c r="L65" s="75">
        <v>45.8</v>
      </c>
      <c r="M65" s="75">
        <v>47.1</v>
      </c>
      <c r="N65" s="75">
        <v>34</v>
      </c>
      <c r="O65" s="75">
        <v>34</v>
      </c>
      <c r="P65" s="75">
        <v>35.4</v>
      </c>
      <c r="Q65" s="75">
        <v>36.299999999999997</v>
      </c>
      <c r="R65" s="75">
        <v>36.5</v>
      </c>
      <c r="S65" s="75">
        <v>36.5</v>
      </c>
      <c r="T65" s="75">
        <v>36.5</v>
      </c>
      <c r="U65" s="75">
        <v>32.5</v>
      </c>
      <c r="V65" s="75">
        <v>33.6</v>
      </c>
      <c r="W65" s="75">
        <v>34.5</v>
      </c>
      <c r="X65" s="75">
        <v>34.5</v>
      </c>
      <c r="Y65" s="75">
        <v>52.9</v>
      </c>
      <c r="Z65" s="46">
        <v>71</v>
      </c>
      <c r="AA65" s="46">
        <v>68.900000000000006</v>
      </c>
      <c r="AB65" s="46">
        <v>68.900000000000006</v>
      </c>
      <c r="AC65" s="46">
        <v>45</v>
      </c>
      <c r="AD65" s="46">
        <v>44.6</v>
      </c>
      <c r="AE65" s="46">
        <v>44.5</v>
      </c>
      <c r="AF65" s="46">
        <v>0</v>
      </c>
      <c r="AG65" s="65">
        <v>69</v>
      </c>
      <c r="AH65" s="48">
        <f t="shared" si="8"/>
        <v>71</v>
      </c>
      <c r="AI65" s="49">
        <f t="shared" si="9"/>
        <v>0</v>
      </c>
      <c r="AK65" s="51"/>
    </row>
    <row r="66" spans="1:75" x14ac:dyDescent="0.25">
      <c r="A66" s="64" t="s">
        <v>83</v>
      </c>
      <c r="B66" s="75">
        <v>33.299999999999997</v>
      </c>
      <c r="C66" s="75">
        <v>33.299999999999997</v>
      </c>
      <c r="D66" s="75">
        <v>33.299999999999997</v>
      </c>
      <c r="E66" s="75">
        <v>33.299999999999997</v>
      </c>
      <c r="F66" s="75">
        <v>33.299999999999997</v>
      </c>
      <c r="G66" s="75">
        <v>33.299999999999997</v>
      </c>
      <c r="H66" s="75">
        <v>33.299999999999997</v>
      </c>
      <c r="I66" s="75">
        <v>33.299999999999997</v>
      </c>
      <c r="J66" s="75">
        <v>33.299999999999997</v>
      </c>
      <c r="K66" s="75">
        <v>33.299999999999997</v>
      </c>
      <c r="L66" s="67">
        <v>34</v>
      </c>
      <c r="M66" s="75">
        <v>34</v>
      </c>
      <c r="N66" s="75">
        <v>33.799999999999997</v>
      </c>
      <c r="O66" s="75">
        <v>33.799999999999997</v>
      </c>
      <c r="P66" s="75">
        <v>33.799999999999997</v>
      </c>
      <c r="Q66" s="75">
        <v>32.5</v>
      </c>
      <c r="R66" s="75">
        <v>32</v>
      </c>
      <c r="S66" s="75">
        <v>32</v>
      </c>
      <c r="T66" s="75">
        <v>32</v>
      </c>
      <c r="U66" s="75">
        <v>32</v>
      </c>
      <c r="V66" s="75">
        <v>32</v>
      </c>
      <c r="W66" s="75">
        <v>32</v>
      </c>
      <c r="X66" s="75">
        <v>32</v>
      </c>
      <c r="Y66" s="75">
        <v>32</v>
      </c>
      <c r="Z66" s="46">
        <v>32</v>
      </c>
      <c r="AA66" s="46">
        <v>32</v>
      </c>
      <c r="AB66" s="46">
        <v>31</v>
      </c>
      <c r="AC66" s="46">
        <v>31</v>
      </c>
      <c r="AD66" s="46">
        <v>31</v>
      </c>
      <c r="AE66" s="46">
        <v>31</v>
      </c>
      <c r="AF66" s="46">
        <v>31</v>
      </c>
      <c r="AG66" s="65">
        <v>60</v>
      </c>
      <c r="AH66" s="48">
        <f t="shared" si="8"/>
        <v>34</v>
      </c>
      <c r="AI66" s="49">
        <f t="shared" si="9"/>
        <v>31</v>
      </c>
      <c r="AK66" s="51"/>
    </row>
    <row r="67" spans="1:75" x14ac:dyDescent="0.25">
      <c r="A67" s="64" t="s">
        <v>84</v>
      </c>
      <c r="B67" s="46">
        <v>0</v>
      </c>
      <c r="C67" s="46">
        <v>0</v>
      </c>
      <c r="D67" s="46">
        <v>0</v>
      </c>
      <c r="E67" s="46">
        <v>0</v>
      </c>
      <c r="F67" s="46">
        <v>0</v>
      </c>
      <c r="G67" s="46">
        <v>0</v>
      </c>
      <c r="H67" s="46">
        <v>0</v>
      </c>
      <c r="I67" s="46">
        <v>10</v>
      </c>
      <c r="J67" s="46">
        <v>23</v>
      </c>
      <c r="K67" s="46">
        <v>28</v>
      </c>
      <c r="L67" s="67">
        <v>23</v>
      </c>
      <c r="M67" s="75">
        <v>10.8</v>
      </c>
      <c r="N67" s="75">
        <v>0</v>
      </c>
      <c r="O67" s="75">
        <v>0</v>
      </c>
      <c r="P67" s="75">
        <v>0</v>
      </c>
      <c r="Q67" s="75">
        <v>0</v>
      </c>
      <c r="R67" s="75">
        <v>0</v>
      </c>
      <c r="S67" s="75">
        <v>10.5</v>
      </c>
      <c r="T67" s="75">
        <v>15.1</v>
      </c>
      <c r="U67" s="75">
        <v>22.2</v>
      </c>
      <c r="V67" s="75">
        <v>23.2</v>
      </c>
      <c r="W67" s="75">
        <v>23.2</v>
      </c>
      <c r="X67" s="75">
        <v>28.2</v>
      </c>
      <c r="Y67" s="75">
        <v>27.9</v>
      </c>
      <c r="Z67" s="46">
        <v>28</v>
      </c>
      <c r="AA67" s="46">
        <v>23.3</v>
      </c>
      <c r="AB67" s="46">
        <v>10.199999999999999</v>
      </c>
      <c r="AC67" s="46">
        <v>0</v>
      </c>
      <c r="AD67" s="46">
        <v>0</v>
      </c>
      <c r="AE67" s="46">
        <v>0</v>
      </c>
      <c r="AF67" s="46">
        <v>0</v>
      </c>
      <c r="AG67" s="65">
        <v>30</v>
      </c>
      <c r="AH67" s="48">
        <f t="shared" si="8"/>
        <v>28.2</v>
      </c>
      <c r="AI67" s="49">
        <f t="shared" si="9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</row>
    <row r="68" spans="1:75" x14ac:dyDescent="0.25">
      <c r="A68" s="64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75">
        <v>0</v>
      </c>
      <c r="M68" s="75">
        <v>3</v>
      </c>
      <c r="N68" s="75">
        <v>11</v>
      </c>
      <c r="O68" s="75">
        <v>13.7</v>
      </c>
      <c r="P68" s="75">
        <v>16.2</v>
      </c>
      <c r="Q68" s="75">
        <v>17.399999999999999</v>
      </c>
      <c r="R68" s="75">
        <v>17</v>
      </c>
      <c r="S68" s="75">
        <v>14.1</v>
      </c>
      <c r="T68" s="75">
        <v>8.5</v>
      </c>
      <c r="U68" s="75">
        <v>6.3</v>
      </c>
      <c r="V68" s="75">
        <v>1.8</v>
      </c>
      <c r="W68" s="75">
        <v>0.8</v>
      </c>
      <c r="X68" s="75">
        <v>0</v>
      </c>
      <c r="Y68" s="75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5">
        <v>25</v>
      </c>
      <c r="AH68" s="48">
        <f t="shared" si="8"/>
        <v>17.399999999999999</v>
      </c>
      <c r="AI68" s="49">
        <f t="shared" si="9"/>
        <v>0</v>
      </c>
      <c r="AK68" s="51"/>
      <c r="AY68" s="1" t="s">
        <v>86</v>
      </c>
      <c r="AZ68" s="81">
        <f>ROUND(C81,0)</f>
        <v>60</v>
      </c>
      <c r="BA68" s="80">
        <f t="shared" ref="BA68:BD72" si="39">D81</f>
        <v>61</v>
      </c>
      <c r="BB68" s="80">
        <f t="shared" si="39"/>
        <v>55</v>
      </c>
      <c r="BC68" s="80">
        <f t="shared" si="39"/>
        <v>55</v>
      </c>
      <c r="BD68" s="80">
        <f t="shared" si="39"/>
        <v>55</v>
      </c>
      <c r="BE68" s="81">
        <f>I81</f>
        <v>59</v>
      </c>
      <c r="BF68" s="81">
        <f>K81</f>
        <v>67.599999999999994</v>
      </c>
      <c r="BG68" s="81">
        <f t="shared" ref="BG68:BP72" si="40">M81</f>
        <v>43.7</v>
      </c>
      <c r="BH68" s="81">
        <f t="shared" si="40"/>
        <v>46.2</v>
      </c>
      <c r="BI68" s="81">
        <f t="shared" si="40"/>
        <v>48.4</v>
      </c>
      <c r="BJ68" s="81">
        <f t="shared" si="40"/>
        <v>62.3</v>
      </c>
      <c r="BK68" s="81">
        <f t="shared" si="40"/>
        <v>59.5</v>
      </c>
      <c r="BL68" s="81">
        <f t="shared" si="40"/>
        <v>52.2</v>
      </c>
      <c r="BM68" s="81">
        <f t="shared" si="40"/>
        <v>62.5</v>
      </c>
      <c r="BN68" s="81">
        <f t="shared" si="40"/>
        <v>62.1</v>
      </c>
      <c r="BO68" s="81">
        <f t="shared" si="40"/>
        <v>51.4</v>
      </c>
      <c r="BP68" s="81">
        <f t="shared" si="40"/>
        <v>60.8</v>
      </c>
      <c r="BQ68" s="81">
        <f>X81</f>
        <v>39.799999999999997</v>
      </c>
      <c r="BR68" s="81">
        <f>Z81</f>
        <v>45.5</v>
      </c>
      <c r="BS68" s="80">
        <f>AB81</f>
        <v>52.6</v>
      </c>
      <c r="BT68" s="80">
        <f>AD81</f>
        <v>66</v>
      </c>
      <c r="BU68" s="80">
        <f>AE81</f>
        <v>64</v>
      </c>
      <c r="BV68" s="80">
        <f>AF81</f>
        <v>62</v>
      </c>
      <c r="BW68" s="80">
        <f>B81</f>
        <v>56</v>
      </c>
    </row>
    <row r="69" spans="1:75" x14ac:dyDescent="0.25">
      <c r="A69" s="64" t="s">
        <v>87</v>
      </c>
      <c r="B69" s="75">
        <v>12</v>
      </c>
      <c r="C69" s="75">
        <v>12</v>
      </c>
      <c r="D69" s="75">
        <v>12</v>
      </c>
      <c r="E69" s="75">
        <v>12</v>
      </c>
      <c r="F69" s="75">
        <v>12</v>
      </c>
      <c r="G69" s="75">
        <v>12</v>
      </c>
      <c r="H69" s="75">
        <v>12</v>
      </c>
      <c r="I69" s="75">
        <v>12</v>
      </c>
      <c r="J69" s="75">
        <v>12</v>
      </c>
      <c r="K69" s="75">
        <v>12</v>
      </c>
      <c r="L69" s="75">
        <v>12</v>
      </c>
      <c r="M69" s="75">
        <v>12</v>
      </c>
      <c r="N69" s="75">
        <v>12</v>
      </c>
      <c r="O69" s="75">
        <v>12</v>
      </c>
      <c r="P69" s="75">
        <v>12</v>
      </c>
      <c r="Q69" s="75">
        <v>12</v>
      </c>
      <c r="R69" s="75">
        <v>12</v>
      </c>
      <c r="S69" s="75">
        <v>12</v>
      </c>
      <c r="T69" s="75">
        <v>12</v>
      </c>
      <c r="U69" s="75">
        <v>12</v>
      </c>
      <c r="V69" s="75">
        <v>12</v>
      </c>
      <c r="W69" s="75">
        <v>12</v>
      </c>
      <c r="X69" s="75">
        <v>12</v>
      </c>
      <c r="Y69" s="75">
        <v>12</v>
      </c>
      <c r="Z69" s="75">
        <v>12</v>
      </c>
      <c r="AA69" s="75">
        <v>12</v>
      </c>
      <c r="AB69" s="75">
        <v>12</v>
      </c>
      <c r="AC69" s="75">
        <v>12</v>
      </c>
      <c r="AD69" s="75">
        <v>12</v>
      </c>
      <c r="AE69" s="75">
        <v>12</v>
      </c>
      <c r="AF69" s="75">
        <v>12</v>
      </c>
      <c r="AG69" s="65">
        <v>24</v>
      </c>
      <c r="AH69" s="48">
        <f t="shared" si="8"/>
        <v>12</v>
      </c>
      <c r="AI69" s="49">
        <f t="shared" si="9"/>
        <v>12</v>
      </c>
      <c r="AK69" s="51"/>
      <c r="AY69" s="1" t="s">
        <v>88</v>
      </c>
      <c r="AZ69" s="81">
        <f>ROUND(C82,0)</f>
        <v>0</v>
      </c>
      <c r="BA69" s="80">
        <f t="shared" si="39"/>
        <v>0</v>
      </c>
      <c r="BB69" s="80">
        <f t="shared" si="39"/>
        <v>0</v>
      </c>
      <c r="BC69" s="80">
        <f t="shared" si="39"/>
        <v>0</v>
      </c>
      <c r="BD69" s="80">
        <f t="shared" si="39"/>
        <v>0</v>
      </c>
      <c r="BE69" s="81">
        <f t="shared" ref="BE69:BE72" si="41">I82</f>
        <v>0</v>
      </c>
      <c r="BF69" s="81">
        <f t="shared" ref="BF69:BF72" si="42">K82</f>
        <v>0</v>
      </c>
      <c r="BG69" s="81">
        <f t="shared" si="40"/>
        <v>0</v>
      </c>
      <c r="BH69" s="81">
        <f t="shared" si="40"/>
        <v>0</v>
      </c>
      <c r="BI69" s="81">
        <f t="shared" si="40"/>
        <v>0</v>
      </c>
      <c r="BJ69" s="81">
        <f t="shared" si="40"/>
        <v>0</v>
      </c>
      <c r="BK69" s="81">
        <f t="shared" si="40"/>
        <v>0</v>
      </c>
      <c r="BL69" s="81">
        <f t="shared" si="40"/>
        <v>0</v>
      </c>
      <c r="BM69" s="81">
        <f t="shared" si="40"/>
        <v>0</v>
      </c>
      <c r="BN69" s="81">
        <f t="shared" si="40"/>
        <v>0</v>
      </c>
      <c r="BO69" s="81">
        <f t="shared" si="40"/>
        <v>0</v>
      </c>
      <c r="BP69" s="81">
        <f t="shared" si="40"/>
        <v>0</v>
      </c>
      <c r="BQ69" s="81">
        <f t="shared" ref="BQ69:BQ72" si="43">X82</f>
        <v>0</v>
      </c>
      <c r="BR69" s="81">
        <f t="shared" ref="BR69:BR72" si="44">Z82</f>
        <v>0</v>
      </c>
      <c r="BS69" s="80">
        <f t="shared" ref="BS69:BS72" si="45">AB82</f>
        <v>0</v>
      </c>
      <c r="BT69" s="80">
        <f t="shared" ref="BT69:BV72" si="46">AD82</f>
        <v>0</v>
      </c>
      <c r="BU69" s="80">
        <f t="shared" si="46"/>
        <v>0</v>
      </c>
      <c r="BV69" s="80">
        <f t="shared" si="46"/>
        <v>0</v>
      </c>
      <c r="BW69" s="80">
        <f t="shared" ref="BW69:BW72" si="47">B82</f>
        <v>0</v>
      </c>
    </row>
    <row r="70" spans="1:75" x14ac:dyDescent="0.25">
      <c r="A70" s="64" t="s">
        <v>89</v>
      </c>
      <c r="B70" s="75">
        <v>4</v>
      </c>
      <c r="C70" s="75">
        <v>4</v>
      </c>
      <c r="D70" s="75">
        <v>4</v>
      </c>
      <c r="E70" s="75">
        <v>4</v>
      </c>
      <c r="F70" s="75">
        <v>4</v>
      </c>
      <c r="G70" s="75">
        <v>4</v>
      </c>
      <c r="H70" s="75">
        <v>4</v>
      </c>
      <c r="I70" s="75">
        <v>4</v>
      </c>
      <c r="J70" s="75">
        <v>4</v>
      </c>
      <c r="K70" s="75">
        <v>4</v>
      </c>
      <c r="L70" s="75">
        <v>4</v>
      </c>
      <c r="M70" s="75">
        <v>4</v>
      </c>
      <c r="N70" s="75">
        <v>4</v>
      </c>
      <c r="O70" s="75">
        <v>4</v>
      </c>
      <c r="P70" s="75">
        <v>4</v>
      </c>
      <c r="Q70" s="75">
        <v>4</v>
      </c>
      <c r="R70" s="75">
        <v>4</v>
      </c>
      <c r="S70" s="75">
        <v>4</v>
      </c>
      <c r="T70" s="75">
        <v>4</v>
      </c>
      <c r="U70" s="75">
        <v>4</v>
      </c>
      <c r="V70" s="75">
        <v>4</v>
      </c>
      <c r="W70" s="75">
        <v>4</v>
      </c>
      <c r="X70" s="75">
        <v>4</v>
      </c>
      <c r="Y70" s="75">
        <v>4</v>
      </c>
      <c r="Z70" s="75">
        <v>4</v>
      </c>
      <c r="AA70" s="75">
        <v>4</v>
      </c>
      <c r="AB70" s="75">
        <v>4</v>
      </c>
      <c r="AC70" s="75">
        <v>4</v>
      </c>
      <c r="AD70" s="75">
        <v>4</v>
      </c>
      <c r="AE70" s="75">
        <v>4</v>
      </c>
      <c r="AF70" s="75">
        <v>4</v>
      </c>
      <c r="AG70" s="65">
        <v>15</v>
      </c>
      <c r="AH70" s="48">
        <f t="shared" si="8"/>
        <v>4</v>
      </c>
      <c r="AI70" s="49">
        <f t="shared" si="9"/>
        <v>4</v>
      </c>
      <c r="AK70" s="51"/>
      <c r="AL70" s="82"/>
      <c r="AO70" s="82"/>
      <c r="AY70" s="1" t="s">
        <v>90</v>
      </c>
      <c r="AZ70" s="81">
        <f>ROUND(C83,0)</f>
        <v>420</v>
      </c>
      <c r="BA70" s="80">
        <f t="shared" si="39"/>
        <v>424</v>
      </c>
      <c r="BB70" s="80">
        <f t="shared" si="39"/>
        <v>398</v>
      </c>
      <c r="BC70" s="80">
        <f t="shared" si="39"/>
        <v>480</v>
      </c>
      <c r="BD70" s="80">
        <f t="shared" si="39"/>
        <v>480</v>
      </c>
      <c r="BE70" s="81">
        <f t="shared" si="41"/>
        <v>478</v>
      </c>
      <c r="BF70" s="81">
        <f t="shared" si="42"/>
        <v>395</v>
      </c>
      <c r="BG70" s="81">
        <f t="shared" si="40"/>
        <v>298</v>
      </c>
      <c r="BH70" s="81">
        <f t="shared" si="40"/>
        <v>310</v>
      </c>
      <c r="BI70" s="81">
        <f t="shared" si="40"/>
        <v>418</v>
      </c>
      <c r="BJ70" s="81">
        <f t="shared" si="40"/>
        <v>422.4</v>
      </c>
      <c r="BK70" s="81">
        <f t="shared" si="40"/>
        <v>466.1</v>
      </c>
      <c r="BL70" s="81">
        <f t="shared" si="40"/>
        <v>476.5</v>
      </c>
      <c r="BM70" s="81">
        <f t="shared" si="40"/>
        <v>522.4</v>
      </c>
      <c r="BN70" s="81">
        <f t="shared" si="40"/>
        <v>553.20000000000005</v>
      </c>
      <c r="BO70" s="81">
        <f t="shared" si="40"/>
        <v>497.3</v>
      </c>
      <c r="BP70" s="81">
        <f t="shared" si="40"/>
        <v>454.8</v>
      </c>
      <c r="BQ70" s="81">
        <f t="shared" si="43"/>
        <v>476.1</v>
      </c>
      <c r="BR70" s="81">
        <f t="shared" si="44"/>
        <v>209.7</v>
      </c>
      <c r="BS70" s="80">
        <f t="shared" si="45"/>
        <v>242</v>
      </c>
      <c r="BT70" s="80">
        <f t="shared" si="46"/>
        <v>405</v>
      </c>
      <c r="BU70" s="80">
        <f t="shared" si="46"/>
        <v>359</v>
      </c>
      <c r="BV70" s="80">
        <f t="shared" si="46"/>
        <v>434</v>
      </c>
      <c r="BW70" s="80">
        <f t="shared" si="47"/>
        <v>405</v>
      </c>
    </row>
    <row r="71" spans="1:75" s="82" customFormat="1" x14ac:dyDescent="0.25">
      <c r="A71" s="64" t="s">
        <v>91</v>
      </c>
      <c r="B71" s="75">
        <v>5.8</v>
      </c>
      <c r="C71" s="75">
        <v>5.8</v>
      </c>
      <c r="D71" s="75">
        <v>5.8</v>
      </c>
      <c r="E71" s="75">
        <v>5.8</v>
      </c>
      <c r="F71" s="75">
        <v>5.8</v>
      </c>
      <c r="G71" s="75">
        <v>5.8</v>
      </c>
      <c r="H71" s="75">
        <v>5.8</v>
      </c>
      <c r="I71" s="75">
        <v>5.8</v>
      </c>
      <c r="J71" s="75">
        <v>5.8</v>
      </c>
      <c r="K71" s="75">
        <v>5.8</v>
      </c>
      <c r="L71" s="75">
        <v>5.8</v>
      </c>
      <c r="M71" s="75">
        <v>5.8</v>
      </c>
      <c r="N71" s="75">
        <v>5.8</v>
      </c>
      <c r="O71" s="75">
        <v>5.8</v>
      </c>
      <c r="P71" s="75">
        <v>5.8</v>
      </c>
      <c r="Q71" s="75">
        <v>5.8</v>
      </c>
      <c r="R71" s="75">
        <v>5.8</v>
      </c>
      <c r="S71" s="75">
        <v>5.8</v>
      </c>
      <c r="T71" s="75">
        <v>5.8</v>
      </c>
      <c r="U71" s="75">
        <v>5.8</v>
      </c>
      <c r="V71" s="75">
        <v>5.8</v>
      </c>
      <c r="W71" s="75">
        <v>5.8</v>
      </c>
      <c r="X71" s="75">
        <v>5.8</v>
      </c>
      <c r="Y71" s="75">
        <v>5.8</v>
      </c>
      <c r="Z71" s="75">
        <v>5.8</v>
      </c>
      <c r="AA71" s="75">
        <v>5.8</v>
      </c>
      <c r="AB71" s="75">
        <v>5.8</v>
      </c>
      <c r="AC71" s="75">
        <v>5.8</v>
      </c>
      <c r="AD71" s="75">
        <v>5.8</v>
      </c>
      <c r="AE71" s="75">
        <v>5.8</v>
      </c>
      <c r="AF71" s="75">
        <v>5.8</v>
      </c>
      <c r="AG71" s="65">
        <v>14.1</v>
      </c>
      <c r="AH71" s="48">
        <f t="shared" si="8"/>
        <v>5.8</v>
      </c>
      <c r="AI71" s="49">
        <f t="shared" si="9"/>
        <v>5.8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54</v>
      </c>
      <c r="BA71" s="80">
        <f t="shared" si="39"/>
        <v>55</v>
      </c>
      <c r="BB71" s="80">
        <f t="shared" si="39"/>
        <v>48</v>
      </c>
      <c r="BC71" s="80">
        <f t="shared" si="39"/>
        <v>5</v>
      </c>
      <c r="BD71" s="80">
        <f t="shared" si="39"/>
        <v>5</v>
      </c>
      <c r="BE71" s="81">
        <f t="shared" si="41"/>
        <v>6.1</v>
      </c>
      <c r="BF71" s="81">
        <f t="shared" si="42"/>
        <v>36.5</v>
      </c>
      <c r="BG71" s="81">
        <f t="shared" si="40"/>
        <v>50</v>
      </c>
      <c r="BH71" s="81">
        <f t="shared" si="40"/>
        <v>50</v>
      </c>
      <c r="BI71" s="81">
        <f t="shared" si="40"/>
        <v>35</v>
      </c>
      <c r="BJ71" s="81">
        <f t="shared" si="40"/>
        <v>37</v>
      </c>
      <c r="BK71" s="81">
        <f t="shared" si="40"/>
        <v>36</v>
      </c>
      <c r="BL71" s="81">
        <f t="shared" si="40"/>
        <v>52</v>
      </c>
      <c r="BM71" s="81">
        <f t="shared" si="40"/>
        <v>46.8</v>
      </c>
      <c r="BN71" s="81">
        <f t="shared" si="40"/>
        <v>46.8</v>
      </c>
      <c r="BO71" s="81">
        <f t="shared" si="40"/>
        <v>51.3</v>
      </c>
      <c r="BP71" s="81">
        <f t="shared" si="40"/>
        <v>51.4</v>
      </c>
      <c r="BQ71" s="81">
        <f t="shared" si="43"/>
        <v>0</v>
      </c>
      <c r="BR71" s="81">
        <f t="shared" si="44"/>
        <v>0</v>
      </c>
      <c r="BS71" s="80">
        <f t="shared" si="45"/>
        <v>0</v>
      </c>
      <c r="BT71" s="80">
        <f t="shared" si="46"/>
        <v>50</v>
      </c>
      <c r="BU71" s="80">
        <f t="shared" si="46"/>
        <v>53</v>
      </c>
      <c r="BV71" s="80">
        <f t="shared" si="46"/>
        <v>51</v>
      </c>
      <c r="BW71" s="80">
        <f t="shared" si="47"/>
        <v>51</v>
      </c>
    </row>
    <row r="72" spans="1:75" x14ac:dyDescent="0.25">
      <c r="A72" s="83" t="s">
        <v>93</v>
      </c>
      <c r="B72" s="75">
        <v>4.8</v>
      </c>
      <c r="C72" s="75">
        <v>4.8</v>
      </c>
      <c r="D72" s="75">
        <v>4.8</v>
      </c>
      <c r="E72" s="75">
        <v>4.8</v>
      </c>
      <c r="F72" s="75">
        <v>4.8</v>
      </c>
      <c r="G72" s="75">
        <v>4.8</v>
      </c>
      <c r="H72" s="75">
        <v>4.8</v>
      </c>
      <c r="I72" s="75">
        <v>4.8</v>
      </c>
      <c r="J72" s="75">
        <v>4.8</v>
      </c>
      <c r="K72" s="75">
        <v>4.8</v>
      </c>
      <c r="L72" s="75">
        <v>4.8</v>
      </c>
      <c r="M72" s="75">
        <v>4.8</v>
      </c>
      <c r="N72" s="75">
        <v>4.8</v>
      </c>
      <c r="O72" s="75">
        <v>4.8</v>
      </c>
      <c r="P72" s="75">
        <v>4.8</v>
      </c>
      <c r="Q72" s="75">
        <v>4.8</v>
      </c>
      <c r="R72" s="75">
        <v>4.8</v>
      </c>
      <c r="S72" s="75">
        <v>4.8</v>
      </c>
      <c r="T72" s="75">
        <v>4.8</v>
      </c>
      <c r="U72" s="75">
        <v>4.8</v>
      </c>
      <c r="V72" s="75">
        <v>4.8</v>
      </c>
      <c r="W72" s="75">
        <v>4.8</v>
      </c>
      <c r="X72" s="75">
        <v>4.8</v>
      </c>
      <c r="Y72" s="75">
        <v>4.8</v>
      </c>
      <c r="Z72" s="75">
        <v>4.8</v>
      </c>
      <c r="AA72" s="75">
        <v>4.8</v>
      </c>
      <c r="AB72" s="75">
        <v>4.8</v>
      </c>
      <c r="AC72" s="75">
        <v>4.8</v>
      </c>
      <c r="AD72" s="75">
        <v>4.8</v>
      </c>
      <c r="AE72" s="75">
        <v>4.8</v>
      </c>
      <c r="AF72" s="75">
        <v>4.8</v>
      </c>
      <c r="AG72" s="65">
        <v>14</v>
      </c>
      <c r="AH72" s="48">
        <f t="shared" si="8"/>
        <v>4.8</v>
      </c>
      <c r="AI72" s="49">
        <f t="shared" si="9"/>
        <v>4.8</v>
      </c>
      <c r="AK72" s="51"/>
      <c r="AY72" s="1" t="s">
        <v>94</v>
      </c>
      <c r="AZ72" s="81">
        <f>ROUND(C85,0)</f>
        <v>124</v>
      </c>
      <c r="BA72" s="80">
        <f t="shared" si="39"/>
        <v>100</v>
      </c>
      <c r="BB72" s="80">
        <f t="shared" si="39"/>
        <v>110</v>
      </c>
      <c r="BC72" s="80">
        <f t="shared" si="39"/>
        <v>110</v>
      </c>
      <c r="BD72" s="80">
        <f t="shared" si="39"/>
        <v>110</v>
      </c>
      <c r="BE72" s="81">
        <f t="shared" si="41"/>
        <v>22</v>
      </c>
      <c r="BF72" s="81">
        <f t="shared" si="42"/>
        <v>25</v>
      </c>
      <c r="BG72" s="81">
        <f t="shared" si="40"/>
        <v>32</v>
      </c>
      <c r="BH72" s="81">
        <f t="shared" si="40"/>
        <v>34</v>
      </c>
      <c r="BI72" s="81">
        <f t="shared" si="40"/>
        <v>34</v>
      </c>
      <c r="BJ72" s="81">
        <f t="shared" si="40"/>
        <v>74</v>
      </c>
      <c r="BK72" s="81">
        <f t="shared" si="40"/>
        <v>103.9</v>
      </c>
      <c r="BL72" s="81">
        <f t="shared" si="40"/>
        <v>91</v>
      </c>
      <c r="BM72" s="81">
        <f t="shared" si="40"/>
        <v>97.4</v>
      </c>
      <c r="BN72" s="81">
        <f t="shared" si="40"/>
        <v>97.4</v>
      </c>
      <c r="BO72" s="81">
        <f t="shared" si="40"/>
        <v>106.7</v>
      </c>
      <c r="BP72" s="81">
        <f t="shared" si="40"/>
        <v>91.8</v>
      </c>
      <c r="BQ72" s="81">
        <f t="shared" si="43"/>
        <v>0</v>
      </c>
      <c r="BR72" s="81">
        <f t="shared" si="44"/>
        <v>0</v>
      </c>
      <c r="BS72" s="80">
        <f t="shared" si="45"/>
        <v>0</v>
      </c>
      <c r="BT72" s="80">
        <f t="shared" si="46"/>
        <v>98</v>
      </c>
      <c r="BU72" s="80">
        <f t="shared" si="46"/>
        <v>106</v>
      </c>
      <c r="BV72" s="80">
        <f t="shared" si="46"/>
        <v>108</v>
      </c>
      <c r="BW72" s="80">
        <f t="shared" si="47"/>
        <v>132</v>
      </c>
    </row>
    <row r="73" spans="1:75" x14ac:dyDescent="0.25">
      <c r="A73" s="64" t="s">
        <v>95</v>
      </c>
      <c r="B73" s="75">
        <v>3</v>
      </c>
      <c r="C73" s="75">
        <v>3</v>
      </c>
      <c r="D73" s="75">
        <v>3</v>
      </c>
      <c r="E73" s="75">
        <v>3</v>
      </c>
      <c r="F73" s="75">
        <v>3</v>
      </c>
      <c r="G73" s="75">
        <v>3</v>
      </c>
      <c r="H73" s="75">
        <v>3</v>
      </c>
      <c r="I73" s="75">
        <v>3</v>
      </c>
      <c r="J73" s="75">
        <v>3</v>
      </c>
      <c r="K73" s="75">
        <v>3</v>
      </c>
      <c r="L73" s="75">
        <v>3</v>
      </c>
      <c r="M73" s="75">
        <v>3</v>
      </c>
      <c r="N73" s="75">
        <v>3</v>
      </c>
      <c r="O73" s="75">
        <v>3</v>
      </c>
      <c r="P73" s="75">
        <v>3</v>
      </c>
      <c r="Q73" s="75">
        <v>3</v>
      </c>
      <c r="R73" s="75">
        <v>3</v>
      </c>
      <c r="S73" s="75">
        <v>3</v>
      </c>
      <c r="T73" s="75">
        <v>3</v>
      </c>
      <c r="U73" s="75">
        <v>3</v>
      </c>
      <c r="V73" s="75">
        <v>3</v>
      </c>
      <c r="W73" s="75">
        <v>3</v>
      </c>
      <c r="X73" s="75">
        <v>3</v>
      </c>
      <c r="Y73" s="75">
        <v>3</v>
      </c>
      <c r="Z73" s="75">
        <v>3</v>
      </c>
      <c r="AA73" s="75">
        <v>3</v>
      </c>
      <c r="AB73" s="75">
        <v>3</v>
      </c>
      <c r="AC73" s="75">
        <v>3</v>
      </c>
      <c r="AD73" s="75">
        <v>3</v>
      </c>
      <c r="AE73" s="75">
        <v>3</v>
      </c>
      <c r="AF73" s="75">
        <v>3</v>
      </c>
      <c r="AG73" s="65">
        <v>10.050000000000001</v>
      </c>
      <c r="AH73" s="48">
        <f t="shared" si="8"/>
        <v>3</v>
      </c>
      <c r="AI73" s="49">
        <f t="shared" si="9"/>
        <v>3</v>
      </c>
      <c r="AK73" s="51"/>
      <c r="AY73" s="1" t="s">
        <v>96</v>
      </c>
      <c r="AZ73" s="81">
        <f>ROUND(C91,0)</f>
        <v>0</v>
      </c>
      <c r="BA73" s="81">
        <f>D91</f>
        <v>55</v>
      </c>
      <c r="BB73" s="81">
        <f>E91</f>
        <v>56</v>
      </c>
      <c r="BC73" s="81">
        <f>F91</f>
        <v>55</v>
      </c>
      <c r="BD73" s="81">
        <f>G91</f>
        <v>55</v>
      </c>
      <c r="BE73" s="81">
        <f>I91</f>
        <v>72</v>
      </c>
      <c r="BF73" s="81">
        <f>K91</f>
        <v>73</v>
      </c>
      <c r="BG73" s="81">
        <f t="shared" ref="BG73:BP73" si="48">M91</f>
        <v>62.1</v>
      </c>
      <c r="BH73" s="81">
        <f t="shared" si="48"/>
        <v>50</v>
      </c>
      <c r="BI73" s="81">
        <f t="shared" si="48"/>
        <v>52</v>
      </c>
      <c r="BJ73" s="81">
        <f t="shared" si="48"/>
        <v>70</v>
      </c>
      <c r="BK73" s="81">
        <f t="shared" si="48"/>
        <v>62</v>
      </c>
      <c r="BL73" s="81">
        <f t="shared" si="48"/>
        <v>60</v>
      </c>
      <c r="BM73" s="81">
        <f t="shared" si="48"/>
        <v>66</v>
      </c>
      <c r="BN73" s="81">
        <f t="shared" si="48"/>
        <v>66</v>
      </c>
      <c r="BO73" s="81">
        <f t="shared" si="48"/>
        <v>72</v>
      </c>
      <c r="BP73" s="81">
        <f t="shared" si="48"/>
        <v>62</v>
      </c>
      <c r="BQ73" s="81">
        <f>X91</f>
        <v>52</v>
      </c>
      <c r="BR73" s="81">
        <f>Z91</f>
        <v>54</v>
      </c>
      <c r="BS73" s="81">
        <f>AB91</f>
        <v>0</v>
      </c>
      <c r="BT73" s="81">
        <f>AD91</f>
        <v>0</v>
      </c>
      <c r="BU73" s="81">
        <f>AE91</f>
        <v>0</v>
      </c>
      <c r="BV73" s="81">
        <f>AF91</f>
        <v>0</v>
      </c>
      <c r="BW73" s="81">
        <f>B91</f>
        <v>0</v>
      </c>
    </row>
    <row r="74" spans="1:75" x14ac:dyDescent="0.25">
      <c r="A74" s="64" t="s">
        <v>97</v>
      </c>
      <c r="B74" s="75">
        <v>2</v>
      </c>
      <c r="C74" s="75">
        <v>2</v>
      </c>
      <c r="D74" s="75">
        <v>2</v>
      </c>
      <c r="E74" s="75">
        <v>2</v>
      </c>
      <c r="F74" s="75">
        <v>2</v>
      </c>
      <c r="G74" s="75">
        <v>2</v>
      </c>
      <c r="H74" s="75">
        <v>2</v>
      </c>
      <c r="I74" s="75">
        <v>2</v>
      </c>
      <c r="J74" s="75">
        <v>2</v>
      </c>
      <c r="K74" s="75">
        <v>2</v>
      </c>
      <c r="L74" s="75">
        <v>2</v>
      </c>
      <c r="M74" s="75">
        <v>2</v>
      </c>
      <c r="N74" s="75">
        <v>2</v>
      </c>
      <c r="O74" s="75">
        <v>2</v>
      </c>
      <c r="P74" s="75">
        <v>2</v>
      </c>
      <c r="Q74" s="75">
        <v>2</v>
      </c>
      <c r="R74" s="75">
        <v>2</v>
      </c>
      <c r="S74" s="75">
        <v>2</v>
      </c>
      <c r="T74" s="75">
        <v>2</v>
      </c>
      <c r="U74" s="75">
        <v>2</v>
      </c>
      <c r="V74" s="75">
        <v>2</v>
      </c>
      <c r="W74" s="75">
        <v>2</v>
      </c>
      <c r="X74" s="75">
        <v>2</v>
      </c>
      <c r="Y74" s="75">
        <v>2</v>
      </c>
      <c r="Z74" s="75">
        <v>2</v>
      </c>
      <c r="AA74" s="75">
        <v>2</v>
      </c>
      <c r="AB74" s="75">
        <v>2</v>
      </c>
      <c r="AC74" s="75">
        <v>2</v>
      </c>
      <c r="AD74" s="75">
        <v>2</v>
      </c>
      <c r="AE74" s="75">
        <v>2</v>
      </c>
      <c r="AF74" s="75">
        <v>2</v>
      </c>
      <c r="AG74" s="65">
        <v>6.2</v>
      </c>
      <c r="AH74" s="48">
        <f t="shared" si="8"/>
        <v>2</v>
      </c>
      <c r="AI74" s="49">
        <f t="shared" si="9"/>
        <v>2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</row>
    <row r="75" spans="1:75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>
        <v>3.54</v>
      </c>
      <c r="W75" s="84">
        <v>3.54</v>
      </c>
      <c r="X75" s="84">
        <v>3.54</v>
      </c>
      <c r="Y75" s="84">
        <v>3.54</v>
      </c>
      <c r="Z75" s="84">
        <v>3.54</v>
      </c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8"/>
        <v>3.54</v>
      </c>
      <c r="AI75" s="49">
        <f t="shared" si="9"/>
        <v>3.54</v>
      </c>
      <c r="AK75" s="51"/>
      <c r="AZ75" s="81">
        <f>VALUE(AZ68)</f>
        <v>60</v>
      </c>
      <c r="BA75" s="81">
        <f t="shared" ref="BA75:BW75" si="49">VALUE(BA68)</f>
        <v>61</v>
      </c>
      <c r="BB75" s="81">
        <f t="shared" si="49"/>
        <v>55</v>
      </c>
      <c r="BC75" s="81">
        <f t="shared" si="49"/>
        <v>55</v>
      </c>
      <c r="BD75" s="81">
        <f t="shared" si="49"/>
        <v>55</v>
      </c>
      <c r="BE75" s="81">
        <f t="shared" si="49"/>
        <v>59</v>
      </c>
      <c r="BF75" s="81">
        <f t="shared" si="49"/>
        <v>67.599999999999994</v>
      </c>
      <c r="BG75" s="81">
        <f t="shared" si="49"/>
        <v>43.7</v>
      </c>
      <c r="BH75" s="81">
        <f t="shared" si="49"/>
        <v>46.2</v>
      </c>
      <c r="BI75" s="81">
        <f t="shared" si="49"/>
        <v>48.4</v>
      </c>
      <c r="BJ75" s="81">
        <f t="shared" si="49"/>
        <v>62.3</v>
      </c>
      <c r="BK75" s="81">
        <f t="shared" si="49"/>
        <v>59.5</v>
      </c>
      <c r="BL75" s="81">
        <f t="shared" si="49"/>
        <v>52.2</v>
      </c>
      <c r="BM75" s="81">
        <f t="shared" si="49"/>
        <v>62.5</v>
      </c>
      <c r="BN75" s="81">
        <f t="shared" si="49"/>
        <v>62.1</v>
      </c>
      <c r="BO75" s="81">
        <f t="shared" si="49"/>
        <v>51.4</v>
      </c>
      <c r="BP75" s="81">
        <f t="shared" si="49"/>
        <v>60.8</v>
      </c>
      <c r="BQ75" s="81">
        <f t="shared" si="49"/>
        <v>39.799999999999997</v>
      </c>
      <c r="BR75" s="81">
        <f t="shared" si="49"/>
        <v>45.5</v>
      </c>
      <c r="BS75" s="81">
        <f t="shared" si="49"/>
        <v>52.6</v>
      </c>
      <c r="BT75" s="81">
        <f t="shared" si="49"/>
        <v>66</v>
      </c>
      <c r="BU75" s="81">
        <f t="shared" si="49"/>
        <v>64</v>
      </c>
      <c r="BV75" s="81">
        <f t="shared" si="49"/>
        <v>62</v>
      </c>
      <c r="BW75" s="81">
        <f t="shared" si="49"/>
        <v>56</v>
      </c>
    </row>
    <row r="76" spans="1:75" ht="15.75" thickBot="1" x14ac:dyDescent="0.3">
      <c r="A76" s="86" t="s">
        <v>99</v>
      </c>
      <c r="B76" s="70">
        <f t="shared" ref="B76:C76" si="50">SUM(B63:B75)</f>
        <v>135.43999999999997</v>
      </c>
      <c r="C76" s="70">
        <f t="shared" si="50"/>
        <v>68.44</v>
      </c>
      <c r="D76" s="70">
        <f t="shared" ref="D76" si="51">SUM(D63:D75)</f>
        <v>68.44</v>
      </c>
      <c r="E76" s="70">
        <f t="shared" ref="E76:AG76" si="52">SUM(E63:E75)</f>
        <v>68.44</v>
      </c>
      <c r="F76" s="70">
        <f t="shared" si="52"/>
        <v>68.44</v>
      </c>
      <c r="G76" s="70">
        <f t="shared" si="52"/>
        <v>68.44</v>
      </c>
      <c r="H76" s="70">
        <f t="shared" si="52"/>
        <v>108.44</v>
      </c>
      <c r="I76" s="70">
        <f t="shared" si="52"/>
        <v>160.44000000000003</v>
      </c>
      <c r="J76" s="70">
        <f t="shared" si="52"/>
        <v>193.44000000000003</v>
      </c>
      <c r="K76" s="70">
        <f t="shared" si="52"/>
        <v>285.74000000000007</v>
      </c>
      <c r="L76" s="70">
        <f t="shared" si="52"/>
        <v>281.24000000000007</v>
      </c>
      <c r="M76" s="70">
        <f t="shared" si="52"/>
        <v>253.24000000000004</v>
      </c>
      <c r="N76" s="70">
        <f t="shared" si="52"/>
        <v>212.64000000000001</v>
      </c>
      <c r="O76" s="70">
        <f t="shared" si="52"/>
        <v>193.64000000000001</v>
      </c>
      <c r="P76" s="70">
        <f t="shared" si="52"/>
        <v>198.23999999999998</v>
      </c>
      <c r="Q76" s="70">
        <f t="shared" si="52"/>
        <v>207.34000000000003</v>
      </c>
      <c r="R76" s="70">
        <f t="shared" si="52"/>
        <v>207.54000000000002</v>
      </c>
      <c r="S76" s="70">
        <f t="shared" ref="S76:T76" si="53">SUM(S63:S75)</f>
        <v>190.74</v>
      </c>
      <c r="T76" s="70">
        <f t="shared" si="53"/>
        <v>196.84</v>
      </c>
      <c r="U76" s="70">
        <f t="shared" ref="U76:V76" si="54">SUM(U63:U75)</f>
        <v>225.04000000000002</v>
      </c>
      <c r="V76" s="70">
        <f t="shared" si="54"/>
        <v>187.54000000000002</v>
      </c>
      <c r="W76" s="70">
        <f t="shared" ref="W76:X76" si="55">SUM(W63:W75)</f>
        <v>222.44000000000003</v>
      </c>
      <c r="X76" s="70">
        <f t="shared" si="55"/>
        <v>246.04</v>
      </c>
      <c r="Y76" s="70">
        <f t="shared" ref="Y76:Z76" si="56">SUM(Y63:Y75)</f>
        <v>334.04</v>
      </c>
      <c r="Z76" s="70">
        <f t="shared" si="56"/>
        <v>347.74000000000007</v>
      </c>
      <c r="AA76" s="70">
        <f t="shared" ref="AA76" si="57">SUM(AA63:AA75)</f>
        <v>323.44000000000005</v>
      </c>
      <c r="AB76" s="70">
        <f t="shared" si="52"/>
        <v>281.44</v>
      </c>
      <c r="AC76" s="70">
        <f t="shared" si="52"/>
        <v>206.14000000000001</v>
      </c>
      <c r="AD76" s="70">
        <f t="shared" si="52"/>
        <v>203.04000000000002</v>
      </c>
      <c r="AE76" s="70">
        <f t="shared" si="52"/>
        <v>158.64000000000001</v>
      </c>
      <c r="AF76" s="70">
        <f t="shared" si="52"/>
        <v>97.14</v>
      </c>
      <c r="AG76" s="71">
        <f t="shared" si="52"/>
        <v>489.91</v>
      </c>
      <c r="AH76" s="48">
        <f t="shared" si="8"/>
        <v>347.74000000000007</v>
      </c>
      <c r="AI76" s="49">
        <f t="shared" si="9"/>
        <v>68.44</v>
      </c>
      <c r="AK76" s="51"/>
      <c r="AZ76" s="81">
        <f t="shared" ref="AZ76:BW80" si="58">VALUE(AZ69)</f>
        <v>0</v>
      </c>
      <c r="BA76" s="81">
        <f t="shared" si="58"/>
        <v>0</v>
      </c>
      <c r="BB76" s="81">
        <f t="shared" si="58"/>
        <v>0</v>
      </c>
      <c r="BC76" s="81">
        <f t="shared" si="58"/>
        <v>0</v>
      </c>
      <c r="BD76" s="81">
        <f t="shared" si="58"/>
        <v>0</v>
      </c>
      <c r="BE76" s="81">
        <f t="shared" si="58"/>
        <v>0</v>
      </c>
      <c r="BF76" s="81">
        <f t="shared" si="58"/>
        <v>0</v>
      </c>
      <c r="BG76" s="81">
        <f t="shared" si="58"/>
        <v>0</v>
      </c>
      <c r="BH76" s="81">
        <f t="shared" si="58"/>
        <v>0</v>
      </c>
      <c r="BI76" s="81">
        <f t="shared" si="58"/>
        <v>0</v>
      </c>
      <c r="BJ76" s="81">
        <f t="shared" si="58"/>
        <v>0</v>
      </c>
      <c r="BK76" s="81">
        <f t="shared" si="58"/>
        <v>0</v>
      </c>
      <c r="BL76" s="81">
        <f t="shared" si="58"/>
        <v>0</v>
      </c>
      <c r="BM76" s="81">
        <f t="shared" si="58"/>
        <v>0</v>
      </c>
      <c r="BN76" s="81">
        <f t="shared" si="58"/>
        <v>0</v>
      </c>
      <c r="BO76" s="81">
        <f t="shared" si="58"/>
        <v>0</v>
      </c>
      <c r="BP76" s="81">
        <f t="shared" si="58"/>
        <v>0</v>
      </c>
      <c r="BQ76" s="81">
        <f t="shared" si="58"/>
        <v>0</v>
      </c>
      <c r="BR76" s="81">
        <f t="shared" si="58"/>
        <v>0</v>
      </c>
      <c r="BS76" s="81">
        <f t="shared" si="58"/>
        <v>0</v>
      </c>
      <c r="BT76" s="81">
        <f t="shared" si="58"/>
        <v>0</v>
      </c>
      <c r="BU76" s="81">
        <f t="shared" si="58"/>
        <v>0</v>
      </c>
      <c r="BV76" s="81">
        <f t="shared" si="58"/>
        <v>0</v>
      </c>
      <c r="BW76" s="81">
        <f t="shared" si="58"/>
        <v>0</v>
      </c>
    </row>
    <row r="77" spans="1:75" x14ac:dyDescent="0.25">
      <c r="A77" s="45" t="s">
        <v>100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>
        <v>44</v>
      </c>
      <c r="Z77" s="46">
        <v>60</v>
      </c>
      <c r="AA77" s="46">
        <v>45</v>
      </c>
      <c r="AB77" s="46">
        <v>30</v>
      </c>
      <c r="AC77" s="46">
        <v>0</v>
      </c>
      <c r="AD77" s="46">
        <v>0</v>
      </c>
      <c r="AE77" s="46"/>
      <c r="AF77" s="46"/>
      <c r="AG77" s="60">
        <v>60</v>
      </c>
      <c r="AH77" s="48">
        <f t="shared" si="8"/>
        <v>60</v>
      </c>
      <c r="AI77" s="49">
        <f t="shared" si="9"/>
        <v>0</v>
      </c>
      <c r="AK77" s="51"/>
      <c r="AZ77" s="81">
        <f t="shared" si="58"/>
        <v>420</v>
      </c>
      <c r="BA77" s="81">
        <f t="shared" si="58"/>
        <v>424</v>
      </c>
      <c r="BB77" s="81">
        <f t="shared" si="58"/>
        <v>398</v>
      </c>
      <c r="BC77" s="81">
        <f t="shared" si="58"/>
        <v>480</v>
      </c>
      <c r="BD77" s="81">
        <f t="shared" si="58"/>
        <v>480</v>
      </c>
      <c r="BE77" s="81">
        <f t="shared" si="58"/>
        <v>478</v>
      </c>
      <c r="BF77" s="81">
        <f t="shared" si="58"/>
        <v>395</v>
      </c>
      <c r="BG77" s="81">
        <f t="shared" si="58"/>
        <v>298</v>
      </c>
      <c r="BH77" s="81">
        <f t="shared" si="58"/>
        <v>310</v>
      </c>
      <c r="BI77" s="81">
        <f t="shared" si="58"/>
        <v>418</v>
      </c>
      <c r="BJ77" s="81">
        <f t="shared" si="58"/>
        <v>422.4</v>
      </c>
      <c r="BK77" s="81">
        <f t="shared" si="58"/>
        <v>466.1</v>
      </c>
      <c r="BL77" s="81">
        <f t="shared" si="58"/>
        <v>476.5</v>
      </c>
      <c r="BM77" s="81">
        <f t="shared" si="58"/>
        <v>522.4</v>
      </c>
      <c r="BN77" s="81">
        <f t="shared" si="58"/>
        <v>553.20000000000005</v>
      </c>
      <c r="BO77" s="81">
        <f t="shared" si="58"/>
        <v>497.3</v>
      </c>
      <c r="BP77" s="81">
        <f t="shared" si="58"/>
        <v>454.8</v>
      </c>
      <c r="BQ77" s="81">
        <f t="shared" si="58"/>
        <v>476.1</v>
      </c>
      <c r="BR77" s="81">
        <f t="shared" si="58"/>
        <v>209.7</v>
      </c>
      <c r="BS77" s="81">
        <f t="shared" si="58"/>
        <v>242</v>
      </c>
      <c r="BT77" s="81">
        <f t="shared" si="58"/>
        <v>405</v>
      </c>
      <c r="BU77" s="81">
        <f t="shared" si="58"/>
        <v>359</v>
      </c>
      <c r="BV77" s="81">
        <f t="shared" si="58"/>
        <v>434</v>
      </c>
      <c r="BW77" s="81">
        <f t="shared" si="58"/>
        <v>405</v>
      </c>
    </row>
    <row r="78" spans="1:75" x14ac:dyDescent="0.25">
      <c r="A78" s="64" t="s">
        <v>101</v>
      </c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>
        <v>15.7</v>
      </c>
      <c r="Z78" s="75">
        <v>18.5</v>
      </c>
      <c r="AA78" s="75">
        <v>28</v>
      </c>
      <c r="AB78" s="75">
        <v>13.8</v>
      </c>
      <c r="AC78" s="75">
        <v>4</v>
      </c>
      <c r="AD78" s="75">
        <v>0</v>
      </c>
      <c r="AE78" s="75"/>
      <c r="AF78" s="75"/>
      <c r="AG78" s="65">
        <v>32</v>
      </c>
      <c r="AH78" s="48">
        <f t="shared" si="8"/>
        <v>28</v>
      </c>
      <c r="AI78" s="49">
        <f t="shared" si="9"/>
        <v>0</v>
      </c>
      <c r="AK78" s="51"/>
      <c r="AZ78" s="81">
        <f t="shared" si="58"/>
        <v>54</v>
      </c>
      <c r="BA78" s="81">
        <f t="shared" si="58"/>
        <v>55</v>
      </c>
      <c r="BB78" s="81">
        <f t="shared" si="58"/>
        <v>48</v>
      </c>
      <c r="BC78" s="81">
        <f t="shared" si="58"/>
        <v>5</v>
      </c>
      <c r="BD78" s="81">
        <f t="shared" si="58"/>
        <v>5</v>
      </c>
      <c r="BE78" s="81">
        <f t="shared" si="58"/>
        <v>6.1</v>
      </c>
      <c r="BF78" s="81">
        <f t="shared" si="58"/>
        <v>36.5</v>
      </c>
      <c r="BG78" s="81">
        <f t="shared" si="58"/>
        <v>50</v>
      </c>
      <c r="BH78" s="81">
        <f t="shared" si="58"/>
        <v>50</v>
      </c>
      <c r="BI78" s="81">
        <f t="shared" si="58"/>
        <v>35</v>
      </c>
      <c r="BJ78" s="81">
        <f t="shared" si="58"/>
        <v>37</v>
      </c>
      <c r="BK78" s="81">
        <f t="shared" si="58"/>
        <v>36</v>
      </c>
      <c r="BL78" s="81">
        <f t="shared" si="58"/>
        <v>52</v>
      </c>
      <c r="BM78" s="81">
        <f t="shared" si="58"/>
        <v>46.8</v>
      </c>
      <c r="BN78" s="81">
        <f t="shared" si="58"/>
        <v>46.8</v>
      </c>
      <c r="BO78" s="81">
        <f t="shared" si="58"/>
        <v>51.3</v>
      </c>
      <c r="BP78" s="81">
        <f t="shared" si="58"/>
        <v>51.4</v>
      </c>
      <c r="BQ78" s="81">
        <f t="shared" si="58"/>
        <v>0</v>
      </c>
      <c r="BR78" s="81">
        <f t="shared" si="58"/>
        <v>0</v>
      </c>
      <c r="BS78" s="81">
        <f t="shared" si="58"/>
        <v>0</v>
      </c>
      <c r="BT78" s="81">
        <f t="shared" si="58"/>
        <v>50</v>
      </c>
      <c r="BU78" s="81">
        <f t="shared" si="58"/>
        <v>53</v>
      </c>
      <c r="BV78" s="81">
        <f t="shared" si="58"/>
        <v>51</v>
      </c>
      <c r="BW78" s="81">
        <f t="shared" si="58"/>
        <v>51</v>
      </c>
    </row>
    <row r="79" spans="1:75" ht="15.75" thickBot="1" x14ac:dyDescent="0.3">
      <c r="A79" s="83" t="s">
        <v>102</v>
      </c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>
        <v>5.7</v>
      </c>
      <c r="Z79" s="77">
        <v>6.8</v>
      </c>
      <c r="AA79" s="77">
        <v>10.199999999999999</v>
      </c>
      <c r="AB79" s="77">
        <v>5</v>
      </c>
      <c r="AC79" s="77">
        <v>1.5</v>
      </c>
      <c r="AD79" s="77">
        <v>0</v>
      </c>
      <c r="AE79" s="77"/>
      <c r="AF79" s="77"/>
      <c r="AG79" s="78">
        <v>14</v>
      </c>
      <c r="AH79" s="48">
        <f t="shared" si="8"/>
        <v>10.199999999999999</v>
      </c>
      <c r="AI79" s="49">
        <f t="shared" si="9"/>
        <v>0</v>
      </c>
      <c r="AK79" s="51"/>
      <c r="AZ79" s="81">
        <f t="shared" si="58"/>
        <v>124</v>
      </c>
      <c r="BA79" s="81">
        <f t="shared" si="58"/>
        <v>100</v>
      </c>
      <c r="BB79" s="81">
        <f t="shared" si="58"/>
        <v>110</v>
      </c>
      <c r="BC79" s="81">
        <f t="shared" si="58"/>
        <v>110</v>
      </c>
      <c r="BD79" s="81">
        <f t="shared" si="58"/>
        <v>110</v>
      </c>
      <c r="BE79" s="81">
        <f t="shared" si="58"/>
        <v>22</v>
      </c>
      <c r="BF79" s="81">
        <f t="shared" si="58"/>
        <v>25</v>
      </c>
      <c r="BG79" s="81">
        <f t="shared" si="58"/>
        <v>32</v>
      </c>
      <c r="BH79" s="81">
        <f t="shared" si="58"/>
        <v>34</v>
      </c>
      <c r="BI79" s="81">
        <f t="shared" si="58"/>
        <v>34</v>
      </c>
      <c r="BJ79" s="81">
        <f t="shared" si="58"/>
        <v>74</v>
      </c>
      <c r="BK79" s="81">
        <f t="shared" si="58"/>
        <v>103.9</v>
      </c>
      <c r="BL79" s="81">
        <f t="shared" si="58"/>
        <v>91</v>
      </c>
      <c r="BM79" s="81">
        <f t="shared" si="58"/>
        <v>97.4</v>
      </c>
      <c r="BN79" s="81">
        <f t="shared" si="58"/>
        <v>97.4</v>
      </c>
      <c r="BO79" s="81">
        <f t="shared" si="58"/>
        <v>106.7</v>
      </c>
      <c r="BP79" s="81">
        <f t="shared" si="58"/>
        <v>91.8</v>
      </c>
      <c r="BQ79" s="81">
        <f t="shared" si="58"/>
        <v>0</v>
      </c>
      <c r="BR79" s="81">
        <f t="shared" si="58"/>
        <v>0</v>
      </c>
      <c r="BS79" s="81">
        <f t="shared" si="58"/>
        <v>0</v>
      </c>
      <c r="BT79" s="81">
        <f t="shared" si="58"/>
        <v>98</v>
      </c>
      <c r="BU79" s="81">
        <f t="shared" si="58"/>
        <v>106</v>
      </c>
      <c r="BV79" s="81">
        <f t="shared" si="58"/>
        <v>108</v>
      </c>
      <c r="BW79" s="81">
        <f t="shared" si="58"/>
        <v>132</v>
      </c>
    </row>
    <row r="80" spans="1:75" ht="15.75" thickBot="1" x14ac:dyDescent="0.3">
      <c r="A80" s="86" t="s">
        <v>103</v>
      </c>
      <c r="B80" s="70">
        <f t="shared" ref="B80:C80" si="59">B77+B78+B79</f>
        <v>0</v>
      </c>
      <c r="C80" s="70">
        <f t="shared" si="59"/>
        <v>0</v>
      </c>
      <c r="D80" s="70">
        <f t="shared" ref="D80" si="60">D77+D78+D79</f>
        <v>0</v>
      </c>
      <c r="E80" s="70">
        <f t="shared" ref="E80:AF80" si="61">E77+E78+E79</f>
        <v>0</v>
      </c>
      <c r="F80" s="70">
        <f t="shared" si="61"/>
        <v>0</v>
      </c>
      <c r="G80" s="70">
        <f t="shared" si="61"/>
        <v>0</v>
      </c>
      <c r="H80" s="70">
        <f t="shared" si="61"/>
        <v>0</v>
      </c>
      <c r="I80" s="70">
        <f t="shared" si="61"/>
        <v>0</v>
      </c>
      <c r="J80" s="70">
        <f t="shared" si="61"/>
        <v>0</v>
      </c>
      <c r="K80" s="70">
        <f t="shared" si="61"/>
        <v>0</v>
      </c>
      <c r="L80" s="70">
        <f t="shared" si="61"/>
        <v>0</v>
      </c>
      <c r="M80" s="70">
        <f t="shared" si="61"/>
        <v>0</v>
      </c>
      <c r="N80" s="70">
        <f t="shared" si="61"/>
        <v>0</v>
      </c>
      <c r="O80" s="70">
        <f t="shared" si="61"/>
        <v>0</v>
      </c>
      <c r="P80" s="70">
        <f t="shared" si="61"/>
        <v>0</v>
      </c>
      <c r="Q80" s="70">
        <f t="shared" si="61"/>
        <v>0</v>
      </c>
      <c r="R80" s="70">
        <f t="shared" si="61"/>
        <v>0</v>
      </c>
      <c r="S80" s="70">
        <f t="shared" ref="S80:T80" si="62">S77+S78+S79</f>
        <v>0</v>
      </c>
      <c r="T80" s="70">
        <f t="shared" si="62"/>
        <v>0</v>
      </c>
      <c r="U80" s="70">
        <f t="shared" ref="U80:V80" si="63">U77+U78+U79</f>
        <v>0</v>
      </c>
      <c r="V80" s="70">
        <f t="shared" si="63"/>
        <v>0</v>
      </c>
      <c r="W80" s="70">
        <f t="shared" ref="W80:X80" si="64">W77+W78+W79</f>
        <v>0</v>
      </c>
      <c r="X80" s="70">
        <f t="shared" si="64"/>
        <v>0</v>
      </c>
      <c r="Y80" s="70">
        <f t="shared" ref="Y80:Z80" si="65">Y77+Y78+Y79</f>
        <v>65.400000000000006</v>
      </c>
      <c r="Z80" s="70">
        <f t="shared" si="65"/>
        <v>85.3</v>
      </c>
      <c r="AA80" s="70">
        <f t="shared" ref="AA80" si="66">AA77+AA78+AA79</f>
        <v>83.2</v>
      </c>
      <c r="AB80" s="70">
        <f t="shared" si="61"/>
        <v>48.8</v>
      </c>
      <c r="AC80" s="70">
        <f t="shared" si="61"/>
        <v>5.5</v>
      </c>
      <c r="AD80" s="70">
        <f t="shared" si="61"/>
        <v>0</v>
      </c>
      <c r="AE80" s="70">
        <f t="shared" si="61"/>
        <v>0</v>
      </c>
      <c r="AF80" s="70">
        <f t="shared" si="61"/>
        <v>0</v>
      </c>
      <c r="AG80" s="71">
        <f>SUM(AG77:AG79)</f>
        <v>106</v>
      </c>
      <c r="AH80" s="48">
        <f t="shared" si="8"/>
        <v>85.3</v>
      </c>
      <c r="AI80" s="49">
        <f t="shared" si="9"/>
        <v>0</v>
      </c>
      <c r="AK80" s="51"/>
      <c r="AZ80" s="81">
        <f t="shared" si="58"/>
        <v>0</v>
      </c>
      <c r="BA80" s="81">
        <f t="shared" si="58"/>
        <v>55</v>
      </c>
      <c r="BB80" s="81">
        <f t="shared" si="58"/>
        <v>56</v>
      </c>
      <c r="BC80" s="81">
        <f t="shared" si="58"/>
        <v>55</v>
      </c>
      <c r="BD80" s="81">
        <f t="shared" si="58"/>
        <v>55</v>
      </c>
      <c r="BE80" s="81">
        <f t="shared" si="58"/>
        <v>72</v>
      </c>
      <c r="BF80" s="81">
        <f t="shared" si="58"/>
        <v>73</v>
      </c>
      <c r="BG80" s="81">
        <f t="shared" si="58"/>
        <v>62.1</v>
      </c>
      <c r="BH80" s="81">
        <f t="shared" si="58"/>
        <v>50</v>
      </c>
      <c r="BI80" s="81">
        <f t="shared" si="58"/>
        <v>52</v>
      </c>
      <c r="BJ80" s="81">
        <f t="shared" si="58"/>
        <v>70</v>
      </c>
      <c r="BK80" s="81">
        <f t="shared" si="58"/>
        <v>62</v>
      </c>
      <c r="BL80" s="81">
        <f t="shared" si="58"/>
        <v>60</v>
      </c>
      <c r="BM80" s="81">
        <f t="shared" si="58"/>
        <v>66</v>
      </c>
      <c r="BN80" s="81">
        <f t="shared" si="58"/>
        <v>66</v>
      </c>
      <c r="BO80" s="81">
        <f t="shared" si="58"/>
        <v>72</v>
      </c>
      <c r="BP80" s="81">
        <f t="shared" si="58"/>
        <v>62</v>
      </c>
      <c r="BQ80" s="81">
        <f t="shared" si="58"/>
        <v>52</v>
      </c>
      <c r="BR80" s="81">
        <f t="shared" si="58"/>
        <v>54</v>
      </c>
      <c r="BS80" s="81">
        <f t="shared" si="58"/>
        <v>0</v>
      </c>
      <c r="BT80" s="81">
        <f t="shared" si="58"/>
        <v>0</v>
      </c>
      <c r="BU80" s="81">
        <f t="shared" si="58"/>
        <v>0</v>
      </c>
      <c r="BV80" s="81">
        <f t="shared" si="58"/>
        <v>0</v>
      </c>
      <c r="BW80" s="81">
        <f t="shared" si="58"/>
        <v>0</v>
      </c>
    </row>
    <row r="81" spans="1:64" x14ac:dyDescent="0.25">
      <c r="A81" s="45" t="s">
        <v>104</v>
      </c>
      <c r="B81" s="46">
        <v>56</v>
      </c>
      <c r="C81" s="46">
        <v>60</v>
      </c>
      <c r="D81" s="46">
        <v>61</v>
      </c>
      <c r="E81" s="46">
        <v>55</v>
      </c>
      <c r="F81" s="46">
        <v>55</v>
      </c>
      <c r="G81" s="46">
        <v>55</v>
      </c>
      <c r="H81" s="46">
        <v>57</v>
      </c>
      <c r="I81" s="46">
        <v>59</v>
      </c>
      <c r="J81" s="46">
        <v>63</v>
      </c>
      <c r="K81" s="46">
        <v>67.599999999999994</v>
      </c>
      <c r="L81" s="46">
        <v>48</v>
      </c>
      <c r="M81" s="46">
        <v>43.7</v>
      </c>
      <c r="N81" s="46">
        <v>46.2</v>
      </c>
      <c r="O81" s="46">
        <v>48.4</v>
      </c>
      <c r="P81" s="46">
        <v>62.3</v>
      </c>
      <c r="Q81" s="46">
        <v>59.5</v>
      </c>
      <c r="R81" s="46">
        <v>52.2</v>
      </c>
      <c r="S81" s="46">
        <v>62.5</v>
      </c>
      <c r="T81" s="46">
        <v>62.1</v>
      </c>
      <c r="U81" s="46">
        <v>51.4</v>
      </c>
      <c r="V81" s="46">
        <v>60.8</v>
      </c>
      <c r="W81" s="46">
        <v>47.8</v>
      </c>
      <c r="X81" s="46">
        <v>39.799999999999997</v>
      </c>
      <c r="Y81" s="46">
        <v>44.3</v>
      </c>
      <c r="Z81" s="46">
        <v>45.5</v>
      </c>
      <c r="AA81" s="46">
        <v>51.3</v>
      </c>
      <c r="AB81" s="46">
        <v>52.6</v>
      </c>
      <c r="AC81" s="46">
        <v>60.4</v>
      </c>
      <c r="AD81" s="46">
        <v>66</v>
      </c>
      <c r="AE81" s="46">
        <v>64</v>
      </c>
      <c r="AF81" s="46">
        <v>62</v>
      </c>
      <c r="AG81" s="60"/>
      <c r="AH81" s="48">
        <f t="shared" si="8"/>
        <v>67.599999999999994</v>
      </c>
      <c r="AI81" s="49">
        <f t="shared" si="9"/>
        <v>39.799999999999997</v>
      </c>
      <c r="AK81" s="51"/>
      <c r="AY81" s="81"/>
    </row>
    <row r="82" spans="1:64" x14ac:dyDescent="0.25">
      <c r="A82" s="64" t="s">
        <v>105</v>
      </c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65"/>
      <c r="AH82" s="48">
        <f t="shared" ref="AH82:AH125" si="67">MAX(B82:AF82)</f>
        <v>0</v>
      </c>
      <c r="AI82" s="49">
        <f t="shared" ref="AI82:AI125" si="68">MIN(B82:AF82)</f>
        <v>0</v>
      </c>
      <c r="AK82" s="51"/>
      <c r="AY82" s="81"/>
      <c r="BF82" s="81"/>
      <c r="BG82" s="81"/>
      <c r="BH82" s="81"/>
      <c r="BI82" s="81"/>
      <c r="BJ82" s="81"/>
      <c r="BK82" s="81"/>
    </row>
    <row r="83" spans="1:64" x14ac:dyDescent="0.25">
      <c r="A83" s="64" t="s">
        <v>106</v>
      </c>
      <c r="B83" s="75">
        <v>405</v>
      </c>
      <c r="C83" s="75">
        <v>420</v>
      </c>
      <c r="D83" s="75">
        <v>424</v>
      </c>
      <c r="E83" s="75">
        <v>398</v>
      </c>
      <c r="F83" s="75">
        <v>480</v>
      </c>
      <c r="G83" s="75">
        <v>480</v>
      </c>
      <c r="H83" s="75">
        <v>472</v>
      </c>
      <c r="I83" s="75">
        <v>478</v>
      </c>
      <c r="J83" s="75">
        <v>400</v>
      </c>
      <c r="K83" s="75">
        <v>395</v>
      </c>
      <c r="L83" s="75">
        <v>303</v>
      </c>
      <c r="M83" s="75">
        <v>298</v>
      </c>
      <c r="N83" s="75">
        <v>310</v>
      </c>
      <c r="O83" s="75">
        <v>418</v>
      </c>
      <c r="P83" s="75">
        <v>422.4</v>
      </c>
      <c r="Q83" s="75">
        <v>466.1</v>
      </c>
      <c r="R83" s="75">
        <v>476.5</v>
      </c>
      <c r="S83" s="75">
        <v>522.4</v>
      </c>
      <c r="T83" s="75">
        <v>553.20000000000005</v>
      </c>
      <c r="U83" s="75">
        <v>497.3</v>
      </c>
      <c r="V83" s="75">
        <v>454.8</v>
      </c>
      <c r="W83" s="75">
        <v>457.6</v>
      </c>
      <c r="X83" s="75">
        <v>476.1</v>
      </c>
      <c r="Y83" s="75">
        <v>325.8</v>
      </c>
      <c r="Z83" s="75">
        <v>209.7</v>
      </c>
      <c r="AA83" s="75">
        <v>183.6</v>
      </c>
      <c r="AB83" s="75">
        <v>242</v>
      </c>
      <c r="AC83" s="75">
        <v>386</v>
      </c>
      <c r="AD83" s="75">
        <v>405</v>
      </c>
      <c r="AE83" s="75">
        <v>359</v>
      </c>
      <c r="AF83" s="75">
        <v>434</v>
      </c>
      <c r="AG83" s="87"/>
      <c r="AH83" s="48">
        <f t="shared" si="67"/>
        <v>553.20000000000005</v>
      </c>
      <c r="AI83" s="49">
        <f t="shared" si="68"/>
        <v>183.6</v>
      </c>
      <c r="AK83" s="51"/>
      <c r="AY83" s="81"/>
      <c r="BF83" s="80"/>
      <c r="BG83" s="80"/>
      <c r="BH83" s="80"/>
      <c r="BI83" s="80"/>
      <c r="BJ83" s="80"/>
      <c r="BK83" s="81"/>
    </row>
    <row r="84" spans="1:64" x14ac:dyDescent="0.25">
      <c r="A84" s="64" t="s">
        <v>107</v>
      </c>
      <c r="B84" s="75">
        <v>51</v>
      </c>
      <c r="C84" s="75">
        <v>54</v>
      </c>
      <c r="D84" s="75">
        <v>55</v>
      </c>
      <c r="E84" s="75">
        <v>48</v>
      </c>
      <c r="F84" s="88">
        <v>5</v>
      </c>
      <c r="G84" s="88">
        <v>5</v>
      </c>
      <c r="H84" s="88">
        <v>5.8</v>
      </c>
      <c r="I84" s="88">
        <v>6.1</v>
      </c>
      <c r="J84" s="88">
        <v>16</v>
      </c>
      <c r="K84" s="88">
        <v>36.5</v>
      </c>
      <c r="L84" s="88">
        <v>40</v>
      </c>
      <c r="M84" s="88">
        <v>50</v>
      </c>
      <c r="N84" s="88">
        <v>50</v>
      </c>
      <c r="O84" s="88">
        <v>35</v>
      </c>
      <c r="P84" s="88">
        <v>37</v>
      </c>
      <c r="Q84" s="88">
        <v>36</v>
      </c>
      <c r="R84" s="88">
        <v>52</v>
      </c>
      <c r="S84" s="88">
        <v>46.8</v>
      </c>
      <c r="T84" s="88">
        <v>46.8</v>
      </c>
      <c r="U84" s="88">
        <v>51.3</v>
      </c>
      <c r="V84" s="88">
        <v>51.4</v>
      </c>
      <c r="W84" s="88">
        <v>0</v>
      </c>
      <c r="X84" s="88">
        <v>0</v>
      </c>
      <c r="Y84" s="88">
        <v>0</v>
      </c>
      <c r="Z84" s="88">
        <v>0</v>
      </c>
      <c r="AA84" s="88">
        <v>0</v>
      </c>
      <c r="AB84" s="88">
        <v>0</v>
      </c>
      <c r="AC84" s="88">
        <v>46.5</v>
      </c>
      <c r="AD84" s="88">
        <v>50</v>
      </c>
      <c r="AE84" s="88">
        <v>53</v>
      </c>
      <c r="AF84" s="88">
        <v>51</v>
      </c>
      <c r="AG84" s="87"/>
      <c r="AH84" s="48">
        <f t="shared" si="67"/>
        <v>55</v>
      </c>
      <c r="AI84" s="49">
        <f t="shared" si="68"/>
        <v>0</v>
      </c>
      <c r="AK84" s="51"/>
      <c r="AY84" s="81"/>
      <c r="BF84" s="80"/>
      <c r="BG84" s="81">
        <f t="array" ref="BG84:BL107">TRANSPOSE(AZ68:BW73)</f>
        <v>60</v>
      </c>
      <c r="BH84" s="81">
        <v>0</v>
      </c>
      <c r="BI84" s="81">
        <v>420</v>
      </c>
      <c r="BJ84" s="81">
        <v>54</v>
      </c>
      <c r="BK84" s="81">
        <v>124</v>
      </c>
      <c r="BL84" s="81">
        <v>0</v>
      </c>
    </row>
    <row r="85" spans="1:64" x14ac:dyDescent="0.25">
      <c r="A85" s="64" t="s">
        <v>108</v>
      </c>
      <c r="B85" s="46">
        <v>132</v>
      </c>
      <c r="C85" s="46">
        <v>124</v>
      </c>
      <c r="D85" s="46">
        <v>100</v>
      </c>
      <c r="E85" s="46">
        <v>110</v>
      </c>
      <c r="F85" s="46">
        <v>110</v>
      </c>
      <c r="G85" s="46">
        <v>110</v>
      </c>
      <c r="H85" s="46">
        <v>16</v>
      </c>
      <c r="I85" s="46">
        <v>22</v>
      </c>
      <c r="J85" s="46">
        <v>24</v>
      </c>
      <c r="K85" s="46">
        <v>25</v>
      </c>
      <c r="L85" s="46">
        <v>28</v>
      </c>
      <c r="M85" s="46">
        <v>32</v>
      </c>
      <c r="N85" s="46">
        <v>34</v>
      </c>
      <c r="O85" s="46">
        <v>34</v>
      </c>
      <c r="P85" s="46">
        <v>74</v>
      </c>
      <c r="Q85" s="46">
        <v>103.9</v>
      </c>
      <c r="R85" s="46">
        <v>91</v>
      </c>
      <c r="S85" s="46">
        <v>97.4</v>
      </c>
      <c r="T85" s="46">
        <v>97.4</v>
      </c>
      <c r="U85" s="46">
        <v>106.7</v>
      </c>
      <c r="V85" s="46">
        <v>91.8</v>
      </c>
      <c r="W85" s="46">
        <v>0</v>
      </c>
      <c r="X85" s="46">
        <v>0</v>
      </c>
      <c r="Y85" s="46">
        <v>0</v>
      </c>
      <c r="Z85" s="46">
        <v>0</v>
      </c>
      <c r="AA85" s="46">
        <v>0</v>
      </c>
      <c r="AB85" s="46">
        <v>0</v>
      </c>
      <c r="AC85" s="46">
        <v>95.9</v>
      </c>
      <c r="AD85" s="46">
        <v>98</v>
      </c>
      <c r="AE85" s="46">
        <v>106</v>
      </c>
      <c r="AF85" s="46">
        <v>108</v>
      </c>
      <c r="AG85" s="87"/>
      <c r="AH85" s="48">
        <f t="shared" si="67"/>
        <v>132</v>
      </c>
      <c r="AI85" s="49">
        <f t="shared" si="68"/>
        <v>0</v>
      </c>
      <c r="AK85" s="51"/>
      <c r="AY85" s="81"/>
      <c r="BF85" s="80"/>
      <c r="BG85" s="81">
        <v>61</v>
      </c>
      <c r="BH85" s="81">
        <v>0</v>
      </c>
      <c r="BI85" s="81">
        <v>424</v>
      </c>
      <c r="BJ85" s="81">
        <v>55</v>
      </c>
      <c r="BK85" s="81">
        <v>100</v>
      </c>
      <c r="BL85" s="81">
        <v>55</v>
      </c>
    </row>
    <row r="86" spans="1:64" x14ac:dyDescent="0.25">
      <c r="A86" s="64" t="s">
        <v>109</v>
      </c>
      <c r="B86" s="89" t="s">
        <v>313</v>
      </c>
      <c r="C86" s="89" t="s">
        <v>313</v>
      </c>
      <c r="D86" s="89" t="s">
        <v>313</v>
      </c>
      <c r="E86" s="89" t="s">
        <v>313</v>
      </c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7"/>
      <c r="AH86" s="48">
        <f t="shared" si="67"/>
        <v>0</v>
      </c>
      <c r="AI86" s="49">
        <f t="shared" si="68"/>
        <v>0</v>
      </c>
      <c r="AK86" s="51"/>
      <c r="AY86" s="81"/>
      <c r="BF86" s="80"/>
      <c r="BG86" s="81">
        <v>55</v>
      </c>
      <c r="BH86" s="81">
        <v>0</v>
      </c>
      <c r="BI86" s="81">
        <v>398</v>
      </c>
      <c r="BJ86" s="81">
        <v>48</v>
      </c>
      <c r="BK86" s="81">
        <v>110</v>
      </c>
      <c r="BL86" s="81">
        <v>56</v>
      </c>
    </row>
    <row r="87" spans="1:64" ht="15.75" thickBot="1" x14ac:dyDescent="0.3">
      <c r="A87" s="64" t="s">
        <v>110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7"/>
      <c r="AH87" s="48">
        <f t="shared" si="67"/>
        <v>0</v>
      </c>
      <c r="AI87" s="49">
        <f t="shared" si="68"/>
        <v>0</v>
      </c>
      <c r="AK87" s="51"/>
      <c r="AL87" s="90" t="s">
        <v>111</v>
      </c>
      <c r="AM87" s="90"/>
      <c r="AY87" s="81"/>
      <c r="BF87" s="81"/>
      <c r="BG87" s="81">
        <v>55</v>
      </c>
      <c r="BH87" s="81">
        <v>0</v>
      </c>
      <c r="BI87" s="81">
        <v>480</v>
      </c>
      <c r="BJ87" s="81">
        <v>5</v>
      </c>
      <c r="BK87" s="81">
        <v>110</v>
      </c>
      <c r="BL87" s="81">
        <v>55</v>
      </c>
    </row>
    <row r="88" spans="1:64" x14ac:dyDescent="0.25">
      <c r="A88" s="64" t="s">
        <v>112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7"/>
      <c r="AH88" s="48">
        <f t="shared" si="67"/>
        <v>0</v>
      </c>
      <c r="AI88" s="49">
        <f t="shared" si="68"/>
        <v>0</v>
      </c>
      <c r="AK88" s="91"/>
      <c r="AL88" s="92"/>
      <c r="AM88" s="92"/>
      <c r="AN88" s="93"/>
      <c r="AY88" s="81"/>
      <c r="BF88" s="81"/>
      <c r="BG88" s="81">
        <v>55</v>
      </c>
      <c r="BH88" s="81">
        <v>0</v>
      </c>
      <c r="BI88" s="81">
        <v>480</v>
      </c>
      <c r="BJ88" s="81">
        <v>5</v>
      </c>
      <c r="BK88" s="81">
        <v>110</v>
      </c>
      <c r="BL88" s="81">
        <v>55</v>
      </c>
    </row>
    <row r="89" spans="1:64" x14ac:dyDescent="0.25">
      <c r="A89" s="64" t="s">
        <v>113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7"/>
      <c r="AH89" s="48">
        <f t="shared" si="67"/>
        <v>0</v>
      </c>
      <c r="AI89" s="49">
        <f t="shared" si="68"/>
        <v>0</v>
      </c>
      <c r="AK89" s="94" t="s">
        <v>114</v>
      </c>
      <c r="AL89" s="75"/>
      <c r="AM89" s="88"/>
      <c r="AN89" s="95"/>
      <c r="AY89" s="81"/>
      <c r="BF89" s="81"/>
      <c r="BG89" s="81">
        <v>59</v>
      </c>
      <c r="BH89" s="81">
        <v>0</v>
      </c>
      <c r="BI89" s="81">
        <v>478</v>
      </c>
      <c r="BJ89" s="81">
        <v>6.1</v>
      </c>
      <c r="BK89" s="81">
        <v>22</v>
      </c>
      <c r="BL89" s="81">
        <v>72</v>
      </c>
    </row>
    <row r="90" spans="1:64" x14ac:dyDescent="0.25">
      <c r="A90" s="96" t="s">
        <v>115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97"/>
      <c r="AH90" s="48">
        <f t="shared" si="67"/>
        <v>0</v>
      </c>
      <c r="AI90" s="49">
        <f t="shared" si="68"/>
        <v>0</v>
      </c>
      <c r="AK90" s="94" t="s">
        <v>116</v>
      </c>
      <c r="AL90" s="88"/>
      <c r="AM90" s="88"/>
      <c r="AN90" s="95"/>
      <c r="AY90" s="81"/>
      <c r="BF90" s="81"/>
      <c r="BG90" s="81">
        <v>67.599999999999994</v>
      </c>
      <c r="BH90" s="81">
        <v>0</v>
      </c>
      <c r="BI90" s="81">
        <v>395</v>
      </c>
      <c r="BJ90" s="81">
        <v>36.5</v>
      </c>
      <c r="BK90" s="81">
        <v>25</v>
      </c>
      <c r="BL90" s="81">
        <v>73</v>
      </c>
    </row>
    <row r="91" spans="1:64" ht="15.75" thickBot="1" x14ac:dyDescent="0.3">
      <c r="A91" s="96" t="s">
        <v>117</v>
      </c>
      <c r="B91" s="89">
        <v>0</v>
      </c>
      <c r="C91" s="89">
        <v>0</v>
      </c>
      <c r="D91" s="89">
        <v>55</v>
      </c>
      <c r="E91" s="89">
        <v>56</v>
      </c>
      <c r="F91" s="89">
        <v>55</v>
      </c>
      <c r="G91" s="89">
        <v>55</v>
      </c>
      <c r="H91" s="89">
        <v>70</v>
      </c>
      <c r="I91" s="89">
        <v>72</v>
      </c>
      <c r="J91" s="89">
        <v>72</v>
      </c>
      <c r="K91" s="89">
        <v>73</v>
      </c>
      <c r="L91" s="89">
        <v>70</v>
      </c>
      <c r="M91" s="89">
        <v>62.1</v>
      </c>
      <c r="N91" s="89">
        <v>50</v>
      </c>
      <c r="O91" s="89">
        <v>52</v>
      </c>
      <c r="P91" s="89">
        <v>70</v>
      </c>
      <c r="Q91" s="89">
        <v>62</v>
      </c>
      <c r="R91" s="89">
        <v>60</v>
      </c>
      <c r="S91" s="89">
        <f>33*2</f>
        <v>66</v>
      </c>
      <c r="T91" s="89">
        <v>66</v>
      </c>
      <c r="U91" s="89">
        <v>72</v>
      </c>
      <c r="V91" s="89">
        <v>62</v>
      </c>
      <c r="W91" s="89">
        <v>62</v>
      </c>
      <c r="X91" s="89">
        <v>52</v>
      </c>
      <c r="Y91" s="89">
        <v>54</v>
      </c>
      <c r="Z91" s="89">
        <v>54</v>
      </c>
      <c r="AA91" s="89">
        <v>0</v>
      </c>
      <c r="AB91" s="89">
        <v>0</v>
      </c>
      <c r="AC91" s="89"/>
      <c r="AD91" s="89">
        <v>0</v>
      </c>
      <c r="AE91" s="89"/>
      <c r="AF91" s="89"/>
      <c r="AG91" s="97"/>
      <c r="AH91" s="48">
        <f t="shared" si="67"/>
        <v>73</v>
      </c>
      <c r="AI91" s="49">
        <f t="shared" si="68"/>
        <v>0</v>
      </c>
      <c r="AK91" s="98"/>
      <c r="AL91" s="46"/>
      <c r="AM91" s="46"/>
      <c r="AN91" s="99"/>
      <c r="AY91" s="81"/>
      <c r="BF91" s="81"/>
      <c r="BG91" s="81">
        <v>43.7</v>
      </c>
      <c r="BH91" s="81">
        <v>0</v>
      </c>
      <c r="BI91" s="81">
        <v>298</v>
      </c>
      <c r="BJ91" s="81">
        <v>50</v>
      </c>
      <c r="BK91" s="81">
        <v>32</v>
      </c>
      <c r="BL91" s="81">
        <v>62.1</v>
      </c>
    </row>
    <row r="92" spans="1:64" ht="15.75" thickBot="1" x14ac:dyDescent="0.3">
      <c r="A92" s="86" t="s">
        <v>118</v>
      </c>
      <c r="B92" s="70">
        <f t="shared" ref="B92:C92" si="69">SUMIF(B81:B91,"&gt;0")</f>
        <v>644</v>
      </c>
      <c r="C92" s="70">
        <f t="shared" si="69"/>
        <v>658</v>
      </c>
      <c r="D92" s="70">
        <f t="shared" ref="D92" si="70">SUMIF(D81:D91,"&gt;0")</f>
        <v>695</v>
      </c>
      <c r="E92" s="70">
        <f t="shared" ref="E92:AF92" si="71">SUMIF(E81:E91,"&gt;0")</f>
        <v>667</v>
      </c>
      <c r="F92" s="70">
        <f t="shared" si="71"/>
        <v>705</v>
      </c>
      <c r="G92" s="70">
        <f t="shared" si="71"/>
        <v>705</v>
      </c>
      <c r="H92" s="70">
        <f t="shared" si="71"/>
        <v>620.79999999999995</v>
      </c>
      <c r="I92" s="70">
        <f t="shared" si="71"/>
        <v>637.1</v>
      </c>
      <c r="J92" s="70">
        <f t="shared" si="71"/>
        <v>575</v>
      </c>
      <c r="K92" s="70">
        <f t="shared" si="71"/>
        <v>597.1</v>
      </c>
      <c r="L92" s="70">
        <f t="shared" si="71"/>
        <v>489</v>
      </c>
      <c r="M92" s="70">
        <f t="shared" si="71"/>
        <v>485.8</v>
      </c>
      <c r="N92" s="70">
        <f t="shared" si="71"/>
        <v>490.2</v>
      </c>
      <c r="O92" s="70">
        <f t="shared" si="71"/>
        <v>587.4</v>
      </c>
      <c r="P92" s="70">
        <f t="shared" si="71"/>
        <v>665.7</v>
      </c>
      <c r="Q92" s="70">
        <f t="shared" si="71"/>
        <v>727.5</v>
      </c>
      <c r="R92" s="70">
        <f t="shared" si="71"/>
        <v>731.7</v>
      </c>
      <c r="S92" s="70">
        <f t="shared" ref="S92:T92" si="72">SUMIF(S81:S91,"&gt;0")</f>
        <v>795.09999999999991</v>
      </c>
      <c r="T92" s="70">
        <f t="shared" si="72"/>
        <v>825.5</v>
      </c>
      <c r="U92" s="70">
        <f t="shared" ref="U92:V92" si="73">SUMIF(U81:U91,"&gt;0")</f>
        <v>778.7</v>
      </c>
      <c r="V92" s="70">
        <f t="shared" si="73"/>
        <v>720.8</v>
      </c>
      <c r="W92" s="70">
        <f t="shared" ref="W92:X92" si="74">SUMIF(W81:W91,"&gt;0")</f>
        <v>567.40000000000009</v>
      </c>
      <c r="X92" s="70">
        <f t="shared" si="74"/>
        <v>567.9</v>
      </c>
      <c r="Y92" s="70">
        <f t="shared" ref="Y92:Z92" si="75">SUMIF(Y81:Y91,"&gt;0")</f>
        <v>424.1</v>
      </c>
      <c r="Z92" s="70">
        <f t="shared" si="75"/>
        <v>309.2</v>
      </c>
      <c r="AA92" s="70">
        <f t="shared" ref="AA92" si="76">SUMIF(AA81:AA91,"&gt;0")</f>
        <v>234.89999999999998</v>
      </c>
      <c r="AB92" s="70">
        <f t="shared" si="71"/>
        <v>294.60000000000002</v>
      </c>
      <c r="AC92" s="70">
        <f t="shared" si="71"/>
        <v>588.79999999999995</v>
      </c>
      <c r="AD92" s="70">
        <f t="shared" si="71"/>
        <v>619</v>
      </c>
      <c r="AE92" s="70">
        <f t="shared" si="71"/>
        <v>582</v>
      </c>
      <c r="AF92" s="70">
        <f t="shared" si="71"/>
        <v>655</v>
      </c>
      <c r="AG92" s="100">
        <f>SUM(AG81:AG91)</f>
        <v>0</v>
      </c>
      <c r="AH92" s="48">
        <f t="shared" si="67"/>
        <v>825.5</v>
      </c>
      <c r="AI92" s="49">
        <f t="shared" si="68"/>
        <v>234.89999999999998</v>
      </c>
      <c r="AK92" s="98"/>
      <c r="AL92" s="89"/>
      <c r="AM92" s="101"/>
      <c r="AN92" s="202"/>
      <c r="AY92" s="81"/>
      <c r="BF92" s="81"/>
      <c r="BG92" s="81">
        <v>46.2</v>
      </c>
      <c r="BH92" s="81">
        <v>0</v>
      </c>
      <c r="BI92" s="81">
        <v>310</v>
      </c>
      <c r="BJ92" s="81">
        <v>50</v>
      </c>
      <c r="BK92" s="81">
        <v>34</v>
      </c>
      <c r="BL92" s="81">
        <v>50</v>
      </c>
    </row>
    <row r="93" spans="1:64" x14ac:dyDescent="0.25">
      <c r="A93" s="45" t="s">
        <v>119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67"/>
        <v>0</v>
      </c>
      <c r="AI93" s="49">
        <f t="shared" si="68"/>
        <v>0</v>
      </c>
      <c r="AK93" s="98"/>
      <c r="AL93" s="89"/>
      <c r="AM93" s="89"/>
      <c r="AN93" s="203"/>
      <c r="BF93" s="81"/>
      <c r="BG93" s="81">
        <v>48.4</v>
      </c>
      <c r="BH93" s="81">
        <v>0</v>
      </c>
      <c r="BI93" s="81">
        <v>418</v>
      </c>
      <c r="BJ93" s="81">
        <v>35</v>
      </c>
      <c r="BK93" s="81">
        <v>34</v>
      </c>
      <c r="BL93" s="81">
        <v>52</v>
      </c>
    </row>
    <row r="94" spans="1:64" ht="15.75" thickBot="1" x14ac:dyDescent="0.3">
      <c r="A94" s="64" t="s">
        <v>120</v>
      </c>
      <c r="B94" s="89">
        <v>0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67"/>
        <v>0</v>
      </c>
      <c r="AI94" s="49">
        <f t="shared" si="68"/>
        <v>0</v>
      </c>
      <c r="AK94" s="103"/>
      <c r="AL94" s="104"/>
      <c r="AM94" s="104"/>
      <c r="AN94" s="105"/>
      <c r="BF94" s="81"/>
      <c r="BG94" s="81">
        <v>62.3</v>
      </c>
      <c r="BH94" s="81">
        <v>0</v>
      </c>
      <c r="BI94" s="81">
        <v>422.4</v>
      </c>
      <c r="BJ94" s="81">
        <v>37</v>
      </c>
      <c r="BK94" s="81">
        <v>74</v>
      </c>
      <c r="BL94" s="81">
        <v>70</v>
      </c>
    </row>
    <row r="95" spans="1:64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0</v>
      </c>
      <c r="Y95" s="106">
        <v>0</v>
      </c>
      <c r="Z95" s="106">
        <v>0</v>
      </c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67"/>
        <v>0</v>
      </c>
      <c r="AI95" s="49">
        <f t="shared" si="68"/>
        <v>0</v>
      </c>
      <c r="BF95" s="81"/>
      <c r="BG95" s="81">
        <v>59.5</v>
      </c>
      <c r="BH95" s="81">
        <v>0</v>
      </c>
      <c r="BI95" s="81">
        <v>466.1</v>
      </c>
      <c r="BJ95" s="81">
        <v>36</v>
      </c>
      <c r="BK95" s="81">
        <v>103.9</v>
      </c>
      <c r="BL95" s="81">
        <v>62</v>
      </c>
    </row>
    <row r="96" spans="1:64" ht="15.75" thickBot="1" x14ac:dyDescent="0.3">
      <c r="A96" s="86" t="s">
        <v>122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100">
        <f>SUM(AG93:AG95)</f>
        <v>55.4</v>
      </c>
      <c r="AH96" s="48">
        <f t="shared" si="67"/>
        <v>0</v>
      </c>
      <c r="AI96" s="49">
        <f t="shared" si="68"/>
        <v>0</v>
      </c>
      <c r="BF96" s="81"/>
      <c r="BG96" s="81">
        <v>52.2</v>
      </c>
      <c r="BH96" s="81">
        <v>0</v>
      </c>
      <c r="BI96" s="81">
        <v>476.5</v>
      </c>
      <c r="BJ96" s="81">
        <v>52</v>
      </c>
      <c r="BK96" s="81">
        <v>91</v>
      </c>
      <c r="BL96" s="81">
        <v>60</v>
      </c>
    </row>
    <row r="97" spans="1:64" ht="15.75" thickBot="1" x14ac:dyDescent="0.3">
      <c r="A97" s="86" t="s">
        <v>123</v>
      </c>
      <c r="B97" s="107">
        <f t="shared" ref="B97:C97" si="77">B58+B62+B80+B76+B92+B96</f>
        <v>1312.8890000000001</v>
      </c>
      <c r="C97" s="107">
        <f t="shared" si="77"/>
        <v>1219.8890000000001</v>
      </c>
      <c r="D97" s="107">
        <f t="shared" ref="D97" si="78">D58+D62+D80+D76+D92+D96</f>
        <v>1256.8890000000001</v>
      </c>
      <c r="E97" s="107">
        <f t="shared" ref="E97:AG97" si="79">E58+E62+E80+E76+E92+E96</f>
        <v>1228.8890000000001</v>
      </c>
      <c r="F97" s="107">
        <f t="shared" si="79"/>
        <v>1266.8890000000001</v>
      </c>
      <c r="G97" s="107">
        <f t="shared" si="79"/>
        <v>1266.8890000000001</v>
      </c>
      <c r="H97" s="107">
        <f t="shared" si="79"/>
        <v>1262.6890000000001</v>
      </c>
      <c r="I97" s="107">
        <f t="shared" si="79"/>
        <v>1340.989</v>
      </c>
      <c r="J97" s="107">
        <f t="shared" si="79"/>
        <v>1311.8890000000001</v>
      </c>
      <c r="K97" s="107">
        <f t="shared" si="79"/>
        <v>1506.2890000000002</v>
      </c>
      <c r="L97" s="107">
        <f t="shared" si="79"/>
        <v>1456.6890000000001</v>
      </c>
      <c r="M97" s="107">
        <f t="shared" si="79"/>
        <v>1491.89</v>
      </c>
      <c r="N97" s="107">
        <f t="shared" si="79"/>
        <v>1363.69</v>
      </c>
      <c r="O97" s="107">
        <f t="shared" si="79"/>
        <v>1363.79</v>
      </c>
      <c r="P97" s="107">
        <f t="shared" si="79"/>
        <v>1446.69</v>
      </c>
      <c r="Q97" s="107">
        <f t="shared" si="79"/>
        <v>1478.49</v>
      </c>
      <c r="R97" s="107">
        <f t="shared" si="79"/>
        <v>1472.0900000000001</v>
      </c>
      <c r="S97" s="107">
        <f t="shared" ref="S97:T97" si="80">S58+S62+S80+S76+S92+S96</f>
        <v>1478.69</v>
      </c>
      <c r="T97" s="107">
        <f t="shared" si="80"/>
        <v>1515.19</v>
      </c>
      <c r="U97" s="107">
        <f t="shared" ref="U97:V97" si="81">U58+U62+U80+U76+U92+U96</f>
        <v>1526.69</v>
      </c>
      <c r="V97" s="107">
        <f t="shared" si="81"/>
        <v>1416.0900000000001</v>
      </c>
      <c r="W97" s="107">
        <f t="shared" ref="W97:X97" si="82">W58+W62+W80+W76+W92+W96</f>
        <v>1297.5900000000001</v>
      </c>
      <c r="X97" s="107">
        <f t="shared" si="82"/>
        <v>1346.99</v>
      </c>
      <c r="Y97" s="107">
        <f t="shared" ref="Y97:Z97" si="83">Y58+Y62+Y80+Y76+Y92+Y96</f>
        <v>1509.8899999999999</v>
      </c>
      <c r="Z97" s="107">
        <f t="shared" si="83"/>
        <v>1564.2900000000002</v>
      </c>
      <c r="AA97" s="107">
        <f t="shared" ref="AA97" si="84">AA58+AA62+AA80+AA76+AA92+AA96</f>
        <v>1483.29</v>
      </c>
      <c r="AB97" s="107">
        <f t="shared" si="79"/>
        <v>1407.19</v>
      </c>
      <c r="AC97" s="107">
        <f t="shared" si="79"/>
        <v>1412.79</v>
      </c>
      <c r="AD97" s="107">
        <f t="shared" si="79"/>
        <v>1434.39</v>
      </c>
      <c r="AE97" s="107">
        <f t="shared" si="79"/>
        <v>1384.99</v>
      </c>
      <c r="AF97" s="107">
        <f t="shared" si="79"/>
        <v>1314.49</v>
      </c>
      <c r="AG97" s="71">
        <f t="shared" si="79"/>
        <v>2231.81</v>
      </c>
      <c r="AH97" s="48">
        <f t="shared" si="67"/>
        <v>1564.2900000000002</v>
      </c>
      <c r="AI97" s="49">
        <f t="shared" si="68"/>
        <v>1219.8890000000001</v>
      </c>
      <c r="BF97" s="81"/>
      <c r="BG97" s="81">
        <v>62.5</v>
      </c>
      <c r="BH97" s="81">
        <v>0</v>
      </c>
      <c r="BI97" s="81">
        <v>522.4</v>
      </c>
      <c r="BJ97" s="81">
        <v>46.8</v>
      </c>
      <c r="BK97" s="81">
        <v>97.4</v>
      </c>
      <c r="BL97" s="81">
        <v>66</v>
      </c>
    </row>
    <row r="98" spans="1:64" ht="15.75" thickBot="1" x14ac:dyDescent="0.3">
      <c r="A98" s="108" t="s">
        <v>124</v>
      </c>
      <c r="B98" s="109">
        <v>0</v>
      </c>
      <c r="C98" s="109">
        <v>0</v>
      </c>
      <c r="D98" s="109">
        <v>0</v>
      </c>
      <c r="E98" s="109"/>
      <c r="F98" s="109"/>
      <c r="G98" s="109"/>
      <c r="H98" s="109">
        <v>70</v>
      </c>
      <c r="I98" s="109">
        <v>70</v>
      </c>
      <c r="J98" s="109">
        <v>80</v>
      </c>
      <c r="K98" s="109">
        <v>200</v>
      </c>
      <c r="L98" s="109">
        <v>250</v>
      </c>
      <c r="M98" s="109">
        <v>200</v>
      </c>
      <c r="N98" s="109">
        <v>200</v>
      </c>
      <c r="O98" s="109">
        <v>160</v>
      </c>
      <c r="P98" s="109"/>
      <c r="Q98" s="109"/>
      <c r="R98" s="109"/>
      <c r="S98" s="109"/>
      <c r="T98" s="109"/>
      <c r="U98" s="109"/>
      <c r="V98" s="109">
        <v>150</v>
      </c>
      <c r="W98" s="109">
        <v>250</v>
      </c>
      <c r="X98" s="109">
        <v>300</v>
      </c>
      <c r="Y98" s="109">
        <v>300</v>
      </c>
      <c r="Z98" s="109">
        <v>300</v>
      </c>
      <c r="AA98" s="109">
        <v>300</v>
      </c>
      <c r="AB98" s="109">
        <v>300</v>
      </c>
      <c r="AC98" s="109">
        <v>200</v>
      </c>
      <c r="AD98" s="109">
        <v>150</v>
      </c>
      <c r="AE98" s="109"/>
      <c r="AF98" s="109"/>
      <c r="AG98" s="100"/>
      <c r="AH98" s="48">
        <f t="shared" si="67"/>
        <v>300</v>
      </c>
      <c r="AI98" s="49">
        <f t="shared" si="68"/>
        <v>0</v>
      </c>
      <c r="BF98" s="81"/>
      <c r="BG98" s="81">
        <v>62.1</v>
      </c>
      <c r="BH98" s="81">
        <v>0</v>
      </c>
      <c r="BI98" s="81">
        <v>553.20000000000005</v>
      </c>
      <c r="BJ98" s="81">
        <v>46.8</v>
      </c>
      <c r="BK98" s="81">
        <v>97.4</v>
      </c>
      <c r="BL98" s="81">
        <v>66</v>
      </c>
    </row>
    <row r="99" spans="1:64" ht="15.75" thickBot="1" x14ac:dyDescent="0.3">
      <c r="A99" s="86" t="s">
        <v>125</v>
      </c>
      <c r="B99" s="107">
        <f t="shared" ref="B99:C99" si="85">B97+B98</f>
        <v>1312.8890000000001</v>
      </c>
      <c r="C99" s="107">
        <f t="shared" si="85"/>
        <v>1219.8890000000001</v>
      </c>
      <c r="D99" s="107">
        <f t="shared" ref="D99" si="86">D97+D98</f>
        <v>1256.8890000000001</v>
      </c>
      <c r="E99" s="107">
        <f t="shared" ref="E99:AF99" si="87">E97+E98</f>
        <v>1228.8890000000001</v>
      </c>
      <c r="F99" s="107">
        <f t="shared" si="87"/>
        <v>1266.8890000000001</v>
      </c>
      <c r="G99" s="107">
        <f t="shared" si="87"/>
        <v>1266.8890000000001</v>
      </c>
      <c r="H99" s="107">
        <f t="shared" si="87"/>
        <v>1332.6890000000001</v>
      </c>
      <c r="I99" s="107">
        <f t="shared" si="87"/>
        <v>1410.989</v>
      </c>
      <c r="J99" s="107">
        <f t="shared" si="87"/>
        <v>1391.8890000000001</v>
      </c>
      <c r="K99" s="107">
        <f t="shared" si="87"/>
        <v>1706.2890000000002</v>
      </c>
      <c r="L99" s="107">
        <f t="shared" si="87"/>
        <v>1706.6890000000001</v>
      </c>
      <c r="M99" s="107">
        <f t="shared" si="87"/>
        <v>1691.89</v>
      </c>
      <c r="N99" s="107">
        <f t="shared" si="87"/>
        <v>1563.69</v>
      </c>
      <c r="O99" s="107">
        <f t="shared" si="87"/>
        <v>1523.79</v>
      </c>
      <c r="P99" s="107">
        <f t="shared" si="87"/>
        <v>1446.69</v>
      </c>
      <c r="Q99" s="107">
        <f t="shared" si="87"/>
        <v>1478.49</v>
      </c>
      <c r="R99" s="107">
        <f t="shared" si="87"/>
        <v>1472.0900000000001</v>
      </c>
      <c r="S99" s="107">
        <f t="shared" ref="S99:T99" si="88">S97+S98</f>
        <v>1478.69</v>
      </c>
      <c r="T99" s="107">
        <f t="shared" si="88"/>
        <v>1515.19</v>
      </c>
      <c r="U99" s="107">
        <f t="shared" ref="U99:V99" si="89">U97+U98</f>
        <v>1526.69</v>
      </c>
      <c r="V99" s="107">
        <f t="shared" si="89"/>
        <v>1566.0900000000001</v>
      </c>
      <c r="W99" s="107">
        <f t="shared" ref="W99:X99" si="90">W97+W98</f>
        <v>1547.5900000000001</v>
      </c>
      <c r="X99" s="107">
        <f t="shared" si="90"/>
        <v>1646.99</v>
      </c>
      <c r="Y99" s="107">
        <f t="shared" ref="Y99:Z99" si="91">Y97+Y98</f>
        <v>1809.8899999999999</v>
      </c>
      <c r="Z99" s="107">
        <f t="shared" si="91"/>
        <v>1864.2900000000002</v>
      </c>
      <c r="AA99" s="107">
        <f t="shared" ref="AA99" si="92">AA97+AA98</f>
        <v>1783.29</v>
      </c>
      <c r="AB99" s="107">
        <f t="shared" si="87"/>
        <v>1707.19</v>
      </c>
      <c r="AC99" s="107">
        <f t="shared" si="87"/>
        <v>1612.79</v>
      </c>
      <c r="AD99" s="107">
        <f t="shared" si="87"/>
        <v>1584.39</v>
      </c>
      <c r="AE99" s="107">
        <f t="shared" si="87"/>
        <v>1384.99</v>
      </c>
      <c r="AF99" s="107">
        <f t="shared" si="87"/>
        <v>1314.49</v>
      </c>
      <c r="AG99" s="100">
        <f>AG96+AG92+AG80+AG76+AG58+AG98</f>
        <v>1693.71</v>
      </c>
      <c r="AH99" s="48">
        <f t="shared" si="67"/>
        <v>1864.2900000000002</v>
      </c>
      <c r="AI99" s="49">
        <f t="shared" si="68"/>
        <v>1219.8890000000001</v>
      </c>
      <c r="BF99" s="81"/>
      <c r="BG99" s="81">
        <v>51.4</v>
      </c>
      <c r="BH99" s="81">
        <v>0</v>
      </c>
      <c r="BI99" s="81">
        <v>497.3</v>
      </c>
      <c r="BJ99" s="81">
        <v>51.3</v>
      </c>
      <c r="BK99" s="81">
        <v>106.7</v>
      </c>
      <c r="BL99" s="81">
        <v>72</v>
      </c>
    </row>
    <row r="100" spans="1:64" ht="15.75" thickBot="1" x14ac:dyDescent="0.3">
      <c r="A100" s="86" t="s">
        <v>126</v>
      </c>
      <c r="B100" s="107">
        <f t="shared" ref="B100:C100" si="93">B99-(B107)</f>
        <v>1312.8890000000001</v>
      </c>
      <c r="C100" s="107">
        <f t="shared" si="93"/>
        <v>1219.8890000000001</v>
      </c>
      <c r="D100" s="107">
        <f t="shared" ref="D100" si="94">D99-(D107)</f>
        <v>1256.8890000000001</v>
      </c>
      <c r="E100" s="107">
        <f t="shared" ref="E100:M100" si="95">E99-(E107)</f>
        <v>1228.8890000000001</v>
      </c>
      <c r="F100" s="107">
        <f t="shared" si="95"/>
        <v>1266.8890000000001</v>
      </c>
      <c r="G100" s="107">
        <f t="shared" si="95"/>
        <v>1266.8890000000001</v>
      </c>
      <c r="H100" s="107">
        <f t="shared" si="95"/>
        <v>1332.6890000000001</v>
      </c>
      <c r="I100" s="107">
        <f t="shared" si="95"/>
        <v>1410.989</v>
      </c>
      <c r="J100" s="107">
        <f t="shared" si="95"/>
        <v>1391.8890000000001</v>
      </c>
      <c r="K100" s="107">
        <f t="shared" si="95"/>
        <v>1706.2890000000002</v>
      </c>
      <c r="L100" s="107">
        <f t="shared" si="95"/>
        <v>1706.6890000000001</v>
      </c>
      <c r="M100" s="107">
        <f t="shared" si="95"/>
        <v>1691.89</v>
      </c>
      <c r="N100" s="107">
        <f>N99-(N107)</f>
        <v>1563.69</v>
      </c>
      <c r="O100" s="107">
        <f t="shared" ref="O100:AF100" si="96">O99-(O107)</f>
        <v>1523.79</v>
      </c>
      <c r="P100" s="107">
        <f t="shared" si="96"/>
        <v>1446.69</v>
      </c>
      <c r="Q100" s="107">
        <f t="shared" si="96"/>
        <v>1478.49</v>
      </c>
      <c r="R100" s="107">
        <f t="shared" si="96"/>
        <v>1472.0900000000001</v>
      </c>
      <c r="S100" s="107">
        <f t="shared" ref="S100:T100" si="97">S99-(S107)</f>
        <v>1478.69</v>
      </c>
      <c r="T100" s="107">
        <f t="shared" si="97"/>
        <v>1515.19</v>
      </c>
      <c r="U100" s="107">
        <f t="shared" ref="U100:V100" si="98">U99-(U107)</f>
        <v>1526.69</v>
      </c>
      <c r="V100" s="107">
        <f t="shared" si="98"/>
        <v>1566.0900000000001</v>
      </c>
      <c r="W100" s="107">
        <f t="shared" ref="W100:X100" si="99">W99-(W107)</f>
        <v>1547.5900000000001</v>
      </c>
      <c r="X100" s="107">
        <f t="shared" si="99"/>
        <v>1646.99</v>
      </c>
      <c r="Y100" s="107">
        <f t="shared" ref="Y100:Z100" si="100">Y99-(Y107)</f>
        <v>1809.8899999999999</v>
      </c>
      <c r="Z100" s="107">
        <f t="shared" si="100"/>
        <v>1864.2900000000002</v>
      </c>
      <c r="AA100" s="107">
        <f t="shared" ref="AA100" si="101">AA99-(AA107)</f>
        <v>1783.29</v>
      </c>
      <c r="AB100" s="107">
        <f t="shared" si="96"/>
        <v>1707.19</v>
      </c>
      <c r="AC100" s="107">
        <f t="shared" si="96"/>
        <v>1612.79</v>
      </c>
      <c r="AD100" s="107">
        <f t="shared" si="96"/>
        <v>1584.39</v>
      </c>
      <c r="AE100" s="107">
        <f t="shared" si="96"/>
        <v>1384.99</v>
      </c>
      <c r="AF100" s="107">
        <f t="shared" si="96"/>
        <v>1314.49</v>
      </c>
      <c r="AG100" s="100"/>
      <c r="AH100" s="48">
        <f t="shared" si="67"/>
        <v>1864.2900000000002</v>
      </c>
      <c r="AI100" s="49">
        <f t="shared" si="68"/>
        <v>1219.8890000000001</v>
      </c>
      <c r="BF100" s="81"/>
      <c r="BG100" s="81">
        <v>60.8</v>
      </c>
      <c r="BH100" s="81">
        <v>0</v>
      </c>
      <c r="BI100" s="81">
        <v>454.8</v>
      </c>
      <c r="BJ100" s="81">
        <v>51.4</v>
      </c>
      <c r="BK100" s="81">
        <v>91.8</v>
      </c>
      <c r="BL100" s="81">
        <v>62</v>
      </c>
    </row>
    <row r="101" spans="1:64" x14ac:dyDescent="0.25">
      <c r="A101" s="45" t="s">
        <v>107</v>
      </c>
      <c r="B101" s="88">
        <f t="shared" ref="B101:C101" si="102">IF(B84&lt;0,B84*-1,0)</f>
        <v>0</v>
      </c>
      <c r="C101" s="88">
        <f t="shared" si="102"/>
        <v>0</v>
      </c>
      <c r="D101" s="88">
        <f t="shared" ref="D101" si="103">IF(D84&lt;0,D84*-1,0)</f>
        <v>0</v>
      </c>
      <c r="E101" s="88">
        <f t="shared" ref="E101:AF101" si="104">IF(E84&lt;0,E84*-1,0)</f>
        <v>0</v>
      </c>
      <c r="F101" s="88">
        <f t="shared" si="104"/>
        <v>0</v>
      </c>
      <c r="G101" s="88">
        <f t="shared" si="104"/>
        <v>0</v>
      </c>
      <c r="H101" s="88">
        <f t="shared" si="104"/>
        <v>0</v>
      </c>
      <c r="I101" s="88">
        <f t="shared" si="104"/>
        <v>0</v>
      </c>
      <c r="J101" s="88">
        <f t="shared" si="104"/>
        <v>0</v>
      </c>
      <c r="K101" s="88">
        <f t="shared" si="104"/>
        <v>0</v>
      </c>
      <c r="L101" s="88">
        <f t="shared" si="104"/>
        <v>0</v>
      </c>
      <c r="M101" s="88">
        <f t="shared" si="104"/>
        <v>0</v>
      </c>
      <c r="N101" s="88">
        <f t="shared" si="104"/>
        <v>0</v>
      </c>
      <c r="O101" s="88">
        <f t="shared" si="104"/>
        <v>0</v>
      </c>
      <c r="P101" s="88">
        <f t="shared" si="104"/>
        <v>0</v>
      </c>
      <c r="Q101" s="88">
        <f t="shared" si="104"/>
        <v>0</v>
      </c>
      <c r="R101" s="88">
        <f t="shared" si="104"/>
        <v>0</v>
      </c>
      <c r="S101" s="88">
        <f t="shared" ref="S101:T101" si="105">IF(S84&lt;0,S84*-1,0)</f>
        <v>0</v>
      </c>
      <c r="T101" s="88">
        <f t="shared" si="105"/>
        <v>0</v>
      </c>
      <c r="U101" s="88">
        <f t="shared" ref="U101:V101" si="106">IF(U84&lt;0,U84*-1,0)</f>
        <v>0</v>
      </c>
      <c r="V101" s="88">
        <f t="shared" si="106"/>
        <v>0</v>
      </c>
      <c r="W101" s="88">
        <f t="shared" ref="W101:X101" si="107">IF(W84&lt;0,W84*-1,0)</f>
        <v>0</v>
      </c>
      <c r="X101" s="88">
        <f t="shared" si="107"/>
        <v>0</v>
      </c>
      <c r="Y101" s="88">
        <f t="shared" ref="Y101:Z101" si="108">IF(Y84&lt;0,Y84*-1,0)</f>
        <v>0</v>
      </c>
      <c r="Z101" s="88">
        <f t="shared" si="108"/>
        <v>0</v>
      </c>
      <c r="AA101" s="88">
        <f t="shared" ref="AA101" si="109">IF(AA84&lt;0,AA84*-1,0)</f>
        <v>0</v>
      </c>
      <c r="AB101" s="88">
        <f t="shared" si="104"/>
        <v>0</v>
      </c>
      <c r="AC101" s="88">
        <f t="shared" si="104"/>
        <v>0</v>
      </c>
      <c r="AD101" s="88">
        <f t="shared" si="104"/>
        <v>0</v>
      </c>
      <c r="AE101" s="88">
        <f t="shared" si="104"/>
        <v>0</v>
      </c>
      <c r="AF101" s="88">
        <f t="shared" si="104"/>
        <v>0</v>
      </c>
      <c r="AG101" s="60"/>
      <c r="AH101" s="48">
        <f t="shared" si="67"/>
        <v>0</v>
      </c>
      <c r="AI101" s="49">
        <f t="shared" si="68"/>
        <v>0</v>
      </c>
      <c r="BF101" s="80"/>
      <c r="BG101" s="81">
        <v>39.799999999999997</v>
      </c>
      <c r="BH101" s="81">
        <v>0</v>
      </c>
      <c r="BI101" s="81">
        <v>476.1</v>
      </c>
      <c r="BJ101" s="81">
        <v>0</v>
      </c>
      <c r="BK101" s="81">
        <v>0</v>
      </c>
      <c r="BL101" s="81">
        <v>52</v>
      </c>
    </row>
    <row r="102" spans="1:64" x14ac:dyDescent="0.25">
      <c r="A102" s="64" t="s">
        <v>105</v>
      </c>
      <c r="B102" s="88">
        <f t="shared" ref="B102:C102" si="110">IF(B82&lt;0,B82*-1,0)</f>
        <v>0</v>
      </c>
      <c r="C102" s="88">
        <f t="shared" si="110"/>
        <v>0</v>
      </c>
      <c r="D102" s="88">
        <f t="shared" ref="D102" si="111">IF(D82&lt;0,D82*-1,0)</f>
        <v>0</v>
      </c>
      <c r="E102" s="88">
        <f t="shared" ref="E102:AF102" si="112">IF(E82&lt;0,E82*-1,0)</f>
        <v>0</v>
      </c>
      <c r="F102" s="88">
        <f t="shared" si="112"/>
        <v>0</v>
      </c>
      <c r="G102" s="88">
        <f t="shared" si="112"/>
        <v>0</v>
      </c>
      <c r="H102" s="88">
        <f t="shared" si="112"/>
        <v>0</v>
      </c>
      <c r="I102" s="88">
        <f t="shared" si="112"/>
        <v>0</v>
      </c>
      <c r="J102" s="88">
        <f t="shared" si="112"/>
        <v>0</v>
      </c>
      <c r="K102" s="88">
        <f t="shared" si="112"/>
        <v>0</v>
      </c>
      <c r="L102" s="88">
        <f t="shared" si="112"/>
        <v>0</v>
      </c>
      <c r="M102" s="88">
        <f t="shared" si="112"/>
        <v>0</v>
      </c>
      <c r="N102" s="88">
        <f t="shared" si="112"/>
        <v>0</v>
      </c>
      <c r="O102" s="88">
        <f t="shared" si="112"/>
        <v>0</v>
      </c>
      <c r="P102" s="88">
        <f t="shared" si="112"/>
        <v>0</v>
      </c>
      <c r="Q102" s="88">
        <f t="shared" si="112"/>
        <v>0</v>
      </c>
      <c r="R102" s="88">
        <f t="shared" si="112"/>
        <v>0</v>
      </c>
      <c r="S102" s="88">
        <f t="shared" ref="S102:T102" si="113">IF(S82&lt;0,S82*-1,0)</f>
        <v>0</v>
      </c>
      <c r="T102" s="88">
        <f t="shared" si="113"/>
        <v>0</v>
      </c>
      <c r="U102" s="88">
        <f t="shared" ref="U102:V102" si="114">IF(U82&lt;0,U82*-1,0)</f>
        <v>0</v>
      </c>
      <c r="V102" s="88">
        <f t="shared" si="114"/>
        <v>0</v>
      </c>
      <c r="W102" s="88">
        <f t="shared" ref="W102:X102" si="115">IF(W82&lt;0,W82*-1,0)</f>
        <v>0</v>
      </c>
      <c r="X102" s="88">
        <f t="shared" si="115"/>
        <v>0</v>
      </c>
      <c r="Y102" s="88">
        <f t="shared" ref="Y102:Z102" si="116">IF(Y82&lt;0,Y82*-1,0)</f>
        <v>0</v>
      </c>
      <c r="Z102" s="88">
        <f t="shared" si="116"/>
        <v>0</v>
      </c>
      <c r="AA102" s="88">
        <f t="shared" ref="AA102" si="117">IF(AA82&lt;0,AA82*-1,0)</f>
        <v>0</v>
      </c>
      <c r="AB102" s="88">
        <f t="shared" si="112"/>
        <v>0</v>
      </c>
      <c r="AC102" s="88">
        <f t="shared" si="112"/>
        <v>0</v>
      </c>
      <c r="AD102" s="88">
        <f t="shared" si="112"/>
        <v>0</v>
      </c>
      <c r="AE102" s="88">
        <f t="shared" si="112"/>
        <v>0</v>
      </c>
      <c r="AF102" s="88">
        <f t="shared" si="112"/>
        <v>0</v>
      </c>
      <c r="AG102" s="65"/>
      <c r="AH102" s="48">
        <f t="shared" si="67"/>
        <v>0</v>
      </c>
      <c r="AI102" s="49">
        <f t="shared" si="68"/>
        <v>0</v>
      </c>
      <c r="BF102" s="80"/>
      <c r="BG102" s="81">
        <v>45.5</v>
      </c>
      <c r="BH102" s="81">
        <v>0</v>
      </c>
      <c r="BI102" s="81">
        <v>209.7</v>
      </c>
      <c r="BJ102" s="81">
        <v>0</v>
      </c>
      <c r="BK102" s="81">
        <v>0</v>
      </c>
      <c r="BL102" s="81">
        <v>54</v>
      </c>
    </row>
    <row r="103" spans="1:64" x14ac:dyDescent="0.25">
      <c r="A103" s="96" t="s">
        <v>127</v>
      </c>
      <c r="B103" s="88">
        <f t="shared" ref="B103:C103" si="118">IF(B85&lt;0,B85*-1,0)</f>
        <v>0</v>
      </c>
      <c r="C103" s="88">
        <f t="shared" si="118"/>
        <v>0</v>
      </c>
      <c r="D103" s="88">
        <f t="shared" ref="D103" si="119">IF(D85&lt;0,D85*-1,0)</f>
        <v>0</v>
      </c>
      <c r="E103" s="88">
        <f t="shared" ref="E103:AF103" si="120">IF(E85&lt;0,E85*-1,0)</f>
        <v>0</v>
      </c>
      <c r="F103" s="88">
        <f t="shared" si="120"/>
        <v>0</v>
      </c>
      <c r="G103" s="88">
        <f t="shared" si="120"/>
        <v>0</v>
      </c>
      <c r="H103" s="88">
        <f t="shared" si="120"/>
        <v>0</v>
      </c>
      <c r="I103" s="88">
        <f t="shared" si="120"/>
        <v>0</v>
      </c>
      <c r="J103" s="88">
        <f t="shared" si="120"/>
        <v>0</v>
      </c>
      <c r="K103" s="88">
        <f t="shared" si="120"/>
        <v>0</v>
      </c>
      <c r="L103" s="88">
        <f t="shared" si="120"/>
        <v>0</v>
      </c>
      <c r="M103" s="88">
        <f t="shared" si="120"/>
        <v>0</v>
      </c>
      <c r="N103" s="88">
        <f t="shared" si="120"/>
        <v>0</v>
      </c>
      <c r="O103" s="88">
        <f t="shared" si="120"/>
        <v>0</v>
      </c>
      <c r="P103" s="88">
        <f t="shared" si="120"/>
        <v>0</v>
      </c>
      <c r="Q103" s="88">
        <f t="shared" si="120"/>
        <v>0</v>
      </c>
      <c r="R103" s="88">
        <f t="shared" si="120"/>
        <v>0</v>
      </c>
      <c r="S103" s="88">
        <f t="shared" ref="S103:T103" si="121">IF(S85&lt;0,S85*-1,0)</f>
        <v>0</v>
      </c>
      <c r="T103" s="88">
        <f t="shared" si="121"/>
        <v>0</v>
      </c>
      <c r="U103" s="88">
        <f t="shared" ref="U103:V103" si="122">IF(U85&lt;0,U85*-1,0)</f>
        <v>0</v>
      </c>
      <c r="V103" s="88">
        <f t="shared" si="122"/>
        <v>0</v>
      </c>
      <c r="W103" s="88">
        <f t="shared" ref="W103:X103" si="123">IF(W85&lt;0,W85*-1,0)</f>
        <v>0</v>
      </c>
      <c r="X103" s="88">
        <f t="shared" si="123"/>
        <v>0</v>
      </c>
      <c r="Y103" s="88">
        <f t="shared" ref="Y103:Z103" si="124">IF(Y85&lt;0,Y85*-1,0)</f>
        <v>0</v>
      </c>
      <c r="Z103" s="88">
        <f t="shared" si="124"/>
        <v>0</v>
      </c>
      <c r="AA103" s="88">
        <f t="shared" ref="AA103" si="125">IF(AA85&lt;0,AA85*-1,0)</f>
        <v>0</v>
      </c>
      <c r="AB103" s="88">
        <f t="shared" si="120"/>
        <v>0</v>
      </c>
      <c r="AC103" s="88">
        <f t="shared" si="120"/>
        <v>0</v>
      </c>
      <c r="AD103" s="88">
        <f t="shared" si="120"/>
        <v>0</v>
      </c>
      <c r="AE103" s="88">
        <f t="shared" si="120"/>
        <v>0</v>
      </c>
      <c r="AF103" s="88">
        <f t="shared" si="120"/>
        <v>0</v>
      </c>
      <c r="AG103" s="110"/>
      <c r="AH103" s="48">
        <f t="shared" si="67"/>
        <v>0</v>
      </c>
      <c r="AI103" s="49">
        <f t="shared" si="68"/>
        <v>0</v>
      </c>
      <c r="BF103" s="80"/>
      <c r="BG103" s="81">
        <v>52.6</v>
      </c>
      <c r="BH103" s="81">
        <v>0</v>
      </c>
      <c r="BI103" s="81">
        <v>242</v>
      </c>
      <c r="BJ103" s="81">
        <v>0</v>
      </c>
      <c r="BK103" s="81">
        <v>0</v>
      </c>
      <c r="BL103" s="81">
        <v>0</v>
      </c>
    </row>
    <row r="104" spans="1:64" x14ac:dyDescent="0.25">
      <c r="A104" s="96" t="s">
        <v>128</v>
      </c>
      <c r="B104" s="88">
        <f t="shared" ref="B104:C104" si="126">IF(B83&lt;0,B83*-1,0)</f>
        <v>0</v>
      </c>
      <c r="C104" s="88">
        <f t="shared" si="126"/>
        <v>0</v>
      </c>
      <c r="D104" s="88">
        <f t="shared" ref="D104" si="127">IF(D83&lt;0,D83*-1,0)</f>
        <v>0</v>
      </c>
      <c r="E104" s="88">
        <f t="shared" ref="E104:AF104" si="128">IF(E83&lt;0,E83*-1,0)</f>
        <v>0</v>
      </c>
      <c r="F104" s="88">
        <f t="shared" si="128"/>
        <v>0</v>
      </c>
      <c r="G104" s="88">
        <f t="shared" si="128"/>
        <v>0</v>
      </c>
      <c r="H104" s="88">
        <f t="shared" si="128"/>
        <v>0</v>
      </c>
      <c r="I104" s="88">
        <f t="shared" si="128"/>
        <v>0</v>
      </c>
      <c r="J104" s="88">
        <f t="shared" si="128"/>
        <v>0</v>
      </c>
      <c r="K104" s="88">
        <f t="shared" si="128"/>
        <v>0</v>
      </c>
      <c r="L104" s="88">
        <f t="shared" si="128"/>
        <v>0</v>
      </c>
      <c r="M104" s="88">
        <f t="shared" si="128"/>
        <v>0</v>
      </c>
      <c r="N104" s="88">
        <f t="shared" si="128"/>
        <v>0</v>
      </c>
      <c r="O104" s="88">
        <f t="shared" si="128"/>
        <v>0</v>
      </c>
      <c r="P104" s="88">
        <f t="shared" si="128"/>
        <v>0</v>
      </c>
      <c r="Q104" s="88">
        <f t="shared" si="128"/>
        <v>0</v>
      </c>
      <c r="R104" s="88">
        <f t="shared" si="128"/>
        <v>0</v>
      </c>
      <c r="S104" s="88">
        <f t="shared" ref="S104:T104" si="129">IF(S83&lt;0,S83*-1,0)</f>
        <v>0</v>
      </c>
      <c r="T104" s="88">
        <f t="shared" si="129"/>
        <v>0</v>
      </c>
      <c r="U104" s="88">
        <f t="shared" ref="U104:V104" si="130">IF(U83&lt;0,U83*-1,0)</f>
        <v>0</v>
      </c>
      <c r="V104" s="88">
        <f t="shared" si="130"/>
        <v>0</v>
      </c>
      <c r="W104" s="88">
        <f t="shared" ref="W104:X104" si="131">IF(W83&lt;0,W83*-1,0)</f>
        <v>0</v>
      </c>
      <c r="X104" s="88">
        <f t="shared" si="131"/>
        <v>0</v>
      </c>
      <c r="Y104" s="88">
        <f t="shared" ref="Y104:Z104" si="132">IF(Y83&lt;0,Y83*-1,0)</f>
        <v>0</v>
      </c>
      <c r="Z104" s="88">
        <f t="shared" si="132"/>
        <v>0</v>
      </c>
      <c r="AA104" s="88">
        <f t="shared" ref="AA104" si="133">IF(AA83&lt;0,AA83*-1,0)</f>
        <v>0</v>
      </c>
      <c r="AB104" s="88">
        <f t="shared" si="128"/>
        <v>0</v>
      </c>
      <c r="AC104" s="88">
        <f t="shared" si="128"/>
        <v>0</v>
      </c>
      <c r="AD104" s="88">
        <f t="shared" si="128"/>
        <v>0</v>
      </c>
      <c r="AE104" s="88">
        <f t="shared" si="128"/>
        <v>0</v>
      </c>
      <c r="AF104" s="88">
        <f t="shared" si="128"/>
        <v>0</v>
      </c>
      <c r="AG104" s="110"/>
      <c r="AH104" s="48">
        <f t="shared" si="67"/>
        <v>0</v>
      </c>
      <c r="AI104" s="49">
        <f t="shared" si="68"/>
        <v>0</v>
      </c>
      <c r="BF104" s="80"/>
      <c r="BG104" s="81">
        <v>66</v>
      </c>
      <c r="BH104" s="81">
        <v>0</v>
      </c>
      <c r="BI104" s="81">
        <v>405</v>
      </c>
      <c r="BJ104" s="81">
        <v>50</v>
      </c>
      <c r="BK104" s="81">
        <v>98</v>
      </c>
      <c r="BL104" s="81">
        <v>0</v>
      </c>
    </row>
    <row r="105" spans="1:64" x14ac:dyDescent="0.25">
      <c r="A105" s="96" t="s">
        <v>104</v>
      </c>
      <c r="B105" s="88">
        <f t="shared" ref="B105:C105" si="134">IF(B81&lt;0,B81*-1,0)</f>
        <v>0</v>
      </c>
      <c r="C105" s="88">
        <f t="shared" si="134"/>
        <v>0</v>
      </c>
      <c r="D105" s="88">
        <f t="shared" ref="D105" si="135">IF(D81&lt;0,D81*-1,0)</f>
        <v>0</v>
      </c>
      <c r="E105" s="88">
        <f t="shared" ref="E105:AF105" si="136">IF(E81&lt;0,E81*-1,0)</f>
        <v>0</v>
      </c>
      <c r="F105" s="88">
        <f t="shared" si="136"/>
        <v>0</v>
      </c>
      <c r="G105" s="88">
        <f t="shared" si="136"/>
        <v>0</v>
      </c>
      <c r="H105" s="88">
        <f t="shared" si="136"/>
        <v>0</v>
      </c>
      <c r="I105" s="88">
        <f t="shared" si="136"/>
        <v>0</v>
      </c>
      <c r="J105" s="88">
        <f t="shared" si="136"/>
        <v>0</v>
      </c>
      <c r="K105" s="88">
        <f t="shared" si="136"/>
        <v>0</v>
      </c>
      <c r="L105" s="88">
        <f t="shared" si="136"/>
        <v>0</v>
      </c>
      <c r="M105" s="88">
        <f t="shared" si="136"/>
        <v>0</v>
      </c>
      <c r="N105" s="88">
        <f t="shared" si="136"/>
        <v>0</v>
      </c>
      <c r="O105" s="88">
        <f t="shared" si="136"/>
        <v>0</v>
      </c>
      <c r="P105" s="88">
        <f t="shared" si="136"/>
        <v>0</v>
      </c>
      <c r="Q105" s="88">
        <f t="shared" si="136"/>
        <v>0</v>
      </c>
      <c r="R105" s="88">
        <f t="shared" si="136"/>
        <v>0</v>
      </c>
      <c r="S105" s="88">
        <f t="shared" ref="S105:T105" si="137">IF(S81&lt;0,S81*-1,0)</f>
        <v>0</v>
      </c>
      <c r="T105" s="88">
        <f t="shared" si="137"/>
        <v>0</v>
      </c>
      <c r="U105" s="88">
        <f t="shared" ref="U105:V105" si="138">IF(U81&lt;0,U81*-1,0)</f>
        <v>0</v>
      </c>
      <c r="V105" s="88">
        <f t="shared" si="138"/>
        <v>0</v>
      </c>
      <c r="W105" s="88">
        <f t="shared" ref="W105:X105" si="139">IF(W81&lt;0,W81*-1,0)</f>
        <v>0</v>
      </c>
      <c r="X105" s="88">
        <f t="shared" si="139"/>
        <v>0</v>
      </c>
      <c r="Y105" s="88">
        <f t="shared" ref="Y105:Z105" si="140">IF(Y81&lt;0,Y81*-1,0)</f>
        <v>0</v>
      </c>
      <c r="Z105" s="88">
        <f t="shared" si="140"/>
        <v>0</v>
      </c>
      <c r="AA105" s="88">
        <f t="shared" ref="AA105" si="141">IF(AA81&lt;0,AA81*-1,0)</f>
        <v>0</v>
      </c>
      <c r="AB105" s="88">
        <f t="shared" si="136"/>
        <v>0</v>
      </c>
      <c r="AC105" s="88">
        <f t="shared" si="136"/>
        <v>0</v>
      </c>
      <c r="AD105" s="88">
        <f t="shared" si="136"/>
        <v>0</v>
      </c>
      <c r="AE105" s="88">
        <f t="shared" si="136"/>
        <v>0</v>
      </c>
      <c r="AF105" s="88">
        <f t="shared" si="136"/>
        <v>0</v>
      </c>
      <c r="AG105" s="110"/>
      <c r="AH105" s="48">
        <f t="shared" si="67"/>
        <v>0</v>
      </c>
      <c r="AI105" s="49">
        <f t="shared" si="68"/>
        <v>0</v>
      </c>
      <c r="BF105" s="80"/>
      <c r="BG105" s="81">
        <v>64</v>
      </c>
      <c r="BH105" s="81">
        <v>0</v>
      </c>
      <c r="BI105" s="81">
        <v>359</v>
      </c>
      <c r="BJ105" s="81">
        <v>53</v>
      </c>
      <c r="BK105" s="81">
        <v>106</v>
      </c>
      <c r="BL105" s="81">
        <v>0</v>
      </c>
    </row>
    <row r="106" spans="1:64" ht="15.75" thickBot="1" x14ac:dyDescent="0.3">
      <c r="A106" s="96" t="s">
        <v>129</v>
      </c>
      <c r="B106" s="106">
        <v>0</v>
      </c>
      <c r="C106" s="106">
        <v>0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0</v>
      </c>
      <c r="Y106" s="106">
        <v>0</v>
      </c>
      <c r="Z106" s="106">
        <v>0</v>
      </c>
      <c r="AA106" s="106">
        <v>0</v>
      </c>
      <c r="AB106" s="106">
        <v>0</v>
      </c>
      <c r="AC106" s="106">
        <v>0</v>
      </c>
      <c r="AD106" s="106">
        <v>0</v>
      </c>
      <c r="AE106" s="106">
        <v>0</v>
      </c>
      <c r="AF106" s="106">
        <v>0</v>
      </c>
      <c r="AG106" s="97"/>
      <c r="AH106" s="48">
        <f t="shared" si="67"/>
        <v>0</v>
      </c>
      <c r="AI106" s="49">
        <f t="shared" si="68"/>
        <v>0</v>
      </c>
      <c r="BG106" s="81">
        <v>62</v>
      </c>
      <c r="BH106" s="81">
        <v>0</v>
      </c>
      <c r="BI106" s="81">
        <v>434</v>
      </c>
      <c r="BJ106" s="81">
        <v>51</v>
      </c>
      <c r="BK106" s="81">
        <v>108</v>
      </c>
      <c r="BL106" s="81">
        <v>0</v>
      </c>
    </row>
    <row r="107" spans="1:64" ht="15.75" thickBot="1" x14ac:dyDescent="0.3">
      <c r="A107" s="111" t="s">
        <v>130</v>
      </c>
      <c r="B107" s="70">
        <v>0</v>
      </c>
      <c r="C107" s="70">
        <v>0</v>
      </c>
      <c r="D107" s="70">
        <v>0</v>
      </c>
      <c r="E107" s="70">
        <f t="shared" ref="E107:AF107" si="142">SUM(E101:E106)</f>
        <v>0</v>
      </c>
      <c r="F107" s="70">
        <f t="shared" si="142"/>
        <v>0</v>
      </c>
      <c r="G107" s="70">
        <f t="shared" si="142"/>
        <v>0</v>
      </c>
      <c r="H107" s="70">
        <f t="shared" si="142"/>
        <v>0</v>
      </c>
      <c r="I107" s="70">
        <f t="shared" si="142"/>
        <v>0</v>
      </c>
      <c r="J107" s="70">
        <f t="shared" si="142"/>
        <v>0</v>
      </c>
      <c r="K107" s="70">
        <f t="shared" si="142"/>
        <v>0</v>
      </c>
      <c r="L107" s="70">
        <f t="shared" si="142"/>
        <v>0</v>
      </c>
      <c r="M107" s="70">
        <f t="shared" si="142"/>
        <v>0</v>
      </c>
      <c r="N107" s="70">
        <f t="shared" si="142"/>
        <v>0</v>
      </c>
      <c r="O107" s="70">
        <f t="shared" si="142"/>
        <v>0</v>
      </c>
      <c r="P107" s="70">
        <f t="shared" si="142"/>
        <v>0</v>
      </c>
      <c r="Q107" s="70">
        <f t="shared" si="142"/>
        <v>0</v>
      </c>
      <c r="R107" s="70">
        <f t="shared" si="142"/>
        <v>0</v>
      </c>
      <c r="S107" s="70">
        <f t="shared" ref="S107:T107" si="143">SUM(S101:S106)</f>
        <v>0</v>
      </c>
      <c r="T107" s="70">
        <f t="shared" si="143"/>
        <v>0</v>
      </c>
      <c r="U107" s="70">
        <f t="shared" ref="U107:V107" si="144">SUM(U101:U106)</f>
        <v>0</v>
      </c>
      <c r="V107" s="70">
        <f t="shared" si="144"/>
        <v>0</v>
      </c>
      <c r="W107" s="70">
        <f t="shared" ref="W107:X107" si="145">SUM(W101:W106)</f>
        <v>0</v>
      </c>
      <c r="X107" s="70">
        <f t="shared" si="145"/>
        <v>0</v>
      </c>
      <c r="Y107" s="70">
        <f t="shared" ref="Y107:Z107" si="146">SUM(Y101:Y106)</f>
        <v>0</v>
      </c>
      <c r="Z107" s="70">
        <f t="shared" si="146"/>
        <v>0</v>
      </c>
      <c r="AA107" s="70">
        <f t="shared" ref="AA107" si="147">SUM(AA101:AA106)</f>
        <v>0</v>
      </c>
      <c r="AB107" s="70">
        <f t="shared" si="142"/>
        <v>0</v>
      </c>
      <c r="AC107" s="70">
        <f t="shared" si="142"/>
        <v>0</v>
      </c>
      <c r="AD107" s="70">
        <f t="shared" si="142"/>
        <v>0</v>
      </c>
      <c r="AE107" s="70">
        <f t="shared" si="142"/>
        <v>0</v>
      </c>
      <c r="AF107" s="70">
        <f t="shared" si="142"/>
        <v>0</v>
      </c>
      <c r="AG107" s="100"/>
      <c r="AH107" s="48">
        <f t="shared" si="67"/>
        <v>0</v>
      </c>
      <c r="AI107" s="49">
        <f t="shared" si="68"/>
        <v>0</v>
      </c>
      <c r="AK107" s="51"/>
      <c r="BG107" s="81">
        <v>56</v>
      </c>
      <c r="BH107" s="81">
        <v>0</v>
      </c>
      <c r="BI107" s="81">
        <v>405</v>
      </c>
      <c r="BJ107" s="81">
        <v>51</v>
      </c>
      <c r="BK107" s="81">
        <v>132</v>
      </c>
      <c r="BL107" s="81">
        <v>0</v>
      </c>
    </row>
    <row r="108" spans="1:64" ht="15.75" thickBot="1" x14ac:dyDescent="0.3">
      <c r="A108" s="86" t="s">
        <v>131</v>
      </c>
      <c r="B108" s="70">
        <f t="shared" ref="B108:C108" si="148">B92-B107</f>
        <v>644</v>
      </c>
      <c r="C108" s="70">
        <f t="shared" si="148"/>
        <v>658</v>
      </c>
      <c r="D108" s="70">
        <f t="shared" ref="D108" si="149">D92-D107</f>
        <v>695</v>
      </c>
      <c r="E108" s="70">
        <f t="shared" ref="E108:AF108" si="150">E92-E107</f>
        <v>667</v>
      </c>
      <c r="F108" s="70">
        <f t="shared" si="150"/>
        <v>705</v>
      </c>
      <c r="G108" s="70">
        <f t="shared" si="150"/>
        <v>705</v>
      </c>
      <c r="H108" s="70">
        <f t="shared" si="150"/>
        <v>620.79999999999995</v>
      </c>
      <c r="I108" s="70">
        <f t="shared" si="150"/>
        <v>637.1</v>
      </c>
      <c r="J108" s="70">
        <f t="shared" si="150"/>
        <v>575</v>
      </c>
      <c r="K108" s="70">
        <f t="shared" si="150"/>
        <v>597.1</v>
      </c>
      <c r="L108" s="70">
        <f t="shared" si="150"/>
        <v>489</v>
      </c>
      <c r="M108" s="70">
        <f t="shared" si="150"/>
        <v>485.8</v>
      </c>
      <c r="N108" s="70">
        <f t="shared" si="150"/>
        <v>490.2</v>
      </c>
      <c r="O108" s="70">
        <f t="shared" si="150"/>
        <v>587.4</v>
      </c>
      <c r="P108" s="70">
        <f t="shared" si="150"/>
        <v>665.7</v>
      </c>
      <c r="Q108" s="70">
        <f t="shared" si="150"/>
        <v>727.5</v>
      </c>
      <c r="R108" s="70">
        <f t="shared" si="150"/>
        <v>731.7</v>
      </c>
      <c r="S108" s="70">
        <f t="shared" ref="S108:T108" si="151">S92-S107</f>
        <v>795.09999999999991</v>
      </c>
      <c r="T108" s="70">
        <f t="shared" si="151"/>
        <v>825.5</v>
      </c>
      <c r="U108" s="70">
        <f t="shared" ref="U108:V108" si="152">U92-U107</f>
        <v>778.7</v>
      </c>
      <c r="V108" s="70">
        <f t="shared" si="152"/>
        <v>720.8</v>
      </c>
      <c r="W108" s="70">
        <f t="shared" ref="W108:X108" si="153">W92-W107</f>
        <v>567.40000000000009</v>
      </c>
      <c r="X108" s="70">
        <f t="shared" si="153"/>
        <v>567.9</v>
      </c>
      <c r="Y108" s="70">
        <f t="shared" ref="Y108:Z108" si="154">Y92-Y107</f>
        <v>424.1</v>
      </c>
      <c r="Z108" s="70">
        <f t="shared" si="154"/>
        <v>309.2</v>
      </c>
      <c r="AA108" s="70">
        <f t="shared" ref="AA108" si="155">AA92-AA107</f>
        <v>234.89999999999998</v>
      </c>
      <c r="AB108" s="70">
        <f t="shared" si="150"/>
        <v>294.60000000000002</v>
      </c>
      <c r="AC108" s="70">
        <f t="shared" si="150"/>
        <v>588.79999999999995</v>
      </c>
      <c r="AD108" s="70">
        <f t="shared" si="150"/>
        <v>619</v>
      </c>
      <c r="AE108" s="70">
        <f t="shared" si="150"/>
        <v>582</v>
      </c>
      <c r="AF108" s="70">
        <f t="shared" si="150"/>
        <v>655</v>
      </c>
      <c r="AG108" s="100"/>
      <c r="AH108" s="48">
        <f t="shared" si="67"/>
        <v>825.5</v>
      </c>
      <c r="AI108" s="49">
        <f t="shared" si="68"/>
        <v>234.89999999999998</v>
      </c>
    </row>
    <row r="109" spans="1:64" x14ac:dyDescent="0.25">
      <c r="A109" s="112" t="s">
        <v>132</v>
      </c>
      <c r="B109" s="113">
        <v>49.99</v>
      </c>
      <c r="C109" s="113">
        <v>49.99</v>
      </c>
      <c r="D109" s="113">
        <v>50.04</v>
      </c>
      <c r="E109" s="113">
        <v>50.04</v>
      </c>
      <c r="F109" s="113">
        <v>49.965000000000003</v>
      </c>
      <c r="G109" s="113">
        <v>49.965000000000003</v>
      </c>
      <c r="H109" s="113">
        <v>50.04</v>
      </c>
      <c r="I109" s="113">
        <v>50.070999999999998</v>
      </c>
      <c r="J109" s="113">
        <v>50.070999999999998</v>
      </c>
      <c r="K109" s="113">
        <v>49.942999999999998</v>
      </c>
      <c r="L109" s="113">
        <v>50.084000000000003</v>
      </c>
      <c r="M109" s="113">
        <v>50.07</v>
      </c>
      <c r="N109" s="113">
        <v>50.073999999999998</v>
      </c>
      <c r="O109" s="113">
        <v>49.932000000000002</v>
      </c>
      <c r="P109" s="113">
        <v>50.030999999999999</v>
      </c>
      <c r="Q109" s="113">
        <v>50.027000000000001</v>
      </c>
      <c r="R109" s="113">
        <v>50.005000000000003</v>
      </c>
      <c r="S109" s="113">
        <v>50</v>
      </c>
      <c r="T109" s="113">
        <v>49.92</v>
      </c>
      <c r="U109" s="113">
        <v>49.91</v>
      </c>
      <c r="V109" s="113">
        <v>50.07</v>
      </c>
      <c r="W109" s="113">
        <v>50.04</v>
      </c>
      <c r="X109" s="113">
        <v>50.05</v>
      </c>
      <c r="Y109" s="113">
        <v>50.06</v>
      </c>
      <c r="Z109" s="113">
        <v>50.01</v>
      </c>
      <c r="AA109" s="113">
        <v>50.05</v>
      </c>
      <c r="AB109" s="113">
        <v>50.051000000000002</v>
      </c>
      <c r="AC109" s="113">
        <v>49.968000000000004</v>
      </c>
      <c r="AD109" s="113">
        <v>50.008000000000003</v>
      </c>
      <c r="AE109" s="113">
        <v>49.991999999999997</v>
      </c>
      <c r="AF109" s="113">
        <v>49.945</v>
      </c>
      <c r="AG109" s="114"/>
      <c r="AH109" s="48">
        <f t="shared" si="67"/>
        <v>50.084000000000003</v>
      </c>
      <c r="AI109" s="49">
        <f t="shared" si="68"/>
        <v>49.91</v>
      </c>
    </row>
    <row r="110" spans="1:64" x14ac:dyDescent="0.25">
      <c r="A110" s="115" t="s">
        <v>133</v>
      </c>
      <c r="B110" s="75">
        <v>129.9</v>
      </c>
      <c r="C110" s="75">
        <v>131</v>
      </c>
      <c r="D110" s="75">
        <v>131</v>
      </c>
      <c r="E110" s="75">
        <v>131</v>
      </c>
      <c r="F110" s="75">
        <v>129</v>
      </c>
      <c r="G110" s="75">
        <v>129</v>
      </c>
      <c r="H110" s="75">
        <v>127.1</v>
      </c>
      <c r="I110" s="75">
        <v>127.1</v>
      </c>
      <c r="J110" s="75">
        <v>127.1</v>
      </c>
      <c r="K110" s="75">
        <v>127.9</v>
      </c>
      <c r="L110" s="75">
        <v>124.9</v>
      </c>
      <c r="M110" s="75">
        <v>125</v>
      </c>
      <c r="N110" s="75">
        <v>125.6</v>
      </c>
      <c r="O110" s="75">
        <v>127.3</v>
      </c>
      <c r="P110" s="75">
        <v>126.4</v>
      </c>
      <c r="Q110" s="75">
        <v>126.2</v>
      </c>
      <c r="R110" s="75">
        <v>125.5</v>
      </c>
      <c r="S110" s="75">
        <v>125.5</v>
      </c>
      <c r="T110" s="75">
        <v>123.3</v>
      </c>
      <c r="U110" s="75">
        <v>123.7</v>
      </c>
      <c r="V110" s="75">
        <v>127.7</v>
      </c>
      <c r="W110" s="75">
        <v>127.7</v>
      </c>
      <c r="X110" s="75">
        <v>127</v>
      </c>
      <c r="Y110" s="75">
        <v>127.9</v>
      </c>
      <c r="Z110" s="75">
        <v>127.8</v>
      </c>
      <c r="AA110" s="75">
        <v>127.8</v>
      </c>
      <c r="AB110" s="75">
        <v>128.9</v>
      </c>
      <c r="AC110" s="75">
        <v>129.80000000000001</v>
      </c>
      <c r="AD110" s="75">
        <v>127</v>
      </c>
      <c r="AE110" s="75">
        <v>126.8</v>
      </c>
      <c r="AF110" s="75">
        <v>128.4</v>
      </c>
      <c r="AG110" s="116"/>
      <c r="AH110" s="48">
        <f t="shared" si="67"/>
        <v>131</v>
      </c>
      <c r="AI110" s="49">
        <f t="shared" si="68"/>
        <v>123.3</v>
      </c>
    </row>
    <row r="111" spans="1:64" x14ac:dyDescent="0.25">
      <c r="A111" s="115" t="s">
        <v>134</v>
      </c>
      <c r="B111" s="75">
        <v>132.80000000000001</v>
      </c>
      <c r="C111" s="75">
        <v>133</v>
      </c>
      <c r="D111" s="75">
        <v>134</v>
      </c>
      <c r="E111" s="75">
        <v>134</v>
      </c>
      <c r="F111" s="75">
        <v>132</v>
      </c>
      <c r="G111" s="75">
        <v>132</v>
      </c>
      <c r="H111" s="75">
        <v>130.9</v>
      </c>
      <c r="I111" s="75">
        <v>131.1</v>
      </c>
      <c r="J111" s="75">
        <v>131.1</v>
      </c>
      <c r="K111" s="75">
        <v>129.5</v>
      </c>
      <c r="L111" s="75">
        <v>126.9</v>
      </c>
      <c r="M111" s="75">
        <v>127.1</v>
      </c>
      <c r="N111" s="75">
        <v>128.19999999999999</v>
      </c>
      <c r="O111" s="75">
        <v>127.8</v>
      </c>
      <c r="P111" s="75">
        <v>128.69999999999999</v>
      </c>
      <c r="Q111" s="75">
        <v>128.80000000000001</v>
      </c>
      <c r="R111" s="75">
        <v>128.4</v>
      </c>
      <c r="S111" s="75">
        <v>128.4</v>
      </c>
      <c r="T111" s="75">
        <v>126.5</v>
      </c>
      <c r="U111" s="75">
        <v>126.5</v>
      </c>
      <c r="V111" s="75">
        <v>129.9</v>
      </c>
      <c r="W111" s="75">
        <v>130.1</v>
      </c>
      <c r="X111" s="75">
        <v>130</v>
      </c>
      <c r="Y111" s="75">
        <v>129.9</v>
      </c>
      <c r="Z111" s="75">
        <v>129.30000000000001</v>
      </c>
      <c r="AA111" s="75">
        <v>129.30000000000001</v>
      </c>
      <c r="AB111" s="75">
        <v>129.9</v>
      </c>
      <c r="AC111" s="75">
        <v>131.4</v>
      </c>
      <c r="AD111" s="75">
        <v>129.30000000000001</v>
      </c>
      <c r="AE111" s="75">
        <v>129.80000000000001</v>
      </c>
      <c r="AF111" s="75">
        <v>131.4</v>
      </c>
      <c r="AG111" s="116"/>
      <c r="AH111" s="48">
        <f t="shared" si="67"/>
        <v>134</v>
      </c>
      <c r="AI111" s="49">
        <f t="shared" si="68"/>
        <v>126.5</v>
      </c>
    </row>
    <row r="112" spans="1:64" x14ac:dyDescent="0.25">
      <c r="A112" s="115" t="s">
        <v>135</v>
      </c>
      <c r="B112" s="75">
        <v>129.4</v>
      </c>
      <c r="C112" s="75">
        <v>130</v>
      </c>
      <c r="D112" s="75">
        <v>130</v>
      </c>
      <c r="E112" s="75">
        <v>130</v>
      </c>
      <c r="F112" s="75">
        <v>129.5</v>
      </c>
      <c r="G112" s="75">
        <v>129.5</v>
      </c>
      <c r="H112" s="75">
        <v>1237</v>
      </c>
      <c r="I112" s="75">
        <v>124.5</v>
      </c>
      <c r="J112" s="75">
        <v>124.5</v>
      </c>
      <c r="K112" s="75">
        <v>127.7</v>
      </c>
      <c r="L112" s="75">
        <v>128</v>
      </c>
      <c r="M112" s="75">
        <v>124.7</v>
      </c>
      <c r="N112" s="75">
        <v>127.8</v>
      </c>
      <c r="O112" s="75">
        <v>126.1</v>
      </c>
      <c r="P112" s="75">
        <v>126.4</v>
      </c>
      <c r="Q112" s="75">
        <v>129.19999999999999</v>
      </c>
      <c r="R112" s="75">
        <v>125.6</v>
      </c>
      <c r="S112" s="75">
        <v>127.3</v>
      </c>
      <c r="T112" s="75">
        <v>122.7</v>
      </c>
      <c r="U112" s="75">
        <v>127.8</v>
      </c>
      <c r="V112" s="75">
        <v>127.5</v>
      </c>
      <c r="W112" s="75">
        <v>131</v>
      </c>
      <c r="X112" s="75">
        <v>128.30000000000001</v>
      </c>
      <c r="Y112" s="75">
        <v>127.7</v>
      </c>
      <c r="Z112" s="75">
        <v>128.9</v>
      </c>
      <c r="AA112" s="75">
        <v>128.9</v>
      </c>
      <c r="AB112" s="75">
        <v>130</v>
      </c>
      <c r="AC112" s="75">
        <v>127.1</v>
      </c>
      <c r="AD112" s="75">
        <v>130</v>
      </c>
      <c r="AE112" s="75">
        <v>129</v>
      </c>
      <c r="AF112" s="75">
        <v>128.80000000000001</v>
      </c>
      <c r="AG112" s="116"/>
      <c r="AH112" s="48">
        <f t="shared" si="67"/>
        <v>1237</v>
      </c>
      <c r="AI112" s="49">
        <f t="shared" si="68"/>
        <v>122.7</v>
      </c>
    </row>
    <row r="113" spans="1:35" x14ac:dyDescent="0.25">
      <c r="A113" s="117" t="s">
        <v>136</v>
      </c>
      <c r="B113" s="75">
        <v>130</v>
      </c>
      <c r="C113" s="75">
        <v>131</v>
      </c>
      <c r="D113" s="75">
        <v>130</v>
      </c>
      <c r="E113" s="75">
        <v>130</v>
      </c>
      <c r="F113" s="75">
        <v>130.6</v>
      </c>
      <c r="G113" s="75">
        <v>130.6</v>
      </c>
      <c r="H113" s="75">
        <v>127.8</v>
      </c>
      <c r="I113" s="75">
        <v>122.8</v>
      </c>
      <c r="J113" s="75">
        <v>122.8</v>
      </c>
      <c r="K113" s="75">
        <v>125.4</v>
      </c>
      <c r="L113" s="75">
        <v>125.7</v>
      </c>
      <c r="M113" s="75">
        <v>121.6</v>
      </c>
      <c r="N113" s="75">
        <v>126.1</v>
      </c>
      <c r="O113" s="75">
        <v>124.1</v>
      </c>
      <c r="P113" s="75">
        <v>123.9</v>
      </c>
      <c r="Q113" s="75">
        <v>127</v>
      </c>
      <c r="R113" s="75">
        <v>125.9</v>
      </c>
      <c r="S113" s="75">
        <v>127.6</v>
      </c>
      <c r="T113" s="75">
        <v>121.9</v>
      </c>
      <c r="U113" s="75">
        <v>126.8</v>
      </c>
      <c r="V113" s="75">
        <v>123.9</v>
      </c>
      <c r="W113" s="75">
        <v>128.4</v>
      </c>
      <c r="X113" s="75">
        <v>124.3</v>
      </c>
      <c r="Y113" s="75">
        <v>123.7</v>
      </c>
      <c r="Z113" s="75">
        <v>126.8</v>
      </c>
      <c r="AA113" s="75">
        <v>126.8</v>
      </c>
      <c r="AB113" s="75">
        <v>130</v>
      </c>
      <c r="AC113" s="75">
        <v>127.6</v>
      </c>
      <c r="AD113" s="75">
        <v>130.4</v>
      </c>
      <c r="AE113" s="75">
        <v>131.5</v>
      </c>
      <c r="AF113" s="75">
        <v>130.69999999999999</v>
      </c>
      <c r="AG113" s="116"/>
      <c r="AH113" s="48">
        <f t="shared" si="67"/>
        <v>131.5</v>
      </c>
      <c r="AI113" s="49">
        <f t="shared" si="68"/>
        <v>121.6</v>
      </c>
    </row>
    <row r="114" spans="1:35" x14ac:dyDescent="0.25">
      <c r="A114" s="117" t="s">
        <v>137</v>
      </c>
      <c r="B114" s="118">
        <v>134</v>
      </c>
      <c r="C114" s="118">
        <v>135</v>
      </c>
      <c r="D114" s="118">
        <v>135.80000000000001</v>
      </c>
      <c r="E114" s="118">
        <v>135.80000000000001</v>
      </c>
      <c r="F114" s="118">
        <v>132.6</v>
      </c>
      <c r="G114" s="118">
        <v>132.6</v>
      </c>
      <c r="H114" s="118">
        <v>133.1</v>
      </c>
      <c r="I114" s="118">
        <v>134.1</v>
      </c>
      <c r="J114" s="118">
        <v>134.1</v>
      </c>
      <c r="K114" s="118">
        <v>136.6</v>
      </c>
      <c r="L114" s="118">
        <v>133.5</v>
      </c>
      <c r="M114" s="118">
        <v>132.1</v>
      </c>
      <c r="N114" s="118">
        <v>132.9</v>
      </c>
      <c r="O114" s="118">
        <v>131.4</v>
      </c>
      <c r="P114" s="118">
        <v>132.69999999999999</v>
      </c>
      <c r="Q114" s="118">
        <v>135.30000000000001</v>
      </c>
      <c r="R114" s="118">
        <v>135</v>
      </c>
      <c r="S114" s="118">
        <v>134.30000000000001</v>
      </c>
      <c r="T114" s="118">
        <v>131.69999999999999</v>
      </c>
      <c r="U114" s="118">
        <v>130.80000000000001</v>
      </c>
      <c r="V114" s="118">
        <v>132.30000000000001</v>
      </c>
      <c r="W114" s="118">
        <v>132.1</v>
      </c>
      <c r="X114" s="118">
        <v>135.9</v>
      </c>
      <c r="Y114" s="118">
        <v>135.80000000000001</v>
      </c>
      <c r="Z114" s="118">
        <v>132.30000000000001</v>
      </c>
      <c r="AA114" s="118">
        <v>132.30000000000001</v>
      </c>
      <c r="AB114" s="118">
        <v>135.6</v>
      </c>
      <c r="AC114" s="118">
        <v>134.6</v>
      </c>
      <c r="AD114" s="118">
        <v>129.80000000000001</v>
      </c>
      <c r="AE114" s="118">
        <v>130.80000000000001</v>
      </c>
      <c r="AF114" s="118">
        <v>131.9</v>
      </c>
      <c r="AG114" s="119"/>
      <c r="AH114" s="48">
        <f t="shared" si="67"/>
        <v>136.6</v>
      </c>
      <c r="AI114" s="49">
        <f t="shared" si="68"/>
        <v>129.80000000000001</v>
      </c>
    </row>
    <row r="115" spans="1:35" x14ac:dyDescent="0.25">
      <c r="A115" s="115" t="s">
        <v>138</v>
      </c>
      <c r="B115" s="75">
        <v>129</v>
      </c>
      <c r="C115" s="75">
        <v>128</v>
      </c>
      <c r="D115" s="75">
        <v>128</v>
      </c>
      <c r="E115" s="75">
        <v>128</v>
      </c>
      <c r="F115" s="75">
        <v>129</v>
      </c>
      <c r="G115" s="75">
        <v>129</v>
      </c>
      <c r="H115" s="75">
        <v>124.7</v>
      </c>
      <c r="I115" s="75">
        <v>127.4</v>
      </c>
      <c r="J115" s="75">
        <v>127.4</v>
      </c>
      <c r="K115" s="75">
        <v>125.3</v>
      </c>
      <c r="L115" s="75">
        <v>135.5</v>
      </c>
      <c r="M115" s="75">
        <v>134.30000000000001</v>
      </c>
      <c r="N115" s="75">
        <v>134</v>
      </c>
      <c r="O115" s="75">
        <v>132.1</v>
      </c>
      <c r="P115" s="75">
        <v>126.2</v>
      </c>
      <c r="Q115" s="75">
        <v>134.30000000000001</v>
      </c>
      <c r="R115" s="75">
        <v>130</v>
      </c>
      <c r="S115" s="75">
        <v>127.4</v>
      </c>
      <c r="T115" s="75">
        <v>123</v>
      </c>
      <c r="U115" s="75">
        <v>129.80000000000001</v>
      </c>
      <c r="V115" s="75">
        <v>132.80000000000001</v>
      </c>
      <c r="W115" s="75">
        <v>136</v>
      </c>
      <c r="X115" s="75">
        <v>131.4</v>
      </c>
      <c r="Y115" s="75">
        <v>133.1</v>
      </c>
      <c r="Z115" s="75">
        <v>131.1</v>
      </c>
      <c r="AA115" s="75">
        <v>131.1</v>
      </c>
      <c r="AB115" s="75">
        <v>132.1</v>
      </c>
      <c r="AC115" s="75">
        <v>133</v>
      </c>
      <c r="AD115" s="75">
        <v>131.30000000000001</v>
      </c>
      <c r="AE115" s="75">
        <v>131.30000000000001</v>
      </c>
      <c r="AF115" s="75">
        <v>128.80000000000001</v>
      </c>
      <c r="AG115" s="116"/>
      <c r="AH115" s="48">
        <f t="shared" si="67"/>
        <v>136</v>
      </c>
      <c r="AI115" s="49">
        <f t="shared" si="68"/>
        <v>123</v>
      </c>
    </row>
    <row r="116" spans="1:35" ht="15.75" thickBot="1" x14ac:dyDescent="0.3">
      <c r="A116" s="115" t="s">
        <v>139</v>
      </c>
      <c r="B116" s="104">
        <v>67.2</v>
      </c>
      <c r="C116" s="104">
        <v>67.599999999999994</v>
      </c>
      <c r="D116" s="104">
        <v>67.7</v>
      </c>
      <c r="E116" s="104">
        <v>67.7</v>
      </c>
      <c r="F116" s="104">
        <v>66.3</v>
      </c>
      <c r="G116" s="104">
        <v>66.3</v>
      </c>
      <c r="H116" s="104">
        <v>65.900000000000006</v>
      </c>
      <c r="I116" s="104">
        <v>66.099999999999994</v>
      </c>
      <c r="J116" s="104">
        <v>66.099999999999994</v>
      </c>
      <c r="K116" s="104">
        <v>65.400000000000006</v>
      </c>
      <c r="L116" s="104">
        <v>63.9</v>
      </c>
      <c r="M116" s="104">
        <v>64.3</v>
      </c>
      <c r="N116" s="104">
        <v>64.8</v>
      </c>
      <c r="O116" s="104">
        <v>64.599999999999994</v>
      </c>
      <c r="P116" s="104">
        <v>65</v>
      </c>
      <c r="Q116" s="104">
        <v>65.099999999999994</v>
      </c>
      <c r="R116" s="104">
        <v>65</v>
      </c>
      <c r="S116" s="104">
        <v>65</v>
      </c>
      <c r="T116" s="104">
        <v>64</v>
      </c>
      <c r="U116" s="104">
        <v>63.9</v>
      </c>
      <c r="V116" s="104">
        <v>66</v>
      </c>
      <c r="W116" s="104">
        <v>66</v>
      </c>
      <c r="X116" s="104">
        <v>65.900000000000006</v>
      </c>
      <c r="Y116" s="104">
        <v>65.7</v>
      </c>
      <c r="Z116" s="104">
        <v>65.3</v>
      </c>
      <c r="AA116" s="104">
        <v>65.3</v>
      </c>
      <c r="AB116" s="104">
        <v>65.900000000000006</v>
      </c>
      <c r="AC116" s="104">
        <v>66.2</v>
      </c>
      <c r="AD116" s="104">
        <v>64.900000000000006</v>
      </c>
      <c r="AE116" s="104">
        <v>65.3</v>
      </c>
      <c r="AF116" s="104">
        <v>66.2</v>
      </c>
      <c r="AG116" s="120"/>
      <c r="AH116" s="48">
        <f t="shared" si="67"/>
        <v>67.7</v>
      </c>
      <c r="AI116" s="49">
        <f t="shared" si="68"/>
        <v>63.9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67"/>
        <v>0</v>
      </c>
      <c r="AI117" s="49">
        <f t="shared" si="68"/>
        <v>0</v>
      </c>
    </row>
    <row r="118" spans="1:35" ht="15.75" thickBot="1" x14ac:dyDescent="0.3">
      <c r="A118" s="122" t="s">
        <v>141</v>
      </c>
      <c r="B118" s="123">
        <f t="shared" ref="B118:C118" si="156">SUM(B22,B28,B31:B32,B66,B68:B69,B71,B73,B119:B123,B155,B161,B167,B176,B178,B190,B197,B200:B201,B208,B210,B212,B216:B218,B220:B222,B227,B233:B234,B236:B238,B246,B251)</f>
        <v>116.43999999999998</v>
      </c>
      <c r="C118" s="123">
        <f t="shared" si="156"/>
        <v>97.439999999999984</v>
      </c>
      <c r="D118" s="123">
        <f t="shared" ref="D118" si="157">SUM(D22,D28,D31:D32,D66,D68:D69,D71,D73,D119:D123,D155,D161,D167,D176,D178,D190,D197,D200:D201,D208,D210,D212,D216:D218,D220:D222,D227,D233:D234,D236:D238,D246,D251)</f>
        <v>97.439999999999984</v>
      </c>
      <c r="E118" s="123">
        <f t="shared" ref="E118:O118" si="158">SUM(E22,E28,E31:E32,E66,E68:E69,E71,E73,E119:E123,E155,E161,E167,E176,E178,E190,E197,E200:E201,E208,E210,E212,E216:E218,E220:E222,E227,E233:E234,E236:E238,E246,E251)</f>
        <v>105.43999999999998</v>
      </c>
      <c r="F118" s="123">
        <f t="shared" si="158"/>
        <v>111.43999999999998</v>
      </c>
      <c r="G118" s="123">
        <f t="shared" si="158"/>
        <v>121.43999999999998</v>
      </c>
      <c r="H118" s="123">
        <f t="shared" si="158"/>
        <v>176.64</v>
      </c>
      <c r="I118" s="123">
        <f t="shared" si="158"/>
        <v>209.83999999999997</v>
      </c>
      <c r="J118" s="123">
        <f t="shared" si="158"/>
        <v>209.83999999999997</v>
      </c>
      <c r="K118" s="123">
        <f t="shared" si="158"/>
        <v>299.08</v>
      </c>
      <c r="L118" s="123">
        <f t="shared" si="158"/>
        <v>323.7</v>
      </c>
      <c r="M118" s="123">
        <f t="shared" si="158"/>
        <v>321.06</v>
      </c>
      <c r="N118" s="123">
        <f t="shared" si="158"/>
        <v>308.94</v>
      </c>
      <c r="O118" s="123">
        <f t="shared" si="158"/>
        <v>304.47999999999996</v>
      </c>
      <c r="P118" s="123">
        <v>42</v>
      </c>
      <c r="Q118" s="123">
        <f t="shared" ref="Q118:AF118" si="159">SUM(Q22,Q28,Q31:Q32,Q66,Q68:Q69,Q71,Q73,Q119:Q123,Q155,Q161,Q167,Q176,Q178,Q190,Q197,Q200:Q201,Q208,Q210,Q212,Q216:Q218,Q220:Q222,Q227,Q233:Q234,Q236:Q238,Q246,Q251)</f>
        <v>289.06</v>
      </c>
      <c r="R118" s="123">
        <f t="shared" si="159"/>
        <v>277.94</v>
      </c>
      <c r="S118" s="123">
        <f t="shared" ref="S118:T118" si="160">SUM(S22,S28,S31:S32,S66,S68:S69,S71,S73,S119:S123,S155,S161,S167,S176,S178,S190,S197,S200:S201,S208,S210,S212,S216:S218,S220:S222,S227,S233:S234,S236:S238,S246,S251)</f>
        <v>270.5</v>
      </c>
      <c r="T118" s="123">
        <f t="shared" si="160"/>
        <v>263.38</v>
      </c>
      <c r="U118" s="123">
        <f t="shared" ref="U118:V118" si="161">SUM(U22,U28,U31:U32,U66,U68:U69,U71,U73,U119:U123,U155,U161,U167,U176,U178,U190,U197,U200:U201,U208,U210,U212,U216:U218,U220:U222,U227,U233:U234,U236:U238,U246,U251)</f>
        <v>281.44</v>
      </c>
      <c r="V118" s="123">
        <f t="shared" si="161"/>
        <v>276.26000000000005</v>
      </c>
      <c r="W118" s="123">
        <f t="shared" ref="W118:X118" si="162">SUM(W22,W28,W31:W32,W66,W68:W69,W71,W73,W119:W123,W155,W161,W167,W176,W178,W190,W197,W200:W201,W208,W210,W212,W216:W218,W220:W222,W227,W233:W234,W236:W238,W246,W251)</f>
        <v>279.24</v>
      </c>
      <c r="X118" s="123">
        <f t="shared" si="162"/>
        <v>294.98000000000008</v>
      </c>
      <c r="Y118" s="123">
        <f t="shared" ref="Y118:Z118" si="163">SUM(Y22,Y28,Y31:Y32,Y66,Y68:Y69,Y71,Y73,Y119:Y123,Y155,Y161,Y167,Y176,Y178,Y190,Y197,Y200:Y201,Y208,Y210,Y212,Y216:Y218,Y220:Y222,Y227,Y233:Y234,Y236:Y238,Y246,Y251)</f>
        <v>361.32</v>
      </c>
      <c r="Z118" s="123">
        <f t="shared" si="163"/>
        <v>380.42</v>
      </c>
      <c r="AA118" s="123">
        <f t="shared" ref="AA118" si="164">SUM(AA22,AA28,AA31:AA32,AA66,AA68:AA69,AA71,AA73,AA119:AA123,AA155,AA161,AA167,AA176,AA178,AA190,AA197,AA200:AA201,AA208,AA210,AA212,AA216:AA218,AA220:AA222,AA227,AA233:AA234,AA236:AA238,AA246,AA251)</f>
        <v>362.88000000000005</v>
      </c>
      <c r="AB118" s="123">
        <f t="shared" si="159"/>
        <v>305.29500000000002</v>
      </c>
      <c r="AC118" s="123">
        <f t="shared" si="159"/>
        <v>204.452</v>
      </c>
      <c r="AD118" s="123">
        <f t="shared" si="159"/>
        <v>256.8</v>
      </c>
      <c r="AE118" s="123">
        <f t="shared" si="159"/>
        <v>206.88</v>
      </c>
      <c r="AF118" s="123">
        <f t="shared" si="159"/>
        <v>162.91999999999999</v>
      </c>
      <c r="AG118" s="124"/>
      <c r="AH118" s="48">
        <f t="shared" si="67"/>
        <v>380.42</v>
      </c>
      <c r="AI118" s="49">
        <f t="shared" si="68"/>
        <v>42</v>
      </c>
    </row>
    <row r="119" spans="1:35" x14ac:dyDescent="0.25">
      <c r="A119" s="125" t="s">
        <v>142</v>
      </c>
      <c r="B119" s="126">
        <v>-9</v>
      </c>
      <c r="C119" s="126">
        <v>-14</v>
      </c>
      <c r="D119" s="126">
        <v>-14</v>
      </c>
      <c r="E119" s="126">
        <v>-12</v>
      </c>
      <c r="F119" s="126">
        <v>-23</v>
      </c>
      <c r="G119" s="126">
        <v>-23</v>
      </c>
      <c r="H119" s="126">
        <v>-12</v>
      </c>
      <c r="I119" s="126">
        <v>0.6</v>
      </c>
      <c r="J119" s="126">
        <v>0.6</v>
      </c>
      <c r="K119" s="126">
        <v>28.6</v>
      </c>
      <c r="L119" s="126">
        <v>22.2</v>
      </c>
      <c r="M119" s="126">
        <v>21.4</v>
      </c>
      <c r="N119" s="126">
        <v>15.6</v>
      </c>
      <c r="O119" s="126">
        <v>12</v>
      </c>
      <c r="P119" s="126">
        <v>16.3</v>
      </c>
      <c r="Q119" s="126">
        <v>15.3</v>
      </c>
      <c r="R119" s="126">
        <v>18.2</v>
      </c>
      <c r="S119" s="126">
        <v>14.3</v>
      </c>
      <c r="T119" s="126">
        <v>11.6</v>
      </c>
      <c r="U119" s="126">
        <v>17.100000000000001</v>
      </c>
      <c r="V119" s="126">
        <v>19.100000000000001</v>
      </c>
      <c r="W119" s="126">
        <v>19.8</v>
      </c>
      <c r="X119" s="126">
        <v>18.7</v>
      </c>
      <c r="Y119" s="126">
        <v>32.5</v>
      </c>
      <c r="Z119" s="126">
        <v>27.2</v>
      </c>
      <c r="AA119" s="126">
        <v>18.5</v>
      </c>
      <c r="AB119" s="126">
        <v>20.7</v>
      </c>
      <c r="AC119" s="126">
        <v>-16</v>
      </c>
      <c r="AD119" s="126">
        <v>12</v>
      </c>
      <c r="AE119" s="126">
        <v>-3.3</v>
      </c>
      <c r="AF119" s="126">
        <v>-13</v>
      </c>
      <c r="AG119" s="127">
        <v>75</v>
      </c>
      <c r="AH119" s="48">
        <f t="shared" si="67"/>
        <v>32.5</v>
      </c>
      <c r="AI119" s="49">
        <f t="shared" si="68"/>
        <v>-23</v>
      </c>
    </row>
    <row r="120" spans="1:35" x14ac:dyDescent="0.25">
      <c r="A120" s="128" t="s">
        <v>143</v>
      </c>
      <c r="B120" s="129">
        <v>-14</v>
      </c>
      <c r="C120" s="129">
        <v>-18</v>
      </c>
      <c r="D120" s="129">
        <v>-18</v>
      </c>
      <c r="E120" s="129">
        <v>-16</v>
      </c>
      <c r="F120" s="129">
        <v>-31</v>
      </c>
      <c r="G120" s="129">
        <v>-31</v>
      </c>
      <c r="H120" s="129">
        <v>-15</v>
      </c>
      <c r="I120" s="129">
        <v>3.5</v>
      </c>
      <c r="J120" s="129">
        <v>3.5</v>
      </c>
      <c r="K120" s="129">
        <v>38.700000000000003</v>
      </c>
      <c r="L120" s="129">
        <v>32.200000000000003</v>
      </c>
      <c r="M120" s="129">
        <v>32.1</v>
      </c>
      <c r="N120" s="129">
        <v>24.4</v>
      </c>
      <c r="O120" s="129">
        <v>19</v>
      </c>
      <c r="P120" s="129">
        <v>17.8</v>
      </c>
      <c r="Q120" s="129">
        <v>15.5</v>
      </c>
      <c r="R120" s="129">
        <v>19.7</v>
      </c>
      <c r="S120" s="129">
        <v>11</v>
      </c>
      <c r="T120" s="129">
        <v>8.5</v>
      </c>
      <c r="U120" s="129">
        <v>16.2</v>
      </c>
      <c r="V120" s="129">
        <v>26.2</v>
      </c>
      <c r="W120" s="129">
        <v>29.7</v>
      </c>
      <c r="X120" s="129">
        <v>26.7</v>
      </c>
      <c r="Y120" s="129">
        <v>45</v>
      </c>
      <c r="Z120" s="129">
        <v>37.200000000000003</v>
      </c>
      <c r="AA120" s="129">
        <v>26</v>
      </c>
      <c r="AB120" s="129">
        <v>28.8</v>
      </c>
      <c r="AC120" s="129">
        <v>-22</v>
      </c>
      <c r="AD120" s="129">
        <v>10</v>
      </c>
      <c r="AE120" s="129">
        <v>-12</v>
      </c>
      <c r="AF120" s="129">
        <v>-23</v>
      </c>
      <c r="AG120" s="127">
        <v>240</v>
      </c>
      <c r="AH120" s="48">
        <f t="shared" si="67"/>
        <v>45</v>
      </c>
      <c r="AI120" s="49">
        <f t="shared" si="68"/>
        <v>-31</v>
      </c>
    </row>
    <row r="121" spans="1:35" x14ac:dyDescent="0.25">
      <c r="A121" s="128" t="s">
        <v>144</v>
      </c>
      <c r="B121" s="129">
        <v>-12</v>
      </c>
      <c r="C121" s="129">
        <v>-15</v>
      </c>
      <c r="D121" s="129">
        <v>-15</v>
      </c>
      <c r="E121" s="129">
        <v>-13</v>
      </c>
      <c r="F121" s="129">
        <v>-4</v>
      </c>
      <c r="G121" s="129">
        <v>-4</v>
      </c>
      <c r="H121" s="129">
        <v>0</v>
      </c>
      <c r="I121" s="129">
        <v>-3.7</v>
      </c>
      <c r="J121" s="129">
        <v>-3.7</v>
      </c>
      <c r="K121" s="129">
        <v>11</v>
      </c>
      <c r="L121" s="129">
        <v>24</v>
      </c>
      <c r="M121" s="129">
        <f>13+15</f>
        <v>28</v>
      </c>
      <c r="N121" s="129">
        <f>13+15</f>
        <v>28</v>
      </c>
      <c r="O121" s="129">
        <f>14+15</f>
        <v>29</v>
      </c>
      <c r="P121" s="129">
        <f>12+14</f>
        <v>26</v>
      </c>
      <c r="Q121" s="129">
        <f>8.6+10</f>
        <v>18.600000000000001</v>
      </c>
      <c r="R121" s="129">
        <f>6+6</f>
        <v>12</v>
      </c>
      <c r="S121" s="129">
        <v>18</v>
      </c>
      <c r="T121" s="129">
        <v>19</v>
      </c>
      <c r="U121" s="129">
        <v>25</v>
      </c>
      <c r="V121" s="129">
        <v>28</v>
      </c>
      <c r="W121" s="129">
        <v>22</v>
      </c>
      <c r="X121" s="129">
        <v>24</v>
      </c>
      <c r="Y121" s="129">
        <v>38</v>
      </c>
      <c r="Z121" s="129">
        <v>46</v>
      </c>
      <c r="AA121" s="129">
        <v>45</v>
      </c>
      <c r="AB121" s="129">
        <v>5</v>
      </c>
      <c r="AC121" s="129">
        <v>30</v>
      </c>
      <c r="AD121" s="129">
        <v>19</v>
      </c>
      <c r="AE121" s="129">
        <v>9</v>
      </c>
      <c r="AF121" s="129">
        <v>1.5</v>
      </c>
      <c r="AG121" s="127">
        <v>240</v>
      </c>
      <c r="AH121" s="48">
        <f t="shared" si="67"/>
        <v>46</v>
      </c>
      <c r="AI121" s="49">
        <f t="shared" si="68"/>
        <v>-15</v>
      </c>
    </row>
    <row r="122" spans="1:35" ht="15.75" thickBot="1" x14ac:dyDescent="0.3">
      <c r="A122" s="128" t="s">
        <v>145</v>
      </c>
      <c r="B122" s="129">
        <v>-10</v>
      </c>
      <c r="C122" s="129">
        <v>-12</v>
      </c>
      <c r="D122" s="129">
        <v>-12</v>
      </c>
      <c r="E122" s="129">
        <v>-12</v>
      </c>
      <c r="F122" s="129">
        <v>-7</v>
      </c>
      <c r="G122" s="129">
        <v>-7</v>
      </c>
      <c r="H122" s="129">
        <v>-4</v>
      </c>
      <c r="I122" s="129">
        <v>10</v>
      </c>
      <c r="J122" s="129">
        <v>10</v>
      </c>
      <c r="K122" s="129">
        <v>11.5</v>
      </c>
      <c r="L122" s="129">
        <v>14</v>
      </c>
      <c r="M122" s="129">
        <v>15.1</v>
      </c>
      <c r="N122" s="129">
        <v>13.6</v>
      </c>
      <c r="O122" s="129">
        <v>12.8</v>
      </c>
      <c r="P122" s="129">
        <v>16.100000000000001</v>
      </c>
      <c r="Q122" s="129">
        <v>10.5</v>
      </c>
      <c r="R122" s="129">
        <v>4.7</v>
      </c>
      <c r="S122" s="129">
        <v>3.4</v>
      </c>
      <c r="T122" s="129">
        <v>2.4</v>
      </c>
      <c r="U122" s="129">
        <v>8.1</v>
      </c>
      <c r="V122" s="129">
        <v>15.3</v>
      </c>
      <c r="W122" s="129">
        <v>16.600000000000001</v>
      </c>
      <c r="X122" s="129">
        <v>19.399999999999999</v>
      </c>
      <c r="Y122" s="129">
        <v>40.6</v>
      </c>
      <c r="Z122" s="129">
        <v>48.8</v>
      </c>
      <c r="AA122" s="129">
        <v>48.8</v>
      </c>
      <c r="AB122" s="129">
        <v>32.200000000000003</v>
      </c>
      <c r="AC122" s="129">
        <v>14</v>
      </c>
      <c r="AD122" s="129">
        <v>3.9</v>
      </c>
      <c r="AE122" s="129">
        <v>-2</v>
      </c>
      <c r="AF122" s="129">
        <v>-3</v>
      </c>
      <c r="AG122" s="127">
        <v>60</v>
      </c>
      <c r="AH122" s="48">
        <f t="shared" si="67"/>
        <v>48.8</v>
      </c>
      <c r="AI122" s="49">
        <f t="shared" si="68"/>
        <v>-12</v>
      </c>
    </row>
    <row r="123" spans="1:35" x14ac:dyDescent="0.25">
      <c r="A123" s="125" t="s">
        <v>146</v>
      </c>
      <c r="B123" s="130">
        <v>85</v>
      </c>
      <c r="C123" s="130">
        <v>80</v>
      </c>
      <c r="D123" s="130">
        <v>80</v>
      </c>
      <c r="E123" s="130">
        <v>82</v>
      </c>
      <c r="F123" s="130">
        <v>100</v>
      </c>
      <c r="G123" s="130">
        <v>110</v>
      </c>
      <c r="H123" s="130">
        <f>80*1.64</f>
        <v>131.19999999999999</v>
      </c>
      <c r="I123" s="130">
        <f>75*1.64</f>
        <v>122.99999999999999</v>
      </c>
      <c r="J123" s="130">
        <f>75*1.64</f>
        <v>122.99999999999999</v>
      </c>
      <c r="K123" s="130">
        <f>81*1.64</f>
        <v>132.84</v>
      </c>
      <c r="L123" s="130">
        <f>94*1.64</f>
        <v>154.16</v>
      </c>
      <c r="M123" s="130">
        <f>88*1.64</f>
        <v>144.32</v>
      </c>
      <c r="N123" s="130">
        <f>85*1.64</f>
        <v>139.4</v>
      </c>
      <c r="O123" s="130">
        <f>86*1.64</f>
        <v>141.04</v>
      </c>
      <c r="P123" s="130">
        <f>80*1.64</f>
        <v>131.19999999999999</v>
      </c>
      <c r="Q123" s="130">
        <f>83*1.64</f>
        <v>136.12</v>
      </c>
      <c r="R123" s="130">
        <f>80*1.64</f>
        <v>131.19999999999999</v>
      </c>
      <c r="S123" s="130">
        <f>84.1*1.6</f>
        <v>134.56</v>
      </c>
      <c r="T123" s="130">
        <f>86.4*1.6</f>
        <v>138.24</v>
      </c>
      <c r="U123" s="130">
        <f>83.5*1.6</f>
        <v>133.6</v>
      </c>
      <c r="V123" s="130">
        <f>69.2*1.6</f>
        <v>110.72000000000001</v>
      </c>
      <c r="W123" s="130">
        <f>72*1.6</f>
        <v>115.2</v>
      </c>
      <c r="X123" s="130">
        <f>81.9*1.6</f>
        <v>131.04000000000002</v>
      </c>
      <c r="Y123" s="130">
        <f>81.3*1.6</f>
        <v>130.08000000000001</v>
      </c>
      <c r="Z123" s="130">
        <f>91.3*1.6</f>
        <v>146.08000000000001</v>
      </c>
      <c r="AA123" s="130">
        <f>93.4*1.6</f>
        <v>149.44000000000003</v>
      </c>
      <c r="AB123" s="130">
        <f>86.5*1.67</f>
        <v>144.45499999999998</v>
      </c>
      <c r="AC123" s="130">
        <f>75.8*1.64</f>
        <v>124.31199999999998</v>
      </c>
      <c r="AD123" s="130">
        <f>84*1.64</f>
        <v>137.76</v>
      </c>
      <c r="AE123" s="130">
        <f>86*1.64</f>
        <v>141.04</v>
      </c>
      <c r="AF123" s="130">
        <f>77*1.64</f>
        <v>126.27999999999999</v>
      </c>
      <c r="AG123" s="131">
        <v>120</v>
      </c>
      <c r="AH123" s="48">
        <f t="shared" si="67"/>
        <v>154.16</v>
      </c>
      <c r="AI123" s="49">
        <f t="shared" si="68"/>
        <v>80</v>
      </c>
    </row>
    <row r="124" spans="1:35" x14ac:dyDescent="0.25">
      <c r="A124" s="128" t="s">
        <v>147</v>
      </c>
      <c r="B124" s="130">
        <v>74</v>
      </c>
      <c r="C124" s="130">
        <v>72</v>
      </c>
      <c r="D124" s="130">
        <v>70</v>
      </c>
      <c r="E124" s="130">
        <v>69</v>
      </c>
      <c r="F124" s="130">
        <v>83</v>
      </c>
      <c r="G124" s="130">
        <v>83</v>
      </c>
      <c r="H124" s="130">
        <v>87</v>
      </c>
      <c r="I124" s="130">
        <v>82</v>
      </c>
      <c r="J124" s="130">
        <v>82</v>
      </c>
      <c r="K124" s="130">
        <v>86</v>
      </c>
      <c r="L124" s="130">
        <v>96.3</v>
      </c>
      <c r="M124" s="130">
        <v>91.7</v>
      </c>
      <c r="N124" s="130">
        <v>89</v>
      </c>
      <c r="O124" s="130">
        <v>98.6</v>
      </c>
      <c r="P124" s="130">
        <v>85</v>
      </c>
      <c r="Q124" s="130">
        <v>86.5</v>
      </c>
      <c r="R124" s="130">
        <v>84.5</v>
      </c>
      <c r="S124" s="130">
        <v>87.7</v>
      </c>
      <c r="T124" s="130">
        <v>89</v>
      </c>
      <c r="U124" s="130">
        <v>87.1</v>
      </c>
      <c r="V124" s="130">
        <v>75.2</v>
      </c>
      <c r="W124" s="130">
        <v>78.3</v>
      </c>
      <c r="X124" s="130">
        <v>84.8</v>
      </c>
      <c r="Y124" s="130">
        <v>84</v>
      </c>
      <c r="Z124" s="130">
        <v>92.5</v>
      </c>
      <c r="AA124" s="130">
        <v>93</v>
      </c>
      <c r="AB124" s="130">
        <v>90</v>
      </c>
      <c r="AC124" s="130">
        <v>81.7</v>
      </c>
      <c r="AD124" s="130">
        <v>89.2</v>
      </c>
      <c r="AE124" s="130">
        <v>92</v>
      </c>
      <c r="AF124" s="130">
        <v>83.5</v>
      </c>
      <c r="AG124" s="131"/>
      <c r="AH124" s="48">
        <f t="shared" si="67"/>
        <v>98.6</v>
      </c>
      <c r="AI124" s="49">
        <f t="shared" si="68"/>
        <v>69</v>
      </c>
    </row>
    <row r="125" spans="1:35" x14ac:dyDescent="0.25">
      <c r="A125" s="128" t="s">
        <v>148</v>
      </c>
      <c r="B125" s="130">
        <v>56</v>
      </c>
      <c r="C125" s="130">
        <v>62</v>
      </c>
      <c r="D125" s="130">
        <v>51</v>
      </c>
      <c r="E125" s="130">
        <v>51</v>
      </c>
      <c r="F125" s="130">
        <v>66</v>
      </c>
      <c r="G125" s="130">
        <v>66</v>
      </c>
      <c r="H125" s="130">
        <v>44</v>
      </c>
      <c r="I125" s="130">
        <v>34</v>
      </c>
      <c r="J125" s="130">
        <v>34</v>
      </c>
      <c r="K125" s="130">
        <v>-6.5</v>
      </c>
      <c r="L125" s="130">
        <v>-1.3</v>
      </c>
      <c r="M125" s="130">
        <v>-2.1</v>
      </c>
      <c r="N125" s="130">
        <v>5.5</v>
      </c>
      <c r="O125" s="130">
        <v>11.1</v>
      </c>
      <c r="P125" s="130">
        <v>38.9</v>
      </c>
      <c r="Q125" s="130">
        <v>50.3</v>
      </c>
      <c r="R125" s="130">
        <v>45</v>
      </c>
      <c r="S125" s="130">
        <v>55.4</v>
      </c>
      <c r="T125" s="130">
        <v>56.2</v>
      </c>
      <c r="U125" s="130">
        <v>39.700000000000003</v>
      </c>
      <c r="V125" s="130">
        <v>13.8</v>
      </c>
      <c r="W125" s="130">
        <v>-3.3</v>
      </c>
      <c r="X125" s="130">
        <v>-1.4</v>
      </c>
      <c r="Y125" s="130">
        <v>-32.5</v>
      </c>
      <c r="Z125" s="130">
        <v>-29.9</v>
      </c>
      <c r="AA125" s="130">
        <v>-16.3</v>
      </c>
      <c r="AB125" s="130">
        <v>6.5</v>
      </c>
      <c r="AC125" s="130">
        <v>3.7</v>
      </c>
      <c r="AD125" s="130">
        <v>29.3</v>
      </c>
      <c r="AE125" s="130">
        <v>57</v>
      </c>
      <c r="AF125" s="130">
        <v>67</v>
      </c>
      <c r="AG125" s="131"/>
      <c r="AH125" s="48">
        <f t="shared" si="67"/>
        <v>67</v>
      </c>
      <c r="AI125" s="49">
        <f t="shared" si="68"/>
        <v>-32.5</v>
      </c>
    </row>
    <row r="126" spans="1:35" ht="15.75" thickBot="1" x14ac:dyDescent="0.3">
      <c r="A126" s="128" t="s">
        <v>149</v>
      </c>
      <c r="B126" s="130">
        <v>80</v>
      </c>
      <c r="C126" s="130">
        <v>80</v>
      </c>
      <c r="D126" s="130">
        <v>81</v>
      </c>
      <c r="E126" s="130">
        <v>76</v>
      </c>
      <c r="F126" s="130">
        <v>97</v>
      </c>
      <c r="G126" s="130">
        <v>97</v>
      </c>
      <c r="H126" s="130">
        <v>100</v>
      </c>
      <c r="I126" s="130">
        <v>98</v>
      </c>
      <c r="J126" s="130">
        <v>98</v>
      </c>
      <c r="K126" s="130">
        <v>93.6</v>
      </c>
      <c r="L126" s="130">
        <v>101</v>
      </c>
      <c r="M126" s="130">
        <v>83</v>
      </c>
      <c r="N126" s="130">
        <v>82.8</v>
      </c>
      <c r="O126" s="130">
        <v>93.6</v>
      </c>
      <c r="P126" s="130">
        <v>87.7</v>
      </c>
      <c r="Q126" s="130">
        <v>99</v>
      </c>
      <c r="R126" s="130">
        <v>-0.2</v>
      </c>
      <c r="S126" s="130">
        <v>99.7</v>
      </c>
      <c r="T126" s="130">
        <v>100.2</v>
      </c>
      <c r="U126" s="130">
        <v>90.1</v>
      </c>
      <c r="V126" s="130">
        <v>78.7</v>
      </c>
      <c r="W126" s="130">
        <v>84.5</v>
      </c>
      <c r="X126" s="130">
        <v>88.3</v>
      </c>
      <c r="Y126" s="130">
        <v>81.7</v>
      </c>
      <c r="Z126" s="130">
        <v>82.3</v>
      </c>
      <c r="AA126" s="130">
        <v>85.8</v>
      </c>
      <c r="AB126" s="130">
        <v>88.9</v>
      </c>
      <c r="AC126" s="130">
        <v>78</v>
      </c>
      <c r="AD126" s="130">
        <v>91</v>
      </c>
      <c r="AE126" s="130">
        <v>98</v>
      </c>
      <c r="AF126" s="130">
        <v>86.6</v>
      </c>
      <c r="AG126" s="127"/>
      <c r="AH126" s="48">
        <f>MAX(B126:AF126)</f>
        <v>101</v>
      </c>
      <c r="AI126" s="49">
        <f>MIN(B126:AF126)</f>
        <v>-0.2</v>
      </c>
    </row>
    <row r="127" spans="1:35" x14ac:dyDescent="0.25">
      <c r="A127" s="125" t="s">
        <v>305</v>
      </c>
      <c r="B127" s="130">
        <v>0</v>
      </c>
      <c r="C127" s="130">
        <v>18</v>
      </c>
      <c r="D127" s="130">
        <v>18</v>
      </c>
      <c r="E127" s="130">
        <v>30</v>
      </c>
      <c r="F127" s="130">
        <v>60</v>
      </c>
      <c r="G127" s="130">
        <v>60</v>
      </c>
      <c r="H127" s="130">
        <v>30</v>
      </c>
      <c r="I127" s="130">
        <v>6</v>
      </c>
      <c r="J127" s="130">
        <v>6</v>
      </c>
      <c r="K127" s="130">
        <v>-56</v>
      </c>
      <c r="L127" s="130">
        <f>78*2</f>
        <v>156</v>
      </c>
      <c r="M127" s="130">
        <v>-84.2</v>
      </c>
      <c r="N127" s="130">
        <v>-39</v>
      </c>
      <c r="O127" s="130">
        <v>-3.7</v>
      </c>
      <c r="P127" s="130">
        <v>-8.4</v>
      </c>
      <c r="Q127" s="130">
        <v>14</v>
      </c>
      <c r="R127" s="130">
        <v>16.100000000000001</v>
      </c>
      <c r="S127" s="130">
        <v>40.1</v>
      </c>
      <c r="T127" s="130">
        <v>43.9</v>
      </c>
      <c r="U127" s="130">
        <v>22.5</v>
      </c>
      <c r="V127" s="130">
        <v>21.7</v>
      </c>
      <c r="W127" s="130">
        <v>22.1</v>
      </c>
      <c r="X127" s="130">
        <v>15.9</v>
      </c>
      <c r="Y127" s="130">
        <v>-58.8</v>
      </c>
      <c r="Z127" s="130">
        <v>-116.8</v>
      </c>
      <c r="AA127" s="130">
        <v>-124</v>
      </c>
      <c r="AB127" s="130">
        <v>-100.9</v>
      </c>
      <c r="AC127" s="130">
        <v>-27</v>
      </c>
      <c r="AD127" s="130">
        <v>-72</v>
      </c>
      <c r="AE127" s="130">
        <v>-35</v>
      </c>
      <c r="AF127" s="130">
        <v>-4</v>
      </c>
      <c r="AG127" s="127"/>
      <c r="AH127" s="48">
        <f>MAX(B127:AF127)</f>
        <v>156</v>
      </c>
      <c r="AI127" s="49">
        <f>MIN(B127:AF127)</f>
        <v>-124</v>
      </c>
    </row>
    <row r="128" spans="1:35" x14ac:dyDescent="0.25">
      <c r="A128" s="128" t="s">
        <v>151</v>
      </c>
      <c r="B128" s="118">
        <v>-64</v>
      </c>
      <c r="C128" s="118">
        <v>-20</v>
      </c>
      <c r="D128" s="118">
        <v>-20</v>
      </c>
      <c r="E128" s="118">
        <v>-17</v>
      </c>
      <c r="F128" s="118">
        <v>-22</v>
      </c>
      <c r="G128" s="118">
        <v>-22</v>
      </c>
      <c r="H128" s="118">
        <v>-30</v>
      </c>
      <c r="I128" s="118">
        <v>-39</v>
      </c>
      <c r="J128" s="118">
        <v>-39</v>
      </c>
      <c r="K128" s="118">
        <v>-55</v>
      </c>
      <c r="L128" s="118">
        <v>-61</v>
      </c>
      <c r="M128" s="118">
        <v>-62</v>
      </c>
      <c r="N128" s="118">
        <v>-49.6</v>
      </c>
      <c r="O128" s="118">
        <v>-48</v>
      </c>
      <c r="P128" s="118">
        <v>-49</v>
      </c>
      <c r="Q128" s="118">
        <v>-39</v>
      </c>
      <c r="R128" s="118">
        <v>36.200000000000003</v>
      </c>
      <c r="S128" s="118">
        <v>-39.299999999999997</v>
      </c>
      <c r="T128" s="118">
        <v>-45.4</v>
      </c>
      <c r="U128" s="118">
        <v>-39.6</v>
      </c>
      <c r="V128" s="118">
        <v>-54.9</v>
      </c>
      <c r="W128" s="118">
        <v>-61.6</v>
      </c>
      <c r="X128" s="118">
        <v>-61.6</v>
      </c>
      <c r="Y128" s="118">
        <v>109.4</v>
      </c>
      <c r="Z128" s="118"/>
      <c r="AA128" s="118">
        <v>-62.7</v>
      </c>
      <c r="AB128" s="118">
        <v>-49.1</v>
      </c>
      <c r="AC128" s="118">
        <v>-41</v>
      </c>
      <c r="AD128" s="118">
        <v>-38</v>
      </c>
      <c r="AE128" s="118">
        <v>-31</v>
      </c>
      <c r="AF128" s="118">
        <v>-24</v>
      </c>
      <c r="AG128" s="127"/>
      <c r="AH128" s="48">
        <f>MAX(B128:AF128)</f>
        <v>109.4</v>
      </c>
      <c r="AI128" s="49">
        <f>MIN(B128:AF128)</f>
        <v>-64</v>
      </c>
    </row>
    <row r="129" spans="1:37" x14ac:dyDescent="0.25">
      <c r="A129" s="128" t="s">
        <v>306</v>
      </c>
      <c r="B129" s="118">
        <v>97</v>
      </c>
      <c r="C129" s="118">
        <v>101</v>
      </c>
      <c r="D129" s="118">
        <v>105</v>
      </c>
      <c r="E129" s="118">
        <v>96</v>
      </c>
      <c r="F129" s="118">
        <v>96</v>
      </c>
      <c r="G129" s="118">
        <v>96</v>
      </c>
      <c r="H129" s="118">
        <v>102</v>
      </c>
      <c r="I129" s="118">
        <v>115</v>
      </c>
      <c r="J129" s="118">
        <v>115</v>
      </c>
      <c r="K129" s="118">
        <v>106</v>
      </c>
      <c r="L129" s="118">
        <v>120</v>
      </c>
      <c r="M129" s="118">
        <v>122.5</v>
      </c>
      <c r="N129" s="118">
        <v>114</v>
      </c>
      <c r="O129" s="118">
        <v>108.5</v>
      </c>
      <c r="P129" s="118">
        <v>121</v>
      </c>
      <c r="Q129" s="118">
        <v>116.5</v>
      </c>
      <c r="R129" s="118">
        <v>110.7</v>
      </c>
      <c r="S129" s="118">
        <v>112</v>
      </c>
      <c r="T129" s="118">
        <v>122.8</v>
      </c>
      <c r="U129" s="118">
        <v>113.2</v>
      </c>
      <c r="V129" s="118">
        <v>107.9</v>
      </c>
      <c r="W129" s="118">
        <v>101.8</v>
      </c>
      <c r="X129" s="118">
        <v>110.9</v>
      </c>
      <c r="Y129" s="118">
        <v>119.3</v>
      </c>
      <c r="Z129" s="118">
        <v>109.2</v>
      </c>
      <c r="AA129" s="118">
        <v>98.6</v>
      </c>
      <c r="AB129" s="118">
        <v>108</v>
      </c>
      <c r="AC129" s="118">
        <v>122</v>
      </c>
      <c r="AD129" s="118">
        <v>114</v>
      </c>
      <c r="AE129" s="118">
        <v>105</v>
      </c>
      <c r="AF129" s="118">
        <v>115</v>
      </c>
      <c r="AG129" s="127"/>
      <c r="AH129" s="48">
        <f>MAX(B129:AF129)</f>
        <v>122.8</v>
      </c>
      <c r="AI129" s="49">
        <f>MIN(B129:AF129)</f>
        <v>96</v>
      </c>
    </row>
    <row r="130" spans="1:37" ht="15.75" thickBot="1" x14ac:dyDescent="0.3">
      <c r="A130" s="128" t="s">
        <v>153</v>
      </c>
      <c r="B130" s="118">
        <v>100</v>
      </c>
      <c r="C130" s="118">
        <v>103</v>
      </c>
      <c r="D130" s="118">
        <v>108</v>
      </c>
      <c r="E130" s="118">
        <v>98</v>
      </c>
      <c r="F130" s="118">
        <v>101</v>
      </c>
      <c r="G130" s="118">
        <v>101</v>
      </c>
      <c r="H130" s="118">
        <v>105</v>
      </c>
      <c r="I130" s="118">
        <v>114</v>
      </c>
      <c r="J130" s="118">
        <v>114</v>
      </c>
      <c r="K130" s="118">
        <v>106</v>
      </c>
      <c r="L130" s="118">
        <v>121</v>
      </c>
      <c r="M130" s="118">
        <v>120.1</v>
      </c>
      <c r="N130" s="118">
        <v>110.9</v>
      </c>
      <c r="O130" s="118">
        <v>110.5</v>
      </c>
      <c r="P130" s="118">
        <v>128</v>
      </c>
      <c r="Q130" s="118">
        <v>121.5</v>
      </c>
      <c r="R130" s="118">
        <v>121</v>
      </c>
      <c r="S130" s="118">
        <v>121.2</v>
      </c>
      <c r="T130" s="118">
        <v>125.5</v>
      </c>
      <c r="U130" s="118">
        <v>115.5</v>
      </c>
      <c r="V130" s="118">
        <v>120.7</v>
      </c>
      <c r="W130" s="118">
        <v>111.2</v>
      </c>
      <c r="X130" s="118">
        <v>116.4</v>
      </c>
      <c r="Y130" s="118">
        <v>116.4</v>
      </c>
      <c r="Z130" s="118">
        <v>118.1</v>
      </c>
      <c r="AA130" s="118">
        <v>109.3</v>
      </c>
      <c r="AB130" s="118">
        <v>113.3</v>
      </c>
      <c r="AC130" s="118">
        <v>130</v>
      </c>
      <c r="AD130" s="118">
        <v>124</v>
      </c>
      <c r="AE130" s="118">
        <v>114</v>
      </c>
      <c r="AF130" s="118">
        <v>116</v>
      </c>
      <c r="AG130" s="127"/>
      <c r="AH130" s="48">
        <f>MAX(B130:AF130)</f>
        <v>130</v>
      </c>
      <c r="AI130" s="49">
        <f>MIN(B130:AF130)</f>
        <v>98</v>
      </c>
    </row>
    <row r="131" spans="1:37" x14ac:dyDescent="0.25">
      <c r="A131" s="132" t="s">
        <v>154</v>
      </c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4"/>
      <c r="AG131" s="44"/>
      <c r="AH131" s="48"/>
      <c r="AI131" s="49"/>
    </row>
    <row r="132" spans="1:37" x14ac:dyDescent="0.25">
      <c r="A132" s="135" t="s">
        <v>155</v>
      </c>
      <c r="B132" s="136">
        <v>1985.05</v>
      </c>
      <c r="C132" s="136">
        <v>1985.25</v>
      </c>
      <c r="D132" s="136">
        <v>1985.38</v>
      </c>
      <c r="E132" s="136">
        <v>1985.58</v>
      </c>
      <c r="F132" s="136">
        <v>1985.77</v>
      </c>
      <c r="G132" s="136">
        <v>1985.96</v>
      </c>
      <c r="H132" s="136"/>
      <c r="I132" s="136">
        <v>1986.05</v>
      </c>
      <c r="J132" s="136"/>
      <c r="K132" s="136">
        <v>1985.93</v>
      </c>
      <c r="L132" s="136"/>
      <c r="M132" s="130">
        <v>1985.48</v>
      </c>
      <c r="N132" s="130">
        <v>1984.97</v>
      </c>
      <c r="O132" s="130">
        <v>1984.65</v>
      </c>
      <c r="P132" s="130">
        <v>1984.6</v>
      </c>
      <c r="Q132" s="130">
        <v>1984.6</v>
      </c>
      <c r="R132" s="130">
        <v>1984.62</v>
      </c>
      <c r="S132" s="136">
        <v>1984.7</v>
      </c>
      <c r="T132" s="136">
        <v>1984.9</v>
      </c>
      <c r="U132" s="136">
        <v>1985.02</v>
      </c>
      <c r="V132" s="136">
        <v>1985.12</v>
      </c>
      <c r="W132" s="136"/>
      <c r="X132" s="136">
        <v>1985</v>
      </c>
      <c r="Y132" s="136"/>
      <c r="Z132" s="136">
        <v>1984.95</v>
      </c>
      <c r="AA132" s="136"/>
      <c r="AB132" s="136">
        <v>1984.1</v>
      </c>
      <c r="AC132" s="136"/>
      <c r="AD132" s="136">
        <v>1983.82</v>
      </c>
      <c r="AE132" s="136">
        <v>1983.6</v>
      </c>
      <c r="AF132" s="137">
        <v>1983.45</v>
      </c>
      <c r="AG132" s="138"/>
      <c r="AH132" s="48"/>
      <c r="AI132" s="49"/>
    </row>
    <row r="133" spans="1:37" x14ac:dyDescent="0.25">
      <c r="A133" s="135" t="s">
        <v>156</v>
      </c>
      <c r="B133" s="139">
        <v>518.99</v>
      </c>
      <c r="C133" s="139">
        <v>519.29999999999995</v>
      </c>
      <c r="D133" s="139">
        <v>519.70000000000005</v>
      </c>
      <c r="E133" s="139">
        <v>520.05999999999995</v>
      </c>
      <c r="F133" s="139">
        <v>520.62</v>
      </c>
      <c r="G133" s="139"/>
      <c r="H133" s="139"/>
      <c r="I133" s="139">
        <v>521.03</v>
      </c>
      <c r="J133" s="139"/>
      <c r="K133" s="139">
        <v>521</v>
      </c>
      <c r="L133" s="139"/>
      <c r="M133" s="130">
        <v>520.75</v>
      </c>
      <c r="N133" s="130">
        <v>520.63</v>
      </c>
      <c r="O133" s="130">
        <v>520.72</v>
      </c>
      <c r="P133" s="130">
        <v>520.84</v>
      </c>
      <c r="Q133" s="130">
        <v>520.96</v>
      </c>
      <c r="R133" s="130">
        <v>521.04</v>
      </c>
      <c r="S133" s="139">
        <v>521.02</v>
      </c>
      <c r="T133" s="139">
        <v>520.92999999999995</v>
      </c>
      <c r="U133" s="139">
        <v>520.70000000000005</v>
      </c>
      <c r="V133" s="139">
        <v>520.4</v>
      </c>
      <c r="W133" s="139"/>
      <c r="X133" s="139">
        <v>520.16</v>
      </c>
      <c r="Y133" s="139"/>
      <c r="Z133" s="139">
        <v>519.66999999999996</v>
      </c>
      <c r="AA133" s="139"/>
      <c r="AB133" s="139">
        <v>519.22</v>
      </c>
      <c r="AC133" s="139"/>
      <c r="AD133" s="139">
        <v>519.02</v>
      </c>
      <c r="AE133" s="139">
        <v>518.94000000000005</v>
      </c>
      <c r="AF133" s="140">
        <v>519.05999999999995</v>
      </c>
      <c r="AG133" s="138"/>
      <c r="AH133" s="48"/>
      <c r="AI133" s="49"/>
    </row>
    <row r="134" spans="1:37" x14ac:dyDescent="0.25">
      <c r="A134" s="135" t="s">
        <v>158</v>
      </c>
      <c r="B134" s="139">
        <v>622.76</v>
      </c>
      <c r="C134" s="139">
        <v>623.44000000000005</v>
      </c>
      <c r="D134" s="139">
        <v>623.57000000000005</v>
      </c>
      <c r="E134" s="139">
        <v>623.9</v>
      </c>
      <c r="F134" s="139">
        <v>624.16999999999996</v>
      </c>
      <c r="G134" s="139"/>
      <c r="H134" s="139"/>
      <c r="I134" s="139">
        <v>624.55999999999995</v>
      </c>
      <c r="J134" s="139"/>
      <c r="K134" s="139">
        <v>624.21</v>
      </c>
      <c r="L134" s="139"/>
      <c r="M134" s="130">
        <v>623.85</v>
      </c>
      <c r="N134" s="130">
        <v>623.49</v>
      </c>
      <c r="O134" s="130">
        <v>623.16999999999996</v>
      </c>
      <c r="P134" s="130">
        <v>622.79999999999995</v>
      </c>
      <c r="Q134" s="130">
        <v>622.52</v>
      </c>
      <c r="R134" s="130">
        <v>622.09</v>
      </c>
      <c r="S134" s="139">
        <v>621.61</v>
      </c>
      <c r="T134" s="139">
        <v>622.26</v>
      </c>
      <c r="U134" s="139">
        <v>622.76</v>
      </c>
      <c r="V134" s="139">
        <v>623.04999999999995</v>
      </c>
      <c r="W134" s="139"/>
      <c r="X134" s="139">
        <v>623.21</v>
      </c>
      <c r="Y134" s="139"/>
      <c r="Z134" s="139">
        <v>622.78</v>
      </c>
      <c r="AA134" s="139"/>
      <c r="AB134" s="139">
        <v>621.78</v>
      </c>
      <c r="AC134" s="139"/>
      <c r="AD134" s="139">
        <v>621.32000000000005</v>
      </c>
      <c r="AE134" s="139">
        <v>621.66</v>
      </c>
      <c r="AF134" s="140">
        <v>622.34</v>
      </c>
      <c r="AG134" s="138"/>
      <c r="AH134" s="48"/>
      <c r="AI134" s="49"/>
    </row>
    <row r="135" spans="1:37" x14ac:dyDescent="0.25">
      <c r="A135" s="135" t="s">
        <v>159</v>
      </c>
      <c r="B135" s="139">
        <v>335.17</v>
      </c>
      <c r="C135" s="139">
        <v>335.65</v>
      </c>
      <c r="D135" s="139">
        <v>336</v>
      </c>
      <c r="E135" s="139">
        <v>336.19</v>
      </c>
      <c r="F135" s="139">
        <v>336.5</v>
      </c>
      <c r="G135" s="139">
        <v>336.68</v>
      </c>
      <c r="H135" s="139"/>
      <c r="I135" s="139">
        <v>336.69</v>
      </c>
      <c r="J135" s="139"/>
      <c r="K135" s="139">
        <v>336.61</v>
      </c>
      <c r="L135" s="139"/>
      <c r="M135" s="130">
        <v>336.31</v>
      </c>
      <c r="N135" s="130">
        <v>336.01</v>
      </c>
      <c r="O135" s="130">
        <v>335.82</v>
      </c>
      <c r="P135" s="130">
        <v>335.55</v>
      </c>
      <c r="Q135" s="130">
        <v>335.32</v>
      </c>
      <c r="R135" s="130">
        <v>335.2</v>
      </c>
      <c r="S135" s="139">
        <v>335.39</v>
      </c>
      <c r="T135" s="139">
        <v>335.56</v>
      </c>
      <c r="U135" s="139">
        <v>335.68</v>
      </c>
      <c r="V135" s="139">
        <v>335.79</v>
      </c>
      <c r="W135" s="139"/>
      <c r="X135" s="139">
        <v>335.87</v>
      </c>
      <c r="Y135" s="139"/>
      <c r="Z135" s="139">
        <v>335.87</v>
      </c>
      <c r="AA135" s="139"/>
      <c r="AB135" s="139">
        <v>335.49</v>
      </c>
      <c r="AC135" s="139"/>
      <c r="AD135" s="139">
        <v>335.08</v>
      </c>
      <c r="AE135" s="139">
        <v>334.82</v>
      </c>
      <c r="AF135" s="140">
        <v>334.65</v>
      </c>
      <c r="AG135" s="138"/>
      <c r="AH135" s="48"/>
      <c r="AI135" s="49"/>
    </row>
    <row r="136" spans="1:37" x14ac:dyDescent="0.25">
      <c r="A136" s="135" t="s">
        <v>160</v>
      </c>
      <c r="B136" s="139">
        <v>883.2</v>
      </c>
      <c r="C136" s="139">
        <v>883.9</v>
      </c>
      <c r="D136" s="139">
        <v>884.6</v>
      </c>
      <c r="E136" s="139">
        <v>885.2</v>
      </c>
      <c r="F136" s="139">
        <v>885.7</v>
      </c>
      <c r="G136" s="139">
        <v>886.6</v>
      </c>
      <c r="H136" s="139"/>
      <c r="I136" s="139">
        <v>886.6</v>
      </c>
      <c r="J136" s="139"/>
      <c r="K136" s="139">
        <v>886</v>
      </c>
      <c r="L136" s="139"/>
      <c r="M136" s="130">
        <v>885.2</v>
      </c>
      <c r="N136" s="130">
        <v>885.3</v>
      </c>
      <c r="O136" s="130">
        <v>885.9</v>
      </c>
      <c r="P136" s="130">
        <v>886.5</v>
      </c>
      <c r="Q136" s="130">
        <v>886.9</v>
      </c>
      <c r="R136" s="130">
        <v>887.3</v>
      </c>
      <c r="S136" s="139">
        <v>887.5</v>
      </c>
      <c r="T136" s="139">
        <v>887.4</v>
      </c>
      <c r="U136" s="139">
        <v>887.1</v>
      </c>
      <c r="V136" s="139">
        <v>886.3</v>
      </c>
      <c r="W136" s="139"/>
      <c r="X136" s="139">
        <v>885.4</v>
      </c>
      <c r="Y136" s="139"/>
      <c r="Z136" s="139">
        <v>884</v>
      </c>
      <c r="AA136" s="139"/>
      <c r="AB136" s="139">
        <v>883</v>
      </c>
      <c r="AC136" s="139"/>
      <c r="AD136" s="139">
        <v>883.1</v>
      </c>
      <c r="AE136" s="139">
        <v>884.2</v>
      </c>
      <c r="AF136" s="140">
        <v>884.8</v>
      </c>
      <c r="AG136" s="138"/>
      <c r="AH136" s="48"/>
      <c r="AI136" s="49"/>
    </row>
    <row r="137" spans="1:37" ht="15.75" thickBot="1" x14ac:dyDescent="0.3">
      <c r="A137" s="135" t="s">
        <v>161</v>
      </c>
      <c r="B137" s="141">
        <v>1519.63</v>
      </c>
      <c r="C137" s="141"/>
      <c r="D137" s="141"/>
      <c r="E137" s="141"/>
      <c r="F137" s="141"/>
      <c r="G137" s="141"/>
      <c r="H137" s="141"/>
      <c r="I137" s="141"/>
      <c r="J137" s="141"/>
      <c r="K137" s="141"/>
      <c r="L137" s="141">
        <v>1519.62</v>
      </c>
      <c r="M137" s="130"/>
      <c r="N137" s="130"/>
      <c r="O137" s="130"/>
      <c r="P137" s="130">
        <v>1519.63</v>
      </c>
      <c r="Q137" s="130"/>
      <c r="R137" s="130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  <c r="AF137" s="142"/>
      <c r="AG137" s="138"/>
      <c r="AH137" s="48"/>
      <c r="AI137" s="49"/>
    </row>
    <row r="138" spans="1:37" ht="15.75" thickBot="1" x14ac:dyDescent="0.3">
      <c r="A138" s="143" t="s">
        <v>162</v>
      </c>
      <c r="B138" s="144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165">SUM(B139:B243)</f>
        <v>0</v>
      </c>
      <c r="C244" s="160">
        <f t="shared" si="165"/>
        <v>0</v>
      </c>
      <c r="D244" s="160">
        <f t="shared" si="165"/>
        <v>0</v>
      </c>
      <c r="E244" s="160">
        <f t="shared" si="165"/>
        <v>0</v>
      </c>
      <c r="F244" s="160">
        <f t="shared" si="165"/>
        <v>0</v>
      </c>
      <c r="G244" s="160">
        <f t="shared" si="165"/>
        <v>0</v>
      </c>
      <c r="H244" s="160">
        <f t="shared" si="165"/>
        <v>0</v>
      </c>
      <c r="I244" s="160">
        <f t="shared" si="165"/>
        <v>0</v>
      </c>
      <c r="J244" s="160">
        <f t="shared" si="165"/>
        <v>0</v>
      </c>
      <c r="K244" s="160">
        <f t="shared" si="165"/>
        <v>0</v>
      </c>
      <c r="L244" s="160">
        <f t="shared" si="165"/>
        <v>0</v>
      </c>
      <c r="M244" s="160">
        <f t="shared" si="165"/>
        <v>0</v>
      </c>
      <c r="N244" s="160">
        <f t="shared" si="165"/>
        <v>0</v>
      </c>
      <c r="O244" s="160">
        <f t="shared" si="165"/>
        <v>0</v>
      </c>
      <c r="P244" s="160">
        <f t="shared" si="165"/>
        <v>0</v>
      </c>
      <c r="Q244" s="160">
        <f t="shared" si="165"/>
        <v>0</v>
      </c>
      <c r="R244" s="160">
        <f t="shared" si="165"/>
        <v>0</v>
      </c>
      <c r="S244" s="160">
        <f t="shared" si="165"/>
        <v>0</v>
      </c>
      <c r="T244" s="160">
        <f t="shared" si="165"/>
        <v>0</v>
      </c>
      <c r="U244" s="160">
        <f t="shared" si="165"/>
        <v>0</v>
      </c>
      <c r="V244" s="160">
        <f t="shared" si="165"/>
        <v>0</v>
      </c>
      <c r="W244" s="160">
        <f t="shared" si="165"/>
        <v>0</v>
      </c>
      <c r="X244" s="160">
        <f t="shared" si="165"/>
        <v>0</v>
      </c>
      <c r="Y244" s="160">
        <f t="shared" si="165"/>
        <v>0</v>
      </c>
      <c r="Z244" s="160">
        <f t="shared" si="165"/>
        <v>0</v>
      </c>
      <c r="AA244" s="160">
        <f t="shared" si="165"/>
        <v>0</v>
      </c>
      <c r="AB244" s="160">
        <f t="shared" si="165"/>
        <v>0</v>
      </c>
      <c r="AC244" s="160">
        <f t="shared" si="165"/>
        <v>0</v>
      </c>
      <c r="AD244" s="160">
        <f t="shared" si="165"/>
        <v>0</v>
      </c>
      <c r="AE244" s="160">
        <f t="shared" si="165"/>
        <v>0</v>
      </c>
      <c r="AF244" s="161">
        <f t="shared" si="165"/>
        <v>0</v>
      </c>
      <c r="AG244" s="162">
        <f t="shared" si="165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166">AF246</f>
        <v>0.3</v>
      </c>
      <c r="C246" s="165">
        <v>0.3</v>
      </c>
      <c r="D246" s="165">
        <f t="shared" ref="D246:S251" si="167">C246</f>
        <v>0.3</v>
      </c>
      <c r="E246" s="165">
        <f t="shared" si="167"/>
        <v>0.3</v>
      </c>
      <c r="F246" s="165">
        <f t="shared" si="167"/>
        <v>0.3</v>
      </c>
      <c r="G246" s="165">
        <f t="shared" si="167"/>
        <v>0.3</v>
      </c>
      <c r="H246" s="165">
        <f t="shared" si="167"/>
        <v>0.3</v>
      </c>
      <c r="I246" s="165">
        <f t="shared" si="167"/>
        <v>0.3</v>
      </c>
      <c r="J246" s="165">
        <f t="shared" si="167"/>
        <v>0.3</v>
      </c>
      <c r="K246" s="165">
        <f t="shared" si="167"/>
        <v>0.3</v>
      </c>
      <c r="L246" s="165">
        <f t="shared" si="167"/>
        <v>0.3</v>
      </c>
      <c r="M246" s="165">
        <f t="shared" si="167"/>
        <v>0.3</v>
      </c>
      <c r="N246" s="165">
        <f t="shared" si="167"/>
        <v>0.3</v>
      </c>
      <c r="O246" s="165">
        <f t="shared" si="167"/>
        <v>0.3</v>
      </c>
      <c r="P246" s="165">
        <f t="shared" si="167"/>
        <v>0.3</v>
      </c>
      <c r="Q246" s="165">
        <f t="shared" si="167"/>
        <v>0.3</v>
      </c>
      <c r="R246" s="165">
        <f t="shared" si="167"/>
        <v>0.3</v>
      </c>
      <c r="S246" s="165">
        <f t="shared" si="167"/>
        <v>0.3</v>
      </c>
      <c r="T246" s="165">
        <f t="shared" ref="T246:AF251" si="168">S246</f>
        <v>0.3</v>
      </c>
      <c r="U246" s="165">
        <f t="shared" si="168"/>
        <v>0.3</v>
      </c>
      <c r="V246" s="165">
        <f t="shared" si="168"/>
        <v>0.3</v>
      </c>
      <c r="W246" s="165">
        <f t="shared" si="168"/>
        <v>0.3</v>
      </c>
      <c r="X246" s="165">
        <f t="shared" si="168"/>
        <v>0.3</v>
      </c>
      <c r="Y246" s="165">
        <f t="shared" si="168"/>
        <v>0.3</v>
      </c>
      <c r="Z246" s="165">
        <f t="shared" si="168"/>
        <v>0.3</v>
      </c>
      <c r="AA246" s="165">
        <f t="shared" si="168"/>
        <v>0.3</v>
      </c>
      <c r="AB246" s="165">
        <f t="shared" si="168"/>
        <v>0.3</v>
      </c>
      <c r="AC246" s="165">
        <f t="shared" si="168"/>
        <v>0.3</v>
      </c>
      <c r="AD246" s="165">
        <f t="shared" si="168"/>
        <v>0.3</v>
      </c>
      <c r="AE246" s="165">
        <f t="shared" si="168"/>
        <v>0.3</v>
      </c>
      <c r="AF246" s="165">
        <f t="shared" si="168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166"/>
        <v>0.4</v>
      </c>
      <c r="C247" s="151">
        <v>0.4</v>
      </c>
      <c r="D247" s="151">
        <f t="shared" si="167"/>
        <v>0.4</v>
      </c>
      <c r="E247" s="151">
        <f t="shared" si="167"/>
        <v>0.4</v>
      </c>
      <c r="F247" s="151">
        <f t="shared" si="167"/>
        <v>0.4</v>
      </c>
      <c r="G247" s="151">
        <f t="shared" si="167"/>
        <v>0.4</v>
      </c>
      <c r="H247" s="151">
        <f t="shared" si="167"/>
        <v>0.4</v>
      </c>
      <c r="I247" s="151">
        <f t="shared" si="167"/>
        <v>0.4</v>
      </c>
      <c r="J247" s="151">
        <f t="shared" si="167"/>
        <v>0.4</v>
      </c>
      <c r="K247" s="151">
        <f t="shared" si="167"/>
        <v>0.4</v>
      </c>
      <c r="L247" s="151">
        <f t="shared" si="167"/>
        <v>0.4</v>
      </c>
      <c r="M247" s="151">
        <f t="shared" si="167"/>
        <v>0.4</v>
      </c>
      <c r="N247" s="151">
        <f t="shared" si="167"/>
        <v>0.4</v>
      </c>
      <c r="O247" s="151">
        <f t="shared" si="167"/>
        <v>0.4</v>
      </c>
      <c r="P247" s="151">
        <f t="shared" si="167"/>
        <v>0.4</v>
      </c>
      <c r="Q247" s="151">
        <f t="shared" si="167"/>
        <v>0.4</v>
      </c>
      <c r="R247" s="151">
        <f t="shared" si="167"/>
        <v>0.4</v>
      </c>
      <c r="S247" s="151">
        <f t="shared" si="167"/>
        <v>0.4</v>
      </c>
      <c r="T247" s="151">
        <f t="shared" si="168"/>
        <v>0.4</v>
      </c>
      <c r="U247" s="151">
        <f t="shared" si="168"/>
        <v>0.4</v>
      </c>
      <c r="V247" s="151">
        <f t="shared" si="168"/>
        <v>0.4</v>
      </c>
      <c r="W247" s="151">
        <f t="shared" si="168"/>
        <v>0.4</v>
      </c>
      <c r="X247" s="151">
        <f t="shared" si="168"/>
        <v>0.4</v>
      </c>
      <c r="Y247" s="151">
        <f t="shared" si="168"/>
        <v>0.4</v>
      </c>
      <c r="Z247" s="151">
        <f t="shared" si="168"/>
        <v>0.4</v>
      </c>
      <c r="AA247" s="151">
        <f t="shared" si="168"/>
        <v>0.4</v>
      </c>
      <c r="AB247" s="151">
        <f t="shared" si="168"/>
        <v>0.4</v>
      </c>
      <c r="AC247" s="151">
        <f t="shared" si="168"/>
        <v>0.4</v>
      </c>
      <c r="AD247" s="151">
        <f t="shared" si="168"/>
        <v>0.4</v>
      </c>
      <c r="AE247" s="151">
        <f t="shared" si="168"/>
        <v>0.4</v>
      </c>
      <c r="AF247" s="151">
        <f t="shared" si="168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166"/>
        <v>1.5</v>
      </c>
      <c r="C248" s="151">
        <v>1.5</v>
      </c>
      <c r="D248" s="151">
        <f t="shared" si="167"/>
        <v>1.5</v>
      </c>
      <c r="E248" s="151">
        <f t="shared" si="167"/>
        <v>1.5</v>
      </c>
      <c r="F248" s="151">
        <f t="shared" si="167"/>
        <v>1.5</v>
      </c>
      <c r="G248" s="151">
        <f t="shared" si="167"/>
        <v>1.5</v>
      </c>
      <c r="H248" s="151">
        <f t="shared" si="167"/>
        <v>1.5</v>
      </c>
      <c r="I248" s="151">
        <f t="shared" si="167"/>
        <v>1.5</v>
      </c>
      <c r="J248" s="151">
        <f t="shared" si="167"/>
        <v>1.5</v>
      </c>
      <c r="K248" s="151">
        <f t="shared" si="167"/>
        <v>1.5</v>
      </c>
      <c r="L248" s="151">
        <f t="shared" si="167"/>
        <v>1.5</v>
      </c>
      <c r="M248" s="151">
        <f t="shared" si="167"/>
        <v>1.5</v>
      </c>
      <c r="N248" s="151">
        <f t="shared" si="167"/>
        <v>1.5</v>
      </c>
      <c r="O248" s="151">
        <f t="shared" si="167"/>
        <v>1.5</v>
      </c>
      <c r="P248" s="151">
        <f t="shared" si="167"/>
        <v>1.5</v>
      </c>
      <c r="Q248" s="151">
        <f t="shared" si="167"/>
        <v>1.5</v>
      </c>
      <c r="R248" s="151">
        <f t="shared" si="167"/>
        <v>1.5</v>
      </c>
      <c r="S248" s="151">
        <f t="shared" si="167"/>
        <v>1.5</v>
      </c>
      <c r="T248" s="151">
        <f t="shared" si="168"/>
        <v>1.5</v>
      </c>
      <c r="U248" s="151">
        <f t="shared" si="168"/>
        <v>1.5</v>
      </c>
      <c r="V248" s="151">
        <f t="shared" si="168"/>
        <v>1.5</v>
      </c>
      <c r="W248" s="151">
        <f t="shared" si="168"/>
        <v>1.5</v>
      </c>
      <c r="X248" s="151">
        <f t="shared" si="168"/>
        <v>1.5</v>
      </c>
      <c r="Y248" s="151">
        <f t="shared" si="168"/>
        <v>1.5</v>
      </c>
      <c r="Z248" s="151">
        <f t="shared" si="168"/>
        <v>1.5</v>
      </c>
      <c r="AA248" s="151">
        <f t="shared" si="168"/>
        <v>1.5</v>
      </c>
      <c r="AB248" s="151">
        <f t="shared" si="168"/>
        <v>1.5</v>
      </c>
      <c r="AC248" s="151">
        <f t="shared" si="168"/>
        <v>1.5</v>
      </c>
      <c r="AD248" s="151">
        <f t="shared" si="168"/>
        <v>1.5</v>
      </c>
      <c r="AE248" s="151">
        <f t="shared" si="168"/>
        <v>1.5</v>
      </c>
      <c r="AF248" s="151">
        <f t="shared" si="168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166"/>
        <v>0.3</v>
      </c>
      <c r="C249" s="151">
        <v>0.3</v>
      </c>
      <c r="D249" s="151">
        <f t="shared" si="167"/>
        <v>0.3</v>
      </c>
      <c r="E249" s="151">
        <f t="shared" si="167"/>
        <v>0.3</v>
      </c>
      <c r="F249" s="151">
        <f t="shared" si="167"/>
        <v>0.3</v>
      </c>
      <c r="G249" s="151">
        <f t="shared" si="167"/>
        <v>0.3</v>
      </c>
      <c r="H249" s="151">
        <f t="shared" si="167"/>
        <v>0.3</v>
      </c>
      <c r="I249" s="151">
        <f t="shared" si="167"/>
        <v>0.3</v>
      </c>
      <c r="J249" s="151">
        <f t="shared" si="167"/>
        <v>0.3</v>
      </c>
      <c r="K249" s="151">
        <f t="shared" si="167"/>
        <v>0.3</v>
      </c>
      <c r="L249" s="151">
        <f t="shared" si="167"/>
        <v>0.3</v>
      </c>
      <c r="M249" s="151">
        <f t="shared" si="167"/>
        <v>0.3</v>
      </c>
      <c r="N249" s="151">
        <f t="shared" si="167"/>
        <v>0.3</v>
      </c>
      <c r="O249" s="151">
        <f t="shared" si="167"/>
        <v>0.3</v>
      </c>
      <c r="P249" s="151">
        <f t="shared" si="167"/>
        <v>0.3</v>
      </c>
      <c r="Q249" s="151">
        <f t="shared" si="167"/>
        <v>0.3</v>
      </c>
      <c r="R249" s="151">
        <f t="shared" si="167"/>
        <v>0.3</v>
      </c>
      <c r="S249" s="151">
        <f t="shared" si="167"/>
        <v>0.3</v>
      </c>
      <c r="T249" s="151">
        <f t="shared" si="168"/>
        <v>0.3</v>
      </c>
      <c r="U249" s="151">
        <f t="shared" si="168"/>
        <v>0.3</v>
      </c>
      <c r="V249" s="151">
        <f t="shared" si="168"/>
        <v>0.3</v>
      </c>
      <c r="W249" s="151">
        <f t="shared" si="168"/>
        <v>0.3</v>
      </c>
      <c r="X249" s="151">
        <f t="shared" si="168"/>
        <v>0.3</v>
      </c>
      <c r="Y249" s="151">
        <f t="shared" si="168"/>
        <v>0.3</v>
      </c>
      <c r="Z249" s="151">
        <f t="shared" si="168"/>
        <v>0.3</v>
      </c>
      <c r="AA249" s="151">
        <f t="shared" si="168"/>
        <v>0.3</v>
      </c>
      <c r="AB249" s="151">
        <f t="shared" si="168"/>
        <v>0.3</v>
      </c>
      <c r="AC249" s="151">
        <f t="shared" si="168"/>
        <v>0.3</v>
      </c>
      <c r="AD249" s="151">
        <f t="shared" si="168"/>
        <v>0.3</v>
      </c>
      <c r="AE249" s="151">
        <f t="shared" si="168"/>
        <v>0.3</v>
      </c>
      <c r="AF249" s="151">
        <f t="shared" si="168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166"/>
        <v>0.4</v>
      </c>
      <c r="C250" s="151">
        <v>0.4</v>
      </c>
      <c r="D250" s="151">
        <f t="shared" si="167"/>
        <v>0.4</v>
      </c>
      <c r="E250" s="151">
        <f t="shared" si="167"/>
        <v>0.4</v>
      </c>
      <c r="F250" s="151">
        <f t="shared" si="167"/>
        <v>0.4</v>
      </c>
      <c r="G250" s="151">
        <f t="shared" si="167"/>
        <v>0.4</v>
      </c>
      <c r="H250" s="151">
        <f t="shared" si="167"/>
        <v>0.4</v>
      </c>
      <c r="I250" s="151">
        <f t="shared" si="167"/>
        <v>0.4</v>
      </c>
      <c r="J250" s="151">
        <f t="shared" si="167"/>
        <v>0.4</v>
      </c>
      <c r="K250" s="151">
        <f t="shared" si="167"/>
        <v>0.4</v>
      </c>
      <c r="L250" s="151">
        <f t="shared" si="167"/>
        <v>0.4</v>
      </c>
      <c r="M250" s="151">
        <f t="shared" si="167"/>
        <v>0.4</v>
      </c>
      <c r="N250" s="151">
        <f t="shared" si="167"/>
        <v>0.4</v>
      </c>
      <c r="O250" s="151">
        <f t="shared" si="167"/>
        <v>0.4</v>
      </c>
      <c r="P250" s="151">
        <f t="shared" si="167"/>
        <v>0.4</v>
      </c>
      <c r="Q250" s="151">
        <f t="shared" si="167"/>
        <v>0.4</v>
      </c>
      <c r="R250" s="151">
        <f t="shared" si="167"/>
        <v>0.4</v>
      </c>
      <c r="S250" s="151">
        <f t="shared" si="167"/>
        <v>0.4</v>
      </c>
      <c r="T250" s="151">
        <f t="shared" si="168"/>
        <v>0.4</v>
      </c>
      <c r="U250" s="151">
        <f t="shared" si="168"/>
        <v>0.4</v>
      </c>
      <c r="V250" s="151">
        <f t="shared" si="168"/>
        <v>0.4</v>
      </c>
      <c r="W250" s="151">
        <f t="shared" si="168"/>
        <v>0.4</v>
      </c>
      <c r="X250" s="151">
        <f t="shared" si="168"/>
        <v>0.4</v>
      </c>
      <c r="Y250" s="151">
        <f t="shared" si="168"/>
        <v>0.4</v>
      </c>
      <c r="Z250" s="151">
        <f t="shared" si="168"/>
        <v>0.4</v>
      </c>
      <c r="AA250" s="151">
        <f t="shared" si="168"/>
        <v>0.4</v>
      </c>
      <c r="AB250" s="151">
        <f t="shared" si="168"/>
        <v>0.4</v>
      </c>
      <c r="AC250" s="151">
        <f t="shared" si="168"/>
        <v>0.4</v>
      </c>
      <c r="AD250" s="151">
        <f t="shared" si="168"/>
        <v>0.4</v>
      </c>
      <c r="AE250" s="151">
        <f t="shared" si="168"/>
        <v>0.4</v>
      </c>
      <c r="AF250" s="151">
        <f t="shared" si="168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166"/>
        <v>0.64</v>
      </c>
      <c r="C251" s="156">
        <v>0.64</v>
      </c>
      <c r="D251" s="156">
        <f t="shared" si="167"/>
        <v>0.64</v>
      </c>
      <c r="E251" s="156">
        <f t="shared" si="167"/>
        <v>0.64</v>
      </c>
      <c r="F251" s="156">
        <f t="shared" si="167"/>
        <v>0.64</v>
      </c>
      <c r="G251" s="156">
        <f t="shared" si="167"/>
        <v>0.64</v>
      </c>
      <c r="H251" s="156">
        <f t="shared" si="167"/>
        <v>0.64</v>
      </c>
      <c r="I251" s="156">
        <f t="shared" si="167"/>
        <v>0.64</v>
      </c>
      <c r="J251" s="156">
        <f t="shared" si="167"/>
        <v>0.64</v>
      </c>
      <c r="K251" s="156">
        <f t="shared" si="167"/>
        <v>0.64</v>
      </c>
      <c r="L251" s="156">
        <f t="shared" si="167"/>
        <v>0.64</v>
      </c>
      <c r="M251" s="156">
        <f t="shared" si="167"/>
        <v>0.64</v>
      </c>
      <c r="N251" s="156">
        <f t="shared" si="167"/>
        <v>0.64</v>
      </c>
      <c r="O251" s="156">
        <f t="shared" si="167"/>
        <v>0.64</v>
      </c>
      <c r="P251" s="156">
        <f t="shared" si="167"/>
        <v>0.64</v>
      </c>
      <c r="Q251" s="156">
        <f t="shared" si="167"/>
        <v>0.64</v>
      </c>
      <c r="R251" s="156">
        <f t="shared" si="167"/>
        <v>0.64</v>
      </c>
      <c r="S251" s="156">
        <f t="shared" si="167"/>
        <v>0.64</v>
      </c>
      <c r="T251" s="156">
        <f t="shared" si="168"/>
        <v>0.64</v>
      </c>
      <c r="U251" s="156">
        <f t="shared" si="168"/>
        <v>0.64</v>
      </c>
      <c r="V251" s="156">
        <f t="shared" si="168"/>
        <v>0.64</v>
      </c>
      <c r="W251" s="156">
        <f t="shared" si="168"/>
        <v>0.64</v>
      </c>
      <c r="X251" s="156">
        <f t="shared" si="168"/>
        <v>0.64</v>
      </c>
      <c r="Y251" s="156">
        <f t="shared" si="168"/>
        <v>0.64</v>
      </c>
      <c r="Z251" s="156">
        <f t="shared" si="168"/>
        <v>0.64</v>
      </c>
      <c r="AA251" s="156">
        <f t="shared" si="168"/>
        <v>0.64</v>
      </c>
      <c r="AB251" s="156">
        <f t="shared" si="168"/>
        <v>0.64</v>
      </c>
      <c r="AC251" s="156">
        <f t="shared" si="168"/>
        <v>0.64</v>
      </c>
      <c r="AD251" s="156">
        <f t="shared" si="168"/>
        <v>0.64</v>
      </c>
      <c r="AE251" s="156">
        <f t="shared" si="168"/>
        <v>0.64</v>
      </c>
      <c r="AF251" s="156">
        <f t="shared" si="168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169">SUM(B246:B251)</f>
        <v>3.54</v>
      </c>
      <c r="C252" s="160">
        <f t="shared" si="169"/>
        <v>3.54</v>
      </c>
      <c r="D252" s="160">
        <f t="shared" si="169"/>
        <v>3.54</v>
      </c>
      <c r="E252" s="160">
        <f t="shared" si="169"/>
        <v>3.54</v>
      </c>
      <c r="F252" s="160">
        <f t="shared" si="169"/>
        <v>3.54</v>
      </c>
      <c r="G252" s="160">
        <f t="shared" si="169"/>
        <v>3.54</v>
      </c>
      <c r="H252" s="160">
        <f t="shared" si="169"/>
        <v>3.54</v>
      </c>
      <c r="I252" s="160">
        <f t="shared" si="169"/>
        <v>3.54</v>
      </c>
      <c r="J252" s="160">
        <f t="shared" si="169"/>
        <v>3.54</v>
      </c>
      <c r="K252" s="160">
        <f t="shared" si="169"/>
        <v>3.54</v>
      </c>
      <c r="L252" s="160">
        <f t="shared" si="169"/>
        <v>3.54</v>
      </c>
      <c r="M252" s="160">
        <f t="shared" si="169"/>
        <v>3.54</v>
      </c>
      <c r="N252" s="160">
        <f t="shared" si="169"/>
        <v>3.54</v>
      </c>
      <c r="O252" s="160">
        <f t="shared" si="169"/>
        <v>3.54</v>
      </c>
      <c r="P252" s="160">
        <f t="shared" si="169"/>
        <v>3.54</v>
      </c>
      <c r="Q252" s="160">
        <f t="shared" si="169"/>
        <v>3.54</v>
      </c>
      <c r="R252" s="160">
        <f t="shared" si="169"/>
        <v>3.54</v>
      </c>
      <c r="S252" s="160">
        <f t="shared" si="169"/>
        <v>3.54</v>
      </c>
      <c r="T252" s="160">
        <f t="shared" si="169"/>
        <v>3.54</v>
      </c>
      <c r="U252" s="160">
        <f t="shared" si="169"/>
        <v>3.54</v>
      </c>
      <c r="V252" s="160">
        <f t="shared" si="169"/>
        <v>3.54</v>
      </c>
      <c r="W252" s="160">
        <f t="shared" si="169"/>
        <v>3.54</v>
      </c>
      <c r="X252" s="160">
        <f t="shared" si="169"/>
        <v>3.54</v>
      </c>
      <c r="Y252" s="160">
        <f t="shared" si="169"/>
        <v>3.54</v>
      </c>
      <c r="Z252" s="160">
        <f t="shared" si="169"/>
        <v>3.54</v>
      </c>
      <c r="AA252" s="160">
        <f t="shared" si="169"/>
        <v>3.54</v>
      </c>
      <c r="AB252" s="160">
        <f t="shared" si="169"/>
        <v>3.54</v>
      </c>
      <c r="AC252" s="160">
        <f t="shared" si="169"/>
        <v>3.54</v>
      </c>
      <c r="AD252" s="160">
        <f t="shared" si="169"/>
        <v>3.54</v>
      </c>
      <c r="AE252" s="160">
        <f t="shared" si="169"/>
        <v>3.54</v>
      </c>
      <c r="AF252" s="160">
        <f t="shared" si="169"/>
        <v>3.54</v>
      </c>
      <c r="AG252" s="170">
        <f t="shared" si="169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1706.6890000000001</v>
      </c>
      <c r="C256" s="173">
        <f>INDEX(G9:N9,1,MATCH(MAX(G99:N99),G99:N99,0))</f>
        <v>0.3125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2080/10/5)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3502" priority="90">
      <formula>$AH11=0</formula>
    </cfRule>
  </conditionalFormatting>
  <conditionalFormatting sqref="A132:A253">
    <cfRule type="expression" dxfId="3501" priority="91">
      <formula>$AH132=0</formula>
    </cfRule>
  </conditionalFormatting>
  <conditionalFormatting sqref="B8">
    <cfRule type="expression" dxfId="3500" priority="151">
      <formula>C$9&lt;8/24</formula>
    </cfRule>
    <cfRule type="expression" dxfId="3499" priority="150">
      <formula>AND(C$9&gt;=8/24,C$9&lt;14/24)</formula>
    </cfRule>
    <cfRule type="expression" dxfId="3498" priority="149">
      <formula>AND(C$9&gt;=14/24,C$9&lt;20/24)</formula>
    </cfRule>
    <cfRule type="expression" dxfId="3497" priority="152">
      <formula>C$9&gt;=20/24</formula>
    </cfRule>
  </conditionalFormatting>
  <conditionalFormatting sqref="B11:Y52 E59:J61 B59:D74 K60:L61 E63:K74 E69:AF74 B77:AF99 B9:AF10 B101:AF117 B119:AF137 B244:AF244 B246:B252">
    <cfRule type="expression" dxfId="3496" priority="41">
      <formula>B$9&gt;=20/24</formula>
    </cfRule>
  </conditionalFormatting>
  <conditionalFormatting sqref="B9:AF10 B11:Y52 E59:J61 B59:D74 K60:L61 E63:K74 E69:AF74 B77:AF99 B101:AF117 B119:AF137 B244:AF244 B246:B252">
    <cfRule type="expression" dxfId="3495" priority="43">
      <formula>AND(B$9&gt;=8/24,B$9&lt;14/24)</formula>
    </cfRule>
    <cfRule type="expression" dxfId="3494" priority="42">
      <formula>AND(B$9&gt;=14/24,B$9&lt;20/24)</formula>
    </cfRule>
  </conditionalFormatting>
  <conditionalFormatting sqref="B9:AF10 M11:Y52 B11:L57 E59:J61 B59:D74 K60:L61 E63:K74 E69:AF74 B77:AF99 B101:AF117 B119:AF137 B244:AF244 B246:B252">
    <cfRule type="expression" dxfId="3493" priority="44">
      <formula>B$9&lt;8/24</formula>
    </cfRule>
  </conditionalFormatting>
  <conditionalFormatting sqref="D246:AF252">
    <cfRule type="expression" dxfId="3492" priority="134">
      <formula>D$9&gt;=20/24</formula>
    </cfRule>
    <cfRule type="expression" dxfId="3491" priority="136">
      <formula>AND(D$9&gt;=8/24,D$9&lt;14/24)</formula>
    </cfRule>
    <cfRule type="expression" dxfId="3490" priority="137">
      <formula>D$9&lt;8/24</formula>
    </cfRule>
    <cfRule type="expression" dxfId="3489" priority="135">
      <formula>AND(D$9&gt;=14/24,D$9&lt;20/24)</formula>
    </cfRule>
  </conditionalFormatting>
  <conditionalFormatting sqref="E63:K68">
    <cfRule type="expression" dxfId="3488" priority="51">
      <formula>AND(E$9&gt;=8/24,E$9&lt;14/24)</formula>
    </cfRule>
    <cfRule type="expression" dxfId="3487" priority="52">
      <formula>E$9&lt;8/24</formula>
    </cfRule>
    <cfRule type="expression" dxfId="3486" priority="50">
      <formula>AND(E$9&gt;=14/24,E$9&lt;20/24)</formula>
    </cfRule>
    <cfRule type="expression" dxfId="3485" priority="49">
      <formula>E$9&gt;=20/24</formula>
    </cfRule>
  </conditionalFormatting>
  <conditionalFormatting sqref="E59:AF62">
    <cfRule type="expression" dxfId="3484" priority="70">
      <formula>AND(E$9&gt;=8/24,E$9&lt;14/24)</formula>
    </cfRule>
    <cfRule type="expression" dxfId="3483" priority="71">
      <formula>E$9&lt;8/24</formula>
    </cfRule>
    <cfRule type="expression" dxfId="3482" priority="68">
      <formula>E$9&gt;=20/24</formula>
    </cfRule>
    <cfRule type="expression" dxfId="3481" priority="69">
      <formula>AND(E$9&gt;=14/24,E$9&lt;20/24)</formula>
    </cfRule>
  </conditionalFormatting>
  <conditionalFormatting sqref="F63:L65">
    <cfRule type="expression" dxfId="3480" priority="82">
      <formula>F$9&gt;=20/24</formula>
    </cfRule>
    <cfRule type="expression" dxfId="3479" priority="84">
      <formula>AND(F$9&gt;=8/24,F$9&lt;14/24)</formula>
    </cfRule>
    <cfRule type="expression" dxfId="3478" priority="85">
      <formula>F$9&lt;8/24</formula>
    </cfRule>
    <cfRule type="expression" dxfId="3477" priority="83">
      <formula>AND(F$9&gt;=14/24,F$9&lt;20/24)</formula>
    </cfRule>
  </conditionalFormatting>
  <conditionalFormatting sqref="L68:Y68">
    <cfRule type="expression" dxfId="3476" priority="81">
      <formula>L$9&lt;8/24</formula>
    </cfRule>
    <cfRule type="expression" dxfId="3475" priority="80">
      <formula>AND(L$9&gt;=8/24,L$9&lt;14/24)</formula>
    </cfRule>
    <cfRule type="expression" dxfId="3474" priority="79">
      <formula>AND(L$9&gt;=14/24,L$9&lt;20/24)</formula>
    </cfRule>
    <cfRule type="expression" dxfId="3473" priority="78">
      <formula>L$9&gt;=20/24</formula>
    </cfRule>
  </conditionalFormatting>
  <conditionalFormatting sqref="M8 S8 AB8">
    <cfRule type="expression" dxfId="3472" priority="142">
      <formula>AND(N$9&gt;=8/24,N$9&lt;14/24)</formula>
    </cfRule>
    <cfRule type="expression" dxfId="3471" priority="143">
      <formula>N$9&lt;8/24</formula>
    </cfRule>
    <cfRule type="expression" dxfId="3470" priority="141">
      <formula>AND(N$9&gt;=14/24,N$9&lt;20/24)</formula>
    </cfRule>
  </conditionalFormatting>
  <conditionalFormatting sqref="M11:Y56 E11:L57 B11:D80 M57:R57 S57:Y80 AB58:AF61 E58:R80 Z58:AA80 AB62:AG62 AB63:AF80 AG80">
    <cfRule type="expression" dxfId="3469" priority="40">
      <formula>B11&gt;$AG11</formula>
    </cfRule>
  </conditionalFormatting>
  <conditionalFormatting sqref="M53:Y57">
    <cfRule type="expression" dxfId="3468" priority="53">
      <formula>M$9&lt;8/24</formula>
    </cfRule>
  </conditionalFormatting>
  <conditionalFormatting sqref="M56:Y57">
    <cfRule type="expression" dxfId="3467" priority="46">
      <formula>M$9&gt;=20/24</formula>
    </cfRule>
    <cfRule type="expression" dxfId="3466" priority="47">
      <formula>AND(M$9&gt;=14/24,M$9&lt;20/24)</formula>
    </cfRule>
    <cfRule type="expression" dxfId="3465" priority="48">
      <formula>AND(M$9&gt;=8/24,M$9&lt;14/24)</formula>
    </cfRule>
  </conditionalFormatting>
  <conditionalFormatting sqref="M63:Y67">
    <cfRule type="expression" dxfId="3464" priority="89">
      <formula>M$9&lt;8/24</formula>
    </cfRule>
    <cfRule type="expression" dxfId="3463" priority="86">
      <formula>M$9&gt;=20/24</formula>
    </cfRule>
    <cfRule type="expression" dxfId="3462" priority="87">
      <formula>AND(M$9&gt;=14/24,M$9&lt;20/24)</formula>
    </cfRule>
    <cfRule type="expression" dxfId="3461" priority="88">
      <formula>AND(M$9&gt;=8/24,M$9&lt;14/24)</formula>
    </cfRule>
  </conditionalFormatting>
  <conditionalFormatting sqref="O3:P3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460" priority="140">
      <formula>N$9&gt;=20/24</formula>
    </cfRule>
  </conditionalFormatting>
  <conditionalFormatting sqref="S8">
    <cfRule type="expression" dxfId="3459" priority="130">
      <formula>U$9&lt;8/24</formula>
    </cfRule>
    <cfRule type="expression" dxfId="3458" priority="129">
      <formula>AND(U$9&gt;=8/24,U$9&lt;14/24)</formula>
    </cfRule>
    <cfRule type="expression" dxfId="3457" priority="128">
      <formula>AND(U$9&gt;=14/24,U$9&lt;20/24)</formula>
    </cfRule>
    <cfRule type="expression" dxfId="3456" priority="127">
      <formula>U$9&gt;=20/24</formula>
    </cfRule>
  </conditionalFormatting>
  <conditionalFormatting sqref="V3 AB3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Z11:AF52">
    <cfRule type="expression" dxfId="3455" priority="61">
      <formula>AND(Z$9&gt;=8/24,Z$9&lt;14/24)</formula>
    </cfRule>
    <cfRule type="expression" dxfId="3454" priority="62">
      <formula>Z$9&lt;8/24</formula>
    </cfRule>
    <cfRule type="expression" dxfId="3453" priority="60">
      <formula>AND(Z$9&gt;=14/24,Z$9&lt;20/24)</formula>
    </cfRule>
    <cfRule type="expression" dxfId="3452" priority="58">
      <formula>Z11&gt;$AG11</formula>
    </cfRule>
    <cfRule type="expression" dxfId="3451" priority="59">
      <formula>Z$9&gt;=20/24</formula>
    </cfRule>
  </conditionalFormatting>
  <conditionalFormatting sqref="Z53:AF54 M53:Y55 B53:L57">
    <cfRule type="expression" dxfId="3450" priority="37">
      <formula>B$9&gt;=20/24</formula>
    </cfRule>
    <cfRule type="expression" dxfId="3449" priority="39">
      <formula>AND(B$9&gt;=8/24,B$9&lt;14/24)</formula>
    </cfRule>
    <cfRule type="expression" dxfId="3448" priority="38">
      <formula>AND(B$9&gt;=14/24,B$9&lt;20/24)</formula>
    </cfRule>
  </conditionalFormatting>
  <conditionalFormatting sqref="Z53:AF55">
    <cfRule type="expression" dxfId="3447" priority="77">
      <formula>Z53&gt;$AG53</formula>
    </cfRule>
  </conditionalFormatting>
  <conditionalFormatting sqref="Z53:AF57">
    <cfRule type="expression" dxfId="3446" priority="76">
      <formula>Z$9&lt;8/24</formula>
    </cfRule>
  </conditionalFormatting>
  <conditionalFormatting sqref="Z55:AF57">
    <cfRule type="expression" dxfId="3445" priority="66">
      <formula>AND(Z$9&gt;=8/24,Z$9&lt;14/24)</formula>
    </cfRule>
    <cfRule type="expression" dxfId="3444" priority="65">
      <formula>AND(Z$9&gt;=14/24,Z$9&lt;20/24)</formula>
    </cfRule>
    <cfRule type="expression" dxfId="3443" priority="64">
      <formula>Z$9&gt;=20/24</formula>
    </cfRule>
  </conditionalFormatting>
  <conditionalFormatting sqref="Z56:AF57">
    <cfRule type="expression" dxfId="3442" priority="63">
      <formula>Z56&gt;$AG56</formula>
    </cfRule>
  </conditionalFormatting>
  <conditionalFormatting sqref="Z63:AF68">
    <cfRule type="expression" dxfId="3441" priority="73">
      <formula>AND(Z$9&gt;=14/24,Z$9&lt;20/24)</formula>
    </cfRule>
    <cfRule type="expression" dxfId="3440" priority="74">
      <formula>AND(Z$9&gt;=8/24,Z$9&lt;14/24)</formula>
    </cfRule>
    <cfRule type="expression" dxfId="3439" priority="75">
      <formula>Z$9&lt;8/24</formula>
    </cfRule>
    <cfRule type="expression" dxfId="3438" priority="72">
      <formula>Z$9&gt;=20/24</formula>
    </cfRule>
  </conditionalFormatting>
  <conditionalFormatting sqref="AB8">
    <cfRule type="expression" dxfId="3437" priority="124">
      <formula>AND(AD$9&gt;=14/24,AD$9&lt;20/24)</formula>
    </cfRule>
    <cfRule type="expression" dxfId="3436" priority="123">
      <formula>AD$9&gt;=20/24</formula>
    </cfRule>
    <cfRule type="expression" dxfId="3435" priority="125">
      <formula>AND(AD$9&gt;=8/24,AD$9&lt;14/24)</formula>
    </cfRule>
    <cfRule type="expression" dxfId="3434" priority="126">
      <formula>AD$9&lt;8/24</formula>
    </cfRule>
  </conditionalFormatting>
  <conditionalFormatting sqref="AG58">
    <cfRule type="expression" dxfId="3433" priority="118">
      <formula>AG58&gt;$AG58</formula>
    </cfRule>
  </conditionalFormatting>
  <conditionalFormatting sqref="AG62">
    <cfRule type="expression" dxfId="3432" priority="104">
      <formula>AG$9&lt;8/24</formula>
    </cfRule>
    <cfRule type="expression" dxfId="3431" priority="103">
      <formula>AND(AG$9&gt;=8/24,AG$9&lt;14/24)</formula>
    </cfRule>
    <cfRule type="expression" dxfId="3430" priority="102">
      <formula>AND(AG$9&gt;=14/24,AG$9&lt;20/24)</formula>
    </cfRule>
    <cfRule type="expression" dxfId="3429" priority="101">
      <formula>AG$9&gt;=20/24</formula>
    </cfRule>
  </conditionalFormatting>
  <conditionalFormatting sqref="AG75:AG76">
    <cfRule type="expression" dxfId="3428" priority="96">
      <formula>AG75&gt;$AG75</formula>
    </cfRule>
  </conditionalFormatting>
  <conditionalFormatting sqref="AG80">
    <cfRule type="expression" dxfId="3427" priority="100">
      <formula>AG$9&lt;8/24</formula>
    </cfRule>
    <cfRule type="expression" dxfId="3426" priority="99">
      <formula>AND(AG$9&gt;=8/24,AG$9&lt;14/24)</formula>
    </cfRule>
    <cfRule type="expression" dxfId="3425" priority="98">
      <formula>AND(AG$9&gt;=14/24,AG$9&lt;20/24)</formula>
    </cfRule>
    <cfRule type="expression" dxfId="3424" priority="97">
      <formula>AG$9&gt;=20/24</formula>
    </cfRule>
  </conditionalFormatting>
  <conditionalFormatting sqref="AG97">
    <cfRule type="expression" dxfId="3423" priority="122">
      <formula>AG$9&lt;8/24</formula>
    </cfRule>
    <cfRule type="expression" dxfId="3422" priority="121">
      <formula>AND(AG$9&gt;=8/24,AG$9&lt;14/24)</formula>
    </cfRule>
    <cfRule type="expression" dxfId="3421" priority="119">
      <formula>AG$9&gt;=20/24</formula>
    </cfRule>
    <cfRule type="expression" dxfId="3420" priority="120">
      <formula>AND(AG$9&gt;=14/24,AG$9&lt;20/24)</formula>
    </cfRule>
  </conditionalFormatting>
  <conditionalFormatting sqref="AL4:AL6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419" priority="144">
      <formula>AJ$9&gt;=20/24</formula>
    </cfRule>
    <cfRule type="expression" dxfId="3418" priority="145">
      <formula>AND(AJ$9&gt;=14/24,AJ$9&lt;20/24)</formula>
    </cfRule>
    <cfRule type="expression" dxfId="3417" priority="146">
      <formula>AND(AJ$9&gt;=8/24,AJ$9&lt;14/24)</formula>
    </cfRule>
    <cfRule type="expression" dxfId="3416" priority="147">
      <formula>AJ$9&lt;8/24</formula>
    </cfRule>
  </conditionalFormatting>
  <conditionalFormatting sqref="AL88:AN88 AL94:AN94">
    <cfRule type="expression" dxfId="3415" priority="113">
      <formula>AND(AL$9&gt;=8/24,AL$9&lt;14/24)</formula>
    </cfRule>
    <cfRule type="expression" dxfId="3414" priority="114">
      <formula>AL$9&lt;8/24</formula>
    </cfRule>
    <cfRule type="expression" dxfId="3413" priority="111">
      <formula>AL$9&gt;=20/24</formula>
    </cfRule>
    <cfRule type="expression" dxfId="3412" priority="112">
      <formula>AND(AL$9&gt;=14/24,AL$9&lt;20/24)</formula>
    </cfRule>
  </conditionalFormatting>
  <conditionalFormatting sqref="AM15:AM21 AN16:AR21">
    <cfRule type="expression" dxfId="3411" priority="15">
      <formula>AND(AX$9&gt;=8/24,AX$9&lt;14/24)</formula>
    </cfRule>
    <cfRule type="expression" dxfId="3410" priority="14">
      <formula>AND(AX$9&gt;=14/24,AX$9&lt;20/24)</formula>
    </cfRule>
    <cfRule type="expression" dxfId="3409" priority="13">
      <formula>AX$9&gt;=20/24</formula>
    </cfRule>
    <cfRule type="expression" dxfId="3408" priority="16">
      <formula>AX$9&lt;8/24</formula>
    </cfRule>
  </conditionalFormatting>
  <conditionalFormatting sqref="AN89:AN92">
    <cfRule type="expression" dxfId="3407" priority="109">
      <formula>AND(AN$9&gt;=8/24,AN$9&lt;14/24)</formula>
    </cfRule>
    <cfRule type="expression" dxfId="3406" priority="108">
      <formula>AND(AN$9&gt;=14/24,AN$9&lt;20/24)</formula>
    </cfRule>
    <cfRule type="expression" dxfId="3405" priority="107">
      <formula>AN$9&gt;=20/24</formula>
    </cfRule>
    <cfRule type="expression" dxfId="3404" priority="110">
      <formula>AN$9&lt;8/24</formula>
    </cfRule>
  </conditionalFormatting>
  <conditionalFormatting sqref="AN15:AR15">
    <cfRule type="expression" dxfId="3403" priority="1">
      <formula>U$9&gt;=20/24</formula>
    </cfRule>
    <cfRule type="expression" dxfId="3402" priority="2">
      <formula>AND(U$9&gt;=14/24,U$9&lt;20/24)</formula>
    </cfRule>
    <cfRule type="expression" dxfId="3401" priority="3">
      <formula>AND(U$9&gt;=8/24,U$9&lt;14/24)</formula>
    </cfRule>
    <cfRule type="expression" dxfId="3400" priority="4">
      <formula>U$9&lt;8/24</formula>
    </cfRule>
  </conditionalFormatting>
  <conditionalFormatting sqref="AS15">
    <cfRule type="expression" dxfId="3399" priority="10">
      <formula>AND(AA$9&gt;=14/24,AA$9&lt;20/24)</formula>
    </cfRule>
    <cfRule type="expression" dxfId="3398" priority="9">
      <formula>AA$9&gt;=20/24</formula>
    </cfRule>
    <cfRule type="expression" dxfId="3397" priority="12">
      <formula>AA$9&lt;8/24</formula>
    </cfRule>
    <cfRule type="expression" dxfId="3396" priority="11">
      <formula>AND(AA$9&gt;=8/24,AA$9&lt;14/24)</formula>
    </cfRule>
  </conditionalFormatting>
  <conditionalFormatting sqref="AS16:AS21">
    <cfRule type="expression" dxfId="3395" priority="18">
      <formula>AND(BE$9&gt;=14/24,BE$9&lt;20/24)</formula>
    </cfRule>
    <cfRule type="expression" dxfId="3394" priority="19">
      <formula>AND(BE$9&gt;=8/24,BE$9&lt;14/24)</formula>
    </cfRule>
    <cfRule type="expression" dxfId="3393" priority="17">
      <formula>BE$9&gt;=20/24</formula>
    </cfRule>
    <cfRule type="expression" dxfId="3392" priority="20">
      <formula>BE$9&lt;8/24</formula>
    </cfRule>
  </conditionalFormatting>
  <conditionalFormatting sqref="AT15 AX15">
    <cfRule type="expression" dxfId="3391" priority="24">
      <formula>AC$9&lt;8/24</formula>
    </cfRule>
    <cfRule type="expression" dxfId="3390" priority="23">
      <formula>AND(AC$9&gt;=8/24,AC$9&lt;14/24)</formula>
    </cfRule>
    <cfRule type="expression" dxfId="3389" priority="22">
      <formula>AND(AC$9&gt;=14/24,AC$9&lt;20/24)</formula>
    </cfRule>
    <cfRule type="expression" dxfId="3388" priority="21">
      <formula>AC$9&gt;=20/24</formula>
    </cfRule>
  </conditionalFormatting>
  <conditionalFormatting sqref="AT16:AT21">
    <cfRule type="expression" dxfId="3387" priority="28">
      <formula>BG$9&lt;8/24</formula>
    </cfRule>
    <cfRule type="expression" dxfId="3386" priority="27">
      <formula>AND(BG$9&gt;=8/24,BG$9&lt;14/24)</formula>
    </cfRule>
    <cfRule type="expression" dxfId="3385" priority="26">
      <formula>AND(BG$9&gt;=14/24,BG$9&lt;20/24)</formula>
    </cfRule>
    <cfRule type="expression" dxfId="3384" priority="25">
      <formula>BG$9&gt;=20/24</formula>
    </cfRule>
  </conditionalFormatting>
  <conditionalFormatting sqref="AU15:AV15">
    <cfRule type="expression" dxfId="3383" priority="31">
      <formula>AND(AE$9&gt;=8/24,AE$9&lt;14/24)</formula>
    </cfRule>
    <cfRule type="expression" dxfId="3382" priority="30">
      <formula>AND(AE$9&gt;=14/24,AE$9&lt;20/24)</formula>
    </cfRule>
    <cfRule type="expression" dxfId="3381" priority="29">
      <formula>AE$9&gt;=20/24</formula>
    </cfRule>
    <cfRule type="expression" dxfId="3380" priority="32">
      <formula>AE$9&lt;8/24</formula>
    </cfRule>
  </conditionalFormatting>
  <conditionalFormatting sqref="AU16:AX21">
    <cfRule type="expression" dxfId="3379" priority="35">
      <formula>AND(BI$9&gt;=8/24,BI$9&lt;14/24)</formula>
    </cfRule>
    <cfRule type="expression" dxfId="3378" priority="34">
      <formula>AND(BI$9&gt;=14/24,BI$9&lt;20/24)</formula>
    </cfRule>
    <cfRule type="expression" dxfId="3377" priority="33">
      <formula>BI$9&gt;=20/24</formula>
    </cfRule>
    <cfRule type="expression" dxfId="3376" priority="36">
      <formula>BI$9&lt;8/24</formula>
    </cfRule>
  </conditionalFormatting>
  <conditionalFormatting sqref="AW15">
    <cfRule type="expression" dxfId="3375" priority="8">
      <formula>B$9&lt;8/24</formula>
    </cfRule>
    <cfRule type="expression" dxfId="3374" priority="7">
      <formula>AND(B$9&gt;=8/24,B$9&lt;14/24)</formula>
    </cfRule>
    <cfRule type="expression" dxfId="3373" priority="6">
      <formula>AND(B$9&gt;=14/24,B$9&lt;20/24)</formula>
    </cfRule>
    <cfRule type="expression" dxfId="3372" priority="5">
      <formula>B$9&gt;=20/24</formula>
    </cfRule>
  </conditionalFormatting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A62B1-CD5D-4BC2-9BCB-139613E7E03E}">
  <sheetPr codeName="Sheet7"/>
  <dimension ref="A1:CJ294"/>
  <sheetViews>
    <sheetView zoomScaleNormal="100" workbookViewId="0">
      <pane xSplit="1" ySplit="10" topLeftCell="B58" activePane="bottomRight" state="frozen"/>
      <selection activeCell="Z63" sqref="Z63"/>
      <selection pane="topRight" activeCell="Z63" sqref="Z63"/>
      <selection pane="bottomLeft" activeCell="Z63" sqref="Z63"/>
      <selection pane="bottomRight" activeCell="X68" sqref="X68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2080/10/6</v>
      </c>
      <c r="C4" s="214"/>
      <c r="D4" s="214"/>
      <c r="E4" s="215" t="str">
        <f ca="1">"2080/"&amp;"10/"&amp;INT(MID(CELL("filename",G6),FIND("]",CELL("filename",G6))+1,200))</f>
        <v>2080/10/6</v>
      </c>
      <c r="F4" s="215"/>
      <c r="G4" s="215"/>
      <c r="H4" s="215" t="str">
        <f ca="1">TEXT(E4,"dddd")</f>
        <v>Sunday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737.3</v>
      </c>
      <c r="C5" s="30">
        <f t="shared" ref="C5:AE5" si="0">D92</f>
        <v>700.8</v>
      </c>
      <c r="D5" s="30">
        <f t="shared" si="0"/>
        <v>707.4</v>
      </c>
      <c r="E5" s="30">
        <f t="shared" si="0"/>
        <v>711</v>
      </c>
      <c r="F5" s="30">
        <f t="shared" si="0"/>
        <v>759.69999999999993</v>
      </c>
      <c r="G5" s="30">
        <f t="shared" si="0"/>
        <v>665.3</v>
      </c>
      <c r="H5" s="30">
        <f t="shared" si="0"/>
        <v>682.5</v>
      </c>
      <c r="I5" s="30">
        <f t="shared" si="0"/>
        <v>700.2</v>
      </c>
      <c r="J5" s="30">
        <f t="shared" si="0"/>
        <v>488</v>
      </c>
      <c r="K5" s="30">
        <f t="shared" si="0"/>
        <v>489.09999999999997</v>
      </c>
      <c r="L5" s="30">
        <f t="shared" si="0"/>
        <v>559.29999999999995</v>
      </c>
      <c r="M5" s="30">
        <f t="shared" si="0"/>
        <v>548.6</v>
      </c>
      <c r="N5" s="30">
        <f t="shared" si="0"/>
        <v>597.70000000000005</v>
      </c>
      <c r="O5" s="30">
        <f t="shared" si="0"/>
        <v>679</v>
      </c>
      <c r="P5" s="30">
        <f t="shared" si="0"/>
        <v>778</v>
      </c>
      <c r="Q5" s="30">
        <f t="shared" si="0"/>
        <v>778</v>
      </c>
      <c r="R5" s="30">
        <f t="shared" si="0"/>
        <v>821.7</v>
      </c>
      <c r="S5" s="30">
        <f t="shared" si="0"/>
        <v>706.5</v>
      </c>
      <c r="T5" s="30">
        <f t="shared" si="0"/>
        <v>829.40000000000009</v>
      </c>
      <c r="U5" s="30">
        <f t="shared" si="0"/>
        <v>776.4</v>
      </c>
      <c r="V5" s="30">
        <f t="shared" si="0"/>
        <v>640</v>
      </c>
      <c r="W5" s="30">
        <f t="shared" si="0"/>
        <v>522</v>
      </c>
      <c r="X5" s="30">
        <f t="shared" si="0"/>
        <v>523.5</v>
      </c>
      <c r="Y5" s="30">
        <f t="shared" si="0"/>
        <v>510.2</v>
      </c>
      <c r="Z5" s="30">
        <f t="shared" si="0"/>
        <v>457.1</v>
      </c>
      <c r="AA5" s="30">
        <f t="shared" si="0"/>
        <v>434.1</v>
      </c>
      <c r="AB5" s="30">
        <f t="shared" si="0"/>
        <v>605.20000000000005</v>
      </c>
      <c r="AC5" s="30">
        <f t="shared" si="0"/>
        <v>587.70000000000005</v>
      </c>
      <c r="AD5" s="30">
        <f t="shared" si="0"/>
        <v>603.5</v>
      </c>
      <c r="AE5" s="30">
        <f t="shared" si="0"/>
        <v>621.4</v>
      </c>
      <c r="AF5" s="30">
        <f>B92</f>
        <v>654.6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1822MW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Load=1259</v>
      </c>
      <c r="B7" s="35">
        <f>B100</f>
        <v>1314.0900000000001</v>
      </c>
      <c r="C7" s="35">
        <f t="shared" ref="C7:AF7" si="1">C100</f>
        <v>1295.79</v>
      </c>
      <c r="D7" s="35">
        <f t="shared" si="1"/>
        <v>1259.29</v>
      </c>
      <c r="E7" s="35">
        <f t="shared" si="1"/>
        <v>1276.29</v>
      </c>
      <c r="F7" s="35">
        <f t="shared" si="1"/>
        <v>1278.9900000000002</v>
      </c>
      <c r="G7" s="35">
        <f t="shared" si="1"/>
        <v>1342.69</v>
      </c>
      <c r="H7" s="35">
        <f t="shared" si="1"/>
        <v>1359.29</v>
      </c>
      <c r="I7" s="35">
        <f t="shared" si="1"/>
        <v>1463.79</v>
      </c>
      <c r="J7" s="35">
        <f t="shared" si="1"/>
        <v>1641.89</v>
      </c>
      <c r="K7" s="35">
        <f t="shared" si="1"/>
        <v>1656.19</v>
      </c>
      <c r="L7" s="35">
        <f t="shared" si="1"/>
        <v>1753.4899999999998</v>
      </c>
      <c r="M7" s="35">
        <f t="shared" si="1"/>
        <v>1822.29</v>
      </c>
      <c r="N7" s="35">
        <f t="shared" si="1"/>
        <v>1567.59</v>
      </c>
      <c r="O7" s="35">
        <f t="shared" si="1"/>
        <v>1559.2900000000002</v>
      </c>
      <c r="P7" s="35">
        <f t="shared" si="1"/>
        <v>1389.99</v>
      </c>
      <c r="Q7" s="35">
        <f t="shared" si="1"/>
        <v>1494.49</v>
      </c>
      <c r="R7" s="35">
        <f t="shared" si="1"/>
        <v>1494.49</v>
      </c>
      <c r="S7" s="35">
        <f t="shared" si="1"/>
        <v>1542.79</v>
      </c>
      <c r="T7" s="35">
        <f t="shared" si="1"/>
        <v>1444.5900000000001</v>
      </c>
      <c r="U7" s="35">
        <f t="shared" si="1"/>
        <v>1555.5900000000001</v>
      </c>
      <c r="V7" s="35">
        <f t="shared" si="1"/>
        <v>1612.8899999999999</v>
      </c>
      <c r="W7" s="35">
        <f t="shared" si="1"/>
        <v>1558.4900000000002</v>
      </c>
      <c r="X7" s="35">
        <f t="shared" si="1"/>
        <v>1711.49</v>
      </c>
      <c r="Y7" s="35">
        <f t="shared" si="1"/>
        <v>1832.25</v>
      </c>
      <c r="Z7" s="35">
        <f t="shared" si="1"/>
        <v>1828.8500000000001</v>
      </c>
      <c r="AA7" s="35">
        <f t="shared" si="1"/>
        <v>1748.3900000000003</v>
      </c>
      <c r="AB7" s="35">
        <f t="shared" si="1"/>
        <v>1691.0900000000001</v>
      </c>
      <c r="AC7" s="35">
        <f t="shared" si="1"/>
        <v>1660.5900000000001</v>
      </c>
      <c r="AD7" s="35">
        <f t="shared" si="1"/>
        <v>1597.65</v>
      </c>
      <c r="AE7" s="35">
        <f t="shared" si="1"/>
        <v>1467.19</v>
      </c>
      <c r="AF7" s="35">
        <f t="shared" si="1"/>
        <v>1383.3899999999999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1822.29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1822.29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24</v>
      </c>
      <c r="C11" s="46">
        <v>24</v>
      </c>
      <c r="D11" s="46">
        <v>24</v>
      </c>
      <c r="E11" s="46">
        <v>24</v>
      </c>
      <c r="F11" s="46">
        <v>24</v>
      </c>
      <c r="G11" s="46">
        <v>24</v>
      </c>
      <c r="H11" s="46">
        <v>24</v>
      </c>
      <c r="I11" s="46">
        <v>24</v>
      </c>
      <c r="J11" s="46">
        <v>24</v>
      </c>
      <c r="K11" s="46">
        <v>24</v>
      </c>
      <c r="L11" s="46">
        <v>24</v>
      </c>
      <c r="M11" s="46">
        <v>23.5</v>
      </c>
      <c r="N11" s="46">
        <v>23.5</v>
      </c>
      <c r="O11" s="46">
        <v>24.4</v>
      </c>
      <c r="P11" s="46">
        <v>23.5</v>
      </c>
      <c r="Q11" s="46">
        <v>23.7</v>
      </c>
      <c r="R11" s="46">
        <v>23.7</v>
      </c>
      <c r="S11" s="46">
        <v>23.7</v>
      </c>
      <c r="T11" s="46">
        <v>23.7</v>
      </c>
      <c r="U11" s="46">
        <v>23.7</v>
      </c>
      <c r="V11" s="46">
        <v>23.7</v>
      </c>
      <c r="W11" s="46">
        <v>23.7</v>
      </c>
      <c r="X11" s="46">
        <v>23.7</v>
      </c>
      <c r="Y11" s="46">
        <v>23.7</v>
      </c>
      <c r="Z11" s="46">
        <v>23.7</v>
      </c>
      <c r="AA11" s="46">
        <v>23.7</v>
      </c>
      <c r="AB11" s="46">
        <v>23.7</v>
      </c>
      <c r="AC11" s="46">
        <v>23.7</v>
      </c>
      <c r="AD11" s="46">
        <v>23.7</v>
      </c>
      <c r="AE11" s="46">
        <v>23.7</v>
      </c>
      <c r="AF11" s="46">
        <v>23.7</v>
      </c>
      <c r="AG11" s="47">
        <v>86</v>
      </c>
      <c r="AH11" s="48">
        <f t="shared" ref="AH11:AH16" si="2">MAX(B11:AF11)</f>
        <v>24.4</v>
      </c>
      <c r="AI11" s="49">
        <f t="shared" ref="AI11:AI16" si="3">MIN(B11:AF11)</f>
        <v>23.5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8</v>
      </c>
      <c r="C12" s="46">
        <v>8</v>
      </c>
      <c r="D12" s="46">
        <v>8</v>
      </c>
      <c r="E12" s="46">
        <v>8</v>
      </c>
      <c r="F12" s="46">
        <v>8</v>
      </c>
      <c r="G12" s="46">
        <v>8</v>
      </c>
      <c r="H12" s="46">
        <v>8</v>
      </c>
      <c r="I12" s="46">
        <v>8</v>
      </c>
      <c r="J12" s="46">
        <v>8</v>
      </c>
      <c r="K12" s="46">
        <v>8</v>
      </c>
      <c r="L12" s="46">
        <v>8</v>
      </c>
      <c r="M12" s="46">
        <v>8</v>
      </c>
      <c r="N12" s="46">
        <v>8</v>
      </c>
      <c r="O12" s="46">
        <v>8</v>
      </c>
      <c r="P12" s="46">
        <v>8</v>
      </c>
      <c r="Q12" s="46">
        <v>8</v>
      </c>
      <c r="R12" s="46">
        <v>8</v>
      </c>
      <c r="S12" s="46">
        <v>8</v>
      </c>
      <c r="T12" s="46">
        <v>8</v>
      </c>
      <c r="U12" s="46">
        <v>8</v>
      </c>
      <c r="V12" s="46">
        <v>8</v>
      </c>
      <c r="W12" s="46">
        <v>8</v>
      </c>
      <c r="X12" s="46">
        <v>8</v>
      </c>
      <c r="Y12" s="46">
        <v>8</v>
      </c>
      <c r="Z12" s="46">
        <v>8</v>
      </c>
      <c r="AA12" s="46">
        <v>8</v>
      </c>
      <c r="AB12" s="46">
        <v>8</v>
      </c>
      <c r="AC12" s="46">
        <v>8</v>
      </c>
      <c r="AD12" s="46">
        <v>8</v>
      </c>
      <c r="AE12" s="46">
        <v>8</v>
      </c>
      <c r="AF12" s="46">
        <v>8</v>
      </c>
      <c r="AG12" s="50">
        <v>54</v>
      </c>
      <c r="AH12" s="48">
        <f t="shared" si="2"/>
        <v>8</v>
      </c>
      <c r="AI12" s="49">
        <f t="shared" si="3"/>
        <v>8</v>
      </c>
      <c r="AK12" s="51"/>
      <c r="AL12" s="52" t="str">
        <f ca="1">MID(CELL("filename",C7),FIND("]",CELL("filename",C7))+1,600)</f>
        <v>6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9.6</v>
      </c>
      <c r="C13" s="46">
        <v>9.6</v>
      </c>
      <c r="D13" s="46">
        <v>9.6</v>
      </c>
      <c r="E13" s="46">
        <v>9.6</v>
      </c>
      <c r="F13" s="46">
        <v>9.6</v>
      </c>
      <c r="G13" s="46">
        <v>9.6</v>
      </c>
      <c r="H13" s="46">
        <v>9.6</v>
      </c>
      <c r="I13" s="46">
        <v>9.6</v>
      </c>
      <c r="J13" s="46">
        <v>9.6</v>
      </c>
      <c r="K13" s="46">
        <v>9.6</v>
      </c>
      <c r="L13" s="46">
        <v>9.6</v>
      </c>
      <c r="M13" s="46">
        <v>9.6</v>
      </c>
      <c r="N13" s="46">
        <v>9.6</v>
      </c>
      <c r="O13" s="46">
        <v>9.6</v>
      </c>
      <c r="P13" s="46">
        <v>9.6</v>
      </c>
      <c r="Q13" s="46">
        <v>9.6</v>
      </c>
      <c r="R13" s="46">
        <v>9.6</v>
      </c>
      <c r="S13" s="46">
        <v>9.6</v>
      </c>
      <c r="T13" s="46">
        <v>9.6</v>
      </c>
      <c r="U13" s="46">
        <v>9.6</v>
      </c>
      <c r="V13" s="46">
        <v>9.6</v>
      </c>
      <c r="W13" s="46">
        <v>9.6</v>
      </c>
      <c r="X13" s="46">
        <v>9.6</v>
      </c>
      <c r="Y13" s="46">
        <v>9.6</v>
      </c>
      <c r="Z13" s="46">
        <v>9.6</v>
      </c>
      <c r="AA13" s="46">
        <v>9.6</v>
      </c>
      <c r="AB13" s="46">
        <v>9.6</v>
      </c>
      <c r="AC13" s="46">
        <v>9.6</v>
      </c>
      <c r="AD13" s="46">
        <v>9.6</v>
      </c>
      <c r="AE13" s="46">
        <v>9.6</v>
      </c>
      <c r="AF13" s="46">
        <v>9.6</v>
      </c>
      <c r="AG13" s="50">
        <v>54</v>
      </c>
      <c r="AH13" s="48">
        <f t="shared" si="2"/>
        <v>9.6</v>
      </c>
      <c r="AI13" s="49">
        <f t="shared" si="3"/>
        <v>9.6</v>
      </c>
      <c r="AK13" s="51"/>
      <c r="AL13" s="52" t="str">
        <f ca="1">"Daily Load Curve(Excluding of Export) of Nepal ("&amp;A4&amp;" "&amp;B4&amp;")"</f>
        <v>Daily Load Curve(Excluding of Export) of Nepal (Nepali Date: 2080/10/6)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14.2</v>
      </c>
      <c r="C14" s="46">
        <v>14.2</v>
      </c>
      <c r="D14" s="46">
        <v>14.2</v>
      </c>
      <c r="E14" s="46">
        <v>14.2</v>
      </c>
      <c r="F14" s="46">
        <v>14.2</v>
      </c>
      <c r="G14" s="46">
        <v>14.2</v>
      </c>
      <c r="H14" s="46">
        <v>14.2</v>
      </c>
      <c r="I14" s="46">
        <v>14.2</v>
      </c>
      <c r="J14" s="46">
        <v>14.2</v>
      </c>
      <c r="K14" s="46">
        <v>14.2</v>
      </c>
      <c r="L14" s="46">
        <v>14.2</v>
      </c>
      <c r="M14" s="46">
        <v>14.2</v>
      </c>
      <c r="N14" s="46">
        <v>14.2</v>
      </c>
      <c r="O14" s="46">
        <v>14.2</v>
      </c>
      <c r="P14" s="46">
        <v>14.2</v>
      </c>
      <c r="Q14" s="46">
        <v>14.2</v>
      </c>
      <c r="R14" s="46">
        <v>14.2</v>
      </c>
      <c r="S14" s="46">
        <v>14.2</v>
      </c>
      <c r="T14" s="46">
        <v>14.2</v>
      </c>
      <c r="U14" s="46">
        <v>14.2</v>
      </c>
      <c r="V14" s="46">
        <v>14.2</v>
      </c>
      <c r="W14" s="46">
        <v>14.2</v>
      </c>
      <c r="X14" s="46">
        <v>14.2</v>
      </c>
      <c r="Y14" s="46">
        <v>14.2</v>
      </c>
      <c r="Z14" s="46">
        <v>14.2</v>
      </c>
      <c r="AA14" s="46">
        <v>14.2</v>
      </c>
      <c r="AB14" s="46">
        <v>14.2</v>
      </c>
      <c r="AC14" s="46">
        <v>14.2</v>
      </c>
      <c r="AD14" s="46">
        <v>14.2</v>
      </c>
      <c r="AE14" s="46">
        <v>14.2</v>
      </c>
      <c r="AF14" s="46">
        <v>14.2</v>
      </c>
      <c r="AG14" s="47">
        <v>52.4</v>
      </c>
      <c r="AH14" s="48">
        <f t="shared" si="2"/>
        <v>14.2</v>
      </c>
      <c r="AI14" s="49">
        <f t="shared" si="3"/>
        <v>14.2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28.1</v>
      </c>
      <c r="C15" s="46">
        <v>28.1</v>
      </c>
      <c r="D15" s="46">
        <v>28.1</v>
      </c>
      <c r="E15" s="46">
        <v>28.1</v>
      </c>
      <c r="F15" s="46">
        <v>28.1</v>
      </c>
      <c r="G15" s="46">
        <v>28.1</v>
      </c>
      <c r="H15" s="46">
        <v>28.1</v>
      </c>
      <c r="I15" s="46">
        <v>28.1</v>
      </c>
      <c r="J15" s="46">
        <v>28.1</v>
      </c>
      <c r="K15" s="46">
        <v>28.1</v>
      </c>
      <c r="L15" s="46">
        <v>28.1</v>
      </c>
      <c r="M15" s="46">
        <v>28.1</v>
      </c>
      <c r="N15" s="46">
        <v>28.1</v>
      </c>
      <c r="O15" s="46">
        <v>28.1</v>
      </c>
      <c r="P15" s="46">
        <v>28.1</v>
      </c>
      <c r="Q15" s="46">
        <v>28.1</v>
      </c>
      <c r="R15" s="46">
        <v>28.1</v>
      </c>
      <c r="S15" s="46">
        <v>28.1</v>
      </c>
      <c r="T15" s="46">
        <v>28.1</v>
      </c>
      <c r="U15" s="46">
        <v>28.1</v>
      </c>
      <c r="V15" s="46">
        <v>28.1</v>
      </c>
      <c r="W15" s="46">
        <v>28.1</v>
      </c>
      <c r="X15" s="46">
        <v>28.1</v>
      </c>
      <c r="Y15" s="46">
        <v>28.1</v>
      </c>
      <c r="Z15" s="46">
        <v>28.1</v>
      </c>
      <c r="AA15" s="46">
        <v>28.1</v>
      </c>
      <c r="AB15" s="46">
        <v>28.1</v>
      </c>
      <c r="AC15" s="46">
        <v>28.1</v>
      </c>
      <c r="AD15" s="46">
        <v>28.1</v>
      </c>
      <c r="AE15" s="46">
        <v>28.1</v>
      </c>
      <c r="AF15" s="46">
        <v>28.1</v>
      </c>
      <c r="AG15" s="50">
        <v>50</v>
      </c>
      <c r="AH15" s="48">
        <f t="shared" si="2"/>
        <v>28.1</v>
      </c>
      <c r="AI15" s="49">
        <f t="shared" si="3"/>
        <v>28.1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16.5</v>
      </c>
      <c r="C16" s="46">
        <v>16.5</v>
      </c>
      <c r="D16" s="46">
        <v>16.5</v>
      </c>
      <c r="E16" s="46">
        <v>16.5</v>
      </c>
      <c r="F16" s="46">
        <v>16.5</v>
      </c>
      <c r="G16" s="46">
        <v>16.5</v>
      </c>
      <c r="H16" s="46">
        <v>16.5</v>
      </c>
      <c r="I16" s="46">
        <v>16.5</v>
      </c>
      <c r="J16" s="46">
        <v>16.5</v>
      </c>
      <c r="K16" s="46">
        <v>16.5</v>
      </c>
      <c r="L16" s="46">
        <v>16.5</v>
      </c>
      <c r="M16" s="46">
        <v>16.5</v>
      </c>
      <c r="N16" s="46">
        <v>16.5</v>
      </c>
      <c r="O16" s="46">
        <v>16.5</v>
      </c>
      <c r="P16" s="46">
        <v>16.5</v>
      </c>
      <c r="Q16" s="46">
        <v>16.5</v>
      </c>
      <c r="R16" s="46">
        <v>16.5</v>
      </c>
      <c r="S16" s="46">
        <v>16.5</v>
      </c>
      <c r="T16" s="46">
        <v>16.5</v>
      </c>
      <c r="U16" s="46">
        <v>16.5</v>
      </c>
      <c r="V16" s="46">
        <v>16.5</v>
      </c>
      <c r="W16" s="46">
        <v>16.5</v>
      </c>
      <c r="X16" s="46">
        <v>16.5</v>
      </c>
      <c r="Y16" s="46">
        <v>16.5</v>
      </c>
      <c r="Z16" s="46">
        <v>16.5</v>
      </c>
      <c r="AA16" s="46">
        <v>16.5</v>
      </c>
      <c r="AB16" s="46">
        <v>16.5</v>
      </c>
      <c r="AC16" s="46">
        <v>16.5</v>
      </c>
      <c r="AD16" s="46">
        <v>16.5</v>
      </c>
      <c r="AE16" s="46">
        <v>16.5</v>
      </c>
      <c r="AF16" s="46">
        <v>16.5</v>
      </c>
      <c r="AG16" s="50">
        <v>45</v>
      </c>
      <c r="AH16" s="48">
        <f t="shared" si="2"/>
        <v>16.5</v>
      </c>
      <c r="AI16" s="49">
        <f t="shared" si="3"/>
        <v>16.5</v>
      </c>
      <c r="AK16" s="51"/>
      <c r="AL16" s="54" t="s">
        <v>7</v>
      </c>
      <c r="AM16" s="59">
        <f>B58</f>
        <v>456.25000000000006</v>
      </c>
      <c r="AN16" s="59">
        <f t="shared" ref="AN16:AR16" si="4">C58</f>
        <v>456.25000000000006</v>
      </c>
      <c r="AO16" s="59">
        <f t="shared" si="4"/>
        <v>456.25000000000006</v>
      </c>
      <c r="AP16" s="59">
        <f t="shared" si="4"/>
        <v>456.25000000000006</v>
      </c>
      <c r="AQ16" s="59">
        <f t="shared" si="4"/>
        <v>456.25000000000006</v>
      </c>
      <c r="AR16" s="59">
        <f t="shared" si="4"/>
        <v>456.25000000000006</v>
      </c>
      <c r="AS16" s="59">
        <f>I58</f>
        <v>456.25000000000006</v>
      </c>
      <c r="AT16" s="59">
        <f>K58</f>
        <v>456.25000000000006</v>
      </c>
      <c r="AU16" s="59">
        <f t="shared" ref="AU16:AX16" si="5">M58</f>
        <v>455.75000000000006</v>
      </c>
      <c r="AV16" s="59">
        <f t="shared" si="5"/>
        <v>455.75000000000006</v>
      </c>
      <c r="AW16" s="59">
        <f t="shared" si="5"/>
        <v>456.65000000000003</v>
      </c>
      <c r="AX16" s="59">
        <f t="shared" si="5"/>
        <v>455.75000000000006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14</v>
      </c>
      <c r="C17" s="46">
        <v>14</v>
      </c>
      <c r="D17" s="46">
        <v>14</v>
      </c>
      <c r="E17" s="46">
        <v>14</v>
      </c>
      <c r="F17" s="46">
        <v>14</v>
      </c>
      <c r="G17" s="46">
        <v>14</v>
      </c>
      <c r="H17" s="46">
        <v>14</v>
      </c>
      <c r="I17" s="46">
        <v>14</v>
      </c>
      <c r="J17" s="46">
        <v>14</v>
      </c>
      <c r="K17" s="46">
        <v>14</v>
      </c>
      <c r="L17" s="46">
        <v>14</v>
      </c>
      <c r="M17" s="46">
        <v>14</v>
      </c>
      <c r="N17" s="46">
        <v>14</v>
      </c>
      <c r="O17" s="46">
        <v>14</v>
      </c>
      <c r="P17" s="46">
        <v>14</v>
      </c>
      <c r="Q17" s="46">
        <v>14</v>
      </c>
      <c r="R17" s="46">
        <v>14</v>
      </c>
      <c r="S17" s="46">
        <v>14</v>
      </c>
      <c r="T17" s="46">
        <v>14</v>
      </c>
      <c r="U17" s="46">
        <v>14</v>
      </c>
      <c r="V17" s="46">
        <v>14</v>
      </c>
      <c r="W17" s="46">
        <v>14</v>
      </c>
      <c r="X17" s="46">
        <v>14</v>
      </c>
      <c r="Y17" s="46">
        <v>14</v>
      </c>
      <c r="Z17" s="46">
        <v>14</v>
      </c>
      <c r="AA17" s="46">
        <v>14</v>
      </c>
      <c r="AB17" s="46">
        <v>14</v>
      </c>
      <c r="AC17" s="46">
        <v>14</v>
      </c>
      <c r="AD17" s="46">
        <v>14</v>
      </c>
      <c r="AE17" s="46">
        <v>14</v>
      </c>
      <c r="AF17" s="46">
        <v>14</v>
      </c>
      <c r="AG17" s="50">
        <v>44</v>
      </c>
      <c r="AH17" s="48">
        <f>MAX(B17:AG17)</f>
        <v>44</v>
      </c>
      <c r="AI17" s="49">
        <f>MIN(B17:AG17)</f>
        <v>14</v>
      </c>
      <c r="AK17" s="51"/>
      <c r="AL17" s="54" t="s">
        <v>27</v>
      </c>
      <c r="AM17" s="59">
        <f>B62</f>
        <v>106.1</v>
      </c>
      <c r="AN17" s="59">
        <f t="shared" ref="AN17:AR17" si="6">C62</f>
        <v>36.1</v>
      </c>
      <c r="AO17" s="59">
        <f t="shared" si="6"/>
        <v>36.1</v>
      </c>
      <c r="AP17" s="59">
        <f t="shared" si="6"/>
        <v>36.5</v>
      </c>
      <c r="AQ17" s="59">
        <f t="shared" si="6"/>
        <v>37.1</v>
      </c>
      <c r="AR17" s="59">
        <f t="shared" si="6"/>
        <v>37.1</v>
      </c>
      <c r="AS17" s="59">
        <f>I62</f>
        <v>37</v>
      </c>
      <c r="AT17" s="59">
        <f>K62</f>
        <v>187.1</v>
      </c>
      <c r="AU17" s="59">
        <f t="shared" ref="AU17:AX17" si="7">M62</f>
        <v>218</v>
      </c>
      <c r="AV17" s="59">
        <f t="shared" si="7"/>
        <v>97</v>
      </c>
      <c r="AW17" s="59">
        <f t="shared" si="7"/>
        <v>67</v>
      </c>
      <c r="AX17" s="59">
        <f t="shared" si="7"/>
        <v>66.2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8</v>
      </c>
      <c r="C18" s="46">
        <v>8</v>
      </c>
      <c r="D18" s="46">
        <v>8</v>
      </c>
      <c r="E18" s="46">
        <v>8</v>
      </c>
      <c r="F18" s="46">
        <v>8</v>
      </c>
      <c r="G18" s="46">
        <v>8</v>
      </c>
      <c r="H18" s="46">
        <v>8</v>
      </c>
      <c r="I18" s="46">
        <v>8</v>
      </c>
      <c r="J18" s="46">
        <v>8</v>
      </c>
      <c r="K18" s="46">
        <v>8</v>
      </c>
      <c r="L18" s="46">
        <v>8</v>
      </c>
      <c r="M18" s="46">
        <v>8</v>
      </c>
      <c r="N18" s="46">
        <v>8</v>
      </c>
      <c r="O18" s="46">
        <v>8</v>
      </c>
      <c r="P18" s="46">
        <v>8</v>
      </c>
      <c r="Q18" s="46">
        <v>8</v>
      </c>
      <c r="R18" s="46">
        <v>8</v>
      </c>
      <c r="S18" s="46">
        <v>8</v>
      </c>
      <c r="T18" s="46">
        <v>8</v>
      </c>
      <c r="U18" s="46">
        <v>8</v>
      </c>
      <c r="V18" s="46">
        <v>8</v>
      </c>
      <c r="W18" s="46">
        <v>8</v>
      </c>
      <c r="X18" s="46">
        <v>8</v>
      </c>
      <c r="Y18" s="46">
        <v>8</v>
      </c>
      <c r="Z18" s="46">
        <v>8</v>
      </c>
      <c r="AA18" s="46">
        <v>8</v>
      </c>
      <c r="AB18" s="46">
        <v>8</v>
      </c>
      <c r="AC18" s="46">
        <v>8</v>
      </c>
      <c r="AD18" s="46">
        <v>8</v>
      </c>
      <c r="AE18" s="46">
        <v>8</v>
      </c>
      <c r="AF18" s="46">
        <v>8</v>
      </c>
      <c r="AG18" s="50">
        <v>42</v>
      </c>
      <c r="AH18" s="48">
        <f t="shared" ref="AH18:AH81" si="8">MAX(B18:AF18)</f>
        <v>8</v>
      </c>
      <c r="AI18" s="49">
        <f t="shared" ref="AI18:AI81" si="9">MIN(B18:AF18)</f>
        <v>8</v>
      </c>
      <c r="AK18" s="51"/>
      <c r="AL18" s="54" t="s">
        <v>29</v>
      </c>
      <c r="AM18" s="59">
        <f>B76</f>
        <v>97.14</v>
      </c>
      <c r="AN18" s="59">
        <f t="shared" ref="AN18:AR18" si="10">C76</f>
        <v>66.14</v>
      </c>
      <c r="AO18" s="59">
        <f t="shared" si="10"/>
        <v>66.14</v>
      </c>
      <c r="AP18" s="59">
        <f t="shared" si="10"/>
        <v>76.140000000000015</v>
      </c>
      <c r="AQ18" s="59">
        <f t="shared" si="10"/>
        <v>74.640000000000015</v>
      </c>
      <c r="AR18" s="59">
        <f t="shared" si="10"/>
        <v>89.640000000000015</v>
      </c>
      <c r="AS18" s="59">
        <f>I76</f>
        <v>191.43999999999997</v>
      </c>
      <c r="AT18" s="59">
        <f>K76</f>
        <v>277.64</v>
      </c>
      <c r="AU18" s="59">
        <f t="shared" ref="AU18:AX18" si="11">M76</f>
        <v>247.93999999999997</v>
      </c>
      <c r="AV18" s="59">
        <f t="shared" si="11"/>
        <v>210.93999999999997</v>
      </c>
      <c r="AW18" s="59">
        <f t="shared" si="11"/>
        <v>187.94</v>
      </c>
      <c r="AX18" s="59">
        <f t="shared" si="11"/>
        <v>189.04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11</v>
      </c>
      <c r="C19" s="46">
        <v>11</v>
      </c>
      <c r="D19" s="46">
        <v>11</v>
      </c>
      <c r="E19" s="46">
        <v>11</v>
      </c>
      <c r="F19" s="46">
        <v>11</v>
      </c>
      <c r="G19" s="46">
        <v>11</v>
      </c>
      <c r="H19" s="46">
        <v>11</v>
      </c>
      <c r="I19" s="46">
        <v>11</v>
      </c>
      <c r="J19" s="46">
        <v>11</v>
      </c>
      <c r="K19" s="46">
        <v>11</v>
      </c>
      <c r="L19" s="46">
        <v>11</v>
      </c>
      <c r="M19" s="46">
        <v>11</v>
      </c>
      <c r="N19" s="46">
        <v>11</v>
      </c>
      <c r="O19" s="46">
        <v>11</v>
      </c>
      <c r="P19" s="46">
        <v>11</v>
      </c>
      <c r="Q19" s="46">
        <v>11</v>
      </c>
      <c r="R19" s="46">
        <v>11</v>
      </c>
      <c r="S19" s="46">
        <v>11</v>
      </c>
      <c r="T19" s="46">
        <v>11</v>
      </c>
      <c r="U19" s="46">
        <v>11</v>
      </c>
      <c r="V19" s="46">
        <v>11</v>
      </c>
      <c r="W19" s="46">
        <v>11</v>
      </c>
      <c r="X19" s="46">
        <v>11</v>
      </c>
      <c r="Y19" s="46">
        <v>11</v>
      </c>
      <c r="Z19" s="46">
        <v>11</v>
      </c>
      <c r="AA19" s="46">
        <v>11</v>
      </c>
      <c r="AB19" s="46">
        <v>11</v>
      </c>
      <c r="AC19" s="46">
        <v>11</v>
      </c>
      <c r="AD19" s="46">
        <v>11</v>
      </c>
      <c r="AE19" s="46">
        <v>11</v>
      </c>
      <c r="AF19" s="46">
        <v>11</v>
      </c>
      <c r="AG19" s="50">
        <v>38.46</v>
      </c>
      <c r="AH19" s="48">
        <f t="shared" si="8"/>
        <v>11</v>
      </c>
      <c r="AI19" s="49">
        <f t="shared" si="9"/>
        <v>11</v>
      </c>
      <c r="AK19" s="51"/>
      <c r="AL19" s="54" t="s">
        <v>31</v>
      </c>
      <c r="AM19" s="59">
        <f>B92</f>
        <v>654.6</v>
      </c>
      <c r="AN19" s="59">
        <f t="shared" ref="AN19:AR19" si="12">C92</f>
        <v>737.3</v>
      </c>
      <c r="AO19" s="59">
        <f t="shared" si="12"/>
        <v>700.8</v>
      </c>
      <c r="AP19" s="59">
        <f t="shared" si="12"/>
        <v>707.4</v>
      </c>
      <c r="AQ19" s="59">
        <f t="shared" si="12"/>
        <v>711</v>
      </c>
      <c r="AR19" s="59">
        <f t="shared" si="12"/>
        <v>759.69999999999993</v>
      </c>
      <c r="AS19" s="59">
        <f>I92</f>
        <v>682.5</v>
      </c>
      <c r="AT19" s="59">
        <f>K92</f>
        <v>488</v>
      </c>
      <c r="AU19" s="59">
        <f t="shared" ref="AU19:AX19" si="13">M92</f>
        <v>559.29999999999995</v>
      </c>
      <c r="AV19" s="59">
        <f t="shared" si="13"/>
        <v>548.6</v>
      </c>
      <c r="AW19" s="59">
        <f t="shared" si="13"/>
        <v>597.70000000000005</v>
      </c>
      <c r="AX19" s="59">
        <f t="shared" si="13"/>
        <v>679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7.8</v>
      </c>
      <c r="C20" s="46">
        <v>7.8</v>
      </c>
      <c r="D20" s="46">
        <v>7.8</v>
      </c>
      <c r="E20" s="46">
        <v>7.8</v>
      </c>
      <c r="F20" s="46">
        <v>7.8</v>
      </c>
      <c r="G20" s="46">
        <v>7.8</v>
      </c>
      <c r="H20" s="46">
        <v>7.8</v>
      </c>
      <c r="I20" s="46">
        <v>7.8</v>
      </c>
      <c r="J20" s="46">
        <v>7.8</v>
      </c>
      <c r="K20" s="46">
        <v>7.8</v>
      </c>
      <c r="L20" s="46">
        <v>7.8</v>
      </c>
      <c r="M20" s="46">
        <v>7.8</v>
      </c>
      <c r="N20" s="46">
        <v>7.8</v>
      </c>
      <c r="O20" s="46">
        <v>7.8</v>
      </c>
      <c r="P20" s="46">
        <v>7.8</v>
      </c>
      <c r="Q20" s="46">
        <v>7.8</v>
      </c>
      <c r="R20" s="46">
        <v>7.8</v>
      </c>
      <c r="S20" s="46">
        <v>7.8</v>
      </c>
      <c r="T20" s="46">
        <v>7.8</v>
      </c>
      <c r="U20" s="46">
        <v>7.8</v>
      </c>
      <c r="V20" s="46">
        <v>7.8</v>
      </c>
      <c r="W20" s="46">
        <v>7.8</v>
      </c>
      <c r="X20" s="46">
        <v>7.8</v>
      </c>
      <c r="Y20" s="46">
        <v>7.8</v>
      </c>
      <c r="Z20" s="46">
        <v>7.8</v>
      </c>
      <c r="AA20" s="46">
        <v>7.8</v>
      </c>
      <c r="AB20" s="46">
        <v>7.8</v>
      </c>
      <c r="AC20" s="46">
        <v>7.8</v>
      </c>
      <c r="AD20" s="46">
        <v>7.8</v>
      </c>
      <c r="AE20" s="46">
        <v>7.8</v>
      </c>
      <c r="AF20" s="46">
        <v>7.8</v>
      </c>
      <c r="AG20" s="50">
        <v>38.46</v>
      </c>
      <c r="AH20" s="48">
        <f t="shared" si="8"/>
        <v>7.8</v>
      </c>
      <c r="AI20" s="49">
        <f t="shared" si="9"/>
        <v>7.8</v>
      </c>
      <c r="AK20" s="51"/>
      <c r="AL20" s="54" t="s">
        <v>33</v>
      </c>
      <c r="AM20" s="59">
        <f>B80</f>
        <v>0</v>
      </c>
      <c r="AN20" s="59">
        <f t="shared" ref="AN20:AR20" si="14">C80</f>
        <v>0</v>
      </c>
      <c r="AO20" s="59">
        <f t="shared" si="14"/>
        <v>0</v>
      </c>
      <c r="AP20" s="59">
        <f t="shared" si="14"/>
        <v>0</v>
      </c>
      <c r="AQ20" s="59">
        <f t="shared" si="14"/>
        <v>0</v>
      </c>
      <c r="AR20" s="59">
        <f t="shared" si="14"/>
        <v>0</v>
      </c>
      <c r="AS20" s="59">
        <f>I80</f>
        <v>96.6</v>
      </c>
      <c r="AT20" s="59">
        <f>K80</f>
        <v>97.2</v>
      </c>
      <c r="AU20" s="59">
        <f t="shared" ref="AU20:AX20" si="15">M80</f>
        <v>41.3</v>
      </c>
      <c r="AV20" s="59">
        <f t="shared" si="15"/>
        <v>5.3</v>
      </c>
      <c r="AW20" s="59">
        <f t="shared" si="15"/>
        <v>0</v>
      </c>
      <c r="AX20" s="59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13</v>
      </c>
      <c r="C21" s="46">
        <v>13</v>
      </c>
      <c r="D21" s="46">
        <v>13</v>
      </c>
      <c r="E21" s="46">
        <v>13</v>
      </c>
      <c r="F21" s="46">
        <v>13</v>
      </c>
      <c r="G21" s="46">
        <v>13</v>
      </c>
      <c r="H21" s="46">
        <v>13</v>
      </c>
      <c r="I21" s="46">
        <v>13</v>
      </c>
      <c r="J21" s="46">
        <v>13</v>
      </c>
      <c r="K21" s="46">
        <v>13</v>
      </c>
      <c r="L21" s="46">
        <v>13</v>
      </c>
      <c r="M21" s="46">
        <v>13</v>
      </c>
      <c r="N21" s="46">
        <v>13</v>
      </c>
      <c r="O21" s="46">
        <v>13</v>
      </c>
      <c r="P21" s="46">
        <v>13</v>
      </c>
      <c r="Q21" s="46">
        <v>13</v>
      </c>
      <c r="R21" s="46">
        <v>13</v>
      </c>
      <c r="S21" s="46">
        <v>13</v>
      </c>
      <c r="T21" s="46">
        <v>13</v>
      </c>
      <c r="U21" s="46">
        <v>13</v>
      </c>
      <c r="V21" s="46">
        <v>13</v>
      </c>
      <c r="W21" s="46">
        <v>13</v>
      </c>
      <c r="X21" s="46">
        <v>13</v>
      </c>
      <c r="Y21" s="46">
        <v>13</v>
      </c>
      <c r="Z21" s="46">
        <v>13</v>
      </c>
      <c r="AA21" s="46">
        <v>13</v>
      </c>
      <c r="AB21" s="46">
        <v>13</v>
      </c>
      <c r="AC21" s="46">
        <v>13</v>
      </c>
      <c r="AD21" s="46">
        <v>13</v>
      </c>
      <c r="AE21" s="46">
        <v>13</v>
      </c>
      <c r="AF21" s="46">
        <v>13</v>
      </c>
      <c r="AG21" s="50">
        <v>36</v>
      </c>
      <c r="AH21" s="48">
        <f t="shared" si="8"/>
        <v>13</v>
      </c>
      <c r="AI21" s="49">
        <f t="shared" si="9"/>
        <v>13</v>
      </c>
      <c r="AK21" s="51"/>
      <c r="AL21" s="54" t="s">
        <v>35</v>
      </c>
      <c r="AM21" s="59">
        <f>B98</f>
        <v>0</v>
      </c>
      <c r="AN21" s="59">
        <f t="shared" ref="AN21:AR21" si="16">C98</f>
        <v>0</v>
      </c>
      <c r="AO21" s="59">
        <f t="shared" si="16"/>
        <v>0</v>
      </c>
      <c r="AP21" s="59">
        <f t="shared" si="16"/>
        <v>0</v>
      </c>
      <c r="AQ21" s="59">
        <f t="shared" si="16"/>
        <v>0</v>
      </c>
      <c r="AR21" s="59">
        <f t="shared" si="16"/>
        <v>0</v>
      </c>
      <c r="AS21" s="59">
        <f>I98</f>
        <v>0</v>
      </c>
      <c r="AT21" s="59">
        <f>K98</f>
        <v>150</v>
      </c>
      <c r="AU21" s="59">
        <f t="shared" ref="AU21:AX21" si="17">M98</f>
        <v>300</v>
      </c>
      <c r="AV21" s="59">
        <f t="shared" si="17"/>
        <v>250</v>
      </c>
      <c r="AW21" s="59">
        <f t="shared" si="17"/>
        <v>250</v>
      </c>
      <c r="AX21" s="59">
        <f t="shared" si="17"/>
        <v>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6.9</v>
      </c>
      <c r="C22" s="46">
        <v>6.9</v>
      </c>
      <c r="D22" s="46">
        <v>6.9</v>
      </c>
      <c r="E22" s="46">
        <v>6.9</v>
      </c>
      <c r="F22" s="46">
        <v>6.9</v>
      </c>
      <c r="G22" s="46">
        <v>6.9</v>
      </c>
      <c r="H22" s="46">
        <v>6.9</v>
      </c>
      <c r="I22" s="46">
        <v>6.9</v>
      </c>
      <c r="J22" s="46">
        <v>6.9</v>
      </c>
      <c r="K22" s="46">
        <v>6.9</v>
      </c>
      <c r="L22" s="46">
        <v>6.9</v>
      </c>
      <c r="M22" s="46">
        <v>6.9</v>
      </c>
      <c r="N22" s="46">
        <v>6.9</v>
      </c>
      <c r="O22" s="46">
        <v>6.9</v>
      </c>
      <c r="P22" s="46">
        <v>6.9</v>
      </c>
      <c r="Q22" s="46">
        <v>6.9</v>
      </c>
      <c r="R22" s="46">
        <v>6.9</v>
      </c>
      <c r="S22" s="46">
        <v>6.9</v>
      </c>
      <c r="T22" s="46">
        <v>6.9</v>
      </c>
      <c r="U22" s="46">
        <v>6.9</v>
      </c>
      <c r="V22" s="46">
        <v>6.9</v>
      </c>
      <c r="W22" s="46">
        <v>6.9</v>
      </c>
      <c r="X22" s="46">
        <v>6.9</v>
      </c>
      <c r="Y22" s="46">
        <v>6.9</v>
      </c>
      <c r="Z22" s="46">
        <v>6.9</v>
      </c>
      <c r="AA22" s="46">
        <v>6.9</v>
      </c>
      <c r="AB22" s="46">
        <v>6.9</v>
      </c>
      <c r="AC22" s="46">
        <v>6.9</v>
      </c>
      <c r="AD22" s="46">
        <v>6.9</v>
      </c>
      <c r="AE22" s="46">
        <v>6.9</v>
      </c>
      <c r="AF22" s="46">
        <v>6.9</v>
      </c>
      <c r="AG22" s="60">
        <v>30</v>
      </c>
      <c r="AH22" s="48">
        <f t="shared" si="8"/>
        <v>6.9</v>
      </c>
      <c r="AI22" s="49">
        <f t="shared" si="9"/>
        <v>6.9</v>
      </c>
      <c r="AK22" s="51"/>
      <c r="AL22" s="61" t="s">
        <v>37</v>
      </c>
      <c r="AM22" s="62">
        <f>SUM(AM16:AM21)</f>
        <v>1314.0900000000001</v>
      </c>
      <c r="AN22" s="62">
        <f t="shared" ref="AN22:AX22" si="18">SUM(AN16:AN21)</f>
        <v>1295.79</v>
      </c>
      <c r="AO22" s="62">
        <f t="shared" si="18"/>
        <v>1259.29</v>
      </c>
      <c r="AP22" s="62">
        <f t="shared" si="18"/>
        <v>1276.29</v>
      </c>
      <c r="AQ22" s="62">
        <f t="shared" si="18"/>
        <v>1278.9900000000002</v>
      </c>
      <c r="AR22" s="62">
        <f t="shared" si="18"/>
        <v>1342.69</v>
      </c>
      <c r="AS22" s="62">
        <f t="shared" si="18"/>
        <v>1463.79</v>
      </c>
      <c r="AT22" s="62">
        <f t="shared" si="18"/>
        <v>1656.19</v>
      </c>
      <c r="AU22" s="62">
        <f t="shared" si="18"/>
        <v>1822.2899999999997</v>
      </c>
      <c r="AV22" s="62">
        <f t="shared" si="18"/>
        <v>1567.59</v>
      </c>
      <c r="AW22" s="62">
        <f t="shared" si="18"/>
        <v>1559.2900000000002</v>
      </c>
      <c r="AX22" s="62">
        <f t="shared" si="18"/>
        <v>1389.99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5.5</v>
      </c>
      <c r="C23" s="46">
        <v>5.5</v>
      </c>
      <c r="D23" s="46">
        <v>5.5</v>
      </c>
      <c r="E23" s="46">
        <v>5.5</v>
      </c>
      <c r="F23" s="46">
        <v>5.5</v>
      </c>
      <c r="G23" s="46">
        <v>5.5</v>
      </c>
      <c r="H23" s="46">
        <v>5.5</v>
      </c>
      <c r="I23" s="46">
        <v>5.5</v>
      </c>
      <c r="J23" s="46">
        <v>5.5</v>
      </c>
      <c r="K23" s="46">
        <v>5.5</v>
      </c>
      <c r="L23" s="46">
        <v>5.5</v>
      </c>
      <c r="M23" s="46">
        <v>5.5</v>
      </c>
      <c r="N23" s="46">
        <v>5.5</v>
      </c>
      <c r="O23" s="46">
        <v>5.5</v>
      </c>
      <c r="P23" s="46">
        <v>5.5</v>
      </c>
      <c r="Q23" s="46">
        <v>5.5</v>
      </c>
      <c r="R23" s="46">
        <v>5.5</v>
      </c>
      <c r="S23" s="46">
        <v>5.5</v>
      </c>
      <c r="T23" s="46">
        <v>5.5</v>
      </c>
      <c r="U23" s="46">
        <v>5.5</v>
      </c>
      <c r="V23" s="46">
        <v>5.5</v>
      </c>
      <c r="W23" s="46">
        <v>5.5</v>
      </c>
      <c r="X23" s="46">
        <v>5.5</v>
      </c>
      <c r="Y23" s="46">
        <v>5.5</v>
      </c>
      <c r="Z23" s="46">
        <v>5.5</v>
      </c>
      <c r="AA23" s="46">
        <v>5.5</v>
      </c>
      <c r="AB23" s="46">
        <v>5.5</v>
      </c>
      <c r="AC23" s="46">
        <v>5.5</v>
      </c>
      <c r="AD23" s="46">
        <v>5.5</v>
      </c>
      <c r="AE23" s="46">
        <v>5.5</v>
      </c>
      <c r="AF23" s="46">
        <v>5.5</v>
      </c>
      <c r="AG23" s="50">
        <v>24.2</v>
      </c>
      <c r="AH23" s="48">
        <f t="shared" si="8"/>
        <v>5.5</v>
      </c>
      <c r="AI23" s="49">
        <f t="shared" si="9"/>
        <v>5.5</v>
      </c>
      <c r="AK23" s="51"/>
      <c r="AL23" s="61" t="s">
        <v>39</v>
      </c>
      <c r="AM23" s="62">
        <f>B107*-1</f>
        <v>0</v>
      </c>
      <c r="AN23" s="62">
        <f t="shared" ref="AN23:AR23" si="19">C107*-1</f>
        <v>0</v>
      </c>
      <c r="AO23" s="62">
        <f t="shared" si="19"/>
        <v>0</v>
      </c>
      <c r="AP23" s="62">
        <f t="shared" si="19"/>
        <v>0</v>
      </c>
      <c r="AQ23" s="62">
        <f t="shared" si="19"/>
        <v>0</v>
      </c>
      <c r="AR23" s="62">
        <f t="shared" si="19"/>
        <v>0</v>
      </c>
      <c r="AS23" s="62">
        <f>I107*-1</f>
        <v>0</v>
      </c>
      <c r="AT23" s="62">
        <f>K107*-1</f>
        <v>0</v>
      </c>
      <c r="AU23" s="62">
        <f t="shared" ref="AU23:AX23" si="20">M107*-1</f>
        <v>0</v>
      </c>
      <c r="AV23" s="62">
        <f t="shared" si="20"/>
        <v>0</v>
      </c>
      <c r="AW23" s="62">
        <f t="shared" si="20"/>
        <v>0</v>
      </c>
      <c r="AX23" s="62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7.4</v>
      </c>
      <c r="C24" s="46">
        <v>7.4</v>
      </c>
      <c r="D24" s="46">
        <v>7.4</v>
      </c>
      <c r="E24" s="46">
        <v>7.4</v>
      </c>
      <c r="F24" s="46">
        <v>7.4</v>
      </c>
      <c r="G24" s="46">
        <v>7.4</v>
      </c>
      <c r="H24" s="46">
        <v>7.4</v>
      </c>
      <c r="I24" s="46">
        <v>7.4</v>
      </c>
      <c r="J24" s="46">
        <v>7.4</v>
      </c>
      <c r="K24" s="46">
        <v>7.4</v>
      </c>
      <c r="L24" s="46">
        <v>7.4</v>
      </c>
      <c r="M24" s="46">
        <v>7.4</v>
      </c>
      <c r="N24" s="46">
        <v>7.4</v>
      </c>
      <c r="O24" s="46">
        <v>7.4</v>
      </c>
      <c r="P24" s="46">
        <v>7.4</v>
      </c>
      <c r="Q24" s="46">
        <v>7.4</v>
      </c>
      <c r="R24" s="46">
        <v>7.4</v>
      </c>
      <c r="S24" s="46">
        <v>7.4</v>
      </c>
      <c r="T24" s="46">
        <v>7.4</v>
      </c>
      <c r="U24" s="46">
        <v>7.4</v>
      </c>
      <c r="V24" s="46">
        <v>7.4</v>
      </c>
      <c r="W24" s="46">
        <v>7.4</v>
      </c>
      <c r="X24" s="46">
        <v>7.4</v>
      </c>
      <c r="Y24" s="46">
        <v>7.4</v>
      </c>
      <c r="Z24" s="46">
        <v>7.4</v>
      </c>
      <c r="AA24" s="46">
        <v>7.4</v>
      </c>
      <c r="AB24" s="46">
        <v>7.4</v>
      </c>
      <c r="AC24" s="46">
        <v>7.4</v>
      </c>
      <c r="AD24" s="46">
        <v>7.4</v>
      </c>
      <c r="AE24" s="46">
        <v>7.4</v>
      </c>
      <c r="AF24" s="46">
        <v>7.4</v>
      </c>
      <c r="AG24" s="50">
        <v>28</v>
      </c>
      <c r="AH24" s="48">
        <f t="shared" si="8"/>
        <v>7.4</v>
      </c>
      <c r="AI24" s="49">
        <f t="shared" si="9"/>
        <v>7.4</v>
      </c>
      <c r="AK24" s="51"/>
      <c r="AL24" s="61" t="s">
        <v>41</v>
      </c>
      <c r="AM24" s="62">
        <f>AM22+AM23</f>
        <v>1314.0900000000001</v>
      </c>
      <c r="AN24" s="62">
        <f t="shared" ref="AN24:AX24" si="21">AN22+AN23</f>
        <v>1295.79</v>
      </c>
      <c r="AO24" s="62">
        <f t="shared" si="21"/>
        <v>1259.29</v>
      </c>
      <c r="AP24" s="62">
        <f t="shared" si="21"/>
        <v>1276.29</v>
      </c>
      <c r="AQ24" s="62">
        <f t="shared" si="21"/>
        <v>1278.9900000000002</v>
      </c>
      <c r="AR24" s="62">
        <f t="shared" si="21"/>
        <v>1342.69</v>
      </c>
      <c r="AS24" s="62">
        <f t="shared" si="21"/>
        <v>1463.79</v>
      </c>
      <c r="AT24" s="62">
        <f t="shared" si="21"/>
        <v>1656.19</v>
      </c>
      <c r="AU24" s="62">
        <f t="shared" si="21"/>
        <v>1822.2899999999997</v>
      </c>
      <c r="AV24" s="62">
        <f t="shared" si="21"/>
        <v>1567.59</v>
      </c>
      <c r="AW24" s="62">
        <f t="shared" si="21"/>
        <v>1559.2900000000002</v>
      </c>
      <c r="AX24" s="62">
        <f t="shared" si="21"/>
        <v>1389.99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4.8</v>
      </c>
      <c r="C25" s="46">
        <v>4.8</v>
      </c>
      <c r="D25" s="46">
        <v>4.8</v>
      </c>
      <c r="E25" s="46">
        <v>4.8</v>
      </c>
      <c r="F25" s="46">
        <v>4.8</v>
      </c>
      <c r="G25" s="46">
        <v>4.8</v>
      </c>
      <c r="H25" s="46">
        <v>4.8</v>
      </c>
      <c r="I25" s="46">
        <v>4.8</v>
      </c>
      <c r="J25" s="46">
        <v>4.8</v>
      </c>
      <c r="K25" s="46">
        <v>4.8</v>
      </c>
      <c r="L25" s="46">
        <v>4.8</v>
      </c>
      <c r="M25" s="46">
        <v>4.8</v>
      </c>
      <c r="N25" s="46">
        <v>4.8</v>
      </c>
      <c r="O25" s="46">
        <v>4.8</v>
      </c>
      <c r="P25" s="46">
        <v>4.8</v>
      </c>
      <c r="Q25" s="46">
        <v>4.8</v>
      </c>
      <c r="R25" s="46">
        <v>4.8</v>
      </c>
      <c r="S25" s="46">
        <v>4.8</v>
      </c>
      <c r="T25" s="46">
        <v>4.8</v>
      </c>
      <c r="U25" s="46">
        <v>4.8</v>
      </c>
      <c r="V25" s="46">
        <v>4.8</v>
      </c>
      <c r="W25" s="46">
        <v>4.8</v>
      </c>
      <c r="X25" s="46">
        <v>4.8</v>
      </c>
      <c r="Y25" s="46">
        <v>4.8</v>
      </c>
      <c r="Z25" s="46">
        <v>4.8</v>
      </c>
      <c r="AA25" s="46">
        <v>4.8</v>
      </c>
      <c r="AB25" s="46">
        <v>4.8</v>
      </c>
      <c r="AC25" s="46">
        <v>4.8</v>
      </c>
      <c r="AD25" s="46">
        <v>4.8</v>
      </c>
      <c r="AE25" s="46">
        <v>4.8</v>
      </c>
      <c r="AF25" s="46">
        <v>4.8</v>
      </c>
      <c r="AG25" s="60">
        <v>30</v>
      </c>
      <c r="AH25" s="48">
        <f t="shared" si="8"/>
        <v>4.8</v>
      </c>
      <c r="AI25" s="49">
        <f t="shared" si="9"/>
        <v>4.8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8.6</v>
      </c>
      <c r="C26" s="46">
        <v>8.6</v>
      </c>
      <c r="D26" s="46">
        <v>8.6</v>
      </c>
      <c r="E26" s="46">
        <v>8.6</v>
      </c>
      <c r="F26" s="46">
        <v>8.6</v>
      </c>
      <c r="G26" s="46">
        <v>8.6</v>
      </c>
      <c r="H26" s="46">
        <v>8.6</v>
      </c>
      <c r="I26" s="46">
        <v>8.6</v>
      </c>
      <c r="J26" s="46">
        <v>8.6</v>
      </c>
      <c r="K26" s="46">
        <v>8.6</v>
      </c>
      <c r="L26" s="46">
        <v>8.6</v>
      </c>
      <c r="M26" s="46">
        <v>8.6</v>
      </c>
      <c r="N26" s="46">
        <v>8.6</v>
      </c>
      <c r="O26" s="46">
        <v>8.6</v>
      </c>
      <c r="P26" s="46">
        <v>8.6</v>
      </c>
      <c r="Q26" s="46">
        <v>8.6</v>
      </c>
      <c r="R26" s="46">
        <v>8.6</v>
      </c>
      <c r="S26" s="46">
        <v>8.6</v>
      </c>
      <c r="T26" s="46">
        <v>8.6</v>
      </c>
      <c r="U26" s="46">
        <v>8.6</v>
      </c>
      <c r="V26" s="46">
        <v>8.6</v>
      </c>
      <c r="W26" s="46">
        <v>8.6</v>
      </c>
      <c r="X26" s="46">
        <v>8.6</v>
      </c>
      <c r="Y26" s="46">
        <v>8.6</v>
      </c>
      <c r="Z26" s="46">
        <v>8.6</v>
      </c>
      <c r="AA26" s="46">
        <v>8.6</v>
      </c>
      <c r="AB26" s="46">
        <v>8.6</v>
      </c>
      <c r="AC26" s="46">
        <v>8.6</v>
      </c>
      <c r="AD26" s="46">
        <v>8.6</v>
      </c>
      <c r="AE26" s="46">
        <v>8.6</v>
      </c>
      <c r="AF26" s="46">
        <v>8.6</v>
      </c>
      <c r="AG26" s="50">
        <v>25</v>
      </c>
      <c r="AH26" s="48">
        <f t="shared" si="8"/>
        <v>8.6</v>
      </c>
      <c r="AI26" s="49">
        <f t="shared" si="9"/>
        <v>8.6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5</v>
      </c>
      <c r="N27" s="46">
        <v>5</v>
      </c>
      <c r="O27" s="46">
        <v>5</v>
      </c>
      <c r="P27" s="46">
        <v>5</v>
      </c>
      <c r="Q27" s="46">
        <v>5</v>
      </c>
      <c r="R27" s="46">
        <v>5</v>
      </c>
      <c r="S27" s="46">
        <v>5</v>
      </c>
      <c r="T27" s="46">
        <v>5</v>
      </c>
      <c r="U27" s="46">
        <v>5</v>
      </c>
      <c r="V27" s="46">
        <v>5</v>
      </c>
      <c r="W27" s="46">
        <v>5</v>
      </c>
      <c r="X27" s="46">
        <v>5</v>
      </c>
      <c r="Y27" s="46">
        <v>5</v>
      </c>
      <c r="Z27" s="46">
        <v>5</v>
      </c>
      <c r="AA27" s="46">
        <v>5</v>
      </c>
      <c r="AB27" s="46">
        <v>5</v>
      </c>
      <c r="AC27" s="46">
        <v>5</v>
      </c>
      <c r="AD27" s="46">
        <v>5</v>
      </c>
      <c r="AE27" s="46">
        <v>5</v>
      </c>
      <c r="AF27" s="46">
        <v>5</v>
      </c>
      <c r="AG27" s="50">
        <v>25</v>
      </c>
      <c r="AH27" s="48">
        <f t="shared" si="8"/>
        <v>5</v>
      </c>
      <c r="AI27" s="49">
        <f t="shared" si="9"/>
        <v>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6</v>
      </c>
      <c r="C28" s="46">
        <v>6</v>
      </c>
      <c r="D28" s="46">
        <v>6</v>
      </c>
      <c r="E28" s="46">
        <v>6</v>
      </c>
      <c r="F28" s="46">
        <v>6</v>
      </c>
      <c r="G28" s="46">
        <v>6</v>
      </c>
      <c r="H28" s="46">
        <v>6</v>
      </c>
      <c r="I28" s="46">
        <v>6</v>
      </c>
      <c r="J28" s="46">
        <v>6</v>
      </c>
      <c r="K28" s="46">
        <v>6</v>
      </c>
      <c r="L28" s="46">
        <v>6</v>
      </c>
      <c r="M28" s="46">
        <v>6</v>
      </c>
      <c r="N28" s="46">
        <v>6</v>
      </c>
      <c r="O28" s="46">
        <v>6</v>
      </c>
      <c r="P28" s="46">
        <v>6</v>
      </c>
      <c r="Q28" s="46">
        <v>6</v>
      </c>
      <c r="R28" s="46">
        <v>6</v>
      </c>
      <c r="S28" s="46">
        <v>6</v>
      </c>
      <c r="T28" s="46">
        <v>6</v>
      </c>
      <c r="U28" s="46">
        <v>6</v>
      </c>
      <c r="V28" s="46">
        <v>6</v>
      </c>
      <c r="W28" s="46">
        <v>6</v>
      </c>
      <c r="X28" s="46">
        <v>6</v>
      </c>
      <c r="Y28" s="46">
        <v>6</v>
      </c>
      <c r="Z28" s="46">
        <v>6</v>
      </c>
      <c r="AA28" s="46">
        <v>6</v>
      </c>
      <c r="AB28" s="46">
        <v>6</v>
      </c>
      <c r="AC28" s="46">
        <v>6</v>
      </c>
      <c r="AD28" s="46">
        <v>6</v>
      </c>
      <c r="AE28" s="46">
        <v>6</v>
      </c>
      <c r="AF28" s="46">
        <v>6</v>
      </c>
      <c r="AG28" s="50">
        <v>25</v>
      </c>
      <c r="AH28" s="48">
        <f t="shared" si="8"/>
        <v>6</v>
      </c>
      <c r="AI28" s="49">
        <f t="shared" si="9"/>
        <v>6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6.4</v>
      </c>
      <c r="C29" s="46">
        <v>6.4</v>
      </c>
      <c r="D29" s="46">
        <v>6.4</v>
      </c>
      <c r="E29" s="46">
        <v>6.4</v>
      </c>
      <c r="F29" s="46">
        <v>6.4</v>
      </c>
      <c r="G29" s="46">
        <v>6.4</v>
      </c>
      <c r="H29" s="46">
        <v>6.4</v>
      </c>
      <c r="I29" s="46">
        <v>6.4</v>
      </c>
      <c r="J29" s="46">
        <v>6.4</v>
      </c>
      <c r="K29" s="46">
        <v>6.4</v>
      </c>
      <c r="L29" s="46">
        <v>6.4</v>
      </c>
      <c r="M29" s="46">
        <v>6.4</v>
      </c>
      <c r="N29" s="46">
        <v>6.4</v>
      </c>
      <c r="O29" s="46">
        <v>6.4</v>
      </c>
      <c r="P29" s="46">
        <v>6.4</v>
      </c>
      <c r="Q29" s="46">
        <v>6.4</v>
      </c>
      <c r="R29" s="46">
        <v>6.4</v>
      </c>
      <c r="S29" s="46">
        <v>6.4</v>
      </c>
      <c r="T29" s="46">
        <v>6.4</v>
      </c>
      <c r="U29" s="46">
        <v>6.4</v>
      </c>
      <c r="V29" s="46">
        <v>6.4</v>
      </c>
      <c r="W29" s="46">
        <v>6.4</v>
      </c>
      <c r="X29" s="46">
        <v>6.4</v>
      </c>
      <c r="Y29" s="46">
        <v>6.4</v>
      </c>
      <c r="Z29" s="46">
        <v>6.4</v>
      </c>
      <c r="AA29" s="46">
        <v>6.4</v>
      </c>
      <c r="AB29" s="46">
        <v>6.4</v>
      </c>
      <c r="AC29" s="46">
        <v>6.4</v>
      </c>
      <c r="AD29" s="46">
        <v>6.4</v>
      </c>
      <c r="AE29" s="46">
        <v>6.4</v>
      </c>
      <c r="AF29" s="46">
        <v>6.4</v>
      </c>
      <c r="AG29" s="50">
        <v>25</v>
      </c>
      <c r="AH29" s="48">
        <f t="shared" si="8"/>
        <v>6.4</v>
      </c>
      <c r="AI29" s="49">
        <f t="shared" si="9"/>
        <v>6.4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6.6</v>
      </c>
      <c r="C30" s="46">
        <v>6.6</v>
      </c>
      <c r="D30" s="46">
        <v>6.6</v>
      </c>
      <c r="E30" s="46">
        <v>6.6</v>
      </c>
      <c r="F30" s="46">
        <v>6.6</v>
      </c>
      <c r="G30" s="46">
        <v>6.6</v>
      </c>
      <c r="H30" s="46">
        <v>6.6</v>
      </c>
      <c r="I30" s="46">
        <v>6.6</v>
      </c>
      <c r="J30" s="46">
        <v>6.6</v>
      </c>
      <c r="K30" s="46">
        <v>6.6</v>
      </c>
      <c r="L30" s="46">
        <v>6.6</v>
      </c>
      <c r="M30" s="46">
        <v>6.6</v>
      </c>
      <c r="N30" s="46">
        <v>6.6</v>
      </c>
      <c r="O30" s="46">
        <v>6.6</v>
      </c>
      <c r="P30" s="46">
        <v>6.6</v>
      </c>
      <c r="Q30" s="46">
        <v>6.6</v>
      </c>
      <c r="R30" s="46">
        <v>6.6</v>
      </c>
      <c r="S30" s="46">
        <v>6.6</v>
      </c>
      <c r="T30" s="46">
        <v>6.6</v>
      </c>
      <c r="U30" s="46">
        <v>6.6</v>
      </c>
      <c r="V30" s="46">
        <v>6.6</v>
      </c>
      <c r="W30" s="46">
        <v>6.6</v>
      </c>
      <c r="X30" s="46">
        <v>6.6</v>
      </c>
      <c r="Y30" s="46">
        <v>6.6</v>
      </c>
      <c r="Z30" s="46">
        <v>6.6</v>
      </c>
      <c r="AA30" s="46">
        <v>6.6</v>
      </c>
      <c r="AB30" s="46">
        <v>6.6</v>
      </c>
      <c r="AC30" s="46">
        <v>6.6</v>
      </c>
      <c r="AD30" s="46">
        <v>6.6</v>
      </c>
      <c r="AE30" s="46">
        <v>6.6</v>
      </c>
      <c r="AF30" s="46">
        <v>6.6</v>
      </c>
      <c r="AG30" s="50">
        <v>23.5</v>
      </c>
      <c r="AH30" s="48">
        <f t="shared" si="8"/>
        <v>6.6</v>
      </c>
      <c r="AI30" s="49">
        <f t="shared" si="9"/>
        <v>6.6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>
        <v>3</v>
      </c>
      <c r="V31" s="46">
        <v>3</v>
      </c>
      <c r="W31" s="46">
        <v>3</v>
      </c>
      <c r="X31" s="46">
        <v>3</v>
      </c>
      <c r="Y31" s="46">
        <v>3</v>
      </c>
      <c r="Z31" s="46">
        <v>3</v>
      </c>
      <c r="AA31" s="46">
        <v>3</v>
      </c>
      <c r="AB31" s="46">
        <v>3</v>
      </c>
      <c r="AC31" s="46">
        <v>3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8"/>
        <v>3</v>
      </c>
      <c r="AI31" s="49">
        <f t="shared" si="9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5.5</v>
      </c>
      <c r="Q32" s="46">
        <v>5.5</v>
      </c>
      <c r="R32" s="46">
        <v>5.5</v>
      </c>
      <c r="S32" s="46">
        <v>5.5</v>
      </c>
      <c r="T32" s="46">
        <v>5.5</v>
      </c>
      <c r="U32" s="46">
        <v>5.5</v>
      </c>
      <c r="V32" s="46">
        <v>5.5</v>
      </c>
      <c r="W32" s="46">
        <v>5.5</v>
      </c>
      <c r="X32" s="46">
        <v>5.5</v>
      </c>
      <c r="Y32" s="46">
        <v>5.5</v>
      </c>
      <c r="Z32" s="46">
        <v>5.5</v>
      </c>
      <c r="AA32" s="46">
        <v>5.5</v>
      </c>
      <c r="AB32" s="46">
        <v>5.5</v>
      </c>
      <c r="AC32" s="46">
        <v>5.5</v>
      </c>
      <c r="AD32" s="46">
        <v>5.5</v>
      </c>
      <c r="AE32" s="46">
        <v>5.5</v>
      </c>
      <c r="AF32" s="46">
        <v>5.5</v>
      </c>
      <c r="AG32" s="50">
        <v>22.1</v>
      </c>
      <c r="AH32" s="48">
        <f t="shared" si="8"/>
        <v>5.5</v>
      </c>
      <c r="AI32" s="49">
        <f t="shared" si="9"/>
        <v>5.5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6</v>
      </c>
      <c r="C33" s="46">
        <v>6</v>
      </c>
      <c r="D33" s="46">
        <v>6</v>
      </c>
      <c r="E33" s="46">
        <v>6</v>
      </c>
      <c r="F33" s="46">
        <v>6</v>
      </c>
      <c r="G33" s="46">
        <v>6</v>
      </c>
      <c r="H33" s="46">
        <v>6</v>
      </c>
      <c r="I33" s="46">
        <v>6</v>
      </c>
      <c r="J33" s="46">
        <v>6</v>
      </c>
      <c r="K33" s="46">
        <v>6</v>
      </c>
      <c r="L33" s="46">
        <v>6</v>
      </c>
      <c r="M33" s="46">
        <v>6</v>
      </c>
      <c r="N33" s="46">
        <v>6</v>
      </c>
      <c r="O33" s="46">
        <v>6</v>
      </c>
      <c r="P33" s="46">
        <v>6</v>
      </c>
      <c r="Q33" s="46">
        <v>6</v>
      </c>
      <c r="R33" s="46">
        <v>6</v>
      </c>
      <c r="S33" s="46">
        <v>6</v>
      </c>
      <c r="T33" s="46">
        <v>6</v>
      </c>
      <c r="U33" s="46">
        <v>6</v>
      </c>
      <c r="V33" s="46">
        <v>6</v>
      </c>
      <c r="W33" s="46">
        <v>6</v>
      </c>
      <c r="X33" s="46">
        <v>6</v>
      </c>
      <c r="Y33" s="46">
        <v>6</v>
      </c>
      <c r="Z33" s="46">
        <v>6</v>
      </c>
      <c r="AA33" s="46">
        <v>6</v>
      </c>
      <c r="AB33" s="46">
        <v>6</v>
      </c>
      <c r="AC33" s="46">
        <v>6</v>
      </c>
      <c r="AD33" s="46">
        <v>6</v>
      </c>
      <c r="AE33" s="46">
        <v>6</v>
      </c>
      <c r="AF33" s="46">
        <v>6</v>
      </c>
      <c r="AG33" s="50">
        <v>22</v>
      </c>
      <c r="AH33" s="48">
        <f t="shared" si="8"/>
        <v>6</v>
      </c>
      <c r="AI33" s="49">
        <f t="shared" si="9"/>
        <v>6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9.9</v>
      </c>
      <c r="C34" s="46">
        <v>9.9</v>
      </c>
      <c r="D34" s="46">
        <v>9.9</v>
      </c>
      <c r="E34" s="46">
        <v>9.9</v>
      </c>
      <c r="F34" s="46">
        <v>9.9</v>
      </c>
      <c r="G34" s="46">
        <v>9.9</v>
      </c>
      <c r="H34" s="46">
        <v>9.9</v>
      </c>
      <c r="I34" s="46">
        <v>9.9</v>
      </c>
      <c r="J34" s="46">
        <v>9.9</v>
      </c>
      <c r="K34" s="46">
        <v>9.9</v>
      </c>
      <c r="L34" s="46">
        <v>9.9</v>
      </c>
      <c r="M34" s="46">
        <v>9.9</v>
      </c>
      <c r="N34" s="46">
        <v>9.9</v>
      </c>
      <c r="O34" s="46">
        <v>9.9</v>
      </c>
      <c r="P34" s="46">
        <v>9.9</v>
      </c>
      <c r="Q34" s="46">
        <v>9.9</v>
      </c>
      <c r="R34" s="46">
        <v>9.9</v>
      </c>
      <c r="S34" s="46">
        <v>9.9</v>
      </c>
      <c r="T34" s="46">
        <v>9.9</v>
      </c>
      <c r="U34" s="46">
        <v>9.9</v>
      </c>
      <c r="V34" s="46">
        <v>9.9</v>
      </c>
      <c r="W34" s="46">
        <v>9.9</v>
      </c>
      <c r="X34" s="46">
        <v>9.9</v>
      </c>
      <c r="Y34" s="46">
        <v>9.9</v>
      </c>
      <c r="Z34" s="46">
        <v>9.9</v>
      </c>
      <c r="AA34" s="46">
        <v>9.9</v>
      </c>
      <c r="AB34" s="46">
        <v>9.9</v>
      </c>
      <c r="AC34" s="46">
        <v>9.9</v>
      </c>
      <c r="AD34" s="46">
        <v>9.9</v>
      </c>
      <c r="AE34" s="46">
        <v>9.9</v>
      </c>
      <c r="AF34" s="46">
        <v>9.9</v>
      </c>
      <c r="AG34" s="50">
        <v>22</v>
      </c>
      <c r="AH34" s="48">
        <f t="shared" si="8"/>
        <v>9.9</v>
      </c>
      <c r="AI34" s="49">
        <f t="shared" si="9"/>
        <v>9.9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8"/>
        <v>4</v>
      </c>
      <c r="AI35" s="49">
        <f t="shared" si="9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>
        <v>4</v>
      </c>
      <c r="V36" s="46">
        <v>4</v>
      </c>
      <c r="W36" s="46">
        <v>4</v>
      </c>
      <c r="X36" s="46">
        <v>4</v>
      </c>
      <c r="Y36" s="46">
        <v>4</v>
      </c>
      <c r="Z36" s="46">
        <v>4</v>
      </c>
      <c r="AA36" s="46">
        <v>4</v>
      </c>
      <c r="AB36" s="46">
        <v>4</v>
      </c>
      <c r="AC36" s="46">
        <v>4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8"/>
        <v>4</v>
      </c>
      <c r="AI36" s="49">
        <f t="shared" si="9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>
        <v>5.7</v>
      </c>
      <c r="V37" s="46">
        <v>5.7</v>
      </c>
      <c r="W37" s="46">
        <v>5.7</v>
      </c>
      <c r="X37" s="46">
        <v>5.7</v>
      </c>
      <c r="Y37" s="46">
        <v>5.7</v>
      </c>
      <c r="Z37" s="46">
        <v>5.7</v>
      </c>
      <c r="AA37" s="46">
        <v>5.7</v>
      </c>
      <c r="AB37" s="46">
        <v>5.7</v>
      </c>
      <c r="AC37" s="46">
        <v>5.7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8"/>
        <v>5.7</v>
      </c>
      <c r="AI37" s="49">
        <f t="shared" si="9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7.2</v>
      </c>
      <c r="Q38" s="46">
        <v>7.2</v>
      </c>
      <c r="R38" s="46">
        <v>7.2</v>
      </c>
      <c r="S38" s="46">
        <v>7.2</v>
      </c>
      <c r="T38" s="46">
        <v>7.2</v>
      </c>
      <c r="U38" s="46">
        <v>7.2</v>
      </c>
      <c r="V38" s="46">
        <v>7.2</v>
      </c>
      <c r="W38" s="46">
        <v>7.2</v>
      </c>
      <c r="X38" s="46">
        <v>7.2</v>
      </c>
      <c r="Y38" s="46">
        <v>7.2</v>
      </c>
      <c r="Z38" s="46">
        <v>7.2</v>
      </c>
      <c r="AA38" s="46">
        <v>7.2</v>
      </c>
      <c r="AB38" s="46">
        <v>7.2</v>
      </c>
      <c r="AC38" s="46">
        <v>7.2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8"/>
        <v>7.2</v>
      </c>
      <c r="AI38" s="49">
        <f t="shared" si="9"/>
        <v>7.2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0</v>
      </c>
      <c r="C40" s="46">
        <v>0</v>
      </c>
      <c r="D40" s="46">
        <v>0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46">
        <v>0</v>
      </c>
      <c r="P40" s="46">
        <v>0</v>
      </c>
      <c r="Q40" s="46">
        <v>0</v>
      </c>
      <c r="R40" s="46">
        <v>0</v>
      </c>
      <c r="S40" s="46">
        <v>0</v>
      </c>
      <c r="T40" s="46">
        <v>0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6">
        <v>0</v>
      </c>
      <c r="AD40" s="46">
        <v>0</v>
      </c>
      <c r="AE40" s="46">
        <v>0</v>
      </c>
      <c r="AF40" s="46">
        <v>0</v>
      </c>
      <c r="AG40" s="50">
        <v>14.9</v>
      </c>
      <c r="AH40" s="48">
        <f t="shared" si="8"/>
        <v>0</v>
      </c>
      <c r="AI40" s="49">
        <f t="shared" si="9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8"/>
        <v>4</v>
      </c>
      <c r="AI41" s="49">
        <f t="shared" si="9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>
        <v>1.8</v>
      </c>
      <c r="V42" s="46">
        <v>1.8</v>
      </c>
      <c r="W42" s="46">
        <v>1.8</v>
      </c>
      <c r="X42" s="46">
        <v>1.8</v>
      </c>
      <c r="Y42" s="46">
        <v>1.8</v>
      </c>
      <c r="Z42" s="46">
        <v>1.8</v>
      </c>
      <c r="AA42" s="46">
        <v>1.8</v>
      </c>
      <c r="AB42" s="46">
        <v>1.8</v>
      </c>
      <c r="AC42" s="46">
        <v>1.8</v>
      </c>
      <c r="AD42" s="46">
        <v>1.8</v>
      </c>
      <c r="AE42" s="46">
        <v>1.8</v>
      </c>
      <c r="AF42" s="46">
        <v>1.8</v>
      </c>
      <c r="AG42" s="50">
        <v>13.6</v>
      </c>
      <c r="AH42" s="48">
        <f t="shared" si="8"/>
        <v>1.8</v>
      </c>
      <c r="AI42" s="49">
        <f t="shared" si="9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>
        <v>3.8</v>
      </c>
      <c r="V43" s="46">
        <v>3.8</v>
      </c>
      <c r="W43" s="46">
        <v>3.8</v>
      </c>
      <c r="X43" s="46">
        <v>3.8</v>
      </c>
      <c r="Y43" s="46">
        <v>3.8</v>
      </c>
      <c r="Z43" s="46">
        <v>3.8</v>
      </c>
      <c r="AA43" s="46">
        <v>3.8</v>
      </c>
      <c r="AB43" s="46">
        <v>3.8</v>
      </c>
      <c r="AC43" s="46">
        <v>3.8</v>
      </c>
      <c r="AD43" s="46">
        <v>3.8</v>
      </c>
      <c r="AE43" s="46">
        <v>3.8</v>
      </c>
      <c r="AF43" s="46">
        <v>3.8</v>
      </c>
      <c r="AG43" s="50">
        <v>13</v>
      </c>
      <c r="AH43" s="48">
        <f t="shared" si="8"/>
        <v>3.8</v>
      </c>
      <c r="AI43" s="49">
        <f t="shared" si="9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2.5</v>
      </c>
      <c r="C44" s="46">
        <v>2.5</v>
      </c>
      <c r="D44" s="46">
        <v>2.5</v>
      </c>
      <c r="E44" s="46">
        <v>2.5</v>
      </c>
      <c r="F44" s="46">
        <v>2.5</v>
      </c>
      <c r="G44" s="46">
        <v>2.5</v>
      </c>
      <c r="H44" s="46">
        <v>2.5</v>
      </c>
      <c r="I44" s="46">
        <v>2.5</v>
      </c>
      <c r="J44" s="46">
        <v>2.5</v>
      </c>
      <c r="K44" s="46">
        <v>2.5</v>
      </c>
      <c r="L44" s="46">
        <v>2.5</v>
      </c>
      <c r="M44" s="46">
        <v>2.5</v>
      </c>
      <c r="N44" s="46">
        <v>2.5</v>
      </c>
      <c r="O44" s="46">
        <v>2.5</v>
      </c>
      <c r="P44" s="46">
        <v>2.5</v>
      </c>
      <c r="Q44" s="46">
        <v>2.5</v>
      </c>
      <c r="R44" s="46">
        <v>2.5</v>
      </c>
      <c r="S44" s="46">
        <v>2.5</v>
      </c>
      <c r="T44" s="46">
        <v>2.5</v>
      </c>
      <c r="U44" s="46">
        <v>2.5</v>
      </c>
      <c r="V44" s="46">
        <v>2.5</v>
      </c>
      <c r="W44" s="46">
        <v>2.5</v>
      </c>
      <c r="X44" s="46">
        <v>2.5</v>
      </c>
      <c r="Y44" s="46">
        <v>2.5</v>
      </c>
      <c r="Z44" s="46">
        <v>2.5</v>
      </c>
      <c r="AA44" s="46">
        <v>2.5</v>
      </c>
      <c r="AB44" s="46">
        <v>2.5</v>
      </c>
      <c r="AC44" s="46">
        <v>2.5</v>
      </c>
      <c r="AD44" s="46">
        <v>2.5</v>
      </c>
      <c r="AE44" s="46">
        <v>2.5</v>
      </c>
      <c r="AF44" s="46">
        <v>2.5</v>
      </c>
      <c r="AG44" s="50">
        <v>12</v>
      </c>
      <c r="AH44" s="48">
        <f t="shared" si="8"/>
        <v>2.5</v>
      </c>
      <c r="AI44" s="49">
        <f t="shared" si="9"/>
        <v>2.5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>
        <v>9</v>
      </c>
      <c r="V45" s="46">
        <v>9</v>
      </c>
      <c r="W45" s="46">
        <v>9</v>
      </c>
      <c r="X45" s="46">
        <v>9</v>
      </c>
      <c r="Y45" s="46">
        <v>9</v>
      </c>
      <c r="Z45" s="46">
        <v>9</v>
      </c>
      <c r="AA45" s="46">
        <v>9</v>
      </c>
      <c r="AB45" s="46">
        <v>9</v>
      </c>
      <c r="AC45" s="46">
        <v>9</v>
      </c>
      <c r="AD45" s="46">
        <v>9</v>
      </c>
      <c r="AE45" s="46">
        <v>9</v>
      </c>
      <c r="AF45" s="46">
        <v>9</v>
      </c>
      <c r="AG45" s="50">
        <v>12</v>
      </c>
      <c r="AH45" s="48">
        <f t="shared" si="8"/>
        <v>9</v>
      </c>
      <c r="AI45" s="49">
        <f t="shared" si="9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>
        <v>3.5</v>
      </c>
      <c r="V47" s="46">
        <v>3.5</v>
      </c>
      <c r="W47" s="46">
        <v>3.5</v>
      </c>
      <c r="X47" s="46">
        <v>3.5</v>
      </c>
      <c r="Y47" s="46">
        <v>3.5</v>
      </c>
      <c r="Z47" s="46">
        <v>3.5</v>
      </c>
      <c r="AA47" s="46">
        <v>3.5</v>
      </c>
      <c r="AB47" s="46">
        <v>3.5</v>
      </c>
      <c r="AC47" s="46">
        <v>3.5</v>
      </c>
      <c r="AD47" s="46">
        <v>3.5</v>
      </c>
      <c r="AE47" s="46">
        <v>3.5</v>
      </c>
      <c r="AF47" s="46">
        <v>3.5</v>
      </c>
      <c r="AG47" s="63">
        <v>22</v>
      </c>
      <c r="AH47" s="48">
        <f t="shared" si="8"/>
        <v>3.5</v>
      </c>
      <c r="AI47" s="49">
        <f t="shared" si="9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>
        <v>5</v>
      </c>
      <c r="V48" s="46">
        <v>5</v>
      </c>
      <c r="W48" s="46">
        <v>5</v>
      </c>
      <c r="X48" s="46">
        <v>5</v>
      </c>
      <c r="Y48" s="46">
        <v>5</v>
      </c>
      <c r="Z48" s="46">
        <v>5</v>
      </c>
      <c r="AA48" s="46">
        <v>5</v>
      </c>
      <c r="AB48" s="46">
        <v>5</v>
      </c>
      <c r="AC48" s="46">
        <v>5</v>
      </c>
      <c r="AD48" s="46">
        <v>5</v>
      </c>
      <c r="AE48" s="46">
        <v>5</v>
      </c>
      <c r="AF48" s="46">
        <v>5</v>
      </c>
      <c r="AG48" s="60">
        <v>11.88</v>
      </c>
      <c r="AH48" s="48">
        <f t="shared" si="8"/>
        <v>5</v>
      </c>
      <c r="AI48" s="49">
        <f t="shared" si="9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5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4" t="s">
        <v>67</v>
      </c>
      <c r="B50" s="46">
        <v>2.4500000000000002</v>
      </c>
      <c r="C50" s="46">
        <v>2.4500000000000002</v>
      </c>
      <c r="D50" s="46">
        <v>2.4500000000000002</v>
      </c>
      <c r="E50" s="46">
        <v>2.4500000000000002</v>
      </c>
      <c r="F50" s="46">
        <v>2.4500000000000002</v>
      </c>
      <c r="G50" s="46">
        <v>2.4500000000000002</v>
      </c>
      <c r="H50" s="46">
        <v>2.4500000000000002</v>
      </c>
      <c r="I50" s="46">
        <v>2.4500000000000002</v>
      </c>
      <c r="J50" s="46">
        <v>2.4500000000000002</v>
      </c>
      <c r="K50" s="46">
        <v>2.4500000000000002</v>
      </c>
      <c r="L50" s="46">
        <v>2.4500000000000002</v>
      </c>
      <c r="M50" s="46">
        <v>2.4500000000000002</v>
      </c>
      <c r="N50" s="46">
        <v>2.4500000000000002</v>
      </c>
      <c r="O50" s="46">
        <v>2.4500000000000002</v>
      </c>
      <c r="P50" s="46">
        <v>2.4500000000000002</v>
      </c>
      <c r="Q50" s="46">
        <v>2.4500000000000002</v>
      </c>
      <c r="R50" s="46">
        <v>2.4500000000000002</v>
      </c>
      <c r="S50" s="46">
        <v>2.4500000000000002</v>
      </c>
      <c r="T50" s="46">
        <v>2.4500000000000002</v>
      </c>
      <c r="U50" s="46">
        <v>2.4500000000000002</v>
      </c>
      <c r="V50" s="46">
        <v>2.4500000000000002</v>
      </c>
      <c r="W50" s="46">
        <v>2.4500000000000002</v>
      </c>
      <c r="X50" s="46">
        <v>2.4500000000000002</v>
      </c>
      <c r="Y50" s="46">
        <v>2.4500000000000002</v>
      </c>
      <c r="Z50" s="46">
        <v>2.4500000000000002</v>
      </c>
      <c r="AA50" s="46">
        <v>2.4500000000000002</v>
      </c>
      <c r="AB50" s="46">
        <v>2.4500000000000002</v>
      </c>
      <c r="AC50" s="46">
        <v>2.4500000000000002</v>
      </c>
      <c r="AD50" s="46">
        <v>2.4500000000000002</v>
      </c>
      <c r="AE50" s="46">
        <v>2.4500000000000002</v>
      </c>
      <c r="AF50" s="46">
        <v>2.4500000000000002</v>
      </c>
      <c r="AG50" s="65">
        <v>11</v>
      </c>
      <c r="AH50" s="48">
        <f t="shared" si="8"/>
        <v>2.4500000000000002</v>
      </c>
      <c r="AI50" s="49">
        <f t="shared" si="9"/>
        <v>2.4500000000000002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65">
        <v>11</v>
      </c>
      <c r="AH51" s="48">
        <f t="shared" si="8"/>
        <v>3</v>
      </c>
      <c r="AI51" s="49">
        <f t="shared" si="9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5">
        <v>10</v>
      </c>
      <c r="AH52" s="48">
        <f t="shared" si="8"/>
        <v>4</v>
      </c>
      <c r="AI52" s="49">
        <f t="shared" si="9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>
        <v>4.5</v>
      </c>
      <c r="V53" s="46">
        <v>4.5</v>
      </c>
      <c r="W53" s="46">
        <v>4.5</v>
      </c>
      <c r="X53" s="46">
        <v>4.5</v>
      </c>
      <c r="Y53" s="46">
        <v>4.5</v>
      </c>
      <c r="Z53" s="46">
        <v>4.5</v>
      </c>
      <c r="AA53" s="46">
        <v>4.5</v>
      </c>
      <c r="AB53" s="46">
        <v>4.5</v>
      </c>
      <c r="AC53" s="46">
        <v>4.5</v>
      </c>
      <c r="AD53" s="46">
        <v>4.5</v>
      </c>
      <c r="AE53" s="46">
        <v>4.5</v>
      </c>
      <c r="AF53" s="46">
        <v>4.5</v>
      </c>
      <c r="AG53" s="65">
        <v>10</v>
      </c>
      <c r="AH53" s="48">
        <f t="shared" si="8"/>
        <v>4.5</v>
      </c>
      <c r="AI53" s="49">
        <f t="shared" si="9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5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5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>
        <v>150</v>
      </c>
      <c r="W56" s="67">
        <v>150</v>
      </c>
      <c r="X56" s="67">
        <v>150</v>
      </c>
      <c r="Y56" s="67">
        <v>150</v>
      </c>
      <c r="Z56" s="67">
        <v>150</v>
      </c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8" t="s">
        <v>74</v>
      </c>
      <c r="B57" s="67">
        <v>17.399999999999999</v>
      </c>
      <c r="C57" s="67">
        <v>17.399999999999999</v>
      </c>
      <c r="D57" s="67">
        <v>17.399999999999999</v>
      </c>
      <c r="E57" s="67">
        <v>17.399999999999999</v>
      </c>
      <c r="F57" s="67">
        <v>17.2</v>
      </c>
      <c r="G57" s="67">
        <v>17.2</v>
      </c>
      <c r="H57" s="67">
        <v>17.2</v>
      </c>
      <c r="I57" s="67">
        <v>17.2</v>
      </c>
      <c r="J57" s="67">
        <v>17.2</v>
      </c>
      <c r="K57" s="67">
        <v>17.2</v>
      </c>
      <c r="L57" s="67">
        <v>17.2</v>
      </c>
      <c r="M57" s="53">
        <f>8+4.1</f>
        <v>12.1</v>
      </c>
      <c r="N57" s="53">
        <f>10.2+4.7</f>
        <v>14.899999999999999</v>
      </c>
      <c r="O57" s="53">
        <f>10.5+4.6</f>
        <v>15.1</v>
      </c>
      <c r="P57" s="53">
        <f>12.9+6.4</f>
        <v>19.3</v>
      </c>
      <c r="Q57" s="53">
        <f>11.3+5.1</f>
        <v>16.399999999999999</v>
      </c>
      <c r="R57" s="53">
        <f t="shared" ref="R57:U57" si="22">11.3+5.1</f>
        <v>16.399999999999999</v>
      </c>
      <c r="S57" s="53">
        <f t="shared" si="22"/>
        <v>16.399999999999999</v>
      </c>
      <c r="T57" s="53">
        <f t="shared" si="22"/>
        <v>16.399999999999999</v>
      </c>
      <c r="U57" s="53">
        <f t="shared" si="22"/>
        <v>16.399999999999999</v>
      </c>
      <c r="V57" s="53">
        <v>15</v>
      </c>
      <c r="W57" s="53">
        <v>15</v>
      </c>
      <c r="X57" s="53">
        <v>15</v>
      </c>
      <c r="Y57" s="53">
        <v>15</v>
      </c>
      <c r="Z57" s="53">
        <v>15</v>
      </c>
      <c r="AA57" s="53">
        <v>11</v>
      </c>
      <c r="AB57" s="53">
        <v>11</v>
      </c>
      <c r="AC57" s="53">
        <v>11</v>
      </c>
      <c r="AD57" s="53">
        <v>11</v>
      </c>
      <c r="AE57" s="53">
        <v>11</v>
      </c>
      <c r="AF57" s="53">
        <v>11</v>
      </c>
      <c r="AG57" s="65">
        <v>240</v>
      </c>
      <c r="AH57" s="48">
        <f t="shared" si="8"/>
        <v>19.3</v>
      </c>
      <c r="AI57" s="49">
        <f t="shared" si="9"/>
        <v>11</v>
      </c>
      <c r="AK57" s="51"/>
    </row>
    <row r="58" spans="1:88" ht="15.75" thickBot="1" x14ac:dyDescent="0.3">
      <c r="A58" s="69" t="s">
        <v>75</v>
      </c>
      <c r="B58" s="70">
        <f t="shared" ref="B58:AA58" si="23">SUM(B11:B56)</f>
        <v>456.25000000000006</v>
      </c>
      <c r="C58" s="70">
        <f t="shared" si="23"/>
        <v>456.25000000000006</v>
      </c>
      <c r="D58" s="70">
        <f t="shared" si="23"/>
        <v>456.25000000000006</v>
      </c>
      <c r="E58" s="70">
        <f t="shared" si="23"/>
        <v>456.25000000000006</v>
      </c>
      <c r="F58" s="70">
        <f t="shared" si="23"/>
        <v>456.25000000000006</v>
      </c>
      <c r="G58" s="70">
        <f t="shared" si="23"/>
        <v>456.25000000000006</v>
      </c>
      <c r="H58" s="70">
        <f t="shared" si="23"/>
        <v>456.25000000000006</v>
      </c>
      <c r="I58" s="70">
        <f t="shared" si="23"/>
        <v>456.25000000000006</v>
      </c>
      <c r="J58" s="70">
        <f t="shared" si="23"/>
        <v>456.25000000000006</v>
      </c>
      <c r="K58" s="70">
        <f t="shared" si="23"/>
        <v>456.25000000000006</v>
      </c>
      <c r="L58" s="70">
        <f t="shared" si="23"/>
        <v>456.25000000000006</v>
      </c>
      <c r="M58" s="70">
        <f t="shared" si="23"/>
        <v>455.75000000000006</v>
      </c>
      <c r="N58" s="70">
        <f t="shared" si="23"/>
        <v>455.75000000000006</v>
      </c>
      <c r="O58" s="70">
        <f t="shared" si="23"/>
        <v>456.65000000000003</v>
      </c>
      <c r="P58" s="70">
        <f t="shared" si="23"/>
        <v>455.75000000000006</v>
      </c>
      <c r="Q58" s="70">
        <f t="shared" si="23"/>
        <v>455.95000000000005</v>
      </c>
      <c r="R58" s="70">
        <f t="shared" si="23"/>
        <v>455.95000000000005</v>
      </c>
      <c r="S58" s="70">
        <f t="shared" si="23"/>
        <v>455.95000000000005</v>
      </c>
      <c r="T58" s="70">
        <f t="shared" si="23"/>
        <v>455.95000000000005</v>
      </c>
      <c r="U58" s="70">
        <f t="shared" si="23"/>
        <v>455.95000000000005</v>
      </c>
      <c r="V58" s="70">
        <f t="shared" si="23"/>
        <v>455.95000000000005</v>
      </c>
      <c r="W58" s="70">
        <f t="shared" ref="W58:X58" si="24">SUM(W11:W56)</f>
        <v>455.95000000000005</v>
      </c>
      <c r="X58" s="70">
        <f t="shared" si="24"/>
        <v>455.95000000000005</v>
      </c>
      <c r="Y58" s="70">
        <f t="shared" si="23"/>
        <v>455.95000000000005</v>
      </c>
      <c r="Z58" s="70">
        <f t="shared" si="23"/>
        <v>455.95000000000005</v>
      </c>
      <c r="AA58" s="70">
        <f t="shared" si="23"/>
        <v>455.95000000000005</v>
      </c>
      <c r="AB58" s="70">
        <f t="shared" ref="AB58:AC58" si="25">SUM(AB11:AB56)</f>
        <v>455.95000000000005</v>
      </c>
      <c r="AC58" s="70">
        <f t="shared" si="25"/>
        <v>455.95000000000005</v>
      </c>
      <c r="AD58" s="70">
        <f t="shared" ref="AD58:AE58" si="26">SUM(AD11:AD56)</f>
        <v>455.95000000000005</v>
      </c>
      <c r="AE58" s="70">
        <f t="shared" si="26"/>
        <v>455.95000000000005</v>
      </c>
      <c r="AF58" s="70">
        <f t="shared" ref="AF58" si="27">SUM(AF11:AF56)</f>
        <v>455.95000000000005</v>
      </c>
      <c r="AG58" s="71">
        <f>SUM(AG14:AG56)</f>
        <v>1042.4000000000001</v>
      </c>
      <c r="AH58" s="48">
        <f t="shared" si="8"/>
        <v>456.65000000000003</v>
      </c>
      <c r="AI58" s="49">
        <f t="shared" si="9"/>
        <v>455.75000000000006</v>
      </c>
      <c r="AK58" s="51"/>
    </row>
    <row r="59" spans="1:88" x14ac:dyDescent="0.25">
      <c r="A59" s="72" t="s">
        <v>76</v>
      </c>
      <c r="B59" s="46">
        <v>70</v>
      </c>
      <c r="C59" s="46">
        <v>0</v>
      </c>
      <c r="D59" s="46">
        <v>0</v>
      </c>
      <c r="E59" s="46">
        <v>0</v>
      </c>
      <c r="F59" s="46">
        <v>0</v>
      </c>
      <c r="G59" s="46">
        <v>0</v>
      </c>
      <c r="H59" s="46">
        <v>0</v>
      </c>
      <c r="I59" s="46">
        <v>0</v>
      </c>
      <c r="J59" s="46">
        <v>75</v>
      </c>
      <c r="K59" s="46">
        <v>150</v>
      </c>
      <c r="L59" s="46">
        <v>130</v>
      </c>
      <c r="M59" s="46">
        <v>181</v>
      </c>
      <c r="N59" s="73">
        <v>60</v>
      </c>
      <c r="O59" s="73">
        <v>30</v>
      </c>
      <c r="P59" s="73">
        <v>30</v>
      </c>
      <c r="Q59" s="73">
        <v>0</v>
      </c>
      <c r="R59" s="73">
        <v>0</v>
      </c>
      <c r="S59" s="73">
        <v>15.1</v>
      </c>
      <c r="T59" s="73">
        <v>15.1</v>
      </c>
      <c r="U59" s="73">
        <v>0</v>
      </c>
      <c r="V59" s="73">
        <v>15</v>
      </c>
      <c r="W59" s="73">
        <v>15</v>
      </c>
      <c r="X59" s="73">
        <v>160</v>
      </c>
      <c r="Y59" s="73">
        <v>233.3</v>
      </c>
      <c r="Z59" s="73">
        <v>181</v>
      </c>
      <c r="AA59" s="73">
        <v>181</v>
      </c>
      <c r="AB59" s="73">
        <v>181</v>
      </c>
      <c r="AC59" s="73">
        <v>150</v>
      </c>
      <c r="AD59" s="73">
        <v>175</v>
      </c>
      <c r="AE59" s="73">
        <v>150.9</v>
      </c>
      <c r="AF59" s="73">
        <v>120</v>
      </c>
      <c r="AG59" s="60">
        <v>456</v>
      </c>
      <c r="AH59" s="48">
        <f t="shared" si="8"/>
        <v>233.3</v>
      </c>
      <c r="AI59" s="49">
        <f t="shared" si="9"/>
        <v>0</v>
      </c>
      <c r="AK59" s="51"/>
    </row>
    <row r="60" spans="1:88" x14ac:dyDescent="0.25">
      <c r="A60" s="74" t="s">
        <v>77</v>
      </c>
      <c r="B60" s="75">
        <v>27</v>
      </c>
      <c r="C60" s="75">
        <v>27</v>
      </c>
      <c r="D60" s="75">
        <v>27</v>
      </c>
      <c r="E60" s="75">
        <v>27</v>
      </c>
      <c r="F60" s="75">
        <v>27</v>
      </c>
      <c r="G60" s="75">
        <v>27</v>
      </c>
      <c r="H60" s="75">
        <v>27</v>
      </c>
      <c r="I60" s="75">
        <v>27</v>
      </c>
      <c r="J60" s="75">
        <v>27</v>
      </c>
      <c r="K60" s="75">
        <v>27</v>
      </c>
      <c r="L60" s="75">
        <v>27</v>
      </c>
      <c r="M60" s="75">
        <v>27</v>
      </c>
      <c r="N60" s="75">
        <v>27</v>
      </c>
      <c r="O60" s="75">
        <v>27</v>
      </c>
      <c r="P60" s="75">
        <v>27</v>
      </c>
      <c r="Q60" s="75">
        <v>27</v>
      </c>
      <c r="R60" s="75">
        <v>27</v>
      </c>
      <c r="S60" s="75">
        <v>27</v>
      </c>
      <c r="T60" s="75">
        <v>27</v>
      </c>
      <c r="U60" s="75">
        <v>27</v>
      </c>
      <c r="V60" s="75">
        <v>27</v>
      </c>
      <c r="W60" s="75">
        <v>27</v>
      </c>
      <c r="X60" s="75">
        <v>27</v>
      </c>
      <c r="Y60" s="75">
        <v>27</v>
      </c>
      <c r="Z60" s="75">
        <v>27</v>
      </c>
      <c r="AA60" s="75">
        <v>27</v>
      </c>
      <c r="AB60" s="75">
        <v>27</v>
      </c>
      <c r="AC60" s="75">
        <v>27</v>
      </c>
      <c r="AD60" s="75">
        <v>27</v>
      </c>
      <c r="AE60" s="75">
        <v>27</v>
      </c>
      <c r="AF60" s="75">
        <v>27</v>
      </c>
      <c r="AG60" s="65">
        <v>60</v>
      </c>
      <c r="AH60" s="48">
        <f t="shared" si="8"/>
        <v>27</v>
      </c>
      <c r="AI60" s="49">
        <f t="shared" si="9"/>
        <v>27</v>
      </c>
      <c r="AK60" s="51"/>
    </row>
    <row r="61" spans="1:88" ht="15.75" thickBot="1" x14ac:dyDescent="0.3">
      <c r="A61" s="76" t="s">
        <v>78</v>
      </c>
      <c r="B61" s="77">
        <v>9.1</v>
      </c>
      <c r="C61" s="77">
        <v>9.1</v>
      </c>
      <c r="D61" s="77">
        <v>9.1</v>
      </c>
      <c r="E61" s="77">
        <v>9.5</v>
      </c>
      <c r="F61" s="77">
        <v>10.1</v>
      </c>
      <c r="G61" s="77">
        <v>10.1</v>
      </c>
      <c r="H61" s="77">
        <v>10.1</v>
      </c>
      <c r="I61" s="77">
        <v>10</v>
      </c>
      <c r="J61" s="77">
        <v>10.1</v>
      </c>
      <c r="K61" s="77">
        <v>10.1</v>
      </c>
      <c r="L61" s="77">
        <v>10</v>
      </c>
      <c r="M61" s="77">
        <v>10</v>
      </c>
      <c r="N61" s="77">
        <v>10</v>
      </c>
      <c r="O61" s="77">
        <v>10</v>
      </c>
      <c r="P61" s="77">
        <v>9.1999999999999993</v>
      </c>
      <c r="Q61" s="77">
        <v>9.1999999999999993</v>
      </c>
      <c r="R61" s="77">
        <v>9.1999999999999993</v>
      </c>
      <c r="S61" s="77">
        <v>9.1999999999999993</v>
      </c>
      <c r="T61" s="77">
        <v>9.1999999999999993</v>
      </c>
      <c r="U61" s="77">
        <v>9.1999999999999993</v>
      </c>
      <c r="V61" s="77">
        <v>9.1999999999999993</v>
      </c>
      <c r="W61" s="77">
        <v>9.1999999999999993</v>
      </c>
      <c r="X61" s="77">
        <v>9.1999999999999993</v>
      </c>
      <c r="Y61" s="77">
        <v>9.1999999999999993</v>
      </c>
      <c r="Z61" s="77">
        <v>9.1999999999999993</v>
      </c>
      <c r="AA61" s="77">
        <v>9.1999999999999993</v>
      </c>
      <c r="AB61" s="77">
        <v>9.1999999999999993</v>
      </c>
      <c r="AC61" s="77">
        <v>9.1999999999999993</v>
      </c>
      <c r="AD61" s="77">
        <v>10.1</v>
      </c>
      <c r="AE61" s="77">
        <v>10.1</v>
      </c>
      <c r="AF61" s="77">
        <v>10.1</v>
      </c>
      <c r="AG61" s="78">
        <v>22.1</v>
      </c>
      <c r="AH61" s="48">
        <f t="shared" si="8"/>
        <v>10.1</v>
      </c>
      <c r="AI61" s="49">
        <f t="shared" si="9"/>
        <v>9.1</v>
      </c>
      <c r="AK61" s="51"/>
    </row>
    <row r="62" spans="1:88" ht="15.75" thickBot="1" x14ac:dyDescent="0.3">
      <c r="A62" s="79" t="s">
        <v>79</v>
      </c>
      <c r="B62" s="70">
        <f t="shared" ref="B62:AG62" si="28">SUM(B59:B61)</f>
        <v>106.1</v>
      </c>
      <c r="C62" s="70">
        <f t="shared" si="28"/>
        <v>36.1</v>
      </c>
      <c r="D62" s="70">
        <f t="shared" si="28"/>
        <v>36.1</v>
      </c>
      <c r="E62" s="70">
        <f t="shared" si="28"/>
        <v>36.5</v>
      </c>
      <c r="F62" s="70">
        <f t="shared" si="28"/>
        <v>37.1</v>
      </c>
      <c r="G62" s="70">
        <f t="shared" si="28"/>
        <v>37.1</v>
      </c>
      <c r="H62" s="70">
        <f t="shared" si="28"/>
        <v>37.1</v>
      </c>
      <c r="I62" s="70">
        <f t="shared" si="28"/>
        <v>37</v>
      </c>
      <c r="J62" s="70">
        <f t="shared" si="28"/>
        <v>112.1</v>
      </c>
      <c r="K62" s="70">
        <f t="shared" si="28"/>
        <v>187.1</v>
      </c>
      <c r="L62" s="70">
        <f t="shared" si="28"/>
        <v>167</v>
      </c>
      <c r="M62" s="70">
        <f t="shared" si="28"/>
        <v>218</v>
      </c>
      <c r="N62" s="70">
        <f t="shared" si="28"/>
        <v>97</v>
      </c>
      <c r="O62" s="70">
        <f t="shared" si="28"/>
        <v>67</v>
      </c>
      <c r="P62" s="70">
        <f t="shared" si="28"/>
        <v>66.2</v>
      </c>
      <c r="Q62" s="70">
        <f t="shared" si="28"/>
        <v>36.200000000000003</v>
      </c>
      <c r="R62" s="70">
        <f t="shared" si="28"/>
        <v>36.200000000000003</v>
      </c>
      <c r="S62" s="70">
        <f t="shared" si="28"/>
        <v>51.3</v>
      </c>
      <c r="T62" s="70">
        <f t="shared" si="28"/>
        <v>51.3</v>
      </c>
      <c r="U62" s="70">
        <f t="shared" si="28"/>
        <v>36.200000000000003</v>
      </c>
      <c r="V62" s="70">
        <f t="shared" si="28"/>
        <v>51.2</v>
      </c>
      <c r="W62" s="70">
        <f t="shared" ref="W62:X62" si="29">SUM(W59:W61)</f>
        <v>51.2</v>
      </c>
      <c r="X62" s="70">
        <f t="shared" si="29"/>
        <v>196.2</v>
      </c>
      <c r="Y62" s="70">
        <f t="shared" si="28"/>
        <v>269.5</v>
      </c>
      <c r="Z62" s="70">
        <f t="shared" si="28"/>
        <v>217.2</v>
      </c>
      <c r="AA62" s="70">
        <f t="shared" si="28"/>
        <v>217.2</v>
      </c>
      <c r="AB62" s="70">
        <f t="shared" ref="AB62:AC62" si="30">SUM(AB59:AB61)</f>
        <v>217.2</v>
      </c>
      <c r="AC62" s="70">
        <f t="shared" si="30"/>
        <v>186.2</v>
      </c>
      <c r="AD62" s="70">
        <f t="shared" ref="AD62:AE62" si="31">SUM(AD59:AD61)</f>
        <v>212.1</v>
      </c>
      <c r="AE62" s="70">
        <f t="shared" si="31"/>
        <v>188</v>
      </c>
      <c r="AF62" s="70">
        <f t="shared" ref="AF62" si="32">SUM(AF59:AF61)</f>
        <v>157.1</v>
      </c>
      <c r="AG62" s="71">
        <f t="shared" si="28"/>
        <v>538.1</v>
      </c>
      <c r="AH62" s="48">
        <f t="shared" si="8"/>
        <v>269.5</v>
      </c>
      <c r="AI62" s="49">
        <f t="shared" si="9"/>
        <v>36.1</v>
      </c>
      <c r="AK62" s="51"/>
    </row>
    <row r="63" spans="1:88" x14ac:dyDescent="0.25">
      <c r="A63" s="45" t="s">
        <v>80</v>
      </c>
      <c r="B63" s="46">
        <v>31</v>
      </c>
      <c r="C63" s="46">
        <v>0</v>
      </c>
      <c r="D63" s="46">
        <v>0</v>
      </c>
      <c r="E63" s="46">
        <v>0</v>
      </c>
      <c r="F63" s="46">
        <v>0</v>
      </c>
      <c r="G63" s="46">
        <v>0</v>
      </c>
      <c r="H63" s="46">
        <v>45</v>
      </c>
      <c r="I63" s="46">
        <v>48.4</v>
      </c>
      <c r="J63" s="46">
        <v>97.5</v>
      </c>
      <c r="K63" s="46">
        <v>97.2</v>
      </c>
      <c r="L63" s="46">
        <v>61.1</v>
      </c>
      <c r="M63" s="46">
        <v>61.2</v>
      </c>
      <c r="N63" s="46">
        <v>31.4</v>
      </c>
      <c r="O63" s="46">
        <v>31.3</v>
      </c>
      <c r="P63" s="46">
        <v>31.4</v>
      </c>
      <c r="Q63" s="46">
        <v>40.6</v>
      </c>
      <c r="R63" s="46">
        <v>40.6</v>
      </c>
      <c r="S63" s="46">
        <v>31</v>
      </c>
      <c r="T63" s="46">
        <v>40.5</v>
      </c>
      <c r="U63" s="46">
        <v>48.5</v>
      </c>
      <c r="V63" s="46">
        <v>66</v>
      </c>
      <c r="W63" s="46">
        <v>111</v>
      </c>
      <c r="X63" s="46">
        <v>107</v>
      </c>
      <c r="Y63" s="46">
        <v>123.7</v>
      </c>
      <c r="Z63" s="46">
        <v>120</v>
      </c>
      <c r="AA63" s="46">
        <v>110</v>
      </c>
      <c r="AB63" s="46">
        <v>103.4</v>
      </c>
      <c r="AC63" s="46">
        <v>60.5</v>
      </c>
      <c r="AD63" s="46">
        <v>40.96</v>
      </c>
      <c r="AE63" s="46">
        <v>48.6</v>
      </c>
      <c r="AF63" s="46">
        <v>30.2</v>
      </c>
      <c r="AG63" s="60">
        <v>144</v>
      </c>
      <c r="AH63" s="48">
        <f t="shared" si="8"/>
        <v>123.7</v>
      </c>
      <c r="AI63" s="49">
        <f t="shared" si="9"/>
        <v>0</v>
      </c>
      <c r="AK63" s="51"/>
    </row>
    <row r="64" spans="1:88" x14ac:dyDescent="0.25">
      <c r="A64" s="64" t="s">
        <v>81</v>
      </c>
      <c r="B64" s="46">
        <v>0</v>
      </c>
      <c r="C64" s="46">
        <v>0</v>
      </c>
      <c r="D64" s="46">
        <v>0</v>
      </c>
      <c r="E64" s="75">
        <v>0</v>
      </c>
      <c r="F64" s="75">
        <v>0</v>
      </c>
      <c r="G64" s="75">
        <v>0</v>
      </c>
      <c r="H64" s="75">
        <v>0</v>
      </c>
      <c r="I64" s="75">
        <v>35</v>
      </c>
      <c r="J64" s="75">
        <v>34.700000000000003</v>
      </c>
      <c r="K64" s="75">
        <v>34.799999999999997</v>
      </c>
      <c r="L64" s="75">
        <v>34.799999999999997</v>
      </c>
      <c r="M64" s="75">
        <v>34.700000000000003</v>
      </c>
      <c r="N64" s="75">
        <v>34.799999999999997</v>
      </c>
      <c r="O64" s="75">
        <v>21.8</v>
      </c>
      <c r="P64" s="75">
        <v>21.8</v>
      </c>
      <c r="Q64" s="75">
        <v>35</v>
      </c>
      <c r="R64" s="75">
        <v>35</v>
      </c>
      <c r="S64" s="75">
        <v>66</v>
      </c>
      <c r="T64" s="75">
        <v>66</v>
      </c>
      <c r="U64" s="75">
        <v>66</v>
      </c>
      <c r="V64" s="75">
        <v>66</v>
      </c>
      <c r="W64" s="75">
        <v>59</v>
      </c>
      <c r="X64" s="75">
        <v>49</v>
      </c>
      <c r="Y64" s="75">
        <v>49</v>
      </c>
      <c r="Z64" s="75">
        <v>49</v>
      </c>
      <c r="AA64" s="75">
        <v>30</v>
      </c>
      <c r="AB64" s="75">
        <v>0</v>
      </c>
      <c r="AC64" s="75">
        <v>0</v>
      </c>
      <c r="AD64" s="75">
        <v>0</v>
      </c>
      <c r="AE64" s="75">
        <v>0</v>
      </c>
      <c r="AF64" s="75">
        <v>0</v>
      </c>
      <c r="AG64" s="65">
        <v>70</v>
      </c>
      <c r="AH64" s="48">
        <f t="shared" si="8"/>
        <v>66</v>
      </c>
      <c r="AI64" s="49">
        <f t="shared" si="9"/>
        <v>0</v>
      </c>
      <c r="AK64" s="51"/>
    </row>
    <row r="65" spans="1:75" x14ac:dyDescent="0.25">
      <c r="A65" s="64" t="s">
        <v>82</v>
      </c>
      <c r="B65" s="46">
        <v>0</v>
      </c>
      <c r="C65" s="46">
        <v>0</v>
      </c>
      <c r="D65" s="46">
        <v>0</v>
      </c>
      <c r="E65" s="75">
        <v>0</v>
      </c>
      <c r="F65" s="75">
        <v>0</v>
      </c>
      <c r="G65" s="75">
        <v>15</v>
      </c>
      <c r="H65" s="75">
        <v>23</v>
      </c>
      <c r="I65" s="75">
        <v>22.8</v>
      </c>
      <c r="J65" s="75">
        <v>45.9</v>
      </c>
      <c r="K65" s="75">
        <v>47</v>
      </c>
      <c r="L65" s="75">
        <v>45</v>
      </c>
      <c r="M65" s="75">
        <v>46.8</v>
      </c>
      <c r="N65" s="75">
        <v>34.799999999999997</v>
      </c>
      <c r="O65" s="75">
        <v>34.799999999999997</v>
      </c>
      <c r="P65" s="75">
        <v>33.799999999999997</v>
      </c>
      <c r="Q65" s="75">
        <v>45.8</v>
      </c>
      <c r="R65" s="75">
        <v>45.8</v>
      </c>
      <c r="S65" s="75">
        <v>17.100000000000001</v>
      </c>
      <c r="T65" s="75">
        <v>22.5</v>
      </c>
      <c r="U65" s="75">
        <v>22.5</v>
      </c>
      <c r="V65" s="75">
        <v>22.5</v>
      </c>
      <c r="W65" s="75">
        <v>46</v>
      </c>
      <c r="X65" s="75">
        <v>32</v>
      </c>
      <c r="Y65" s="75">
        <v>34.6</v>
      </c>
      <c r="Z65" s="75">
        <v>34.6</v>
      </c>
      <c r="AA65" s="75">
        <v>34.6</v>
      </c>
      <c r="AB65" s="75">
        <v>34.799999999999997</v>
      </c>
      <c r="AC65" s="75">
        <v>35</v>
      </c>
      <c r="AD65" s="75">
        <v>35.200000000000003</v>
      </c>
      <c r="AE65" s="75">
        <v>33.200000000000003</v>
      </c>
      <c r="AF65" s="75">
        <v>33.299999999999997</v>
      </c>
      <c r="AG65" s="65">
        <v>69</v>
      </c>
      <c r="AH65" s="48">
        <f t="shared" si="8"/>
        <v>47</v>
      </c>
      <c r="AI65" s="49">
        <f t="shared" si="9"/>
        <v>0</v>
      </c>
      <c r="AK65" s="51"/>
    </row>
    <row r="66" spans="1:75" x14ac:dyDescent="0.25">
      <c r="A66" s="64" t="s">
        <v>83</v>
      </c>
      <c r="B66" s="46">
        <v>31</v>
      </c>
      <c r="C66" s="46">
        <v>31</v>
      </c>
      <c r="D66" s="46">
        <v>31</v>
      </c>
      <c r="E66" s="75">
        <v>34</v>
      </c>
      <c r="F66" s="75">
        <v>33</v>
      </c>
      <c r="G66" s="75">
        <v>33</v>
      </c>
      <c r="H66" s="75">
        <v>33</v>
      </c>
      <c r="I66" s="75">
        <v>33</v>
      </c>
      <c r="J66" s="75">
        <v>33</v>
      </c>
      <c r="K66" s="67">
        <v>33</v>
      </c>
      <c r="L66" s="67">
        <v>34.299999999999997</v>
      </c>
      <c r="M66" s="75">
        <v>34</v>
      </c>
      <c r="N66" s="75">
        <v>34.299999999999997</v>
      </c>
      <c r="O66" s="75">
        <v>34</v>
      </c>
      <c r="P66" s="75">
        <v>34</v>
      </c>
      <c r="Q66" s="75">
        <v>33.700000000000003</v>
      </c>
      <c r="R66" s="75">
        <v>33.700000000000003</v>
      </c>
      <c r="S66" s="75">
        <v>33.700000000000003</v>
      </c>
      <c r="T66" s="75">
        <v>33.700000000000003</v>
      </c>
      <c r="U66" s="75">
        <v>33.700000000000003</v>
      </c>
      <c r="V66" s="75">
        <v>30.5</v>
      </c>
      <c r="W66" s="75">
        <v>30.5</v>
      </c>
      <c r="X66" s="75">
        <v>30.5</v>
      </c>
      <c r="Y66" s="75">
        <v>30.5</v>
      </c>
      <c r="Z66" s="75">
        <v>32.200000000000003</v>
      </c>
      <c r="AA66" s="75">
        <v>32.200000000000003</v>
      </c>
      <c r="AB66" s="75">
        <v>33</v>
      </c>
      <c r="AC66" s="75">
        <v>33</v>
      </c>
      <c r="AD66" s="75">
        <v>33</v>
      </c>
      <c r="AE66" s="75">
        <v>33</v>
      </c>
      <c r="AF66" s="75">
        <v>33</v>
      </c>
      <c r="AG66" s="65">
        <v>60</v>
      </c>
      <c r="AH66" s="48">
        <f t="shared" si="8"/>
        <v>34.299999999999997</v>
      </c>
      <c r="AI66" s="49">
        <f t="shared" si="9"/>
        <v>30.5</v>
      </c>
      <c r="AK66" s="51"/>
    </row>
    <row r="67" spans="1:75" x14ac:dyDescent="0.25">
      <c r="A67" s="64" t="s">
        <v>84</v>
      </c>
      <c r="B67" s="46">
        <v>0</v>
      </c>
      <c r="C67" s="46">
        <v>0</v>
      </c>
      <c r="D67" s="46">
        <v>0</v>
      </c>
      <c r="E67" s="75">
        <v>0</v>
      </c>
      <c r="F67" s="75">
        <v>0</v>
      </c>
      <c r="G67" s="75">
        <v>0</v>
      </c>
      <c r="H67" s="75">
        <v>10.7</v>
      </c>
      <c r="I67" s="75">
        <v>10.6</v>
      </c>
      <c r="J67" s="75">
        <v>23</v>
      </c>
      <c r="K67" s="75">
        <v>22.9</v>
      </c>
      <c r="L67" s="67">
        <v>23.1</v>
      </c>
      <c r="M67" s="75">
        <v>23.4</v>
      </c>
      <c r="N67" s="75">
        <v>23.5</v>
      </c>
      <c r="O67" s="75">
        <v>10</v>
      </c>
      <c r="P67" s="75">
        <v>10</v>
      </c>
      <c r="Q67" s="75">
        <v>10</v>
      </c>
      <c r="R67" s="75">
        <v>10</v>
      </c>
      <c r="S67" s="75">
        <v>10</v>
      </c>
      <c r="T67" s="75">
        <v>14.4</v>
      </c>
      <c r="U67" s="75">
        <v>14.4</v>
      </c>
      <c r="V67" s="75">
        <v>0</v>
      </c>
      <c r="W67" s="75">
        <v>0</v>
      </c>
      <c r="X67" s="75">
        <v>0</v>
      </c>
      <c r="Y67" s="75">
        <v>10.4</v>
      </c>
      <c r="Z67" s="75">
        <v>22.6</v>
      </c>
      <c r="AA67" s="75">
        <v>22.6</v>
      </c>
      <c r="AB67" s="75">
        <v>22.6</v>
      </c>
      <c r="AC67" s="75">
        <v>14</v>
      </c>
      <c r="AD67" s="75">
        <v>10.199999999999999</v>
      </c>
      <c r="AE67" s="75">
        <v>14.3</v>
      </c>
      <c r="AF67" s="75">
        <v>10.199999999999999</v>
      </c>
      <c r="AG67" s="65">
        <v>30</v>
      </c>
      <c r="AH67" s="48">
        <f t="shared" si="8"/>
        <v>23.5</v>
      </c>
      <c r="AI67" s="49">
        <f t="shared" si="9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</row>
    <row r="68" spans="1:75" x14ac:dyDescent="0.25">
      <c r="A68" s="64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0.5</v>
      </c>
      <c r="K68" s="46">
        <v>1.1000000000000001</v>
      </c>
      <c r="L68" s="75">
        <v>3.9</v>
      </c>
      <c r="M68" s="75">
        <v>6.2</v>
      </c>
      <c r="N68" s="75">
        <v>10.5</v>
      </c>
      <c r="O68" s="75">
        <v>14.4</v>
      </c>
      <c r="P68" s="75">
        <v>16.399999999999999</v>
      </c>
      <c r="Q68" s="75">
        <v>17.600000000000001</v>
      </c>
      <c r="R68" s="75">
        <v>17.600000000000001</v>
      </c>
      <c r="S68" s="75">
        <v>14.4</v>
      </c>
      <c r="T68" s="75">
        <v>11.5</v>
      </c>
      <c r="U68" s="75">
        <v>6.7</v>
      </c>
      <c r="V68" s="75">
        <v>2.1</v>
      </c>
      <c r="W68" s="75">
        <v>2.1</v>
      </c>
      <c r="X68" s="75">
        <v>2.1</v>
      </c>
      <c r="Y68" s="75">
        <v>0</v>
      </c>
      <c r="Z68" s="75">
        <v>0</v>
      </c>
      <c r="AA68" s="75">
        <v>0</v>
      </c>
      <c r="AB68" s="75">
        <v>0</v>
      </c>
      <c r="AC68" s="75">
        <v>0</v>
      </c>
      <c r="AD68" s="75">
        <v>0</v>
      </c>
      <c r="AE68" s="75">
        <v>0</v>
      </c>
      <c r="AF68" s="75">
        <v>0</v>
      </c>
      <c r="AG68" s="65">
        <v>25</v>
      </c>
      <c r="AH68" s="48">
        <f t="shared" si="8"/>
        <v>17.600000000000001</v>
      </c>
      <c r="AI68" s="49">
        <f t="shared" si="9"/>
        <v>0</v>
      </c>
      <c r="AK68" s="51"/>
      <c r="AY68" s="1" t="s">
        <v>86</v>
      </c>
      <c r="AZ68" s="81">
        <f>ROUND(C81,0)</f>
        <v>54</v>
      </c>
      <c r="BA68" s="80">
        <f t="shared" ref="BA68:BD72" si="33">D81</f>
        <v>62.3</v>
      </c>
      <c r="BB68" s="80">
        <f t="shared" si="33"/>
        <v>49.3</v>
      </c>
      <c r="BC68" s="80">
        <f t="shared" si="33"/>
        <v>56.3</v>
      </c>
      <c r="BD68" s="80">
        <f t="shared" si="33"/>
        <v>60.4</v>
      </c>
      <c r="BE68" s="81">
        <f>I81</f>
        <v>59.3</v>
      </c>
      <c r="BF68" s="81">
        <f>K81</f>
        <v>46</v>
      </c>
      <c r="BG68" s="81">
        <f t="shared" ref="BG68:BP72" si="34">M81</f>
        <v>46.7</v>
      </c>
      <c r="BH68" s="81">
        <f t="shared" si="34"/>
        <v>38.299999999999997</v>
      </c>
      <c r="BI68" s="81">
        <f t="shared" si="34"/>
        <v>54</v>
      </c>
      <c r="BJ68" s="81">
        <f t="shared" si="34"/>
        <v>64</v>
      </c>
      <c r="BK68" s="81">
        <f t="shared" si="34"/>
        <v>57.6</v>
      </c>
      <c r="BL68" s="81">
        <f t="shared" si="34"/>
        <v>57.6</v>
      </c>
      <c r="BM68" s="81">
        <f t="shared" si="34"/>
        <v>64.400000000000006</v>
      </c>
      <c r="BN68" s="81">
        <f t="shared" si="34"/>
        <v>72.400000000000006</v>
      </c>
      <c r="BO68" s="81">
        <f t="shared" si="34"/>
        <v>65</v>
      </c>
      <c r="BP68" s="81">
        <f t="shared" si="34"/>
        <v>76.3</v>
      </c>
      <c r="BQ68" s="81">
        <f>X81</f>
        <v>60</v>
      </c>
      <c r="BR68" s="81">
        <f>Z81</f>
        <v>68</v>
      </c>
      <c r="BS68" s="80">
        <f>AB81</f>
        <v>52</v>
      </c>
      <c r="BT68" s="80">
        <f>AD81</f>
        <v>59.6</v>
      </c>
      <c r="BU68" s="80">
        <f>AE81</f>
        <v>54.1</v>
      </c>
      <c r="BV68" s="80">
        <f>AF81</f>
        <v>51.7</v>
      </c>
      <c r="BW68" s="80">
        <f>B81</f>
        <v>56.3</v>
      </c>
    </row>
    <row r="69" spans="1:75" x14ac:dyDescent="0.25">
      <c r="A69" s="64" t="s">
        <v>87</v>
      </c>
      <c r="B69" s="75">
        <v>12</v>
      </c>
      <c r="C69" s="75">
        <v>12</v>
      </c>
      <c r="D69" s="75">
        <v>12</v>
      </c>
      <c r="E69" s="75">
        <v>15</v>
      </c>
      <c r="F69" s="75">
        <v>15</v>
      </c>
      <c r="G69" s="75">
        <v>15</v>
      </c>
      <c r="H69" s="75">
        <v>15</v>
      </c>
      <c r="I69" s="75">
        <v>15</v>
      </c>
      <c r="J69" s="75">
        <v>15</v>
      </c>
      <c r="K69" s="75">
        <v>15</v>
      </c>
      <c r="L69" s="75">
        <v>15</v>
      </c>
      <c r="M69" s="75">
        <v>15</v>
      </c>
      <c r="N69" s="75">
        <v>15</v>
      </c>
      <c r="O69" s="75">
        <v>15</v>
      </c>
      <c r="P69" s="75">
        <v>15</v>
      </c>
      <c r="Q69" s="75">
        <v>15</v>
      </c>
      <c r="R69" s="75">
        <v>15</v>
      </c>
      <c r="S69" s="75">
        <v>15</v>
      </c>
      <c r="T69" s="75">
        <v>15</v>
      </c>
      <c r="U69" s="75">
        <v>15</v>
      </c>
      <c r="V69" s="75">
        <v>15</v>
      </c>
      <c r="W69" s="75">
        <v>15</v>
      </c>
      <c r="X69" s="75">
        <v>15</v>
      </c>
      <c r="Y69" s="75">
        <v>15</v>
      </c>
      <c r="Z69" s="75">
        <v>15</v>
      </c>
      <c r="AA69" s="75">
        <v>15</v>
      </c>
      <c r="AB69" s="75">
        <v>15</v>
      </c>
      <c r="AC69" s="75">
        <v>15</v>
      </c>
      <c r="AD69" s="75">
        <v>15</v>
      </c>
      <c r="AE69" s="75">
        <v>15</v>
      </c>
      <c r="AF69" s="75">
        <v>15</v>
      </c>
      <c r="AG69" s="65">
        <v>24</v>
      </c>
      <c r="AH69" s="48">
        <f t="shared" si="8"/>
        <v>15</v>
      </c>
      <c r="AI69" s="49">
        <f t="shared" si="9"/>
        <v>12</v>
      </c>
      <c r="AK69" s="51"/>
      <c r="AY69" s="1" t="s">
        <v>88</v>
      </c>
      <c r="AZ69" s="81">
        <f>ROUND(C82,0)</f>
        <v>0</v>
      </c>
      <c r="BA69" s="80">
        <f t="shared" si="33"/>
        <v>0</v>
      </c>
      <c r="BB69" s="80">
        <f t="shared" si="33"/>
        <v>0</v>
      </c>
      <c r="BC69" s="80">
        <f t="shared" si="33"/>
        <v>0</v>
      </c>
      <c r="BD69" s="80">
        <f t="shared" si="33"/>
        <v>0</v>
      </c>
      <c r="BE69" s="81">
        <f t="shared" ref="BE69:BE72" si="35">I82</f>
        <v>0</v>
      </c>
      <c r="BF69" s="81">
        <f t="shared" ref="BF69:BF72" si="36">K82</f>
        <v>0</v>
      </c>
      <c r="BG69" s="81">
        <f t="shared" si="34"/>
        <v>0</v>
      </c>
      <c r="BH69" s="81">
        <f t="shared" si="34"/>
        <v>0</v>
      </c>
      <c r="BI69" s="81">
        <f t="shared" si="34"/>
        <v>0</v>
      </c>
      <c r="BJ69" s="81">
        <f t="shared" si="34"/>
        <v>0</v>
      </c>
      <c r="BK69" s="81">
        <f t="shared" si="34"/>
        <v>0</v>
      </c>
      <c r="BL69" s="81">
        <f t="shared" si="34"/>
        <v>0</v>
      </c>
      <c r="BM69" s="81">
        <f t="shared" si="34"/>
        <v>0</v>
      </c>
      <c r="BN69" s="81">
        <f t="shared" si="34"/>
        <v>0</v>
      </c>
      <c r="BO69" s="81">
        <f t="shared" si="34"/>
        <v>0</v>
      </c>
      <c r="BP69" s="81">
        <f t="shared" si="34"/>
        <v>0</v>
      </c>
      <c r="BQ69" s="81">
        <f t="shared" ref="BQ69:BQ72" si="37">X82</f>
        <v>0</v>
      </c>
      <c r="BR69" s="81">
        <f t="shared" ref="BR69:BR72" si="38">Z82</f>
        <v>0</v>
      </c>
      <c r="BS69" s="80">
        <f t="shared" ref="BS69:BS72" si="39">AB82</f>
        <v>0</v>
      </c>
      <c r="BT69" s="80">
        <f t="shared" ref="BT69:BV72" si="40">AD82</f>
        <v>0</v>
      </c>
      <c r="BU69" s="80">
        <f t="shared" si="40"/>
        <v>0</v>
      </c>
      <c r="BV69" s="80">
        <f t="shared" si="40"/>
        <v>0</v>
      </c>
      <c r="BW69" s="80">
        <f t="shared" ref="BW69:BW72" si="41">B82</f>
        <v>0</v>
      </c>
    </row>
    <row r="70" spans="1:75" x14ac:dyDescent="0.25">
      <c r="A70" s="64" t="s">
        <v>89</v>
      </c>
      <c r="B70" s="75">
        <v>4</v>
      </c>
      <c r="C70" s="75">
        <v>4</v>
      </c>
      <c r="D70" s="75">
        <v>4</v>
      </c>
      <c r="E70" s="75">
        <v>4</v>
      </c>
      <c r="F70" s="75">
        <v>4</v>
      </c>
      <c r="G70" s="75">
        <v>4</v>
      </c>
      <c r="H70" s="75">
        <v>4</v>
      </c>
      <c r="I70" s="75">
        <v>4</v>
      </c>
      <c r="J70" s="75">
        <v>4</v>
      </c>
      <c r="K70" s="75">
        <v>4</v>
      </c>
      <c r="L70" s="75">
        <v>4</v>
      </c>
      <c r="M70" s="75">
        <v>4</v>
      </c>
      <c r="N70" s="75">
        <v>4</v>
      </c>
      <c r="O70" s="75">
        <v>4</v>
      </c>
      <c r="P70" s="75">
        <v>4</v>
      </c>
      <c r="Q70" s="75">
        <v>4</v>
      </c>
      <c r="R70" s="75">
        <v>4</v>
      </c>
      <c r="S70" s="75">
        <v>4</v>
      </c>
      <c r="T70" s="75">
        <v>4</v>
      </c>
      <c r="U70" s="75">
        <v>4</v>
      </c>
      <c r="V70" s="75">
        <v>4</v>
      </c>
      <c r="W70" s="75">
        <v>4</v>
      </c>
      <c r="X70" s="75">
        <v>4</v>
      </c>
      <c r="Y70" s="75">
        <v>4</v>
      </c>
      <c r="Z70" s="75">
        <v>4</v>
      </c>
      <c r="AA70" s="75">
        <v>4</v>
      </c>
      <c r="AB70" s="75">
        <v>4</v>
      </c>
      <c r="AC70" s="75">
        <v>4</v>
      </c>
      <c r="AD70" s="75">
        <v>4</v>
      </c>
      <c r="AE70" s="75">
        <v>4</v>
      </c>
      <c r="AF70" s="75">
        <v>4</v>
      </c>
      <c r="AG70" s="65">
        <v>15</v>
      </c>
      <c r="AH70" s="48">
        <f t="shared" si="8"/>
        <v>4</v>
      </c>
      <c r="AI70" s="49">
        <f t="shared" si="9"/>
        <v>4</v>
      </c>
      <c r="AK70" s="51"/>
      <c r="AL70" s="82"/>
      <c r="AO70" s="82"/>
      <c r="AY70" s="1" t="s">
        <v>90</v>
      </c>
      <c r="AZ70" s="81">
        <f>ROUND(C83,0)</f>
        <v>442</v>
      </c>
      <c r="BA70" s="80">
        <f t="shared" si="33"/>
        <v>445</v>
      </c>
      <c r="BB70" s="80">
        <f t="shared" si="33"/>
        <v>440.7</v>
      </c>
      <c r="BC70" s="80">
        <f t="shared" si="33"/>
        <v>475</v>
      </c>
      <c r="BD70" s="80">
        <f t="shared" si="33"/>
        <v>515</v>
      </c>
      <c r="BE70" s="81">
        <f t="shared" si="35"/>
        <v>484.4</v>
      </c>
      <c r="BF70" s="81">
        <f t="shared" si="36"/>
        <v>315</v>
      </c>
      <c r="BG70" s="81">
        <f t="shared" si="34"/>
        <v>384.1</v>
      </c>
      <c r="BH70" s="81">
        <f t="shared" si="34"/>
        <v>384</v>
      </c>
      <c r="BI70" s="81">
        <f t="shared" si="34"/>
        <v>420</v>
      </c>
      <c r="BJ70" s="81">
        <f t="shared" si="34"/>
        <v>425</v>
      </c>
      <c r="BK70" s="81">
        <f t="shared" si="34"/>
        <v>487</v>
      </c>
      <c r="BL70" s="81">
        <f t="shared" si="34"/>
        <v>487</v>
      </c>
      <c r="BM70" s="81">
        <f t="shared" si="34"/>
        <v>532.5</v>
      </c>
      <c r="BN70" s="81">
        <f t="shared" si="34"/>
        <v>433</v>
      </c>
      <c r="BO70" s="81">
        <f t="shared" si="34"/>
        <v>563</v>
      </c>
      <c r="BP70" s="81">
        <f t="shared" si="34"/>
        <v>489</v>
      </c>
      <c r="BQ70" s="81">
        <f t="shared" si="37"/>
        <v>384</v>
      </c>
      <c r="BR70" s="81">
        <f t="shared" si="38"/>
        <v>362.4</v>
      </c>
      <c r="BS70" s="80">
        <f t="shared" si="39"/>
        <v>376.1</v>
      </c>
      <c r="BT70" s="80">
        <f t="shared" si="40"/>
        <v>391.6</v>
      </c>
      <c r="BU70" s="80">
        <f t="shared" si="40"/>
        <v>382.9</v>
      </c>
      <c r="BV70" s="80">
        <f t="shared" si="40"/>
        <v>404.6</v>
      </c>
      <c r="BW70" s="80">
        <f t="shared" si="41"/>
        <v>427</v>
      </c>
    </row>
    <row r="71" spans="1:75" s="82" customFormat="1" x14ac:dyDescent="0.25">
      <c r="A71" s="64" t="s">
        <v>91</v>
      </c>
      <c r="B71" s="75">
        <v>5.8</v>
      </c>
      <c r="C71" s="75">
        <v>5.8</v>
      </c>
      <c r="D71" s="75">
        <v>5.8</v>
      </c>
      <c r="E71" s="75">
        <v>10.199999999999999</v>
      </c>
      <c r="F71" s="75">
        <v>9.6999999999999993</v>
      </c>
      <c r="G71" s="75">
        <v>9.6999999999999993</v>
      </c>
      <c r="H71" s="75">
        <v>9.6999999999999993</v>
      </c>
      <c r="I71" s="75">
        <v>9.6999999999999993</v>
      </c>
      <c r="J71" s="75">
        <v>9.6999999999999993</v>
      </c>
      <c r="K71" s="75">
        <v>9.6999999999999993</v>
      </c>
      <c r="L71" s="75">
        <v>9.6999999999999993</v>
      </c>
      <c r="M71" s="75">
        <v>9.6999999999999993</v>
      </c>
      <c r="N71" s="75">
        <v>9.6999999999999993</v>
      </c>
      <c r="O71" s="75">
        <v>9.6999999999999993</v>
      </c>
      <c r="P71" s="75">
        <v>9.6999999999999993</v>
      </c>
      <c r="Q71" s="75">
        <v>9.6999999999999993</v>
      </c>
      <c r="R71" s="75">
        <v>9.6999999999999993</v>
      </c>
      <c r="S71" s="75">
        <v>9.6999999999999993</v>
      </c>
      <c r="T71" s="75">
        <v>9.6999999999999993</v>
      </c>
      <c r="U71" s="75">
        <v>9.6999999999999993</v>
      </c>
      <c r="V71" s="75">
        <v>9.6999999999999993</v>
      </c>
      <c r="W71" s="75">
        <v>9.6999999999999993</v>
      </c>
      <c r="X71" s="75">
        <v>9.6999999999999993</v>
      </c>
      <c r="Y71" s="75">
        <v>9.6999999999999993</v>
      </c>
      <c r="Z71" s="75">
        <v>9.6999999999999993</v>
      </c>
      <c r="AA71" s="75">
        <v>9.6999999999999993</v>
      </c>
      <c r="AB71" s="75">
        <v>9.6999999999999993</v>
      </c>
      <c r="AC71" s="75">
        <v>9.6999999999999993</v>
      </c>
      <c r="AD71" s="75">
        <v>9.6999999999999993</v>
      </c>
      <c r="AE71" s="75">
        <v>9.6999999999999993</v>
      </c>
      <c r="AF71" s="75">
        <v>9.6999999999999993</v>
      </c>
      <c r="AG71" s="65">
        <v>14.1</v>
      </c>
      <c r="AH71" s="48">
        <f t="shared" si="8"/>
        <v>10.199999999999999</v>
      </c>
      <c r="AI71" s="49">
        <f t="shared" si="9"/>
        <v>5.8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53</v>
      </c>
      <c r="BA71" s="80">
        <f t="shared" si="33"/>
        <v>43.5</v>
      </c>
      <c r="BB71" s="80">
        <f t="shared" si="33"/>
        <v>53</v>
      </c>
      <c r="BC71" s="80">
        <f t="shared" si="33"/>
        <v>10.5</v>
      </c>
      <c r="BD71" s="80">
        <f t="shared" si="33"/>
        <v>12</v>
      </c>
      <c r="BE71" s="81">
        <f t="shared" si="35"/>
        <v>46.6</v>
      </c>
      <c r="BF71" s="81">
        <f t="shared" si="36"/>
        <v>30.2</v>
      </c>
      <c r="BG71" s="81">
        <f t="shared" si="34"/>
        <v>35.5</v>
      </c>
      <c r="BH71" s="81">
        <f t="shared" si="34"/>
        <v>30.8</v>
      </c>
      <c r="BI71" s="81">
        <f t="shared" si="34"/>
        <v>29.7</v>
      </c>
      <c r="BJ71" s="81">
        <f t="shared" si="34"/>
        <v>45</v>
      </c>
      <c r="BK71" s="81">
        <f t="shared" si="34"/>
        <v>60</v>
      </c>
      <c r="BL71" s="81">
        <f t="shared" si="34"/>
        <v>60</v>
      </c>
      <c r="BM71" s="81">
        <f t="shared" si="34"/>
        <v>47.1</v>
      </c>
      <c r="BN71" s="81">
        <f t="shared" si="34"/>
        <v>43.3</v>
      </c>
      <c r="BO71" s="81">
        <f t="shared" si="34"/>
        <v>50.2</v>
      </c>
      <c r="BP71" s="81">
        <f t="shared" si="34"/>
        <v>48</v>
      </c>
      <c r="BQ71" s="81">
        <f t="shared" si="37"/>
        <v>6</v>
      </c>
      <c r="BR71" s="81">
        <f t="shared" si="38"/>
        <v>7.8</v>
      </c>
      <c r="BS71" s="80">
        <f t="shared" si="39"/>
        <v>6</v>
      </c>
      <c r="BT71" s="80">
        <f t="shared" si="40"/>
        <v>40.5</v>
      </c>
      <c r="BU71" s="80">
        <f t="shared" si="40"/>
        <v>48</v>
      </c>
      <c r="BV71" s="80">
        <f t="shared" si="40"/>
        <v>45.9</v>
      </c>
      <c r="BW71" s="80">
        <f t="shared" si="41"/>
        <v>50.4</v>
      </c>
    </row>
    <row r="72" spans="1:75" x14ac:dyDescent="0.25">
      <c r="A72" s="83" t="s">
        <v>93</v>
      </c>
      <c r="B72" s="75">
        <v>4.8</v>
      </c>
      <c r="C72" s="75">
        <v>4.8</v>
      </c>
      <c r="D72" s="75">
        <v>4.8</v>
      </c>
      <c r="E72" s="75">
        <v>2.9</v>
      </c>
      <c r="F72" s="75">
        <v>2.9</v>
      </c>
      <c r="G72" s="75">
        <v>2.9</v>
      </c>
      <c r="H72" s="75">
        <v>2.9</v>
      </c>
      <c r="I72" s="75">
        <v>2.9</v>
      </c>
      <c r="J72" s="75">
        <v>2.9</v>
      </c>
      <c r="K72" s="75">
        <v>2.9</v>
      </c>
      <c r="L72" s="75">
        <v>2.9</v>
      </c>
      <c r="M72" s="75">
        <v>2.9</v>
      </c>
      <c r="N72" s="75">
        <v>2.9</v>
      </c>
      <c r="O72" s="75">
        <v>2.9</v>
      </c>
      <c r="P72" s="75">
        <v>2.9</v>
      </c>
      <c r="Q72" s="75">
        <v>2.9</v>
      </c>
      <c r="R72" s="75">
        <v>2.9</v>
      </c>
      <c r="S72" s="75">
        <v>2.9</v>
      </c>
      <c r="T72" s="75">
        <v>3.5</v>
      </c>
      <c r="U72" s="75">
        <v>3.5</v>
      </c>
      <c r="V72" s="75">
        <v>3.5</v>
      </c>
      <c r="W72" s="75">
        <v>3.5</v>
      </c>
      <c r="X72" s="75">
        <v>3.5</v>
      </c>
      <c r="Y72" s="75">
        <v>3.5</v>
      </c>
      <c r="Z72" s="75">
        <v>3.5</v>
      </c>
      <c r="AA72" s="75">
        <v>3.5</v>
      </c>
      <c r="AB72" s="75">
        <v>3.5</v>
      </c>
      <c r="AC72" s="75">
        <v>3.5</v>
      </c>
      <c r="AD72" s="75">
        <v>3.5</v>
      </c>
      <c r="AE72" s="75">
        <v>3.5</v>
      </c>
      <c r="AF72" s="75">
        <v>3.5</v>
      </c>
      <c r="AG72" s="65">
        <v>14</v>
      </c>
      <c r="AH72" s="48">
        <f t="shared" si="8"/>
        <v>4.8</v>
      </c>
      <c r="AI72" s="49">
        <f t="shared" si="9"/>
        <v>2.9</v>
      </c>
      <c r="AK72" s="51"/>
      <c r="AY72" s="1" t="s">
        <v>94</v>
      </c>
      <c r="AZ72" s="81">
        <f>ROUND(C85,0)</f>
        <v>129</v>
      </c>
      <c r="BA72" s="80">
        <f t="shared" si="33"/>
        <v>104</v>
      </c>
      <c r="BB72" s="80">
        <f t="shared" si="33"/>
        <v>114.4</v>
      </c>
      <c r="BC72" s="80">
        <f t="shared" si="33"/>
        <v>114.2</v>
      </c>
      <c r="BD72" s="80">
        <f t="shared" si="33"/>
        <v>107.3</v>
      </c>
      <c r="BE72" s="81">
        <f t="shared" si="35"/>
        <v>20.2</v>
      </c>
      <c r="BF72" s="81">
        <f t="shared" si="36"/>
        <v>24.8</v>
      </c>
      <c r="BG72" s="81">
        <f t="shared" si="34"/>
        <v>31</v>
      </c>
      <c r="BH72" s="81">
        <f t="shared" si="34"/>
        <v>33.5</v>
      </c>
      <c r="BI72" s="81">
        <f t="shared" si="34"/>
        <v>34</v>
      </c>
      <c r="BJ72" s="81">
        <f t="shared" si="34"/>
        <v>66</v>
      </c>
      <c r="BK72" s="81">
        <f t="shared" si="34"/>
        <v>102.4</v>
      </c>
      <c r="BL72" s="81">
        <f t="shared" si="34"/>
        <v>102.4</v>
      </c>
      <c r="BM72" s="81">
        <f t="shared" si="34"/>
        <v>115.6</v>
      </c>
      <c r="BN72" s="81">
        <f t="shared" si="34"/>
        <v>95.7</v>
      </c>
      <c r="BO72" s="81">
        <f t="shared" si="34"/>
        <v>89.1</v>
      </c>
      <c r="BP72" s="81">
        <f t="shared" si="34"/>
        <v>90.1</v>
      </c>
      <c r="BQ72" s="81">
        <f t="shared" si="37"/>
        <v>0</v>
      </c>
      <c r="BR72" s="81">
        <f t="shared" si="38"/>
        <v>0</v>
      </c>
      <c r="BS72" s="80">
        <f t="shared" si="39"/>
        <v>0</v>
      </c>
      <c r="BT72" s="80">
        <f t="shared" si="40"/>
        <v>96</v>
      </c>
      <c r="BU72" s="80">
        <f t="shared" si="40"/>
        <v>118.5</v>
      </c>
      <c r="BV72" s="80">
        <f t="shared" si="40"/>
        <v>119.2</v>
      </c>
      <c r="BW72" s="80">
        <f t="shared" si="41"/>
        <v>120.9</v>
      </c>
    </row>
    <row r="73" spans="1:75" x14ac:dyDescent="0.25">
      <c r="A73" s="64" t="s">
        <v>95</v>
      </c>
      <c r="B73" s="75">
        <v>3</v>
      </c>
      <c r="C73" s="75">
        <v>3</v>
      </c>
      <c r="D73" s="75">
        <v>3</v>
      </c>
      <c r="E73" s="75">
        <v>4.5</v>
      </c>
      <c r="F73" s="75">
        <v>4.5</v>
      </c>
      <c r="G73" s="75">
        <v>4.5</v>
      </c>
      <c r="H73" s="75">
        <v>4.5</v>
      </c>
      <c r="I73" s="75">
        <v>4.5</v>
      </c>
      <c r="J73" s="75">
        <v>4.5</v>
      </c>
      <c r="K73" s="75">
        <v>4.5</v>
      </c>
      <c r="L73" s="75">
        <v>4.5</v>
      </c>
      <c r="M73" s="75">
        <v>4.5</v>
      </c>
      <c r="N73" s="75">
        <v>4.5</v>
      </c>
      <c r="O73" s="75">
        <v>4.5</v>
      </c>
      <c r="P73" s="75">
        <v>4.5</v>
      </c>
      <c r="Q73" s="75">
        <v>4.5</v>
      </c>
      <c r="R73" s="75">
        <v>4.5</v>
      </c>
      <c r="S73" s="75">
        <v>4.5</v>
      </c>
      <c r="T73" s="75">
        <v>4.5</v>
      </c>
      <c r="U73" s="75">
        <v>4.5</v>
      </c>
      <c r="V73" s="75">
        <v>4.5</v>
      </c>
      <c r="W73" s="75">
        <v>4.5</v>
      </c>
      <c r="X73" s="75">
        <v>4.5</v>
      </c>
      <c r="Y73" s="75">
        <v>4.5</v>
      </c>
      <c r="Z73" s="75">
        <v>4.5</v>
      </c>
      <c r="AA73" s="75">
        <v>4.5</v>
      </c>
      <c r="AB73" s="75">
        <v>4.5</v>
      </c>
      <c r="AC73" s="75">
        <v>4.5</v>
      </c>
      <c r="AD73" s="75">
        <v>4.5</v>
      </c>
      <c r="AE73" s="75">
        <v>4.5</v>
      </c>
      <c r="AF73" s="75">
        <v>4.5</v>
      </c>
      <c r="AG73" s="65">
        <v>10.050000000000001</v>
      </c>
      <c r="AH73" s="48">
        <f t="shared" si="8"/>
        <v>4.5</v>
      </c>
      <c r="AI73" s="49">
        <f t="shared" si="9"/>
        <v>3</v>
      </c>
      <c r="AK73" s="51"/>
      <c r="AY73" s="1" t="s">
        <v>96</v>
      </c>
      <c r="AZ73" s="81">
        <f>ROUND(C91,0)</f>
        <v>60</v>
      </c>
      <c r="BA73" s="81">
        <f>D91</f>
        <v>46</v>
      </c>
      <c r="BB73" s="81">
        <f>E91</f>
        <v>50</v>
      </c>
      <c r="BC73" s="81">
        <f>F91</f>
        <v>55</v>
      </c>
      <c r="BD73" s="81">
        <f>G91</f>
        <v>65</v>
      </c>
      <c r="BE73" s="81">
        <f>I91</f>
        <v>72</v>
      </c>
      <c r="BF73" s="81">
        <f>K91</f>
        <v>72</v>
      </c>
      <c r="BG73" s="81">
        <f t="shared" ref="BG73:BP73" si="42">M91</f>
        <v>62</v>
      </c>
      <c r="BH73" s="81">
        <f t="shared" si="42"/>
        <v>62</v>
      </c>
      <c r="BI73" s="81">
        <f t="shared" si="42"/>
        <v>60</v>
      </c>
      <c r="BJ73" s="81">
        <f t="shared" si="42"/>
        <v>79</v>
      </c>
      <c r="BK73" s="81">
        <f t="shared" si="42"/>
        <v>71</v>
      </c>
      <c r="BL73" s="81">
        <f t="shared" si="42"/>
        <v>71</v>
      </c>
      <c r="BM73" s="81">
        <f t="shared" si="42"/>
        <v>62.1</v>
      </c>
      <c r="BN73" s="81">
        <f t="shared" si="42"/>
        <v>62.1</v>
      </c>
      <c r="BO73" s="81">
        <f t="shared" si="42"/>
        <v>62.1</v>
      </c>
      <c r="BP73" s="81">
        <f t="shared" si="42"/>
        <v>73</v>
      </c>
      <c r="BQ73" s="81">
        <f>X91</f>
        <v>72</v>
      </c>
      <c r="BR73" s="81">
        <f>Z91</f>
        <v>72</v>
      </c>
      <c r="BS73" s="81">
        <f>AB91</f>
        <v>0</v>
      </c>
      <c r="BT73" s="81">
        <f>AD91</f>
        <v>0</v>
      </c>
      <c r="BU73" s="81">
        <f>AE91</f>
        <v>0</v>
      </c>
      <c r="BV73" s="81">
        <f>AF91</f>
        <v>0</v>
      </c>
      <c r="BW73" s="81">
        <f>B91</f>
        <v>0</v>
      </c>
    </row>
    <row r="74" spans="1:75" x14ac:dyDescent="0.25">
      <c r="A74" s="64" t="s">
        <v>97</v>
      </c>
      <c r="B74" s="75">
        <v>2</v>
      </c>
      <c r="C74" s="75">
        <v>2</v>
      </c>
      <c r="D74" s="75">
        <v>2</v>
      </c>
      <c r="E74" s="75">
        <v>2</v>
      </c>
      <c r="F74" s="75">
        <v>2</v>
      </c>
      <c r="G74" s="75">
        <v>2</v>
      </c>
      <c r="H74" s="75">
        <v>2</v>
      </c>
      <c r="I74" s="75">
        <v>2</v>
      </c>
      <c r="J74" s="75">
        <v>2</v>
      </c>
      <c r="K74" s="75">
        <v>2</v>
      </c>
      <c r="L74" s="75">
        <v>2</v>
      </c>
      <c r="M74" s="75">
        <v>2</v>
      </c>
      <c r="N74" s="75">
        <v>2</v>
      </c>
      <c r="O74" s="75">
        <v>2</v>
      </c>
      <c r="P74" s="75">
        <v>2</v>
      </c>
      <c r="Q74" s="75">
        <v>2</v>
      </c>
      <c r="R74" s="75">
        <v>2</v>
      </c>
      <c r="S74" s="75">
        <v>2</v>
      </c>
      <c r="T74" s="75">
        <v>2</v>
      </c>
      <c r="U74" s="75">
        <v>2</v>
      </c>
      <c r="V74" s="75">
        <v>2</v>
      </c>
      <c r="W74" s="75">
        <v>2</v>
      </c>
      <c r="X74" s="75">
        <v>2</v>
      </c>
      <c r="Y74" s="75">
        <v>2</v>
      </c>
      <c r="Z74" s="75">
        <v>2</v>
      </c>
      <c r="AA74" s="75">
        <v>2</v>
      </c>
      <c r="AB74" s="75">
        <v>2</v>
      </c>
      <c r="AC74" s="75">
        <v>2</v>
      </c>
      <c r="AD74" s="75">
        <v>2</v>
      </c>
      <c r="AE74" s="75">
        <v>2</v>
      </c>
      <c r="AF74" s="75">
        <v>2</v>
      </c>
      <c r="AG74" s="65">
        <v>6.2</v>
      </c>
      <c r="AH74" s="48">
        <f t="shared" si="8"/>
        <v>2</v>
      </c>
      <c r="AI74" s="49">
        <f t="shared" si="9"/>
        <v>2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</row>
    <row r="75" spans="1:75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>
        <v>3.54</v>
      </c>
      <c r="W75" s="84">
        <v>3.54</v>
      </c>
      <c r="X75" s="84">
        <v>3.54</v>
      </c>
      <c r="Y75" s="84">
        <v>3.5</v>
      </c>
      <c r="Z75" s="84">
        <v>5.5</v>
      </c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8"/>
        <v>5.5</v>
      </c>
      <c r="AI75" s="49">
        <f t="shared" si="9"/>
        <v>3.5</v>
      </c>
      <c r="AK75" s="51"/>
      <c r="AZ75" s="81">
        <f>VALUE(AZ68)</f>
        <v>54</v>
      </c>
      <c r="BA75" s="81">
        <f t="shared" ref="BA75:BW75" si="43">VALUE(BA68)</f>
        <v>62.3</v>
      </c>
      <c r="BB75" s="81">
        <f t="shared" si="43"/>
        <v>49.3</v>
      </c>
      <c r="BC75" s="81">
        <f t="shared" si="43"/>
        <v>56.3</v>
      </c>
      <c r="BD75" s="81">
        <f t="shared" si="43"/>
        <v>60.4</v>
      </c>
      <c r="BE75" s="81">
        <f t="shared" si="43"/>
        <v>59.3</v>
      </c>
      <c r="BF75" s="81">
        <f t="shared" si="43"/>
        <v>46</v>
      </c>
      <c r="BG75" s="81">
        <f t="shared" si="43"/>
        <v>46.7</v>
      </c>
      <c r="BH75" s="81">
        <f t="shared" si="43"/>
        <v>38.299999999999997</v>
      </c>
      <c r="BI75" s="81">
        <f t="shared" si="43"/>
        <v>54</v>
      </c>
      <c r="BJ75" s="81">
        <f t="shared" si="43"/>
        <v>64</v>
      </c>
      <c r="BK75" s="81">
        <f t="shared" si="43"/>
        <v>57.6</v>
      </c>
      <c r="BL75" s="81">
        <f t="shared" si="43"/>
        <v>57.6</v>
      </c>
      <c r="BM75" s="81">
        <f t="shared" si="43"/>
        <v>64.400000000000006</v>
      </c>
      <c r="BN75" s="81">
        <f t="shared" si="43"/>
        <v>72.400000000000006</v>
      </c>
      <c r="BO75" s="81">
        <f t="shared" si="43"/>
        <v>65</v>
      </c>
      <c r="BP75" s="81">
        <f t="shared" si="43"/>
        <v>76.3</v>
      </c>
      <c r="BQ75" s="81">
        <f t="shared" si="43"/>
        <v>60</v>
      </c>
      <c r="BR75" s="81">
        <f t="shared" si="43"/>
        <v>68</v>
      </c>
      <c r="BS75" s="81">
        <f t="shared" si="43"/>
        <v>52</v>
      </c>
      <c r="BT75" s="81">
        <f t="shared" si="43"/>
        <v>59.6</v>
      </c>
      <c r="BU75" s="81">
        <f t="shared" si="43"/>
        <v>54.1</v>
      </c>
      <c r="BV75" s="81">
        <f t="shared" si="43"/>
        <v>51.7</v>
      </c>
      <c r="BW75" s="81">
        <f t="shared" si="43"/>
        <v>56.3</v>
      </c>
    </row>
    <row r="76" spans="1:75" ht="15.75" thickBot="1" x14ac:dyDescent="0.3">
      <c r="A76" s="86" t="s">
        <v>99</v>
      </c>
      <c r="B76" s="70">
        <f t="shared" ref="B76:AG76" si="44">SUM(B63:B75)</f>
        <v>97.14</v>
      </c>
      <c r="C76" s="70">
        <f t="shared" si="44"/>
        <v>66.14</v>
      </c>
      <c r="D76" s="70">
        <f t="shared" si="44"/>
        <v>66.14</v>
      </c>
      <c r="E76" s="70">
        <f t="shared" si="44"/>
        <v>76.140000000000015</v>
      </c>
      <c r="F76" s="70">
        <f t="shared" si="44"/>
        <v>74.640000000000015</v>
      </c>
      <c r="G76" s="70">
        <f t="shared" si="44"/>
        <v>89.640000000000015</v>
      </c>
      <c r="H76" s="70">
        <f t="shared" si="44"/>
        <v>153.33999999999997</v>
      </c>
      <c r="I76" s="70">
        <f t="shared" si="44"/>
        <v>191.43999999999997</v>
      </c>
      <c r="J76" s="70">
        <f t="shared" si="44"/>
        <v>276.24</v>
      </c>
      <c r="K76" s="70">
        <f t="shared" si="44"/>
        <v>277.64</v>
      </c>
      <c r="L76" s="70">
        <f t="shared" si="44"/>
        <v>243.83999999999997</v>
      </c>
      <c r="M76" s="70">
        <f t="shared" si="44"/>
        <v>247.93999999999997</v>
      </c>
      <c r="N76" s="70">
        <f t="shared" si="44"/>
        <v>210.93999999999997</v>
      </c>
      <c r="O76" s="70">
        <f t="shared" si="44"/>
        <v>187.94</v>
      </c>
      <c r="P76" s="70">
        <f t="shared" si="44"/>
        <v>189.04</v>
      </c>
      <c r="Q76" s="70">
        <f t="shared" si="44"/>
        <v>224.33999999999997</v>
      </c>
      <c r="R76" s="70">
        <f t="shared" si="44"/>
        <v>224.33999999999997</v>
      </c>
      <c r="S76" s="70">
        <f t="shared" si="44"/>
        <v>213.84</v>
      </c>
      <c r="T76" s="70">
        <f t="shared" si="44"/>
        <v>230.83999999999997</v>
      </c>
      <c r="U76" s="70">
        <f t="shared" si="44"/>
        <v>234.03999999999996</v>
      </c>
      <c r="V76" s="70">
        <f t="shared" si="44"/>
        <v>229.33999999999997</v>
      </c>
      <c r="W76" s="70">
        <f t="shared" ref="W76:X76" si="45">SUM(W63:W75)</f>
        <v>290.84000000000003</v>
      </c>
      <c r="X76" s="70">
        <f t="shared" si="45"/>
        <v>262.83999999999997</v>
      </c>
      <c r="Y76" s="70">
        <f>SUM(Y63:Y75)</f>
        <v>290.39999999999998</v>
      </c>
      <c r="Z76" s="70">
        <f>SUM(Z63:Z75)</f>
        <v>302.60000000000002</v>
      </c>
      <c r="AA76" s="70">
        <f t="shared" si="44"/>
        <v>271.64000000000004</v>
      </c>
      <c r="AB76" s="70">
        <f t="shared" ref="AB76:AC76" si="46">SUM(AB63:AB75)</f>
        <v>236.03999999999996</v>
      </c>
      <c r="AC76" s="70">
        <f t="shared" si="46"/>
        <v>184.73999999999998</v>
      </c>
      <c r="AD76" s="70">
        <f t="shared" ref="AD76:AE76" si="47">SUM(AD63:AD75)</f>
        <v>161.6</v>
      </c>
      <c r="AE76" s="70">
        <f t="shared" si="47"/>
        <v>171.34</v>
      </c>
      <c r="AF76" s="70">
        <f t="shared" ref="AF76" si="48">SUM(AF63:AF75)</f>
        <v>148.94</v>
      </c>
      <c r="AG76" s="71">
        <f t="shared" si="44"/>
        <v>489.91</v>
      </c>
      <c r="AH76" s="48">
        <f t="shared" si="8"/>
        <v>302.60000000000002</v>
      </c>
      <c r="AI76" s="49">
        <f t="shared" si="9"/>
        <v>66.14</v>
      </c>
      <c r="AK76" s="51"/>
      <c r="AZ76" s="81">
        <f t="shared" ref="AZ76:BW80" si="49">VALUE(AZ69)</f>
        <v>0</v>
      </c>
      <c r="BA76" s="81">
        <f t="shared" si="49"/>
        <v>0</v>
      </c>
      <c r="BB76" s="81">
        <f t="shared" si="49"/>
        <v>0</v>
      </c>
      <c r="BC76" s="81">
        <f t="shared" si="49"/>
        <v>0</v>
      </c>
      <c r="BD76" s="81">
        <f t="shared" si="49"/>
        <v>0</v>
      </c>
      <c r="BE76" s="81">
        <f t="shared" si="49"/>
        <v>0</v>
      </c>
      <c r="BF76" s="81">
        <f t="shared" si="49"/>
        <v>0</v>
      </c>
      <c r="BG76" s="81">
        <f t="shared" si="49"/>
        <v>0</v>
      </c>
      <c r="BH76" s="81">
        <f t="shared" si="49"/>
        <v>0</v>
      </c>
      <c r="BI76" s="81">
        <f t="shared" si="49"/>
        <v>0</v>
      </c>
      <c r="BJ76" s="81">
        <f t="shared" si="49"/>
        <v>0</v>
      </c>
      <c r="BK76" s="81">
        <f t="shared" si="49"/>
        <v>0</v>
      </c>
      <c r="BL76" s="81">
        <f t="shared" si="49"/>
        <v>0</v>
      </c>
      <c r="BM76" s="81">
        <f t="shared" si="49"/>
        <v>0</v>
      </c>
      <c r="BN76" s="81">
        <f t="shared" si="49"/>
        <v>0</v>
      </c>
      <c r="BO76" s="81">
        <f t="shared" si="49"/>
        <v>0</v>
      </c>
      <c r="BP76" s="81">
        <f t="shared" si="49"/>
        <v>0</v>
      </c>
      <c r="BQ76" s="81">
        <f t="shared" si="49"/>
        <v>0</v>
      </c>
      <c r="BR76" s="81">
        <f t="shared" si="49"/>
        <v>0</v>
      </c>
      <c r="BS76" s="81">
        <f t="shared" si="49"/>
        <v>0</v>
      </c>
      <c r="BT76" s="81">
        <f t="shared" si="49"/>
        <v>0</v>
      </c>
      <c r="BU76" s="81">
        <f t="shared" si="49"/>
        <v>0</v>
      </c>
      <c r="BV76" s="81">
        <f t="shared" si="49"/>
        <v>0</v>
      </c>
      <c r="BW76" s="81">
        <f t="shared" si="49"/>
        <v>0</v>
      </c>
    </row>
    <row r="77" spans="1:75" x14ac:dyDescent="0.25">
      <c r="A77" s="45" t="s">
        <v>100</v>
      </c>
      <c r="B77" s="46"/>
      <c r="C77" s="46"/>
      <c r="D77" s="46"/>
      <c r="E77" s="46"/>
      <c r="F77" s="46"/>
      <c r="G77" s="46"/>
      <c r="H77" s="46">
        <v>30</v>
      </c>
      <c r="I77" s="46">
        <v>60</v>
      </c>
      <c r="J77" s="46">
        <v>60</v>
      </c>
      <c r="K77" s="46">
        <v>60</v>
      </c>
      <c r="L77" s="46">
        <v>60</v>
      </c>
      <c r="M77" s="46">
        <v>30</v>
      </c>
      <c r="N77" s="46">
        <v>0</v>
      </c>
      <c r="O77" s="46"/>
      <c r="P77" s="46"/>
      <c r="Q77" s="46"/>
      <c r="R77" s="46"/>
      <c r="S77" s="46"/>
      <c r="T77" s="46"/>
      <c r="U77" s="46"/>
      <c r="V77" s="46"/>
      <c r="W77" s="46">
        <v>14</v>
      </c>
      <c r="X77" s="46">
        <v>50</v>
      </c>
      <c r="Y77" s="46">
        <v>60</v>
      </c>
      <c r="Z77" s="46">
        <v>60</v>
      </c>
      <c r="AA77" s="46">
        <v>60</v>
      </c>
      <c r="AB77" s="46">
        <v>60</v>
      </c>
      <c r="AC77" s="46">
        <v>14</v>
      </c>
      <c r="AD77" s="46">
        <v>14</v>
      </c>
      <c r="AE77" s="46">
        <v>30</v>
      </c>
      <c r="AF77" s="46">
        <v>0</v>
      </c>
      <c r="AG77" s="60">
        <v>60</v>
      </c>
      <c r="AH77" s="48">
        <f t="shared" si="8"/>
        <v>60</v>
      </c>
      <c r="AI77" s="49">
        <f t="shared" si="9"/>
        <v>0</v>
      </c>
      <c r="AK77" s="51"/>
      <c r="AZ77" s="81">
        <f t="shared" si="49"/>
        <v>442</v>
      </c>
      <c r="BA77" s="81">
        <f t="shared" si="49"/>
        <v>445</v>
      </c>
      <c r="BB77" s="81">
        <f t="shared" si="49"/>
        <v>440.7</v>
      </c>
      <c r="BC77" s="81">
        <f t="shared" si="49"/>
        <v>475</v>
      </c>
      <c r="BD77" s="81">
        <f t="shared" si="49"/>
        <v>515</v>
      </c>
      <c r="BE77" s="81">
        <f t="shared" si="49"/>
        <v>484.4</v>
      </c>
      <c r="BF77" s="81">
        <f t="shared" si="49"/>
        <v>315</v>
      </c>
      <c r="BG77" s="81">
        <f t="shared" si="49"/>
        <v>384.1</v>
      </c>
      <c r="BH77" s="81">
        <f t="shared" si="49"/>
        <v>384</v>
      </c>
      <c r="BI77" s="81">
        <f t="shared" si="49"/>
        <v>420</v>
      </c>
      <c r="BJ77" s="81">
        <f t="shared" si="49"/>
        <v>425</v>
      </c>
      <c r="BK77" s="81">
        <f t="shared" si="49"/>
        <v>487</v>
      </c>
      <c r="BL77" s="81">
        <f t="shared" si="49"/>
        <v>487</v>
      </c>
      <c r="BM77" s="81">
        <f t="shared" si="49"/>
        <v>532.5</v>
      </c>
      <c r="BN77" s="81">
        <f t="shared" si="49"/>
        <v>433</v>
      </c>
      <c r="BO77" s="81">
        <f t="shared" si="49"/>
        <v>563</v>
      </c>
      <c r="BP77" s="81">
        <f t="shared" si="49"/>
        <v>489</v>
      </c>
      <c r="BQ77" s="81">
        <f t="shared" si="49"/>
        <v>384</v>
      </c>
      <c r="BR77" s="81">
        <f t="shared" si="49"/>
        <v>362.4</v>
      </c>
      <c r="BS77" s="81">
        <f t="shared" si="49"/>
        <v>376.1</v>
      </c>
      <c r="BT77" s="81">
        <f t="shared" si="49"/>
        <v>391.6</v>
      </c>
      <c r="BU77" s="81">
        <f t="shared" si="49"/>
        <v>382.9</v>
      </c>
      <c r="BV77" s="81">
        <f t="shared" si="49"/>
        <v>404.6</v>
      </c>
      <c r="BW77" s="81">
        <f t="shared" si="49"/>
        <v>427</v>
      </c>
    </row>
    <row r="78" spans="1:75" x14ac:dyDescent="0.25">
      <c r="A78" s="64" t="s">
        <v>101</v>
      </c>
      <c r="B78" s="75"/>
      <c r="C78" s="75"/>
      <c r="D78" s="75"/>
      <c r="E78" s="75"/>
      <c r="F78" s="75"/>
      <c r="G78" s="75"/>
      <c r="H78" s="75">
        <v>12.7</v>
      </c>
      <c r="I78" s="75">
        <v>26.8</v>
      </c>
      <c r="J78" s="75">
        <v>27.2</v>
      </c>
      <c r="K78" s="75">
        <v>27.3</v>
      </c>
      <c r="L78" s="75">
        <v>27.3</v>
      </c>
      <c r="M78" s="75">
        <v>8.3000000000000007</v>
      </c>
      <c r="N78" s="75">
        <v>3.9</v>
      </c>
      <c r="O78" s="75"/>
      <c r="P78" s="75"/>
      <c r="Q78" s="75"/>
      <c r="R78" s="75"/>
      <c r="S78" s="75"/>
      <c r="T78" s="75"/>
      <c r="U78" s="75"/>
      <c r="V78" s="75"/>
      <c r="W78" s="75">
        <v>4.5</v>
      </c>
      <c r="X78" s="75">
        <v>18</v>
      </c>
      <c r="Y78" s="75">
        <v>24.1</v>
      </c>
      <c r="Z78" s="75">
        <v>24.1</v>
      </c>
      <c r="AA78" s="75">
        <v>27.7</v>
      </c>
      <c r="AB78" s="75">
        <v>27.7</v>
      </c>
      <c r="AC78" s="75">
        <v>10.6</v>
      </c>
      <c r="AD78" s="75">
        <v>11.9</v>
      </c>
      <c r="AE78" s="75">
        <v>13.5</v>
      </c>
      <c r="AF78" s="75">
        <v>0</v>
      </c>
      <c r="AG78" s="65">
        <v>32</v>
      </c>
      <c r="AH78" s="48">
        <f t="shared" si="8"/>
        <v>27.7</v>
      </c>
      <c r="AI78" s="49">
        <f t="shared" si="9"/>
        <v>0</v>
      </c>
      <c r="AK78" s="51"/>
      <c r="AZ78" s="81">
        <f t="shared" si="49"/>
        <v>53</v>
      </c>
      <c r="BA78" s="81">
        <f t="shared" si="49"/>
        <v>43.5</v>
      </c>
      <c r="BB78" s="81">
        <f t="shared" si="49"/>
        <v>53</v>
      </c>
      <c r="BC78" s="81">
        <f t="shared" si="49"/>
        <v>10.5</v>
      </c>
      <c r="BD78" s="81">
        <f t="shared" si="49"/>
        <v>12</v>
      </c>
      <c r="BE78" s="81">
        <f t="shared" si="49"/>
        <v>46.6</v>
      </c>
      <c r="BF78" s="81">
        <f t="shared" si="49"/>
        <v>30.2</v>
      </c>
      <c r="BG78" s="81">
        <f t="shared" si="49"/>
        <v>35.5</v>
      </c>
      <c r="BH78" s="81">
        <f t="shared" si="49"/>
        <v>30.8</v>
      </c>
      <c r="BI78" s="81">
        <f t="shared" si="49"/>
        <v>29.7</v>
      </c>
      <c r="BJ78" s="81">
        <f t="shared" si="49"/>
        <v>45</v>
      </c>
      <c r="BK78" s="81">
        <f t="shared" si="49"/>
        <v>60</v>
      </c>
      <c r="BL78" s="81">
        <f t="shared" si="49"/>
        <v>60</v>
      </c>
      <c r="BM78" s="81">
        <f t="shared" si="49"/>
        <v>47.1</v>
      </c>
      <c r="BN78" s="81">
        <f t="shared" si="49"/>
        <v>43.3</v>
      </c>
      <c r="BO78" s="81">
        <f t="shared" si="49"/>
        <v>50.2</v>
      </c>
      <c r="BP78" s="81">
        <f t="shared" si="49"/>
        <v>48</v>
      </c>
      <c r="BQ78" s="81">
        <f t="shared" si="49"/>
        <v>6</v>
      </c>
      <c r="BR78" s="81">
        <f t="shared" si="49"/>
        <v>7.8</v>
      </c>
      <c r="BS78" s="81">
        <f t="shared" si="49"/>
        <v>6</v>
      </c>
      <c r="BT78" s="81">
        <f t="shared" si="49"/>
        <v>40.5</v>
      </c>
      <c r="BU78" s="81">
        <f t="shared" si="49"/>
        <v>48</v>
      </c>
      <c r="BV78" s="81">
        <f t="shared" si="49"/>
        <v>45.9</v>
      </c>
      <c r="BW78" s="81">
        <f t="shared" si="49"/>
        <v>50.4</v>
      </c>
    </row>
    <row r="79" spans="1:75" ht="15.75" thickBot="1" x14ac:dyDescent="0.3">
      <c r="A79" s="83" t="s">
        <v>102</v>
      </c>
      <c r="B79" s="77"/>
      <c r="C79" s="77"/>
      <c r="D79" s="77"/>
      <c r="E79" s="77"/>
      <c r="F79" s="77"/>
      <c r="G79" s="77"/>
      <c r="H79" s="77">
        <v>4.5999999999999996</v>
      </c>
      <c r="I79" s="77">
        <v>9.8000000000000007</v>
      </c>
      <c r="J79" s="77">
        <v>9.9</v>
      </c>
      <c r="K79" s="77">
        <v>9.9</v>
      </c>
      <c r="L79" s="77">
        <v>10</v>
      </c>
      <c r="M79" s="77">
        <v>3</v>
      </c>
      <c r="N79" s="77">
        <v>1.4</v>
      </c>
      <c r="O79" s="77"/>
      <c r="P79" s="77"/>
      <c r="Q79" s="77"/>
      <c r="R79" s="77"/>
      <c r="S79" s="77"/>
      <c r="T79" s="77"/>
      <c r="U79" s="77"/>
      <c r="V79" s="77"/>
      <c r="W79" s="77">
        <v>2</v>
      </c>
      <c r="X79" s="77">
        <v>6.5</v>
      </c>
      <c r="Y79" s="77">
        <v>8.8000000000000007</v>
      </c>
      <c r="Z79" s="77">
        <v>8.8000000000000007</v>
      </c>
      <c r="AA79" s="77">
        <v>8.8000000000000007</v>
      </c>
      <c r="AB79" s="77">
        <v>10.1</v>
      </c>
      <c r="AC79" s="77">
        <v>3.9</v>
      </c>
      <c r="AD79" s="77">
        <v>4.4000000000000004</v>
      </c>
      <c r="AE79" s="77">
        <v>4.9000000000000004</v>
      </c>
      <c r="AF79" s="77">
        <v>0</v>
      </c>
      <c r="AG79" s="78">
        <v>14</v>
      </c>
      <c r="AH79" s="48">
        <f t="shared" si="8"/>
        <v>10.1</v>
      </c>
      <c r="AI79" s="49">
        <f t="shared" si="9"/>
        <v>0</v>
      </c>
      <c r="AK79" s="51"/>
      <c r="AZ79" s="81">
        <f t="shared" si="49"/>
        <v>129</v>
      </c>
      <c r="BA79" s="81">
        <f t="shared" si="49"/>
        <v>104</v>
      </c>
      <c r="BB79" s="81">
        <f t="shared" si="49"/>
        <v>114.4</v>
      </c>
      <c r="BC79" s="81">
        <f t="shared" si="49"/>
        <v>114.2</v>
      </c>
      <c r="BD79" s="81">
        <f t="shared" si="49"/>
        <v>107.3</v>
      </c>
      <c r="BE79" s="81">
        <f t="shared" si="49"/>
        <v>20.2</v>
      </c>
      <c r="BF79" s="81">
        <f t="shared" si="49"/>
        <v>24.8</v>
      </c>
      <c r="BG79" s="81">
        <f t="shared" si="49"/>
        <v>31</v>
      </c>
      <c r="BH79" s="81">
        <f t="shared" si="49"/>
        <v>33.5</v>
      </c>
      <c r="BI79" s="81">
        <f t="shared" si="49"/>
        <v>34</v>
      </c>
      <c r="BJ79" s="81">
        <f t="shared" si="49"/>
        <v>66</v>
      </c>
      <c r="BK79" s="81">
        <f t="shared" si="49"/>
        <v>102.4</v>
      </c>
      <c r="BL79" s="81">
        <f t="shared" si="49"/>
        <v>102.4</v>
      </c>
      <c r="BM79" s="81">
        <f t="shared" si="49"/>
        <v>115.6</v>
      </c>
      <c r="BN79" s="81">
        <f t="shared" si="49"/>
        <v>95.7</v>
      </c>
      <c r="BO79" s="81">
        <f t="shared" si="49"/>
        <v>89.1</v>
      </c>
      <c r="BP79" s="81">
        <f t="shared" si="49"/>
        <v>90.1</v>
      </c>
      <c r="BQ79" s="81">
        <f t="shared" si="49"/>
        <v>0</v>
      </c>
      <c r="BR79" s="81">
        <f t="shared" si="49"/>
        <v>0</v>
      </c>
      <c r="BS79" s="81">
        <f t="shared" si="49"/>
        <v>0</v>
      </c>
      <c r="BT79" s="81">
        <f t="shared" si="49"/>
        <v>96</v>
      </c>
      <c r="BU79" s="81">
        <f t="shared" si="49"/>
        <v>118.5</v>
      </c>
      <c r="BV79" s="81">
        <f t="shared" si="49"/>
        <v>119.2</v>
      </c>
      <c r="BW79" s="81">
        <f t="shared" si="49"/>
        <v>120.9</v>
      </c>
    </row>
    <row r="80" spans="1:75" ht="15.75" thickBot="1" x14ac:dyDescent="0.3">
      <c r="A80" s="86" t="s">
        <v>103</v>
      </c>
      <c r="B80" s="70">
        <f t="shared" ref="B80:AA80" si="50">B77+B78+B79</f>
        <v>0</v>
      </c>
      <c r="C80" s="70">
        <f t="shared" si="50"/>
        <v>0</v>
      </c>
      <c r="D80" s="70">
        <f t="shared" si="50"/>
        <v>0</v>
      </c>
      <c r="E80" s="70">
        <f t="shared" si="50"/>
        <v>0</v>
      </c>
      <c r="F80" s="70">
        <f t="shared" si="50"/>
        <v>0</v>
      </c>
      <c r="G80" s="70">
        <f t="shared" si="50"/>
        <v>0</v>
      </c>
      <c r="H80" s="70">
        <f t="shared" si="50"/>
        <v>47.300000000000004</v>
      </c>
      <c r="I80" s="70">
        <f t="shared" si="50"/>
        <v>96.6</v>
      </c>
      <c r="J80" s="70">
        <f t="shared" si="50"/>
        <v>97.100000000000009</v>
      </c>
      <c r="K80" s="70">
        <f t="shared" si="50"/>
        <v>97.2</v>
      </c>
      <c r="L80" s="70">
        <f t="shared" si="50"/>
        <v>97.3</v>
      </c>
      <c r="M80" s="70">
        <f t="shared" si="50"/>
        <v>41.3</v>
      </c>
      <c r="N80" s="70">
        <f t="shared" si="50"/>
        <v>5.3</v>
      </c>
      <c r="O80" s="70">
        <f t="shared" si="50"/>
        <v>0</v>
      </c>
      <c r="P80" s="70">
        <f t="shared" si="50"/>
        <v>0</v>
      </c>
      <c r="Q80" s="70">
        <f t="shared" si="50"/>
        <v>0</v>
      </c>
      <c r="R80" s="70">
        <f t="shared" si="50"/>
        <v>0</v>
      </c>
      <c r="S80" s="70">
        <f t="shared" si="50"/>
        <v>0</v>
      </c>
      <c r="T80" s="70">
        <f t="shared" si="50"/>
        <v>0</v>
      </c>
      <c r="U80" s="70">
        <f t="shared" si="50"/>
        <v>0</v>
      </c>
      <c r="V80" s="70">
        <f t="shared" si="50"/>
        <v>0</v>
      </c>
      <c r="W80" s="70">
        <f t="shared" ref="W80:X80" si="51">W77+W78+W79</f>
        <v>20.5</v>
      </c>
      <c r="X80" s="70">
        <f t="shared" si="51"/>
        <v>74.5</v>
      </c>
      <c r="Y80" s="70">
        <f>Y77+Y78+Y79</f>
        <v>92.899999999999991</v>
      </c>
      <c r="Z80" s="70">
        <f>Z77+Z78+Z79</f>
        <v>92.899999999999991</v>
      </c>
      <c r="AA80" s="70">
        <f t="shared" si="50"/>
        <v>96.5</v>
      </c>
      <c r="AB80" s="70">
        <f t="shared" ref="AB80:AC80" si="52">AB77+AB78+AB79</f>
        <v>97.8</v>
      </c>
      <c r="AC80" s="70">
        <f t="shared" si="52"/>
        <v>28.5</v>
      </c>
      <c r="AD80" s="70">
        <f t="shared" ref="AD80:AE80" si="53">AD77+AD78+AD79</f>
        <v>30.299999999999997</v>
      </c>
      <c r="AE80" s="70">
        <f t="shared" si="53"/>
        <v>48.4</v>
      </c>
      <c r="AF80" s="70">
        <f t="shared" ref="AF80" si="54">AF77+AF78+AF79</f>
        <v>0</v>
      </c>
      <c r="AG80" s="71">
        <f>SUM(AG77:AG79)</f>
        <v>106</v>
      </c>
      <c r="AH80" s="48">
        <f t="shared" si="8"/>
        <v>97.8</v>
      </c>
      <c r="AI80" s="49">
        <f t="shared" si="9"/>
        <v>0</v>
      </c>
      <c r="AK80" s="51"/>
      <c r="AZ80" s="81">
        <f t="shared" si="49"/>
        <v>60</v>
      </c>
      <c r="BA80" s="81">
        <f t="shared" si="49"/>
        <v>46</v>
      </c>
      <c r="BB80" s="81">
        <f t="shared" si="49"/>
        <v>50</v>
      </c>
      <c r="BC80" s="81">
        <f t="shared" si="49"/>
        <v>55</v>
      </c>
      <c r="BD80" s="81">
        <f t="shared" si="49"/>
        <v>65</v>
      </c>
      <c r="BE80" s="81">
        <f t="shared" si="49"/>
        <v>72</v>
      </c>
      <c r="BF80" s="81">
        <f t="shared" si="49"/>
        <v>72</v>
      </c>
      <c r="BG80" s="81">
        <f t="shared" si="49"/>
        <v>62</v>
      </c>
      <c r="BH80" s="81">
        <f t="shared" si="49"/>
        <v>62</v>
      </c>
      <c r="BI80" s="81">
        <f t="shared" si="49"/>
        <v>60</v>
      </c>
      <c r="BJ80" s="81">
        <f t="shared" si="49"/>
        <v>79</v>
      </c>
      <c r="BK80" s="81">
        <f t="shared" si="49"/>
        <v>71</v>
      </c>
      <c r="BL80" s="81">
        <f t="shared" si="49"/>
        <v>71</v>
      </c>
      <c r="BM80" s="81">
        <f t="shared" si="49"/>
        <v>62.1</v>
      </c>
      <c r="BN80" s="81">
        <f t="shared" si="49"/>
        <v>62.1</v>
      </c>
      <c r="BO80" s="81">
        <f t="shared" si="49"/>
        <v>62.1</v>
      </c>
      <c r="BP80" s="81">
        <f t="shared" si="49"/>
        <v>73</v>
      </c>
      <c r="BQ80" s="81">
        <f t="shared" si="49"/>
        <v>72</v>
      </c>
      <c r="BR80" s="81">
        <f t="shared" si="49"/>
        <v>72</v>
      </c>
      <c r="BS80" s="81">
        <f t="shared" si="49"/>
        <v>0</v>
      </c>
      <c r="BT80" s="81">
        <f t="shared" si="49"/>
        <v>0</v>
      </c>
      <c r="BU80" s="81">
        <f t="shared" si="49"/>
        <v>0</v>
      </c>
      <c r="BV80" s="81">
        <f t="shared" si="49"/>
        <v>0</v>
      </c>
      <c r="BW80" s="81">
        <f t="shared" si="49"/>
        <v>0</v>
      </c>
    </row>
    <row r="81" spans="1:64" x14ac:dyDescent="0.25">
      <c r="A81" s="45" t="s">
        <v>104</v>
      </c>
      <c r="B81" s="46">
        <v>56.3</v>
      </c>
      <c r="C81" s="46">
        <v>53.5</v>
      </c>
      <c r="D81" s="46">
        <v>62.3</v>
      </c>
      <c r="E81" s="46">
        <v>49.3</v>
      </c>
      <c r="F81" s="46">
        <v>56.3</v>
      </c>
      <c r="G81" s="46">
        <v>60.4</v>
      </c>
      <c r="H81" s="46">
        <v>54.3</v>
      </c>
      <c r="I81" s="46">
        <v>59.3</v>
      </c>
      <c r="J81" s="46">
        <v>53</v>
      </c>
      <c r="K81" s="46">
        <v>46</v>
      </c>
      <c r="L81" s="46">
        <v>50.9</v>
      </c>
      <c r="M81" s="46">
        <v>46.7</v>
      </c>
      <c r="N81" s="46">
        <v>38.299999999999997</v>
      </c>
      <c r="O81" s="46">
        <v>54</v>
      </c>
      <c r="P81" s="46">
        <v>64</v>
      </c>
      <c r="Q81" s="46">
        <v>57.6</v>
      </c>
      <c r="R81" s="46">
        <v>57.6</v>
      </c>
      <c r="S81" s="46">
        <v>64.400000000000006</v>
      </c>
      <c r="T81" s="46">
        <v>72.400000000000006</v>
      </c>
      <c r="U81" s="46">
        <v>65</v>
      </c>
      <c r="V81" s="46">
        <v>76.3</v>
      </c>
      <c r="W81" s="46">
        <v>72</v>
      </c>
      <c r="X81" s="46">
        <v>60</v>
      </c>
      <c r="Y81" s="46">
        <v>54.9</v>
      </c>
      <c r="Z81" s="46">
        <v>68</v>
      </c>
      <c r="AA81" s="46">
        <v>57.3</v>
      </c>
      <c r="AB81" s="46">
        <v>52</v>
      </c>
      <c r="AC81" s="46">
        <v>62.1</v>
      </c>
      <c r="AD81" s="46">
        <v>59.6</v>
      </c>
      <c r="AE81" s="46">
        <v>54.1</v>
      </c>
      <c r="AF81" s="46">
        <v>51.7</v>
      </c>
      <c r="AG81" s="60"/>
      <c r="AH81" s="48">
        <f t="shared" si="8"/>
        <v>76.3</v>
      </c>
      <c r="AI81" s="49">
        <f t="shared" si="9"/>
        <v>38.299999999999997</v>
      </c>
      <c r="AK81" s="51"/>
      <c r="AY81" s="81"/>
    </row>
    <row r="82" spans="1:64" x14ac:dyDescent="0.25">
      <c r="A82" s="64" t="s">
        <v>105</v>
      </c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65"/>
      <c r="AH82" s="48">
        <f t="shared" ref="AH82:AH123" si="55">MAX(B82:AF82)</f>
        <v>0</v>
      </c>
      <c r="AI82" s="49">
        <f t="shared" ref="AI82:AI123" si="56">MIN(B82:AF82)</f>
        <v>0</v>
      </c>
      <c r="AK82" s="51"/>
      <c r="AY82" s="81"/>
      <c r="BF82" s="81"/>
      <c r="BG82" s="81"/>
      <c r="BH82" s="81"/>
      <c r="BI82" s="81"/>
      <c r="BJ82" s="81"/>
      <c r="BK82" s="81"/>
    </row>
    <row r="83" spans="1:64" x14ac:dyDescent="0.25">
      <c r="A83" s="64" t="s">
        <v>106</v>
      </c>
      <c r="B83" s="75">
        <v>427</v>
      </c>
      <c r="C83" s="75">
        <v>442</v>
      </c>
      <c r="D83" s="75">
        <v>445</v>
      </c>
      <c r="E83" s="75">
        <v>440.7</v>
      </c>
      <c r="F83" s="75">
        <v>475</v>
      </c>
      <c r="G83" s="75">
        <v>515</v>
      </c>
      <c r="H83" s="75">
        <v>509</v>
      </c>
      <c r="I83" s="75">
        <v>484.4</v>
      </c>
      <c r="J83" s="75">
        <v>498</v>
      </c>
      <c r="K83" s="75">
        <v>315</v>
      </c>
      <c r="L83" s="75">
        <v>300.8</v>
      </c>
      <c r="M83" s="75">
        <v>384.1</v>
      </c>
      <c r="N83" s="75">
        <v>384</v>
      </c>
      <c r="O83" s="75">
        <v>420</v>
      </c>
      <c r="P83" s="75">
        <v>425</v>
      </c>
      <c r="Q83" s="75">
        <v>487</v>
      </c>
      <c r="R83" s="75">
        <v>487</v>
      </c>
      <c r="S83" s="75">
        <v>532.5</v>
      </c>
      <c r="T83" s="75">
        <v>433</v>
      </c>
      <c r="U83" s="75">
        <v>563</v>
      </c>
      <c r="V83" s="75">
        <v>489</v>
      </c>
      <c r="W83" s="75">
        <v>490</v>
      </c>
      <c r="X83" s="75">
        <v>384</v>
      </c>
      <c r="Y83" s="75">
        <v>389</v>
      </c>
      <c r="Z83" s="75">
        <v>362.4</v>
      </c>
      <c r="AA83" s="75">
        <v>392</v>
      </c>
      <c r="AB83" s="75">
        <v>376.1</v>
      </c>
      <c r="AC83" s="75">
        <v>406</v>
      </c>
      <c r="AD83" s="75">
        <v>391.6</v>
      </c>
      <c r="AE83" s="75">
        <v>382.9</v>
      </c>
      <c r="AF83" s="75">
        <v>404.6</v>
      </c>
      <c r="AG83" s="87"/>
      <c r="AH83" s="48">
        <f t="shared" si="55"/>
        <v>563</v>
      </c>
      <c r="AI83" s="49">
        <f t="shared" si="56"/>
        <v>300.8</v>
      </c>
      <c r="AK83" s="51"/>
      <c r="AY83" s="81"/>
      <c r="BF83" s="80"/>
      <c r="BG83" s="80"/>
      <c r="BH83" s="80"/>
      <c r="BI83" s="80"/>
      <c r="BJ83" s="80"/>
      <c r="BK83" s="81"/>
    </row>
    <row r="84" spans="1:64" x14ac:dyDescent="0.25">
      <c r="A84" s="64" t="s">
        <v>107</v>
      </c>
      <c r="B84" s="75">
        <v>50.4</v>
      </c>
      <c r="C84" s="75">
        <v>52.8</v>
      </c>
      <c r="D84" s="75">
        <v>43.5</v>
      </c>
      <c r="E84" s="88">
        <v>53</v>
      </c>
      <c r="F84" s="88">
        <v>10.5</v>
      </c>
      <c r="G84" s="88">
        <v>12</v>
      </c>
      <c r="H84" s="88">
        <v>14</v>
      </c>
      <c r="I84" s="88">
        <v>46.6</v>
      </c>
      <c r="J84" s="88">
        <v>51</v>
      </c>
      <c r="K84" s="88">
        <v>30.2</v>
      </c>
      <c r="L84" s="88">
        <v>32.700000000000003</v>
      </c>
      <c r="M84" s="88">
        <v>35.5</v>
      </c>
      <c r="N84" s="88">
        <v>30.8</v>
      </c>
      <c r="O84" s="88">
        <v>29.7</v>
      </c>
      <c r="P84" s="88">
        <v>45</v>
      </c>
      <c r="Q84" s="88">
        <v>60</v>
      </c>
      <c r="R84" s="88">
        <v>60</v>
      </c>
      <c r="S84" s="88">
        <v>47.1</v>
      </c>
      <c r="T84" s="88">
        <v>43.3</v>
      </c>
      <c r="U84" s="88">
        <v>50.2</v>
      </c>
      <c r="V84" s="88">
        <v>48</v>
      </c>
      <c r="W84" s="88">
        <v>6</v>
      </c>
      <c r="X84" s="88">
        <v>6</v>
      </c>
      <c r="Y84" s="88">
        <v>7.6</v>
      </c>
      <c r="Z84" s="88">
        <v>7.8</v>
      </c>
      <c r="AA84" s="88">
        <v>7.8</v>
      </c>
      <c r="AB84" s="88">
        <v>6</v>
      </c>
      <c r="AC84" s="88">
        <v>35.799999999999997</v>
      </c>
      <c r="AD84" s="88">
        <v>40.5</v>
      </c>
      <c r="AE84" s="88">
        <v>48</v>
      </c>
      <c r="AF84" s="88">
        <v>45.9</v>
      </c>
      <c r="AG84" s="87"/>
      <c r="AH84" s="48">
        <f t="shared" si="55"/>
        <v>60</v>
      </c>
      <c r="AI84" s="49">
        <f t="shared" si="56"/>
        <v>6</v>
      </c>
      <c r="AK84" s="51"/>
      <c r="AY84" s="81"/>
      <c r="BF84" s="80"/>
      <c r="BG84" s="81">
        <f t="array" ref="BG84:BL107">TRANSPOSE(AZ68:BW73)</f>
        <v>54</v>
      </c>
      <c r="BH84" s="81">
        <v>0</v>
      </c>
      <c r="BI84" s="81">
        <v>442</v>
      </c>
      <c r="BJ84" s="81">
        <v>53</v>
      </c>
      <c r="BK84" s="81">
        <v>129</v>
      </c>
      <c r="BL84" s="81">
        <v>60</v>
      </c>
    </row>
    <row r="85" spans="1:64" x14ac:dyDescent="0.25">
      <c r="A85" s="64" t="s">
        <v>108</v>
      </c>
      <c r="B85" s="46">
        <v>120.9</v>
      </c>
      <c r="C85" s="46">
        <v>129</v>
      </c>
      <c r="D85" s="46">
        <v>104</v>
      </c>
      <c r="E85" s="46">
        <v>114.4</v>
      </c>
      <c r="F85" s="46">
        <v>114.2</v>
      </c>
      <c r="G85" s="46">
        <v>107.3</v>
      </c>
      <c r="H85" s="46">
        <v>18</v>
      </c>
      <c r="I85" s="46">
        <v>20.2</v>
      </c>
      <c r="J85" s="46">
        <v>23.2</v>
      </c>
      <c r="K85" s="46">
        <v>24.8</v>
      </c>
      <c r="L85" s="46">
        <v>29.7</v>
      </c>
      <c r="M85" s="46">
        <v>31</v>
      </c>
      <c r="N85" s="46">
        <v>33.5</v>
      </c>
      <c r="O85" s="46">
        <v>34</v>
      </c>
      <c r="P85" s="46">
        <v>66</v>
      </c>
      <c r="Q85" s="46">
        <v>102.4</v>
      </c>
      <c r="R85" s="46">
        <v>102.4</v>
      </c>
      <c r="S85" s="46">
        <v>115.6</v>
      </c>
      <c r="T85" s="46">
        <v>95.7</v>
      </c>
      <c r="U85" s="46">
        <v>89.1</v>
      </c>
      <c r="V85" s="46">
        <v>90.1</v>
      </c>
      <c r="W85" s="46">
        <v>0</v>
      </c>
      <c r="X85" s="46">
        <v>0</v>
      </c>
      <c r="Y85" s="46">
        <v>0</v>
      </c>
      <c r="Z85" s="46">
        <v>0</v>
      </c>
      <c r="AA85" s="46">
        <v>0</v>
      </c>
      <c r="AB85" s="46">
        <v>0</v>
      </c>
      <c r="AC85" s="46">
        <v>101.3</v>
      </c>
      <c r="AD85" s="46">
        <v>96</v>
      </c>
      <c r="AE85" s="46">
        <v>118.5</v>
      </c>
      <c r="AF85" s="46">
        <v>119.2</v>
      </c>
      <c r="AG85" s="87"/>
      <c r="AH85" s="48">
        <f t="shared" si="55"/>
        <v>129</v>
      </c>
      <c r="AI85" s="49">
        <f t="shared" si="56"/>
        <v>0</v>
      </c>
      <c r="AK85" s="51"/>
      <c r="AY85" s="81"/>
      <c r="BF85" s="80"/>
      <c r="BG85" s="81">
        <v>62.3</v>
      </c>
      <c r="BH85" s="81">
        <v>0</v>
      </c>
      <c r="BI85" s="81">
        <v>445</v>
      </c>
      <c r="BJ85" s="81">
        <v>43.5</v>
      </c>
      <c r="BK85" s="81">
        <v>104</v>
      </c>
      <c r="BL85" s="81">
        <v>46</v>
      </c>
    </row>
    <row r="86" spans="1:64" x14ac:dyDescent="0.25">
      <c r="A86" s="64" t="s">
        <v>109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7"/>
      <c r="AH86" s="48">
        <f t="shared" si="55"/>
        <v>0</v>
      </c>
      <c r="AI86" s="49">
        <f t="shared" si="56"/>
        <v>0</v>
      </c>
      <c r="AK86" s="51"/>
      <c r="AY86" s="81"/>
      <c r="BF86" s="80"/>
      <c r="BG86" s="81">
        <v>49.3</v>
      </c>
      <c r="BH86" s="81">
        <v>0</v>
      </c>
      <c r="BI86" s="81">
        <v>440.7</v>
      </c>
      <c r="BJ86" s="81">
        <v>53</v>
      </c>
      <c r="BK86" s="81">
        <v>114.4</v>
      </c>
      <c r="BL86" s="81">
        <v>50</v>
      </c>
    </row>
    <row r="87" spans="1:64" ht="15.75" thickBot="1" x14ac:dyDescent="0.3">
      <c r="A87" s="64" t="s">
        <v>110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7"/>
      <c r="AH87" s="48">
        <f t="shared" si="55"/>
        <v>0</v>
      </c>
      <c r="AI87" s="49">
        <f t="shared" si="56"/>
        <v>0</v>
      </c>
      <c r="AK87" s="51"/>
      <c r="AL87" s="90" t="s">
        <v>111</v>
      </c>
      <c r="AM87" s="90"/>
      <c r="AY87" s="81"/>
      <c r="BF87" s="81"/>
      <c r="BG87" s="81">
        <v>56.3</v>
      </c>
      <c r="BH87" s="81">
        <v>0</v>
      </c>
      <c r="BI87" s="81">
        <v>475</v>
      </c>
      <c r="BJ87" s="81">
        <v>10.5</v>
      </c>
      <c r="BK87" s="81">
        <v>114.2</v>
      </c>
      <c r="BL87" s="81">
        <v>55</v>
      </c>
    </row>
    <row r="88" spans="1:64" x14ac:dyDescent="0.25">
      <c r="A88" s="64" t="s">
        <v>112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7"/>
      <c r="AH88" s="48">
        <f t="shared" si="55"/>
        <v>0</v>
      </c>
      <c r="AI88" s="49">
        <f t="shared" si="56"/>
        <v>0</v>
      </c>
      <c r="AK88" s="91"/>
      <c r="AL88" s="92"/>
      <c r="AM88" s="92"/>
      <c r="AN88" s="93"/>
      <c r="AY88" s="81"/>
      <c r="BF88" s="81"/>
      <c r="BG88" s="81">
        <v>60.4</v>
      </c>
      <c r="BH88" s="81">
        <v>0</v>
      </c>
      <c r="BI88" s="81">
        <v>515</v>
      </c>
      <c r="BJ88" s="81">
        <v>12</v>
      </c>
      <c r="BK88" s="81">
        <v>107.3</v>
      </c>
      <c r="BL88" s="81">
        <v>65</v>
      </c>
    </row>
    <row r="89" spans="1:64" x14ac:dyDescent="0.25">
      <c r="A89" s="64" t="s">
        <v>113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7"/>
      <c r="AH89" s="48">
        <f t="shared" si="55"/>
        <v>0</v>
      </c>
      <c r="AI89" s="49">
        <f t="shared" si="56"/>
        <v>0</v>
      </c>
      <c r="AK89" s="94" t="s">
        <v>114</v>
      </c>
      <c r="AL89" s="75"/>
      <c r="AM89" s="88"/>
      <c r="AN89" s="95"/>
      <c r="AY89" s="81"/>
      <c r="BF89" s="81"/>
      <c r="BG89" s="81">
        <v>59.3</v>
      </c>
      <c r="BH89" s="81">
        <v>0</v>
      </c>
      <c r="BI89" s="81">
        <v>484.4</v>
      </c>
      <c r="BJ89" s="81">
        <v>46.6</v>
      </c>
      <c r="BK89" s="81">
        <v>20.2</v>
      </c>
      <c r="BL89" s="81">
        <v>72</v>
      </c>
    </row>
    <row r="90" spans="1:64" x14ac:dyDescent="0.25">
      <c r="A90" s="96" t="s">
        <v>115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97"/>
      <c r="AH90" s="48">
        <f t="shared" si="55"/>
        <v>0</v>
      </c>
      <c r="AI90" s="49">
        <f t="shared" si="56"/>
        <v>0</v>
      </c>
      <c r="AK90" s="94" t="s">
        <v>116</v>
      </c>
      <c r="AL90" s="88"/>
      <c r="AM90" s="88"/>
      <c r="AN90" s="95"/>
      <c r="AY90" s="81"/>
      <c r="BF90" s="81"/>
      <c r="BG90" s="81">
        <v>46</v>
      </c>
      <c r="BH90" s="81">
        <v>0</v>
      </c>
      <c r="BI90" s="81">
        <v>315</v>
      </c>
      <c r="BJ90" s="81">
        <v>30.2</v>
      </c>
      <c r="BK90" s="81">
        <v>24.8</v>
      </c>
      <c r="BL90" s="81">
        <v>72</v>
      </c>
    </row>
    <row r="91" spans="1:64" ht="15.75" thickBot="1" x14ac:dyDescent="0.3">
      <c r="A91" s="96" t="s">
        <v>117</v>
      </c>
      <c r="B91" s="89">
        <v>0</v>
      </c>
      <c r="C91" s="89">
        <v>60</v>
      </c>
      <c r="D91" s="89">
        <v>46</v>
      </c>
      <c r="E91" s="89">
        <v>50</v>
      </c>
      <c r="F91" s="89">
        <v>55</v>
      </c>
      <c r="G91" s="89">
        <v>65</v>
      </c>
      <c r="H91" s="89">
        <v>70</v>
      </c>
      <c r="I91" s="89">
        <v>72</v>
      </c>
      <c r="J91" s="89">
        <v>75</v>
      </c>
      <c r="K91" s="89">
        <v>72</v>
      </c>
      <c r="L91" s="89">
        <v>75</v>
      </c>
      <c r="M91" s="89">
        <v>62</v>
      </c>
      <c r="N91" s="89">
        <v>62</v>
      </c>
      <c r="O91" s="89">
        <v>60</v>
      </c>
      <c r="P91" s="89">
        <v>79</v>
      </c>
      <c r="Q91" s="89">
        <v>71</v>
      </c>
      <c r="R91" s="89">
        <v>71</v>
      </c>
      <c r="S91" s="89">
        <v>62.1</v>
      </c>
      <c r="T91" s="89">
        <v>62.1</v>
      </c>
      <c r="U91" s="89">
        <v>62.1</v>
      </c>
      <c r="V91" s="89">
        <v>73</v>
      </c>
      <c r="W91" s="89">
        <v>72</v>
      </c>
      <c r="X91" s="89">
        <v>72</v>
      </c>
      <c r="Y91" s="89">
        <v>72</v>
      </c>
      <c r="Z91" s="89">
        <v>72</v>
      </c>
      <c r="AA91" s="89">
        <v>0</v>
      </c>
      <c r="AB91" s="89">
        <v>0</v>
      </c>
      <c r="AC91" s="89">
        <v>0</v>
      </c>
      <c r="AD91" s="89">
        <v>0</v>
      </c>
      <c r="AE91" s="89">
        <v>0</v>
      </c>
      <c r="AF91" s="89">
        <v>0</v>
      </c>
      <c r="AG91" s="97"/>
      <c r="AH91" s="48">
        <f t="shared" si="55"/>
        <v>79</v>
      </c>
      <c r="AI91" s="49">
        <f t="shared" si="56"/>
        <v>0</v>
      </c>
      <c r="AK91" s="98"/>
      <c r="AL91" s="46"/>
      <c r="AM91" s="46"/>
      <c r="AN91" s="99"/>
      <c r="AY91" s="81"/>
      <c r="BF91" s="81"/>
      <c r="BG91" s="81">
        <v>46.7</v>
      </c>
      <c r="BH91" s="81">
        <v>0</v>
      </c>
      <c r="BI91" s="81">
        <v>384.1</v>
      </c>
      <c r="BJ91" s="81">
        <v>35.5</v>
      </c>
      <c r="BK91" s="81">
        <v>31</v>
      </c>
      <c r="BL91" s="81">
        <v>62</v>
      </c>
    </row>
    <row r="92" spans="1:64" ht="15.75" thickBot="1" x14ac:dyDescent="0.3">
      <c r="A92" s="86" t="s">
        <v>118</v>
      </c>
      <c r="B92" s="70">
        <f t="shared" ref="B92:AA92" si="57">SUMIF(B81:B91,"&gt;0")</f>
        <v>654.6</v>
      </c>
      <c r="C92" s="70">
        <f t="shared" si="57"/>
        <v>737.3</v>
      </c>
      <c r="D92" s="70">
        <f t="shared" si="57"/>
        <v>700.8</v>
      </c>
      <c r="E92" s="70">
        <f t="shared" si="57"/>
        <v>707.4</v>
      </c>
      <c r="F92" s="70">
        <f t="shared" si="57"/>
        <v>711</v>
      </c>
      <c r="G92" s="70">
        <f t="shared" si="57"/>
        <v>759.69999999999993</v>
      </c>
      <c r="H92" s="70">
        <f t="shared" si="57"/>
        <v>665.3</v>
      </c>
      <c r="I92" s="70">
        <f t="shared" si="57"/>
        <v>682.5</v>
      </c>
      <c r="J92" s="70">
        <f t="shared" si="57"/>
        <v>700.2</v>
      </c>
      <c r="K92" s="70">
        <f t="shared" si="57"/>
        <v>488</v>
      </c>
      <c r="L92" s="70">
        <f t="shared" si="57"/>
        <v>489.09999999999997</v>
      </c>
      <c r="M92" s="70">
        <f t="shared" si="57"/>
        <v>559.29999999999995</v>
      </c>
      <c r="N92" s="70">
        <f t="shared" si="57"/>
        <v>548.6</v>
      </c>
      <c r="O92" s="70">
        <f t="shared" si="57"/>
        <v>597.70000000000005</v>
      </c>
      <c r="P92" s="70">
        <f t="shared" si="57"/>
        <v>679</v>
      </c>
      <c r="Q92" s="70">
        <f t="shared" si="57"/>
        <v>778</v>
      </c>
      <c r="R92" s="70">
        <f t="shared" si="57"/>
        <v>778</v>
      </c>
      <c r="S92" s="70">
        <f t="shared" si="57"/>
        <v>821.7</v>
      </c>
      <c r="T92" s="70">
        <f t="shared" si="57"/>
        <v>706.5</v>
      </c>
      <c r="U92" s="70">
        <f t="shared" si="57"/>
        <v>829.40000000000009</v>
      </c>
      <c r="V92" s="70">
        <f t="shared" si="57"/>
        <v>776.4</v>
      </c>
      <c r="W92" s="70">
        <f t="shared" ref="W92:X92" si="58">SUMIF(W81:W91,"&gt;0")</f>
        <v>640</v>
      </c>
      <c r="X92" s="70">
        <f t="shared" si="58"/>
        <v>522</v>
      </c>
      <c r="Y92" s="70">
        <f>SUMIF(Y81:Y91,"&gt;0")</f>
        <v>523.5</v>
      </c>
      <c r="Z92" s="70">
        <f>SUMIF(Z81:Z91,"&gt;0")</f>
        <v>510.2</v>
      </c>
      <c r="AA92" s="70">
        <f t="shared" si="57"/>
        <v>457.1</v>
      </c>
      <c r="AB92" s="70">
        <f t="shared" ref="AB92:AC92" si="59">SUMIF(AB81:AB91,"&gt;0")</f>
        <v>434.1</v>
      </c>
      <c r="AC92" s="70">
        <f t="shared" si="59"/>
        <v>605.20000000000005</v>
      </c>
      <c r="AD92" s="70">
        <f t="shared" ref="AD92:AE92" si="60">SUMIF(AD81:AD91,"&gt;0")</f>
        <v>587.70000000000005</v>
      </c>
      <c r="AE92" s="70">
        <f t="shared" si="60"/>
        <v>603.5</v>
      </c>
      <c r="AF92" s="70">
        <f t="shared" ref="AF92" si="61">SUMIF(AF81:AF91,"&gt;0")</f>
        <v>621.4</v>
      </c>
      <c r="AG92" s="100">
        <f>SUM(AG81:AG91)</f>
        <v>0</v>
      </c>
      <c r="AH92" s="48">
        <f t="shared" si="55"/>
        <v>829.40000000000009</v>
      </c>
      <c r="AI92" s="49">
        <f t="shared" si="56"/>
        <v>434.1</v>
      </c>
      <c r="AK92" s="98"/>
      <c r="AL92" s="89"/>
      <c r="AM92" s="101"/>
      <c r="AN92" s="202"/>
      <c r="AY92" s="81"/>
      <c r="BF92" s="81"/>
      <c r="BG92" s="81">
        <v>38.299999999999997</v>
      </c>
      <c r="BH92" s="81">
        <v>0</v>
      </c>
      <c r="BI92" s="81">
        <v>384</v>
      </c>
      <c r="BJ92" s="81">
        <v>30.8</v>
      </c>
      <c r="BK92" s="81">
        <v>33.5</v>
      </c>
      <c r="BL92" s="81">
        <v>62</v>
      </c>
    </row>
    <row r="93" spans="1:64" x14ac:dyDescent="0.25">
      <c r="A93" s="45" t="s">
        <v>119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55"/>
        <v>0</v>
      </c>
      <c r="AI93" s="49">
        <f t="shared" si="56"/>
        <v>0</v>
      </c>
      <c r="AK93" s="98"/>
      <c r="AL93" s="89"/>
      <c r="AM93" s="89"/>
      <c r="AN93" s="203"/>
      <c r="BF93" s="81"/>
      <c r="BG93" s="81">
        <v>54</v>
      </c>
      <c r="BH93" s="81">
        <v>0</v>
      </c>
      <c r="BI93" s="81">
        <v>420</v>
      </c>
      <c r="BJ93" s="81">
        <v>29.7</v>
      </c>
      <c r="BK93" s="81">
        <v>34</v>
      </c>
      <c r="BL93" s="81">
        <v>60</v>
      </c>
    </row>
    <row r="94" spans="1:64" ht="15.75" thickBot="1" x14ac:dyDescent="0.3">
      <c r="A94" s="64" t="s">
        <v>120</v>
      </c>
      <c r="B94" s="89">
        <v>0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55"/>
        <v>0</v>
      </c>
      <c r="AI94" s="49">
        <f t="shared" si="56"/>
        <v>0</v>
      </c>
      <c r="AK94" s="103"/>
      <c r="AL94" s="104"/>
      <c r="AM94" s="104"/>
      <c r="AN94" s="105"/>
      <c r="BF94" s="81"/>
      <c r="BG94" s="81">
        <v>64</v>
      </c>
      <c r="BH94" s="81">
        <v>0</v>
      </c>
      <c r="BI94" s="81">
        <v>425</v>
      </c>
      <c r="BJ94" s="81">
        <v>45</v>
      </c>
      <c r="BK94" s="81">
        <v>66</v>
      </c>
      <c r="BL94" s="81">
        <v>79</v>
      </c>
    </row>
    <row r="95" spans="1:64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0</v>
      </c>
      <c r="Y95" s="106">
        <v>0</v>
      </c>
      <c r="Z95" s="106">
        <v>0</v>
      </c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55"/>
        <v>0</v>
      </c>
      <c r="AI95" s="49">
        <f t="shared" si="56"/>
        <v>0</v>
      </c>
      <c r="BF95" s="81"/>
      <c r="BG95" s="81">
        <v>57.6</v>
      </c>
      <c r="BH95" s="81">
        <v>0</v>
      </c>
      <c r="BI95" s="81">
        <v>487</v>
      </c>
      <c r="BJ95" s="81">
        <v>60</v>
      </c>
      <c r="BK95" s="81">
        <v>102.4</v>
      </c>
      <c r="BL95" s="81">
        <v>71</v>
      </c>
    </row>
    <row r="96" spans="1:64" ht="15.75" thickBot="1" x14ac:dyDescent="0.3">
      <c r="A96" s="86" t="s">
        <v>122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100">
        <f>SUM(AG93:AG95)</f>
        <v>55.4</v>
      </c>
      <c r="AH96" s="48">
        <f t="shared" si="55"/>
        <v>0</v>
      </c>
      <c r="AI96" s="49">
        <f t="shared" si="56"/>
        <v>0</v>
      </c>
      <c r="BF96" s="81"/>
      <c r="BG96" s="81">
        <v>57.6</v>
      </c>
      <c r="BH96" s="81">
        <v>0</v>
      </c>
      <c r="BI96" s="81">
        <v>487</v>
      </c>
      <c r="BJ96" s="81">
        <v>60</v>
      </c>
      <c r="BK96" s="81">
        <v>102.4</v>
      </c>
      <c r="BL96" s="81">
        <v>71</v>
      </c>
    </row>
    <row r="97" spans="1:64" ht="15.75" thickBot="1" x14ac:dyDescent="0.3">
      <c r="A97" s="86" t="s">
        <v>123</v>
      </c>
      <c r="B97" s="107">
        <f t="shared" ref="B97:AG97" si="62">B58+B62+B80+B76+B92+B96</f>
        <v>1314.0900000000001</v>
      </c>
      <c r="C97" s="107">
        <f t="shared" si="62"/>
        <v>1295.79</v>
      </c>
      <c r="D97" s="107">
        <f t="shared" si="62"/>
        <v>1259.29</v>
      </c>
      <c r="E97" s="107">
        <f t="shared" si="62"/>
        <v>1276.29</v>
      </c>
      <c r="F97" s="107">
        <f t="shared" si="62"/>
        <v>1278.9900000000002</v>
      </c>
      <c r="G97" s="107">
        <f t="shared" si="62"/>
        <v>1342.69</v>
      </c>
      <c r="H97" s="107">
        <f t="shared" si="62"/>
        <v>1359.29</v>
      </c>
      <c r="I97" s="107">
        <f t="shared" si="62"/>
        <v>1463.79</v>
      </c>
      <c r="J97" s="107">
        <f t="shared" si="62"/>
        <v>1641.89</v>
      </c>
      <c r="K97" s="107">
        <f t="shared" si="62"/>
        <v>1506.19</v>
      </c>
      <c r="L97" s="107">
        <f t="shared" si="62"/>
        <v>1453.4899999999998</v>
      </c>
      <c r="M97" s="107">
        <f t="shared" si="62"/>
        <v>1522.29</v>
      </c>
      <c r="N97" s="107">
        <f t="shared" si="62"/>
        <v>1317.59</v>
      </c>
      <c r="O97" s="107">
        <f t="shared" si="62"/>
        <v>1309.2900000000002</v>
      </c>
      <c r="P97" s="107">
        <f t="shared" si="62"/>
        <v>1389.99</v>
      </c>
      <c r="Q97" s="107">
        <f t="shared" si="62"/>
        <v>1494.49</v>
      </c>
      <c r="R97" s="107">
        <f t="shared" si="62"/>
        <v>1494.49</v>
      </c>
      <c r="S97" s="107">
        <f t="shared" si="62"/>
        <v>1542.79</v>
      </c>
      <c r="T97" s="107">
        <f t="shared" si="62"/>
        <v>1444.5900000000001</v>
      </c>
      <c r="U97" s="107">
        <f t="shared" si="62"/>
        <v>1555.5900000000001</v>
      </c>
      <c r="V97" s="107">
        <f t="shared" si="62"/>
        <v>1512.8899999999999</v>
      </c>
      <c r="W97" s="107">
        <f t="shared" ref="W97:X97" si="63">W58+W62+W80+W76+W92+W96</f>
        <v>1458.4900000000002</v>
      </c>
      <c r="X97" s="107">
        <f t="shared" si="63"/>
        <v>1511.49</v>
      </c>
      <c r="Y97" s="107">
        <f>Y58+Y62+Y80+Y76+Y92+Y96</f>
        <v>1632.25</v>
      </c>
      <c r="Z97" s="107">
        <f>Z58+Z62+Z80+Z76+Z92+Z96</f>
        <v>1578.8500000000001</v>
      </c>
      <c r="AA97" s="107">
        <f t="shared" si="62"/>
        <v>1498.3900000000003</v>
      </c>
      <c r="AB97" s="107">
        <f t="shared" ref="AB97:AC97" si="64">AB58+AB62+AB80+AB76+AB92+AB96</f>
        <v>1441.0900000000001</v>
      </c>
      <c r="AC97" s="107">
        <f t="shared" si="64"/>
        <v>1460.5900000000001</v>
      </c>
      <c r="AD97" s="107">
        <f t="shared" ref="AD97:AE97" si="65">AD58+AD62+AD80+AD76+AD92+AD96</f>
        <v>1447.65</v>
      </c>
      <c r="AE97" s="107">
        <f t="shared" si="65"/>
        <v>1467.19</v>
      </c>
      <c r="AF97" s="107">
        <f t="shared" ref="AF97" si="66">AF58+AF62+AF80+AF76+AF92+AF96</f>
        <v>1383.3899999999999</v>
      </c>
      <c r="AG97" s="71">
        <f t="shared" si="62"/>
        <v>2231.81</v>
      </c>
      <c r="AH97" s="48">
        <f t="shared" si="55"/>
        <v>1641.89</v>
      </c>
      <c r="AI97" s="49">
        <f t="shared" si="56"/>
        <v>1259.29</v>
      </c>
      <c r="BF97" s="81"/>
      <c r="BG97" s="81">
        <v>64.400000000000006</v>
      </c>
      <c r="BH97" s="81">
        <v>0</v>
      </c>
      <c r="BI97" s="81">
        <v>532.5</v>
      </c>
      <c r="BJ97" s="81">
        <v>47.1</v>
      </c>
      <c r="BK97" s="81">
        <v>115.6</v>
      </c>
      <c r="BL97" s="81">
        <v>62.1</v>
      </c>
    </row>
    <row r="98" spans="1:64" ht="15.75" thickBot="1" x14ac:dyDescent="0.3">
      <c r="A98" s="108" t="s">
        <v>124</v>
      </c>
      <c r="B98" s="109"/>
      <c r="C98" s="109"/>
      <c r="D98" s="109"/>
      <c r="E98" s="109"/>
      <c r="F98" s="109"/>
      <c r="G98" s="109"/>
      <c r="H98" s="109"/>
      <c r="I98" s="109"/>
      <c r="J98" s="109"/>
      <c r="K98" s="109">
        <v>150</v>
      </c>
      <c r="L98" s="109">
        <v>300</v>
      </c>
      <c r="M98" s="109">
        <v>300</v>
      </c>
      <c r="N98" s="109">
        <v>250</v>
      </c>
      <c r="O98" s="109">
        <v>250</v>
      </c>
      <c r="P98" s="109"/>
      <c r="Q98" s="109"/>
      <c r="R98" s="109"/>
      <c r="S98" s="109"/>
      <c r="T98" s="109"/>
      <c r="U98" s="109"/>
      <c r="V98" s="109">
        <v>100</v>
      </c>
      <c r="W98" s="109">
        <v>101</v>
      </c>
      <c r="X98" s="109">
        <v>200</v>
      </c>
      <c r="Y98" s="109">
        <v>200</v>
      </c>
      <c r="Z98" s="109">
        <v>250</v>
      </c>
      <c r="AA98" s="109">
        <v>250</v>
      </c>
      <c r="AB98" s="109">
        <v>250</v>
      </c>
      <c r="AC98" s="109">
        <v>200</v>
      </c>
      <c r="AD98" s="109">
        <v>150</v>
      </c>
      <c r="AE98" s="109">
        <v>0</v>
      </c>
      <c r="AF98" s="109">
        <v>0</v>
      </c>
      <c r="AG98" s="100"/>
      <c r="AH98" s="48">
        <f t="shared" si="55"/>
        <v>300</v>
      </c>
      <c r="AI98" s="49">
        <f t="shared" si="56"/>
        <v>0</v>
      </c>
      <c r="BF98" s="81"/>
      <c r="BG98" s="81">
        <v>72.400000000000006</v>
      </c>
      <c r="BH98" s="81">
        <v>0</v>
      </c>
      <c r="BI98" s="81">
        <v>433</v>
      </c>
      <c r="BJ98" s="81">
        <v>43.3</v>
      </c>
      <c r="BK98" s="81">
        <v>95.7</v>
      </c>
      <c r="BL98" s="81">
        <v>62.1</v>
      </c>
    </row>
    <row r="99" spans="1:64" ht="15.75" thickBot="1" x14ac:dyDescent="0.3">
      <c r="A99" s="86" t="s">
        <v>125</v>
      </c>
      <c r="B99" s="107">
        <f t="shared" ref="B99:AA99" si="67">B97+B98</f>
        <v>1314.0900000000001</v>
      </c>
      <c r="C99" s="107">
        <f t="shared" si="67"/>
        <v>1295.79</v>
      </c>
      <c r="D99" s="107">
        <f t="shared" si="67"/>
        <v>1259.29</v>
      </c>
      <c r="E99" s="107">
        <f t="shared" si="67"/>
        <v>1276.29</v>
      </c>
      <c r="F99" s="107">
        <f t="shared" si="67"/>
        <v>1278.9900000000002</v>
      </c>
      <c r="G99" s="107">
        <f t="shared" si="67"/>
        <v>1342.69</v>
      </c>
      <c r="H99" s="107">
        <f t="shared" si="67"/>
        <v>1359.29</v>
      </c>
      <c r="I99" s="107">
        <f t="shared" si="67"/>
        <v>1463.79</v>
      </c>
      <c r="J99" s="107">
        <f t="shared" si="67"/>
        <v>1641.89</v>
      </c>
      <c r="K99" s="107">
        <f t="shared" si="67"/>
        <v>1656.19</v>
      </c>
      <c r="L99" s="107">
        <f t="shared" si="67"/>
        <v>1753.4899999999998</v>
      </c>
      <c r="M99" s="107">
        <f t="shared" si="67"/>
        <v>1822.29</v>
      </c>
      <c r="N99" s="107">
        <f t="shared" si="67"/>
        <v>1567.59</v>
      </c>
      <c r="O99" s="107">
        <f t="shared" si="67"/>
        <v>1559.2900000000002</v>
      </c>
      <c r="P99" s="107">
        <f t="shared" si="67"/>
        <v>1389.99</v>
      </c>
      <c r="Q99" s="107">
        <f t="shared" si="67"/>
        <v>1494.49</v>
      </c>
      <c r="R99" s="107">
        <f t="shared" si="67"/>
        <v>1494.49</v>
      </c>
      <c r="S99" s="107">
        <f t="shared" si="67"/>
        <v>1542.79</v>
      </c>
      <c r="T99" s="107">
        <f t="shared" si="67"/>
        <v>1444.5900000000001</v>
      </c>
      <c r="U99" s="107">
        <f t="shared" si="67"/>
        <v>1555.5900000000001</v>
      </c>
      <c r="V99" s="107">
        <f t="shared" si="67"/>
        <v>1612.8899999999999</v>
      </c>
      <c r="W99" s="107">
        <f t="shared" ref="W99:X99" si="68">W97+W98</f>
        <v>1559.4900000000002</v>
      </c>
      <c r="X99" s="107">
        <f t="shared" si="68"/>
        <v>1711.49</v>
      </c>
      <c r="Y99" s="107">
        <f>Y97+Y98</f>
        <v>1832.25</v>
      </c>
      <c r="Z99" s="107">
        <f>Z97+Z98</f>
        <v>1828.8500000000001</v>
      </c>
      <c r="AA99" s="107">
        <f t="shared" si="67"/>
        <v>1748.3900000000003</v>
      </c>
      <c r="AB99" s="107">
        <f t="shared" ref="AB99:AC99" si="69">AB97+AB98</f>
        <v>1691.0900000000001</v>
      </c>
      <c r="AC99" s="107">
        <f t="shared" si="69"/>
        <v>1660.5900000000001</v>
      </c>
      <c r="AD99" s="107">
        <f t="shared" ref="AD99:AE99" si="70">AD97+AD98</f>
        <v>1597.65</v>
      </c>
      <c r="AE99" s="107">
        <f t="shared" si="70"/>
        <v>1467.19</v>
      </c>
      <c r="AF99" s="107">
        <f t="shared" ref="AF99" si="71">AF97+AF98</f>
        <v>1383.3899999999999</v>
      </c>
      <c r="AG99" s="100">
        <f>AG96+AG92+AG80+AG76+AG58+AG98</f>
        <v>1693.71</v>
      </c>
      <c r="AH99" s="48">
        <f t="shared" si="55"/>
        <v>1832.25</v>
      </c>
      <c r="AI99" s="49">
        <f t="shared" si="56"/>
        <v>1259.29</v>
      </c>
      <c r="BF99" s="81"/>
      <c r="BG99" s="81">
        <v>65</v>
      </c>
      <c r="BH99" s="81">
        <v>0</v>
      </c>
      <c r="BI99" s="81">
        <v>563</v>
      </c>
      <c r="BJ99" s="81">
        <v>50.2</v>
      </c>
      <c r="BK99" s="81">
        <v>89.1</v>
      </c>
      <c r="BL99" s="81">
        <v>62.1</v>
      </c>
    </row>
    <row r="100" spans="1:64" ht="15.75" thickBot="1" x14ac:dyDescent="0.3">
      <c r="A100" s="86" t="s">
        <v>126</v>
      </c>
      <c r="B100" s="107">
        <f t="shared" ref="B100:M100" si="72">B99-(B107)</f>
        <v>1314.0900000000001</v>
      </c>
      <c r="C100" s="107">
        <f t="shared" si="72"/>
        <v>1295.79</v>
      </c>
      <c r="D100" s="107">
        <f t="shared" si="72"/>
        <v>1259.29</v>
      </c>
      <c r="E100" s="107">
        <f t="shared" si="72"/>
        <v>1276.29</v>
      </c>
      <c r="F100" s="107">
        <f t="shared" si="72"/>
        <v>1278.9900000000002</v>
      </c>
      <c r="G100" s="107">
        <f t="shared" si="72"/>
        <v>1342.69</v>
      </c>
      <c r="H100" s="107">
        <f t="shared" si="72"/>
        <v>1359.29</v>
      </c>
      <c r="I100" s="107">
        <f t="shared" si="72"/>
        <v>1463.79</v>
      </c>
      <c r="J100" s="107">
        <f t="shared" si="72"/>
        <v>1641.89</v>
      </c>
      <c r="K100" s="107">
        <f t="shared" si="72"/>
        <v>1656.19</v>
      </c>
      <c r="L100" s="107">
        <f t="shared" si="72"/>
        <v>1753.4899999999998</v>
      </c>
      <c r="M100" s="107">
        <f t="shared" si="72"/>
        <v>1822.29</v>
      </c>
      <c r="N100" s="107">
        <f>N99-(N107)</f>
        <v>1567.59</v>
      </c>
      <c r="O100" s="107">
        <f t="shared" ref="O100:AA100" si="73">O99-(O107)</f>
        <v>1559.2900000000002</v>
      </c>
      <c r="P100" s="107">
        <f t="shared" si="73"/>
        <v>1389.99</v>
      </c>
      <c r="Q100" s="107">
        <f t="shared" si="73"/>
        <v>1494.49</v>
      </c>
      <c r="R100" s="107">
        <f t="shared" si="73"/>
        <v>1494.49</v>
      </c>
      <c r="S100" s="107">
        <f t="shared" si="73"/>
        <v>1542.79</v>
      </c>
      <c r="T100" s="107">
        <f t="shared" si="73"/>
        <v>1444.5900000000001</v>
      </c>
      <c r="U100" s="107">
        <f t="shared" si="73"/>
        <v>1555.5900000000001</v>
      </c>
      <c r="V100" s="107">
        <f t="shared" si="73"/>
        <v>1612.8899999999999</v>
      </c>
      <c r="W100" s="107">
        <f t="shared" ref="W100:X100" si="74">W99-(W107)</f>
        <v>1558.4900000000002</v>
      </c>
      <c r="X100" s="107">
        <f t="shared" si="74"/>
        <v>1711.49</v>
      </c>
      <c r="Y100" s="107">
        <f t="shared" si="73"/>
        <v>1832.25</v>
      </c>
      <c r="Z100" s="107">
        <f t="shared" si="73"/>
        <v>1828.8500000000001</v>
      </c>
      <c r="AA100" s="107">
        <f t="shared" si="73"/>
        <v>1748.3900000000003</v>
      </c>
      <c r="AB100" s="107">
        <f t="shared" ref="AB100:AC100" si="75">AB99-(AB107)</f>
        <v>1691.0900000000001</v>
      </c>
      <c r="AC100" s="107">
        <f t="shared" si="75"/>
        <v>1660.5900000000001</v>
      </c>
      <c r="AD100" s="107">
        <f t="shared" ref="AD100:AE100" si="76">AD99-(AD107)</f>
        <v>1597.65</v>
      </c>
      <c r="AE100" s="107">
        <f t="shared" si="76"/>
        <v>1467.19</v>
      </c>
      <c r="AF100" s="107">
        <f t="shared" ref="AF100" si="77">AF99-(AF107)</f>
        <v>1383.3899999999999</v>
      </c>
      <c r="AG100" s="100"/>
      <c r="AH100" s="48">
        <f t="shared" si="55"/>
        <v>1832.25</v>
      </c>
      <c r="AI100" s="49">
        <f t="shared" si="56"/>
        <v>1259.29</v>
      </c>
      <c r="BF100" s="81"/>
      <c r="BG100" s="81">
        <v>76.3</v>
      </c>
      <c r="BH100" s="81">
        <v>0</v>
      </c>
      <c r="BI100" s="81">
        <v>489</v>
      </c>
      <c r="BJ100" s="81">
        <v>48</v>
      </c>
      <c r="BK100" s="81">
        <v>90.1</v>
      </c>
      <c r="BL100" s="81">
        <v>73</v>
      </c>
    </row>
    <row r="101" spans="1:64" x14ac:dyDescent="0.25">
      <c r="A101" s="45" t="s">
        <v>107</v>
      </c>
      <c r="B101" s="88">
        <f t="shared" ref="B101:AA101" si="78">IF(B84&lt;0,B84*-1,0)</f>
        <v>0</v>
      </c>
      <c r="C101" s="88">
        <f t="shared" si="78"/>
        <v>0</v>
      </c>
      <c r="D101" s="88">
        <f t="shared" si="78"/>
        <v>0</v>
      </c>
      <c r="E101" s="88">
        <f t="shared" si="78"/>
        <v>0</v>
      </c>
      <c r="F101" s="88">
        <f t="shared" si="78"/>
        <v>0</v>
      </c>
      <c r="G101" s="88">
        <f t="shared" si="78"/>
        <v>0</v>
      </c>
      <c r="H101" s="88">
        <f t="shared" si="78"/>
        <v>0</v>
      </c>
      <c r="I101" s="88">
        <f t="shared" si="78"/>
        <v>0</v>
      </c>
      <c r="J101" s="88">
        <f t="shared" si="78"/>
        <v>0</v>
      </c>
      <c r="K101" s="88">
        <f t="shared" si="78"/>
        <v>0</v>
      </c>
      <c r="L101" s="88">
        <f t="shared" si="78"/>
        <v>0</v>
      </c>
      <c r="M101" s="88">
        <f t="shared" si="78"/>
        <v>0</v>
      </c>
      <c r="N101" s="88">
        <f t="shared" si="78"/>
        <v>0</v>
      </c>
      <c r="O101" s="88">
        <f t="shared" si="78"/>
        <v>0</v>
      </c>
      <c r="P101" s="88">
        <f t="shared" si="78"/>
        <v>0</v>
      </c>
      <c r="Q101" s="88">
        <f t="shared" si="78"/>
        <v>0</v>
      </c>
      <c r="R101" s="88">
        <f t="shared" si="78"/>
        <v>0</v>
      </c>
      <c r="S101" s="88">
        <f t="shared" si="78"/>
        <v>0</v>
      </c>
      <c r="T101" s="88">
        <f t="shared" si="78"/>
        <v>0</v>
      </c>
      <c r="U101" s="88">
        <f t="shared" si="78"/>
        <v>0</v>
      </c>
      <c r="V101" s="88">
        <f t="shared" si="78"/>
        <v>0</v>
      </c>
      <c r="W101" s="88">
        <f t="shared" ref="W101:X101" si="79">IF(W84&lt;0,W84*-1,0)</f>
        <v>0</v>
      </c>
      <c r="X101" s="88">
        <f t="shared" si="79"/>
        <v>0</v>
      </c>
      <c r="Y101" s="88">
        <f t="shared" si="78"/>
        <v>0</v>
      </c>
      <c r="Z101" s="88">
        <f t="shared" si="78"/>
        <v>0</v>
      </c>
      <c r="AA101" s="88">
        <f t="shared" si="78"/>
        <v>0</v>
      </c>
      <c r="AB101" s="88">
        <f t="shared" ref="AB101:AC101" si="80">IF(AB84&lt;0,AB84*-1,0)</f>
        <v>0</v>
      </c>
      <c r="AC101" s="88">
        <f t="shared" si="80"/>
        <v>0</v>
      </c>
      <c r="AD101" s="88">
        <f t="shared" ref="AD101:AE101" si="81">IF(AD84&lt;0,AD84*-1,0)</f>
        <v>0</v>
      </c>
      <c r="AE101" s="88">
        <f t="shared" si="81"/>
        <v>0</v>
      </c>
      <c r="AF101" s="88">
        <f t="shared" ref="AF101" si="82">IF(AF84&lt;0,AF84*-1,0)</f>
        <v>0</v>
      </c>
      <c r="AG101" s="60"/>
      <c r="AH101" s="48">
        <f t="shared" si="55"/>
        <v>0</v>
      </c>
      <c r="AI101" s="49">
        <f t="shared" si="56"/>
        <v>0</v>
      </c>
      <c r="BF101" s="80"/>
      <c r="BG101" s="81">
        <v>60</v>
      </c>
      <c r="BH101" s="81">
        <v>0</v>
      </c>
      <c r="BI101" s="81">
        <v>384</v>
      </c>
      <c r="BJ101" s="81">
        <v>6</v>
      </c>
      <c r="BK101" s="81">
        <v>0</v>
      </c>
      <c r="BL101" s="81">
        <v>72</v>
      </c>
    </row>
    <row r="102" spans="1:64" x14ac:dyDescent="0.25">
      <c r="A102" s="64" t="s">
        <v>105</v>
      </c>
      <c r="B102" s="88">
        <f t="shared" ref="B102:AA102" si="83">IF(B82&lt;0,B82*-1,0)</f>
        <v>0</v>
      </c>
      <c r="C102" s="88">
        <f t="shared" si="83"/>
        <v>0</v>
      </c>
      <c r="D102" s="88">
        <f t="shared" si="83"/>
        <v>0</v>
      </c>
      <c r="E102" s="88">
        <f t="shared" si="83"/>
        <v>0</v>
      </c>
      <c r="F102" s="88">
        <f t="shared" si="83"/>
        <v>0</v>
      </c>
      <c r="G102" s="88">
        <f t="shared" si="83"/>
        <v>0</v>
      </c>
      <c r="H102" s="88">
        <f t="shared" si="83"/>
        <v>0</v>
      </c>
      <c r="I102" s="88">
        <f t="shared" si="83"/>
        <v>0</v>
      </c>
      <c r="J102" s="88">
        <f t="shared" si="83"/>
        <v>0</v>
      </c>
      <c r="K102" s="88">
        <f t="shared" si="83"/>
        <v>0</v>
      </c>
      <c r="L102" s="88">
        <f t="shared" si="83"/>
        <v>0</v>
      </c>
      <c r="M102" s="88">
        <f t="shared" si="83"/>
        <v>0</v>
      </c>
      <c r="N102" s="88">
        <f t="shared" si="83"/>
        <v>0</v>
      </c>
      <c r="O102" s="88">
        <f t="shared" si="83"/>
        <v>0</v>
      </c>
      <c r="P102" s="88">
        <f t="shared" si="83"/>
        <v>0</v>
      </c>
      <c r="Q102" s="88">
        <f t="shared" si="83"/>
        <v>0</v>
      </c>
      <c r="R102" s="88">
        <f t="shared" si="83"/>
        <v>0</v>
      </c>
      <c r="S102" s="88">
        <f t="shared" si="83"/>
        <v>0</v>
      </c>
      <c r="T102" s="88">
        <f t="shared" si="83"/>
        <v>0</v>
      </c>
      <c r="U102" s="88">
        <f t="shared" si="83"/>
        <v>0</v>
      </c>
      <c r="V102" s="88">
        <f t="shared" si="83"/>
        <v>0</v>
      </c>
      <c r="W102" s="88">
        <f t="shared" ref="W102:X102" si="84">IF(W82&lt;0,W82*-1,0)</f>
        <v>0</v>
      </c>
      <c r="X102" s="88">
        <f t="shared" si="84"/>
        <v>0</v>
      </c>
      <c r="Y102" s="88">
        <f t="shared" si="83"/>
        <v>0</v>
      </c>
      <c r="Z102" s="88">
        <f t="shared" si="83"/>
        <v>0</v>
      </c>
      <c r="AA102" s="88">
        <f t="shared" si="83"/>
        <v>0</v>
      </c>
      <c r="AB102" s="88">
        <f t="shared" ref="AB102:AC102" si="85">IF(AB82&lt;0,AB82*-1,0)</f>
        <v>0</v>
      </c>
      <c r="AC102" s="88">
        <f t="shared" si="85"/>
        <v>0</v>
      </c>
      <c r="AD102" s="88">
        <f t="shared" ref="AD102:AE102" si="86">IF(AD82&lt;0,AD82*-1,0)</f>
        <v>0</v>
      </c>
      <c r="AE102" s="88">
        <f t="shared" si="86"/>
        <v>0</v>
      </c>
      <c r="AF102" s="88">
        <f t="shared" ref="AF102" si="87">IF(AF82&lt;0,AF82*-1,0)</f>
        <v>0</v>
      </c>
      <c r="AG102" s="65"/>
      <c r="AH102" s="48">
        <f t="shared" si="55"/>
        <v>0</v>
      </c>
      <c r="AI102" s="49">
        <f t="shared" si="56"/>
        <v>0</v>
      </c>
      <c r="BF102" s="80"/>
      <c r="BG102" s="81">
        <v>68</v>
      </c>
      <c r="BH102" s="81">
        <v>0</v>
      </c>
      <c r="BI102" s="81">
        <v>362.4</v>
      </c>
      <c r="BJ102" s="81">
        <v>7.8</v>
      </c>
      <c r="BK102" s="81">
        <v>0</v>
      </c>
      <c r="BL102" s="81">
        <v>72</v>
      </c>
    </row>
    <row r="103" spans="1:64" x14ac:dyDescent="0.25">
      <c r="A103" s="96" t="s">
        <v>127</v>
      </c>
      <c r="B103" s="88">
        <f t="shared" ref="B103:AA103" si="88">IF(B85&lt;0,B85*-1,0)</f>
        <v>0</v>
      </c>
      <c r="C103" s="88">
        <f t="shared" si="88"/>
        <v>0</v>
      </c>
      <c r="D103" s="88">
        <f t="shared" si="88"/>
        <v>0</v>
      </c>
      <c r="E103" s="88">
        <f t="shared" si="88"/>
        <v>0</v>
      </c>
      <c r="F103" s="88">
        <f t="shared" si="88"/>
        <v>0</v>
      </c>
      <c r="G103" s="88">
        <f t="shared" si="88"/>
        <v>0</v>
      </c>
      <c r="H103" s="88">
        <f t="shared" si="88"/>
        <v>0</v>
      </c>
      <c r="I103" s="88">
        <f t="shared" si="88"/>
        <v>0</v>
      </c>
      <c r="J103" s="88">
        <f t="shared" si="88"/>
        <v>0</v>
      </c>
      <c r="K103" s="88">
        <f t="shared" si="88"/>
        <v>0</v>
      </c>
      <c r="L103" s="88">
        <f t="shared" si="88"/>
        <v>0</v>
      </c>
      <c r="M103" s="88">
        <f t="shared" si="88"/>
        <v>0</v>
      </c>
      <c r="N103" s="88">
        <f t="shared" si="88"/>
        <v>0</v>
      </c>
      <c r="O103" s="88">
        <f t="shared" si="88"/>
        <v>0</v>
      </c>
      <c r="P103" s="88">
        <f t="shared" si="88"/>
        <v>0</v>
      </c>
      <c r="Q103" s="88">
        <f t="shared" si="88"/>
        <v>0</v>
      </c>
      <c r="R103" s="88">
        <f t="shared" si="88"/>
        <v>0</v>
      </c>
      <c r="S103" s="88">
        <f t="shared" si="88"/>
        <v>0</v>
      </c>
      <c r="T103" s="88">
        <f t="shared" si="88"/>
        <v>0</v>
      </c>
      <c r="U103" s="88">
        <f t="shared" si="88"/>
        <v>0</v>
      </c>
      <c r="V103" s="88">
        <f t="shared" si="88"/>
        <v>0</v>
      </c>
      <c r="W103" s="88">
        <f t="shared" ref="W103:X103" si="89">IF(W85&lt;0,W85*-1,0)</f>
        <v>0</v>
      </c>
      <c r="X103" s="88">
        <f t="shared" si="89"/>
        <v>0</v>
      </c>
      <c r="Y103" s="88">
        <f t="shared" si="88"/>
        <v>0</v>
      </c>
      <c r="Z103" s="88">
        <f t="shared" si="88"/>
        <v>0</v>
      </c>
      <c r="AA103" s="88">
        <f t="shared" si="88"/>
        <v>0</v>
      </c>
      <c r="AB103" s="88">
        <f t="shared" ref="AB103:AC103" si="90">IF(AB85&lt;0,AB85*-1,0)</f>
        <v>0</v>
      </c>
      <c r="AC103" s="88">
        <f t="shared" si="90"/>
        <v>0</v>
      </c>
      <c r="AD103" s="88">
        <f t="shared" ref="AD103:AE103" si="91">IF(AD85&lt;0,AD85*-1,0)</f>
        <v>0</v>
      </c>
      <c r="AE103" s="88">
        <f t="shared" si="91"/>
        <v>0</v>
      </c>
      <c r="AF103" s="88">
        <f t="shared" ref="AF103" si="92">IF(AF85&lt;0,AF85*-1,0)</f>
        <v>0</v>
      </c>
      <c r="AG103" s="110"/>
      <c r="AH103" s="48">
        <f t="shared" si="55"/>
        <v>0</v>
      </c>
      <c r="AI103" s="49">
        <f t="shared" si="56"/>
        <v>0</v>
      </c>
      <c r="BF103" s="80"/>
      <c r="BG103" s="81">
        <v>52</v>
      </c>
      <c r="BH103" s="81">
        <v>0</v>
      </c>
      <c r="BI103" s="81">
        <v>376.1</v>
      </c>
      <c r="BJ103" s="81">
        <v>6</v>
      </c>
      <c r="BK103" s="81">
        <v>0</v>
      </c>
      <c r="BL103" s="81">
        <v>0</v>
      </c>
    </row>
    <row r="104" spans="1:64" x14ac:dyDescent="0.25">
      <c r="A104" s="96" t="s">
        <v>128</v>
      </c>
      <c r="B104" s="88">
        <f t="shared" ref="B104:AA104" si="93">IF(B83&lt;0,B83*-1,0)</f>
        <v>0</v>
      </c>
      <c r="C104" s="88">
        <f t="shared" si="93"/>
        <v>0</v>
      </c>
      <c r="D104" s="88">
        <f t="shared" si="93"/>
        <v>0</v>
      </c>
      <c r="E104" s="88">
        <f t="shared" si="93"/>
        <v>0</v>
      </c>
      <c r="F104" s="88">
        <f t="shared" si="93"/>
        <v>0</v>
      </c>
      <c r="G104" s="88">
        <f t="shared" si="93"/>
        <v>0</v>
      </c>
      <c r="H104" s="88">
        <f t="shared" si="93"/>
        <v>0</v>
      </c>
      <c r="I104" s="88">
        <f t="shared" si="93"/>
        <v>0</v>
      </c>
      <c r="J104" s="88">
        <f t="shared" si="93"/>
        <v>0</v>
      </c>
      <c r="K104" s="88">
        <f t="shared" si="93"/>
        <v>0</v>
      </c>
      <c r="L104" s="88">
        <f t="shared" si="93"/>
        <v>0</v>
      </c>
      <c r="M104" s="88">
        <f t="shared" si="93"/>
        <v>0</v>
      </c>
      <c r="N104" s="88">
        <f t="shared" si="93"/>
        <v>0</v>
      </c>
      <c r="O104" s="88">
        <f t="shared" si="93"/>
        <v>0</v>
      </c>
      <c r="P104" s="88">
        <f t="shared" si="93"/>
        <v>0</v>
      </c>
      <c r="Q104" s="88">
        <f t="shared" si="93"/>
        <v>0</v>
      </c>
      <c r="R104" s="88">
        <f t="shared" si="93"/>
        <v>0</v>
      </c>
      <c r="S104" s="88">
        <f t="shared" si="93"/>
        <v>0</v>
      </c>
      <c r="T104" s="88">
        <f t="shared" si="93"/>
        <v>0</v>
      </c>
      <c r="U104" s="88">
        <f t="shared" si="93"/>
        <v>0</v>
      </c>
      <c r="V104" s="88">
        <f t="shared" si="93"/>
        <v>0</v>
      </c>
      <c r="W104" s="88">
        <f t="shared" ref="W104:X104" si="94">IF(W83&lt;0,W83*-1,0)</f>
        <v>0</v>
      </c>
      <c r="X104" s="88">
        <f t="shared" si="94"/>
        <v>0</v>
      </c>
      <c r="Y104" s="88">
        <f t="shared" si="93"/>
        <v>0</v>
      </c>
      <c r="Z104" s="88">
        <f t="shared" si="93"/>
        <v>0</v>
      </c>
      <c r="AA104" s="88">
        <f t="shared" si="93"/>
        <v>0</v>
      </c>
      <c r="AB104" s="88">
        <f t="shared" ref="AB104:AC104" si="95">IF(AB83&lt;0,AB83*-1,0)</f>
        <v>0</v>
      </c>
      <c r="AC104" s="88">
        <f t="shared" si="95"/>
        <v>0</v>
      </c>
      <c r="AD104" s="88">
        <f t="shared" ref="AD104:AE104" si="96">IF(AD83&lt;0,AD83*-1,0)</f>
        <v>0</v>
      </c>
      <c r="AE104" s="88">
        <f t="shared" si="96"/>
        <v>0</v>
      </c>
      <c r="AF104" s="88">
        <f t="shared" ref="AF104" si="97">IF(AF83&lt;0,AF83*-1,0)</f>
        <v>0</v>
      </c>
      <c r="AG104" s="110"/>
      <c r="AH104" s="48">
        <f t="shared" si="55"/>
        <v>0</v>
      </c>
      <c r="AI104" s="49">
        <f t="shared" si="56"/>
        <v>0</v>
      </c>
      <c r="BF104" s="80"/>
      <c r="BG104" s="81">
        <v>59.6</v>
      </c>
      <c r="BH104" s="81">
        <v>0</v>
      </c>
      <c r="BI104" s="81">
        <v>391.6</v>
      </c>
      <c r="BJ104" s="81">
        <v>40.5</v>
      </c>
      <c r="BK104" s="81">
        <v>96</v>
      </c>
      <c r="BL104" s="81">
        <v>0</v>
      </c>
    </row>
    <row r="105" spans="1:64" x14ac:dyDescent="0.25">
      <c r="A105" s="96" t="s">
        <v>104</v>
      </c>
      <c r="B105" s="88">
        <f t="shared" ref="B105:AA105" si="98">IF(B81&lt;0,B81*-1,0)</f>
        <v>0</v>
      </c>
      <c r="C105" s="88">
        <f t="shared" si="98"/>
        <v>0</v>
      </c>
      <c r="D105" s="88">
        <f t="shared" si="98"/>
        <v>0</v>
      </c>
      <c r="E105" s="88">
        <f t="shared" si="98"/>
        <v>0</v>
      </c>
      <c r="F105" s="88">
        <f t="shared" si="98"/>
        <v>0</v>
      </c>
      <c r="G105" s="88">
        <f t="shared" si="98"/>
        <v>0</v>
      </c>
      <c r="H105" s="88">
        <f t="shared" si="98"/>
        <v>0</v>
      </c>
      <c r="I105" s="88">
        <f t="shared" si="98"/>
        <v>0</v>
      </c>
      <c r="J105" s="88">
        <f t="shared" si="98"/>
        <v>0</v>
      </c>
      <c r="K105" s="88">
        <f t="shared" si="98"/>
        <v>0</v>
      </c>
      <c r="L105" s="88">
        <f t="shared" si="98"/>
        <v>0</v>
      </c>
      <c r="M105" s="88">
        <f t="shared" si="98"/>
        <v>0</v>
      </c>
      <c r="N105" s="88">
        <f t="shared" si="98"/>
        <v>0</v>
      </c>
      <c r="O105" s="88">
        <f t="shared" si="98"/>
        <v>0</v>
      </c>
      <c r="P105" s="88">
        <f t="shared" si="98"/>
        <v>0</v>
      </c>
      <c r="Q105" s="88">
        <f t="shared" si="98"/>
        <v>0</v>
      </c>
      <c r="R105" s="88">
        <f t="shared" si="98"/>
        <v>0</v>
      </c>
      <c r="S105" s="88">
        <f t="shared" si="98"/>
        <v>0</v>
      </c>
      <c r="T105" s="88">
        <f t="shared" si="98"/>
        <v>0</v>
      </c>
      <c r="U105" s="88">
        <f t="shared" si="98"/>
        <v>0</v>
      </c>
      <c r="V105" s="88">
        <f t="shared" si="98"/>
        <v>0</v>
      </c>
      <c r="W105" s="88">
        <f t="shared" ref="W105:X105" si="99">IF(W81&lt;0,W81*-1,0)</f>
        <v>0</v>
      </c>
      <c r="X105" s="88">
        <f t="shared" si="99"/>
        <v>0</v>
      </c>
      <c r="Y105" s="88">
        <f t="shared" si="98"/>
        <v>0</v>
      </c>
      <c r="Z105" s="88">
        <f t="shared" si="98"/>
        <v>0</v>
      </c>
      <c r="AA105" s="88">
        <f t="shared" si="98"/>
        <v>0</v>
      </c>
      <c r="AB105" s="88">
        <f t="shared" ref="AB105:AC105" si="100">IF(AB81&lt;0,AB81*-1,0)</f>
        <v>0</v>
      </c>
      <c r="AC105" s="88">
        <f t="shared" si="100"/>
        <v>0</v>
      </c>
      <c r="AD105" s="88">
        <f t="shared" ref="AD105:AE105" si="101">IF(AD81&lt;0,AD81*-1,0)</f>
        <v>0</v>
      </c>
      <c r="AE105" s="88">
        <f t="shared" si="101"/>
        <v>0</v>
      </c>
      <c r="AF105" s="88">
        <f t="shared" ref="AF105" si="102">IF(AF81&lt;0,AF81*-1,0)</f>
        <v>0</v>
      </c>
      <c r="AG105" s="110"/>
      <c r="AH105" s="48">
        <f t="shared" si="55"/>
        <v>0</v>
      </c>
      <c r="AI105" s="49">
        <f t="shared" si="56"/>
        <v>0</v>
      </c>
      <c r="BF105" s="80"/>
      <c r="BG105" s="81">
        <v>54.1</v>
      </c>
      <c r="BH105" s="81">
        <v>0</v>
      </c>
      <c r="BI105" s="81">
        <v>382.9</v>
      </c>
      <c r="BJ105" s="81">
        <v>48</v>
      </c>
      <c r="BK105" s="81">
        <v>118.5</v>
      </c>
      <c r="BL105" s="81">
        <v>0</v>
      </c>
    </row>
    <row r="106" spans="1:64" ht="15.75" thickBot="1" x14ac:dyDescent="0.3">
      <c r="A106" s="96" t="s">
        <v>129</v>
      </c>
      <c r="B106" s="106">
        <v>0</v>
      </c>
      <c r="C106" s="106">
        <v>0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1</v>
      </c>
      <c r="X106" s="106">
        <v>2</v>
      </c>
      <c r="Y106" s="106">
        <v>0</v>
      </c>
      <c r="Z106" s="106">
        <v>0</v>
      </c>
      <c r="AA106" s="106">
        <v>0</v>
      </c>
      <c r="AB106" s="106">
        <v>0</v>
      </c>
      <c r="AC106" s="106">
        <v>0</v>
      </c>
      <c r="AD106" s="106">
        <v>0</v>
      </c>
      <c r="AE106" s="106">
        <v>0</v>
      </c>
      <c r="AF106" s="106">
        <v>0</v>
      </c>
      <c r="AG106" s="97"/>
      <c r="AH106" s="48">
        <f t="shared" si="55"/>
        <v>2</v>
      </c>
      <c r="AI106" s="49">
        <f t="shared" si="56"/>
        <v>0</v>
      </c>
      <c r="BG106" s="81">
        <v>51.7</v>
      </c>
      <c r="BH106" s="81">
        <v>0</v>
      </c>
      <c r="BI106" s="81">
        <v>404.6</v>
      </c>
      <c r="BJ106" s="81">
        <v>45.9</v>
      </c>
      <c r="BK106" s="81">
        <v>119.2</v>
      </c>
      <c r="BL106" s="81">
        <v>0</v>
      </c>
    </row>
    <row r="107" spans="1:64" ht="15.75" thickBot="1" x14ac:dyDescent="0.3">
      <c r="A107" s="111" t="s">
        <v>130</v>
      </c>
      <c r="B107" s="70">
        <f t="shared" ref="B107:C107" si="103">SUM(B101:B106)</f>
        <v>0</v>
      </c>
      <c r="C107" s="70">
        <f t="shared" si="103"/>
        <v>0</v>
      </c>
      <c r="D107" s="70">
        <f t="shared" ref="D107:AA107" si="104">SUM(D101:D106)</f>
        <v>0</v>
      </c>
      <c r="E107" s="70">
        <f t="shared" si="104"/>
        <v>0</v>
      </c>
      <c r="F107" s="70">
        <f t="shared" si="104"/>
        <v>0</v>
      </c>
      <c r="G107" s="70">
        <f t="shared" si="104"/>
        <v>0</v>
      </c>
      <c r="H107" s="70">
        <f t="shared" si="104"/>
        <v>0</v>
      </c>
      <c r="I107" s="70">
        <f t="shared" si="104"/>
        <v>0</v>
      </c>
      <c r="J107" s="70">
        <f t="shared" si="104"/>
        <v>0</v>
      </c>
      <c r="K107" s="70">
        <f t="shared" si="104"/>
        <v>0</v>
      </c>
      <c r="L107" s="70">
        <f t="shared" si="104"/>
        <v>0</v>
      </c>
      <c r="M107" s="70">
        <f t="shared" si="104"/>
        <v>0</v>
      </c>
      <c r="N107" s="70">
        <f t="shared" si="104"/>
        <v>0</v>
      </c>
      <c r="O107" s="70">
        <f t="shared" si="104"/>
        <v>0</v>
      </c>
      <c r="P107" s="70">
        <f t="shared" si="104"/>
        <v>0</v>
      </c>
      <c r="Q107" s="70">
        <f t="shared" si="104"/>
        <v>0</v>
      </c>
      <c r="R107" s="70">
        <f t="shared" si="104"/>
        <v>0</v>
      </c>
      <c r="S107" s="70">
        <f t="shared" si="104"/>
        <v>0</v>
      </c>
      <c r="T107" s="70">
        <f t="shared" si="104"/>
        <v>0</v>
      </c>
      <c r="U107" s="70">
        <f t="shared" si="104"/>
        <v>0</v>
      </c>
      <c r="V107" s="70">
        <f t="shared" si="104"/>
        <v>0</v>
      </c>
      <c r="W107" s="70">
        <f t="shared" ref="W107" si="105">SUM(W101:W106)</f>
        <v>1</v>
      </c>
      <c r="X107" s="70">
        <v>0</v>
      </c>
      <c r="Y107" s="70">
        <f t="shared" si="104"/>
        <v>0</v>
      </c>
      <c r="Z107" s="70">
        <f t="shared" si="104"/>
        <v>0</v>
      </c>
      <c r="AA107" s="70">
        <f t="shared" si="104"/>
        <v>0</v>
      </c>
      <c r="AB107" s="70">
        <f t="shared" ref="AB107:AC107" si="106">SUM(AB101:AB106)</f>
        <v>0</v>
      </c>
      <c r="AC107" s="70">
        <f t="shared" si="106"/>
        <v>0</v>
      </c>
      <c r="AD107" s="70">
        <f t="shared" ref="AD107:AE107" si="107">SUM(AD101:AD106)</f>
        <v>0</v>
      </c>
      <c r="AE107" s="70">
        <f t="shared" si="107"/>
        <v>0</v>
      </c>
      <c r="AF107" s="70">
        <f t="shared" ref="AF107" si="108">SUM(AF101:AF106)</f>
        <v>0</v>
      </c>
      <c r="AG107" s="100"/>
      <c r="AH107" s="48">
        <f t="shared" si="55"/>
        <v>1</v>
      </c>
      <c r="AI107" s="49">
        <f t="shared" si="56"/>
        <v>0</v>
      </c>
      <c r="AK107" s="51"/>
      <c r="BG107" s="81">
        <v>56.3</v>
      </c>
      <c r="BH107" s="81">
        <v>0</v>
      </c>
      <c r="BI107" s="81">
        <v>427</v>
      </c>
      <c r="BJ107" s="81">
        <v>50.4</v>
      </c>
      <c r="BK107" s="81">
        <v>120.9</v>
      </c>
      <c r="BL107" s="81">
        <v>0</v>
      </c>
    </row>
    <row r="108" spans="1:64" ht="15.75" thickBot="1" x14ac:dyDescent="0.3">
      <c r="A108" s="86" t="s">
        <v>131</v>
      </c>
      <c r="B108" s="70">
        <f t="shared" ref="B108:AA108" si="109">B92-B107</f>
        <v>654.6</v>
      </c>
      <c r="C108" s="70">
        <f t="shared" si="109"/>
        <v>737.3</v>
      </c>
      <c r="D108" s="70">
        <f t="shared" si="109"/>
        <v>700.8</v>
      </c>
      <c r="E108" s="70">
        <f t="shared" si="109"/>
        <v>707.4</v>
      </c>
      <c r="F108" s="70">
        <f t="shared" si="109"/>
        <v>711</v>
      </c>
      <c r="G108" s="70">
        <f t="shared" si="109"/>
        <v>759.69999999999993</v>
      </c>
      <c r="H108" s="70">
        <f t="shared" si="109"/>
        <v>665.3</v>
      </c>
      <c r="I108" s="70">
        <f t="shared" si="109"/>
        <v>682.5</v>
      </c>
      <c r="J108" s="70">
        <f t="shared" si="109"/>
        <v>700.2</v>
      </c>
      <c r="K108" s="70">
        <f t="shared" si="109"/>
        <v>488</v>
      </c>
      <c r="L108" s="70">
        <f t="shared" si="109"/>
        <v>489.09999999999997</v>
      </c>
      <c r="M108" s="70">
        <f t="shared" si="109"/>
        <v>559.29999999999995</v>
      </c>
      <c r="N108" s="70">
        <f t="shared" si="109"/>
        <v>548.6</v>
      </c>
      <c r="O108" s="70">
        <f t="shared" si="109"/>
        <v>597.70000000000005</v>
      </c>
      <c r="P108" s="70">
        <f t="shared" si="109"/>
        <v>679</v>
      </c>
      <c r="Q108" s="70">
        <f t="shared" si="109"/>
        <v>778</v>
      </c>
      <c r="R108" s="70">
        <f t="shared" si="109"/>
        <v>778</v>
      </c>
      <c r="S108" s="70">
        <f t="shared" si="109"/>
        <v>821.7</v>
      </c>
      <c r="T108" s="70">
        <f t="shared" si="109"/>
        <v>706.5</v>
      </c>
      <c r="U108" s="70">
        <f t="shared" si="109"/>
        <v>829.40000000000009</v>
      </c>
      <c r="V108" s="70">
        <f t="shared" si="109"/>
        <v>776.4</v>
      </c>
      <c r="W108" s="70">
        <f t="shared" ref="W108:X108" si="110">W92-W107</f>
        <v>639</v>
      </c>
      <c r="X108" s="70">
        <f t="shared" si="110"/>
        <v>522</v>
      </c>
      <c r="Y108" s="70">
        <f>Y92-Y107</f>
        <v>523.5</v>
      </c>
      <c r="Z108" s="70">
        <f>Z92-Z107</f>
        <v>510.2</v>
      </c>
      <c r="AA108" s="70">
        <f t="shared" si="109"/>
        <v>457.1</v>
      </c>
      <c r="AB108" s="70">
        <f t="shared" ref="AB108:AC108" si="111">AB92-AB107</f>
        <v>434.1</v>
      </c>
      <c r="AC108" s="70">
        <f t="shared" si="111"/>
        <v>605.20000000000005</v>
      </c>
      <c r="AD108" s="70">
        <f t="shared" ref="AD108:AE108" si="112">AD92-AD107</f>
        <v>587.70000000000005</v>
      </c>
      <c r="AE108" s="70">
        <f t="shared" si="112"/>
        <v>603.5</v>
      </c>
      <c r="AF108" s="70">
        <f t="shared" ref="AF108" si="113">AF92-AF107</f>
        <v>621.4</v>
      </c>
      <c r="AG108" s="100"/>
      <c r="AH108" s="48">
        <f t="shared" si="55"/>
        <v>829.40000000000009</v>
      </c>
      <c r="AI108" s="49">
        <f t="shared" si="56"/>
        <v>434.1</v>
      </c>
    </row>
    <row r="109" spans="1:64" x14ac:dyDescent="0.25">
      <c r="A109" s="112" t="s">
        <v>132</v>
      </c>
      <c r="B109" s="113">
        <v>50.014000000000003</v>
      </c>
      <c r="C109" s="113">
        <v>49.999000000000002</v>
      </c>
      <c r="D109" s="113">
        <v>50.012999999999998</v>
      </c>
      <c r="E109" s="113">
        <v>49.987000000000002</v>
      </c>
      <c r="F109" s="113">
        <v>49.972000000000001</v>
      </c>
      <c r="G109" s="113">
        <v>50.02</v>
      </c>
      <c r="H109" s="113">
        <v>49.984999999999999</v>
      </c>
      <c r="I109" s="113">
        <v>50.052</v>
      </c>
      <c r="J109" s="113">
        <v>49.908000000000001</v>
      </c>
      <c r="K109" s="113">
        <v>49.969000000000001</v>
      </c>
      <c r="L109" s="113">
        <v>50.023000000000003</v>
      </c>
      <c r="M109" s="113">
        <v>49.97</v>
      </c>
      <c r="N109" s="113">
        <v>49.98</v>
      </c>
      <c r="O109" s="113">
        <v>49.985999999999997</v>
      </c>
      <c r="P109" s="113">
        <v>50.015999999999998</v>
      </c>
      <c r="Q109" s="113">
        <v>50.009</v>
      </c>
      <c r="R109" s="113">
        <v>50.009</v>
      </c>
      <c r="S109" s="113">
        <v>50.011000000000003</v>
      </c>
      <c r="T109" s="113">
        <v>49.97</v>
      </c>
      <c r="U109" s="113">
        <v>49.985999999999997</v>
      </c>
      <c r="V109" s="113">
        <v>50.024000000000001</v>
      </c>
      <c r="W109" s="113">
        <v>49.95</v>
      </c>
      <c r="X109" s="113">
        <v>49.97</v>
      </c>
      <c r="Y109" s="113">
        <v>50.058999999999997</v>
      </c>
      <c r="Z109" s="113">
        <v>50</v>
      </c>
      <c r="AA109" s="113">
        <v>50.024999999999999</v>
      </c>
      <c r="AB109" s="113">
        <v>50</v>
      </c>
      <c r="AC109" s="113">
        <v>50.02</v>
      </c>
      <c r="AD109" s="113">
        <v>49.96</v>
      </c>
      <c r="AE109" s="113">
        <v>49.98</v>
      </c>
      <c r="AF109" s="113">
        <v>49.96</v>
      </c>
      <c r="AG109" s="114"/>
      <c r="AH109" s="48">
        <f t="shared" si="55"/>
        <v>50.058999999999997</v>
      </c>
      <c r="AI109" s="49">
        <f t="shared" si="56"/>
        <v>49.908000000000001</v>
      </c>
    </row>
    <row r="110" spans="1:64" x14ac:dyDescent="0.25">
      <c r="A110" s="115" t="s">
        <v>133</v>
      </c>
      <c r="B110" s="75">
        <v>130.69999999999999</v>
      </c>
      <c r="C110" s="75">
        <v>130.30000000000001</v>
      </c>
      <c r="D110" s="75">
        <v>130.1</v>
      </c>
      <c r="E110" s="75">
        <v>130.4</v>
      </c>
      <c r="F110" s="75">
        <v>127.6</v>
      </c>
      <c r="G110" s="75">
        <v>127.4</v>
      </c>
      <c r="H110" s="75">
        <v>126.1</v>
      </c>
      <c r="I110" s="75">
        <v>128.1</v>
      </c>
      <c r="J110" s="75">
        <v>125.5</v>
      </c>
      <c r="K110" s="75">
        <v>129</v>
      </c>
      <c r="L110" s="75">
        <v>128.80000000000001</v>
      </c>
      <c r="M110" s="75">
        <v>126.2</v>
      </c>
      <c r="N110" s="75">
        <v>126.2</v>
      </c>
      <c r="O110" s="75">
        <v>125.1</v>
      </c>
      <c r="P110" s="75">
        <v>125.7</v>
      </c>
      <c r="Q110" s="75">
        <v>121.5</v>
      </c>
      <c r="R110" s="75">
        <v>121.5</v>
      </c>
      <c r="S110" s="75">
        <v>123.1</v>
      </c>
      <c r="T110" s="75">
        <v>122.6</v>
      </c>
      <c r="U110" s="75">
        <v>120.8</v>
      </c>
      <c r="V110" s="75">
        <v>125.8</v>
      </c>
      <c r="W110" s="75">
        <v>124</v>
      </c>
      <c r="X110" s="75">
        <v>128</v>
      </c>
      <c r="Y110" s="75">
        <v>127.1</v>
      </c>
      <c r="Z110" s="75">
        <v>128.1</v>
      </c>
      <c r="AA110" s="75">
        <v>129.19999999999999</v>
      </c>
      <c r="AB110" s="75">
        <v>127.8</v>
      </c>
      <c r="AC110" s="75">
        <v>128.4</v>
      </c>
      <c r="AD110" s="75">
        <v>128.1</v>
      </c>
      <c r="AE110" s="75">
        <v>128.1</v>
      </c>
      <c r="AF110" s="75">
        <v>128.80000000000001</v>
      </c>
      <c r="AG110" s="116"/>
      <c r="AH110" s="48">
        <f t="shared" si="55"/>
        <v>130.69999999999999</v>
      </c>
      <c r="AI110" s="49">
        <f t="shared" si="56"/>
        <v>120.8</v>
      </c>
    </row>
    <row r="111" spans="1:64" x14ac:dyDescent="0.25">
      <c r="A111" s="115" t="s">
        <v>134</v>
      </c>
      <c r="B111" s="75">
        <v>133.6</v>
      </c>
      <c r="C111" s="75">
        <v>133.5</v>
      </c>
      <c r="D111" s="75">
        <v>133.1</v>
      </c>
      <c r="E111" s="75">
        <v>133.4</v>
      </c>
      <c r="F111" s="75">
        <v>130.9</v>
      </c>
      <c r="G111" s="75">
        <v>130.69999999999999</v>
      </c>
      <c r="H111" s="75">
        <v>128.9</v>
      </c>
      <c r="I111" s="75">
        <v>130.6</v>
      </c>
      <c r="J111" s="75">
        <v>128.1</v>
      </c>
      <c r="K111" s="75">
        <v>130</v>
      </c>
      <c r="L111" s="75">
        <v>129.69999999999999</v>
      </c>
      <c r="M111" s="75">
        <v>128.30000000000001</v>
      </c>
      <c r="N111" s="75">
        <v>128.30000000000001</v>
      </c>
      <c r="O111" s="75">
        <v>127.7</v>
      </c>
      <c r="P111" s="75">
        <v>128.1</v>
      </c>
      <c r="Q111" s="75">
        <v>125.5</v>
      </c>
      <c r="R111" s="75">
        <v>125.5</v>
      </c>
      <c r="S111" s="75">
        <v>126.2</v>
      </c>
      <c r="T111" s="75">
        <v>126.3</v>
      </c>
      <c r="U111" s="75">
        <v>124.5</v>
      </c>
      <c r="V111" s="75">
        <v>129</v>
      </c>
      <c r="W111" s="75">
        <v>128</v>
      </c>
      <c r="X111" s="75">
        <v>130</v>
      </c>
      <c r="Y111" s="75">
        <v>128.9</v>
      </c>
      <c r="Z111" s="75">
        <v>129.4</v>
      </c>
      <c r="AA111" s="75">
        <v>130.4</v>
      </c>
      <c r="AB111" s="75">
        <v>129.5</v>
      </c>
      <c r="AC111" s="75">
        <v>130.6</v>
      </c>
      <c r="AD111" s="75">
        <v>129.9</v>
      </c>
      <c r="AE111" s="75">
        <v>129.9</v>
      </c>
      <c r="AF111" s="75">
        <v>131.5</v>
      </c>
      <c r="AG111" s="116"/>
      <c r="AH111" s="48">
        <f t="shared" si="55"/>
        <v>133.6</v>
      </c>
      <c r="AI111" s="49">
        <f t="shared" si="56"/>
        <v>124.5</v>
      </c>
    </row>
    <row r="112" spans="1:64" x14ac:dyDescent="0.25">
      <c r="A112" s="115" t="s">
        <v>135</v>
      </c>
      <c r="B112" s="75">
        <v>128.6</v>
      </c>
      <c r="C112" s="75">
        <v>132.5</v>
      </c>
      <c r="D112" s="75">
        <v>129.4</v>
      </c>
      <c r="E112" s="75">
        <v>130.4</v>
      </c>
      <c r="F112" s="75">
        <v>127</v>
      </c>
      <c r="G112" s="75">
        <v>128.6</v>
      </c>
      <c r="H112" s="75">
        <v>126.8</v>
      </c>
      <c r="I112" s="75">
        <v>126.4</v>
      </c>
      <c r="J112" s="75">
        <v>124.1</v>
      </c>
      <c r="K112" s="75">
        <v>128.4</v>
      </c>
      <c r="L112" s="75">
        <v>132.19999999999999</v>
      </c>
      <c r="M112" s="75">
        <v>123.6</v>
      </c>
      <c r="N112" s="75">
        <v>123.6</v>
      </c>
      <c r="O112" s="75">
        <v>127.7</v>
      </c>
      <c r="P112" s="75">
        <v>127.7</v>
      </c>
      <c r="Q112" s="75">
        <v>128.80000000000001</v>
      </c>
      <c r="R112" s="75">
        <v>128.80000000000001</v>
      </c>
      <c r="S112" s="75">
        <v>121.2</v>
      </c>
      <c r="T112" s="75">
        <v>125.3</v>
      </c>
      <c r="U112" s="75">
        <v>125</v>
      </c>
      <c r="V112" s="75">
        <v>127.5</v>
      </c>
      <c r="W112" s="75">
        <v>128</v>
      </c>
      <c r="X112" s="75">
        <v>125.6</v>
      </c>
      <c r="Y112" s="75">
        <v>126.5</v>
      </c>
      <c r="Z112" s="75">
        <v>128</v>
      </c>
      <c r="AA112" s="75">
        <v>128.5</v>
      </c>
      <c r="AB112" s="75">
        <v>127.8</v>
      </c>
      <c r="AC112" s="75">
        <v>125.3</v>
      </c>
      <c r="AD112" s="75">
        <v>127.9</v>
      </c>
      <c r="AE112" s="75">
        <v>127.9</v>
      </c>
      <c r="AF112" s="75">
        <v>129.1</v>
      </c>
      <c r="AG112" s="116"/>
      <c r="AH112" s="48">
        <f t="shared" si="55"/>
        <v>132.5</v>
      </c>
      <c r="AI112" s="49">
        <f t="shared" si="56"/>
        <v>121.2</v>
      </c>
    </row>
    <row r="113" spans="1:35" x14ac:dyDescent="0.25">
      <c r="A113" s="117" t="s">
        <v>136</v>
      </c>
      <c r="B113" s="75">
        <v>132.4</v>
      </c>
      <c r="C113" s="75">
        <v>133.6</v>
      </c>
      <c r="D113" s="75">
        <v>131.69999999999999</v>
      </c>
      <c r="E113" s="75">
        <v>130.9</v>
      </c>
      <c r="F113" s="75">
        <v>128.80000000000001</v>
      </c>
      <c r="G113" s="75">
        <v>130.6</v>
      </c>
      <c r="H113" s="75">
        <v>128.9</v>
      </c>
      <c r="I113" s="75">
        <v>126.9</v>
      </c>
      <c r="J113" s="75">
        <v>123.4</v>
      </c>
      <c r="K113" s="75">
        <v>127.6</v>
      </c>
      <c r="L113" s="75">
        <v>120.3</v>
      </c>
      <c r="M113" s="75">
        <v>116</v>
      </c>
      <c r="N113" s="75">
        <v>116</v>
      </c>
      <c r="O113" s="75">
        <v>124.7</v>
      </c>
      <c r="P113" s="75">
        <v>125.8</v>
      </c>
      <c r="Q113" s="75">
        <v>128.5</v>
      </c>
      <c r="R113" s="75">
        <v>128.5</v>
      </c>
      <c r="S113" s="75">
        <v>120.1</v>
      </c>
      <c r="T113" s="75">
        <v>124.2</v>
      </c>
      <c r="U113" s="75">
        <v>123.4</v>
      </c>
      <c r="V113" s="75">
        <v>125.3</v>
      </c>
      <c r="W113" s="75">
        <v>126</v>
      </c>
      <c r="X113" s="75">
        <v>123</v>
      </c>
      <c r="Y113" s="75">
        <v>124.6</v>
      </c>
      <c r="Z113" s="75">
        <v>125.6</v>
      </c>
      <c r="AA113" s="75">
        <v>127.4</v>
      </c>
      <c r="AB113" s="75">
        <v>127.1</v>
      </c>
      <c r="AC113" s="75">
        <v>124.5</v>
      </c>
      <c r="AD113" s="75">
        <v>128.30000000000001</v>
      </c>
      <c r="AE113" s="75">
        <v>128.30000000000001</v>
      </c>
      <c r="AF113" s="75">
        <v>131.4</v>
      </c>
      <c r="AG113" s="116"/>
      <c r="AH113" s="48">
        <f t="shared" si="55"/>
        <v>133.6</v>
      </c>
      <c r="AI113" s="49">
        <f t="shared" si="56"/>
        <v>116</v>
      </c>
    </row>
    <row r="114" spans="1:35" x14ac:dyDescent="0.25">
      <c r="A114" s="117" t="s">
        <v>137</v>
      </c>
      <c r="B114" s="118">
        <v>137.5</v>
      </c>
      <c r="C114" s="118">
        <v>135.80000000000001</v>
      </c>
      <c r="D114" s="118">
        <v>134.9</v>
      </c>
      <c r="E114" s="118">
        <v>134.80000000000001</v>
      </c>
      <c r="F114" s="118">
        <v>130.9</v>
      </c>
      <c r="G114" s="118">
        <v>135.30000000000001</v>
      </c>
      <c r="H114" s="118">
        <v>132.69999999999999</v>
      </c>
      <c r="I114" s="118">
        <v>132.19999999999999</v>
      </c>
      <c r="J114" s="118">
        <v>132.5</v>
      </c>
      <c r="K114" s="118">
        <v>136.6</v>
      </c>
      <c r="L114" s="118">
        <v>134.19999999999999</v>
      </c>
      <c r="M114" s="118">
        <v>134.5</v>
      </c>
      <c r="N114" s="118">
        <v>134.5</v>
      </c>
      <c r="O114" s="118">
        <v>133.4</v>
      </c>
      <c r="P114" s="118">
        <v>131.4</v>
      </c>
      <c r="Q114" s="118">
        <v>130.6</v>
      </c>
      <c r="R114" s="118">
        <v>130.6</v>
      </c>
      <c r="S114" s="118">
        <v>130.9</v>
      </c>
      <c r="T114" s="118">
        <v>131.19999999999999</v>
      </c>
      <c r="U114" s="118">
        <v>131.30000000000001</v>
      </c>
      <c r="V114" s="118">
        <v>135.6</v>
      </c>
      <c r="W114" s="118">
        <v>133</v>
      </c>
      <c r="X114" s="118">
        <v>134.9</v>
      </c>
      <c r="Y114" s="118">
        <v>134.9</v>
      </c>
      <c r="Z114" s="118">
        <v>137.5</v>
      </c>
      <c r="AA114" s="118">
        <v>132</v>
      </c>
      <c r="AB114" s="118">
        <v>132.80000000000001</v>
      </c>
      <c r="AC114" s="118">
        <v>133.9</v>
      </c>
      <c r="AD114" s="118">
        <v>133.9</v>
      </c>
      <c r="AE114" s="118">
        <v>133.9</v>
      </c>
      <c r="AF114" s="118">
        <v>134.69999999999999</v>
      </c>
      <c r="AG114" s="119"/>
      <c r="AH114" s="48">
        <f t="shared" si="55"/>
        <v>137.5</v>
      </c>
      <c r="AI114" s="49">
        <f t="shared" si="56"/>
        <v>130.6</v>
      </c>
    </row>
    <row r="115" spans="1:35" x14ac:dyDescent="0.25">
      <c r="A115" s="115" t="s">
        <v>138</v>
      </c>
      <c r="B115" s="75">
        <v>132.6</v>
      </c>
      <c r="C115" s="75">
        <v>131.80000000000001</v>
      </c>
      <c r="D115" s="75">
        <v>129.80000000000001</v>
      </c>
      <c r="E115" s="75">
        <v>128.5</v>
      </c>
      <c r="F115" s="75">
        <v>126.9</v>
      </c>
      <c r="G115" s="75">
        <v>127.6</v>
      </c>
      <c r="H115" s="75">
        <v>126.1</v>
      </c>
      <c r="I115" s="75">
        <v>127.5</v>
      </c>
      <c r="J115" s="75">
        <v>127.4</v>
      </c>
      <c r="K115" s="75">
        <v>128.80000000000001</v>
      </c>
      <c r="L115" s="75">
        <v>133.69999999999999</v>
      </c>
      <c r="M115" s="75">
        <v>132.19999999999999</v>
      </c>
      <c r="N115" s="75">
        <v>132.19999999999999</v>
      </c>
      <c r="O115" s="75">
        <v>130.4</v>
      </c>
      <c r="P115" s="75">
        <v>127.1</v>
      </c>
      <c r="Q115" s="75">
        <v>131.80000000000001</v>
      </c>
      <c r="R115" s="75">
        <v>131.80000000000001</v>
      </c>
      <c r="S115" s="75">
        <v>131.9</v>
      </c>
      <c r="T115" s="75">
        <v>124.9</v>
      </c>
      <c r="U115" s="75">
        <v>129.4</v>
      </c>
      <c r="V115" s="75">
        <v>127.7</v>
      </c>
      <c r="W115" s="75">
        <v>131</v>
      </c>
      <c r="X115" s="75">
        <v>136</v>
      </c>
      <c r="Y115" s="75">
        <v>127.8</v>
      </c>
      <c r="Z115" s="75">
        <v>131.1</v>
      </c>
      <c r="AA115" s="75">
        <v>132.80000000000001</v>
      </c>
      <c r="AB115" s="75">
        <v>130.6</v>
      </c>
      <c r="AC115" s="75">
        <v>132.1</v>
      </c>
      <c r="AD115" s="75">
        <v>132.1</v>
      </c>
      <c r="AE115" s="75">
        <v>132.1</v>
      </c>
      <c r="AF115" s="75">
        <v>123.8</v>
      </c>
      <c r="AG115" s="116"/>
      <c r="AH115" s="48">
        <f t="shared" si="55"/>
        <v>136</v>
      </c>
      <c r="AI115" s="49">
        <f t="shared" si="56"/>
        <v>123.8</v>
      </c>
    </row>
    <row r="116" spans="1:35" ht="15.75" thickBot="1" x14ac:dyDescent="0.3">
      <c r="A116" s="115" t="s">
        <v>139</v>
      </c>
      <c r="B116" s="104">
        <v>67.2</v>
      </c>
      <c r="C116" s="104">
        <v>67.099999999999994</v>
      </c>
      <c r="D116" s="104">
        <v>67</v>
      </c>
      <c r="E116" s="104">
        <v>67.7</v>
      </c>
      <c r="F116" s="104">
        <v>66.2</v>
      </c>
      <c r="G116" s="104">
        <v>65.8</v>
      </c>
      <c r="H116" s="104">
        <v>64.599999999999994</v>
      </c>
      <c r="I116" s="104">
        <v>65.900000000000006</v>
      </c>
      <c r="J116" s="104">
        <v>64.5</v>
      </c>
      <c r="K116" s="104">
        <v>65.3</v>
      </c>
      <c r="L116" s="104">
        <v>65.2</v>
      </c>
      <c r="M116" s="104">
        <v>64.5</v>
      </c>
      <c r="N116" s="104">
        <v>64.5</v>
      </c>
      <c r="O116" s="104">
        <v>64.099999999999994</v>
      </c>
      <c r="P116" s="104">
        <v>64.3</v>
      </c>
      <c r="Q116" s="104">
        <v>62.9</v>
      </c>
      <c r="R116" s="104">
        <v>62.9</v>
      </c>
      <c r="S116" s="104">
        <v>63.4</v>
      </c>
      <c r="T116" s="104">
        <v>63.5</v>
      </c>
      <c r="U116" s="104">
        <v>62.5</v>
      </c>
      <c r="V116" s="104">
        <v>65</v>
      </c>
      <c r="W116" s="104">
        <v>64.7</v>
      </c>
      <c r="X116" s="104">
        <v>65.8</v>
      </c>
      <c r="Y116" s="104">
        <v>65.099999999999994</v>
      </c>
      <c r="Z116" s="104">
        <v>65.3</v>
      </c>
      <c r="AA116" s="104">
        <v>65.7</v>
      </c>
      <c r="AB116" s="104">
        <v>65</v>
      </c>
      <c r="AC116" s="104">
        <v>65.7</v>
      </c>
      <c r="AD116" s="104">
        <v>65.7</v>
      </c>
      <c r="AE116" s="104">
        <v>65.7</v>
      </c>
      <c r="AF116" s="104">
        <v>66.099999999999994</v>
      </c>
      <c r="AG116" s="120"/>
      <c r="AH116" s="48">
        <f t="shared" si="55"/>
        <v>67.7</v>
      </c>
      <c r="AI116" s="49">
        <f t="shared" si="56"/>
        <v>62.5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55"/>
        <v>0</v>
      </c>
      <c r="AI117" s="49">
        <f t="shared" si="56"/>
        <v>0</v>
      </c>
    </row>
    <row r="118" spans="1:35" ht="15.75" thickBot="1" x14ac:dyDescent="0.3">
      <c r="A118" s="122" t="s">
        <v>141</v>
      </c>
      <c r="B118" s="123">
        <f>SUM(B22,B28,B31:B32,B66,B68:B69,B71,B73,B119:B123,B155,B161,B167,B176,B178,B190,B197,B200:B201,B208,B210,B212,B216:B218,B220:B222,B227,B233:B234,B236:B238,B246,B251)</f>
        <v>140.78</v>
      </c>
      <c r="C118" s="123">
        <f>SUM(C22,C28,C31:C32,C66,C68:C69,C71,C73,C119:C123,C155,C161,C167,C176,C178,C190,C197,C200:C201,C208,C210,C212,C216:C218,C220:C222,C227,C233:C234,C236:C238,C246,C251)</f>
        <v>131.95999999999998</v>
      </c>
      <c r="D118" s="123">
        <f t="shared" ref="D118:O118" si="114">SUM(D22,D28,D31:D32,D66,D68:D69,D71,D73,D119:D123,D155,D161,D167,D176,D178,D190,D197,D200:D201,D208,D210,D212,D216:D218,D220:D222,D227,D233:D234,D236:D238,D246,D251)</f>
        <v>120.64</v>
      </c>
      <c r="E118" s="123">
        <f t="shared" si="114"/>
        <v>135.91200000000001</v>
      </c>
      <c r="F118" s="123">
        <f t="shared" si="114"/>
        <v>143.38300000000001</v>
      </c>
      <c r="G118" s="123">
        <f t="shared" si="114"/>
        <v>173.786</v>
      </c>
      <c r="H118" s="123">
        <f t="shared" si="114"/>
        <v>192.613</v>
      </c>
      <c r="I118" s="123">
        <f t="shared" si="114"/>
        <v>202.369</v>
      </c>
      <c r="J118" s="123">
        <f t="shared" si="114"/>
        <v>266.58099999999996</v>
      </c>
      <c r="K118" s="123">
        <f t="shared" si="114"/>
        <v>282.58199999999999</v>
      </c>
      <c r="L118" s="123">
        <f t="shared" si="114"/>
        <v>313.78800000000001</v>
      </c>
      <c r="M118" s="123">
        <f t="shared" si="114"/>
        <v>338.53999999999996</v>
      </c>
      <c r="N118" s="123">
        <f t="shared" si="114"/>
        <v>346.14</v>
      </c>
      <c r="O118" s="123">
        <f t="shared" si="114"/>
        <v>310.41999999999996</v>
      </c>
      <c r="P118" s="123">
        <v>42</v>
      </c>
      <c r="Q118" s="123">
        <f t="shared" ref="Q118:AA118" si="115">SUM(Q22,Q28,Q31:Q32,Q66,Q68:Q69,Q71,Q73,Q119:Q123,Q155,Q161,Q167,Q176,Q178,Q190,Q197,Q200:Q201,Q208,Q210,Q212,Q216:Q218,Q220:Q222,Q227,Q233:Q234,Q236:Q238,Q246,Q251)</f>
        <v>292.94</v>
      </c>
      <c r="R118" s="123">
        <f t="shared" si="115"/>
        <v>293.94</v>
      </c>
      <c r="S118" s="123">
        <f t="shared" si="115"/>
        <v>277.04000000000002</v>
      </c>
      <c r="T118" s="123">
        <f t="shared" si="115"/>
        <v>283.83999999999997</v>
      </c>
      <c r="U118" s="123">
        <f t="shared" si="115"/>
        <v>290.44</v>
      </c>
      <c r="V118" s="123">
        <f t="shared" si="115"/>
        <v>284.33999999999997</v>
      </c>
      <c r="W118" s="123">
        <f t="shared" ref="W118:X118" si="116">SUM(W22,W28,W31:W32,W66,W68:W69,W71,W73,W119:W123,W155,W161,W167,W176,W178,W190,W197,W200:W201,W208,W210,W212,W216:W218,W220:W222,W227,W233:W234,W236:W238,W246,W251)</f>
        <v>258.14</v>
      </c>
      <c r="X118" s="123">
        <f t="shared" si="116"/>
        <v>271.14</v>
      </c>
      <c r="Y118" s="123">
        <f t="shared" ref="Y118:Z118" si="117">SUM(Y20,Y26,Y37:Y38,Y66,Y68:Y69,Y71,Y73,Y119:Y123,Y148,Y154,Y160,Y169,Y171,Y183,Y190,Y193:Y194,Y201,Y203,Y205,Y209:Y211,Y213:Y215,Y220,Y226:Y227,Y229:Y231,Y239,Y244)</f>
        <v>377.8</v>
      </c>
      <c r="Z118" s="123">
        <f t="shared" si="117"/>
        <v>401.9</v>
      </c>
      <c r="AA118" s="123">
        <f t="shared" si="115"/>
        <v>360.14</v>
      </c>
      <c r="AB118" s="123">
        <f t="shared" ref="AB118:AC118" si="118">SUM(AB22,AB28,AB31:AB32,AB66,AB68:AB69,AB71,AB73,AB119:AB123,AB155,AB161,AB167,AB176,AB178,AB190,AB197,AB200:AB201,AB208,AB210,AB212,AB216:AB218,AB220:AB222,AB227,AB233:AB234,AB236:AB238,AB246,AB251)</f>
        <v>327.66000000000003</v>
      </c>
      <c r="AC118" s="123">
        <f t="shared" si="118"/>
        <v>303.83999999999997</v>
      </c>
      <c r="AD118" s="123">
        <f t="shared" ref="AD118:AE118" si="119">SUM(AD22,AD28,AD31:AD32,AD66,AD68:AD69,AD71,AD73,AD119:AD123,AD155,AD161,AD167,AD176,AD178,AD190,AD197,AD200:AD201,AD208,AD210,AD212,AD216:AD218,AD220:AD222,AD227,AD233:AD234,AD236:AD238,AD246,AD251)</f>
        <v>271.94</v>
      </c>
      <c r="AE118" s="123">
        <f t="shared" si="119"/>
        <v>211.62</v>
      </c>
      <c r="AF118" s="123">
        <f t="shared" ref="AF118" si="120">SUM(AF22,AF28,AF31:AF32,AF66,AF68:AF69,AF71,AF73,AF119:AF123,AF155,AF161,AF167,AF176,AF178,AF190,AF197,AF200:AF201,AF208,AF210,AF212,AF216:AF218,AF220:AF222,AF227,AF233:AF234,AF236:AF238,AF246,AF251)</f>
        <v>168.03000000000003</v>
      </c>
      <c r="AG118" s="124"/>
      <c r="AH118" s="48">
        <f t="shared" si="55"/>
        <v>401.9</v>
      </c>
      <c r="AI118" s="49">
        <f t="shared" si="56"/>
        <v>42</v>
      </c>
    </row>
    <row r="119" spans="1:35" x14ac:dyDescent="0.25">
      <c r="A119" s="125" t="s">
        <v>142</v>
      </c>
      <c r="B119" s="126">
        <v>-7</v>
      </c>
      <c r="C119" s="126">
        <v>-9</v>
      </c>
      <c r="D119" s="126">
        <v>-12</v>
      </c>
      <c r="E119" s="126">
        <v>-11.2</v>
      </c>
      <c r="F119" s="126">
        <v>-16.3</v>
      </c>
      <c r="G119" s="126">
        <v>-14.4</v>
      </c>
      <c r="H119" s="126">
        <v>4</v>
      </c>
      <c r="I119" s="126">
        <v>4.2</v>
      </c>
      <c r="J119" s="126">
        <v>15.5</v>
      </c>
      <c r="K119" s="126">
        <v>20.3</v>
      </c>
      <c r="L119" s="126">
        <v>24.3</v>
      </c>
      <c r="M119" s="126">
        <v>27</v>
      </c>
      <c r="N119" s="126">
        <v>28</v>
      </c>
      <c r="O119" s="126">
        <v>17</v>
      </c>
      <c r="P119" s="126">
        <v>14.9</v>
      </c>
      <c r="Q119" s="126">
        <v>21.4</v>
      </c>
      <c r="R119" s="126">
        <v>21.4</v>
      </c>
      <c r="S119" s="126">
        <v>10.5</v>
      </c>
      <c r="T119" s="126">
        <v>19.2</v>
      </c>
      <c r="U119" s="126">
        <v>12</v>
      </c>
      <c r="V119" s="126">
        <v>15</v>
      </c>
      <c r="W119" s="126">
        <v>23</v>
      </c>
      <c r="X119" s="126">
        <v>14</v>
      </c>
      <c r="Y119" s="126">
        <v>18</v>
      </c>
      <c r="Z119" s="126">
        <v>20.8</v>
      </c>
      <c r="AA119" s="126">
        <v>7.8</v>
      </c>
      <c r="AB119" s="126">
        <v>0.8</v>
      </c>
      <c r="AC119" s="126">
        <v>2.2999999999999998</v>
      </c>
      <c r="AD119" s="126">
        <v>-7.5</v>
      </c>
      <c r="AE119" s="126">
        <v>-13.2</v>
      </c>
      <c r="AF119" s="126">
        <v>-16.309999999999999</v>
      </c>
      <c r="AG119" s="127">
        <v>75</v>
      </c>
      <c r="AH119" s="48">
        <f t="shared" si="55"/>
        <v>28</v>
      </c>
      <c r="AI119" s="49">
        <f t="shared" si="56"/>
        <v>-16.309999999999999</v>
      </c>
    </row>
    <row r="120" spans="1:35" x14ac:dyDescent="0.25">
      <c r="A120" s="128" t="s">
        <v>143</v>
      </c>
      <c r="B120" s="129">
        <v>-15</v>
      </c>
      <c r="C120" s="129">
        <v>-17</v>
      </c>
      <c r="D120" s="129">
        <v>-21.5</v>
      </c>
      <c r="E120" s="129">
        <v>-20.9</v>
      </c>
      <c r="F120" s="129">
        <v>-27.5</v>
      </c>
      <c r="G120" s="129">
        <v>-27.1</v>
      </c>
      <c r="H120" s="129">
        <v>0.5</v>
      </c>
      <c r="I120" s="129">
        <v>0.6</v>
      </c>
      <c r="J120" s="129">
        <v>15.3</v>
      </c>
      <c r="K120" s="129">
        <v>25.9</v>
      </c>
      <c r="L120" s="129">
        <v>32.700000000000003</v>
      </c>
      <c r="M120" s="129">
        <v>37.200000000000003</v>
      </c>
      <c r="N120" s="129">
        <v>38.200000000000003</v>
      </c>
      <c r="O120" s="129">
        <v>23.2</v>
      </c>
      <c r="P120" s="129">
        <v>15.8</v>
      </c>
      <c r="Q120" s="129">
        <v>25.4</v>
      </c>
      <c r="R120" s="129">
        <v>25.4</v>
      </c>
      <c r="S120" s="129">
        <v>11.6</v>
      </c>
      <c r="T120" s="129">
        <v>23.9</v>
      </c>
      <c r="U120" s="129">
        <v>14.5</v>
      </c>
      <c r="V120" s="129">
        <v>23.5</v>
      </c>
      <c r="W120" s="129">
        <v>35</v>
      </c>
      <c r="X120" s="129">
        <v>23</v>
      </c>
      <c r="Y120" s="129">
        <v>27</v>
      </c>
      <c r="Z120" s="129">
        <v>29.4</v>
      </c>
      <c r="AA120" s="129">
        <v>10.8</v>
      </c>
      <c r="AB120" s="129">
        <v>0</v>
      </c>
      <c r="AC120" s="129">
        <v>1.8</v>
      </c>
      <c r="AD120" s="129">
        <v>-14.9</v>
      </c>
      <c r="AE120" s="129">
        <v>-23.9</v>
      </c>
      <c r="AF120" s="129">
        <v>-30.1</v>
      </c>
      <c r="AG120" s="127">
        <v>240</v>
      </c>
      <c r="AH120" s="48">
        <f t="shared" si="55"/>
        <v>38.200000000000003</v>
      </c>
      <c r="AI120" s="49">
        <f t="shared" si="56"/>
        <v>-30.1</v>
      </c>
    </row>
    <row r="121" spans="1:35" x14ac:dyDescent="0.25">
      <c r="A121" s="128" t="s">
        <v>144</v>
      </c>
      <c r="B121" s="129">
        <v>-9</v>
      </c>
      <c r="C121" s="129">
        <v>-7</v>
      </c>
      <c r="D121" s="129">
        <v>-9</v>
      </c>
      <c r="E121" s="129">
        <v>-10.8</v>
      </c>
      <c r="F121" s="129">
        <v>-6.8</v>
      </c>
      <c r="G121" s="129">
        <v>1.3</v>
      </c>
      <c r="H121" s="129">
        <v>-24</v>
      </c>
      <c r="I121" s="129">
        <v>-31</v>
      </c>
      <c r="J121" s="129">
        <v>-20</v>
      </c>
      <c r="K121" s="129">
        <v>-10</v>
      </c>
      <c r="L121" s="129">
        <v>11</v>
      </c>
      <c r="M121" s="129">
        <f>15+13.7</f>
        <v>28.7</v>
      </c>
      <c r="N121" s="129">
        <f>15+13.7</f>
        <v>28.7</v>
      </c>
      <c r="O121" s="129">
        <f>15+17</f>
        <v>32</v>
      </c>
      <c r="P121" s="129">
        <f>16.9+19</f>
        <v>35.9</v>
      </c>
      <c r="Q121" s="129">
        <f>7.1+8.3</f>
        <v>15.4</v>
      </c>
      <c r="R121" s="129">
        <f t="shared" ref="R121" si="121">7.1+8.3</f>
        <v>15.4</v>
      </c>
      <c r="S121" s="129">
        <v>15</v>
      </c>
      <c r="T121" s="129">
        <v>14</v>
      </c>
      <c r="U121" s="129">
        <v>23</v>
      </c>
      <c r="V121" s="129">
        <v>25</v>
      </c>
      <c r="W121" s="129">
        <v>5.5</v>
      </c>
      <c r="X121" s="129">
        <v>12</v>
      </c>
      <c r="Y121" s="129">
        <v>42</v>
      </c>
      <c r="Z121" s="129">
        <v>55</v>
      </c>
      <c r="AA121" s="129">
        <v>57</v>
      </c>
      <c r="AB121" s="129">
        <v>51</v>
      </c>
      <c r="AC121" s="129">
        <v>53</v>
      </c>
      <c r="AD121" s="129">
        <v>45</v>
      </c>
      <c r="AE121" s="129">
        <v>20</v>
      </c>
      <c r="AF121" s="129">
        <v>4.4000000000000004</v>
      </c>
      <c r="AG121" s="127">
        <v>240</v>
      </c>
      <c r="AH121" s="48">
        <f t="shared" si="55"/>
        <v>57</v>
      </c>
      <c r="AI121" s="49">
        <f t="shared" si="56"/>
        <v>-31</v>
      </c>
    </row>
    <row r="122" spans="1:35" ht="15.75" thickBot="1" x14ac:dyDescent="0.3">
      <c r="A122" s="128" t="s">
        <v>145</v>
      </c>
      <c r="B122" s="129">
        <v>-10.6</v>
      </c>
      <c r="C122" s="129">
        <v>-12.5</v>
      </c>
      <c r="D122" s="129">
        <v>-11</v>
      </c>
      <c r="E122" s="129">
        <v>-10.1</v>
      </c>
      <c r="F122" s="129">
        <v>-12.3</v>
      </c>
      <c r="G122" s="129">
        <v>-10.5</v>
      </c>
      <c r="H122" s="129">
        <v>7.5</v>
      </c>
      <c r="I122" s="129">
        <v>29.3</v>
      </c>
      <c r="J122" s="129">
        <v>33.299999999999997</v>
      </c>
      <c r="K122" s="129">
        <v>39.5</v>
      </c>
      <c r="L122" s="129">
        <v>48.5</v>
      </c>
      <c r="M122" s="129">
        <v>30.9</v>
      </c>
      <c r="N122" s="129">
        <v>31.9</v>
      </c>
      <c r="O122" s="129">
        <v>20.2</v>
      </c>
      <c r="P122" s="129">
        <v>23.7</v>
      </c>
      <c r="Q122" s="129">
        <v>4.9000000000000004</v>
      </c>
      <c r="R122" s="129">
        <v>5.9</v>
      </c>
      <c r="S122" s="129">
        <v>9.1</v>
      </c>
      <c r="T122" s="129">
        <v>2</v>
      </c>
      <c r="U122" s="129">
        <v>5</v>
      </c>
      <c r="V122" s="129">
        <v>15.1</v>
      </c>
      <c r="W122" s="129">
        <v>15.5</v>
      </c>
      <c r="X122" s="129">
        <v>33</v>
      </c>
      <c r="Y122" s="129">
        <v>45</v>
      </c>
      <c r="Z122" s="129">
        <v>54</v>
      </c>
      <c r="AA122" s="129">
        <v>52</v>
      </c>
      <c r="AB122" s="129">
        <v>50.2</v>
      </c>
      <c r="AC122" s="129">
        <v>26.2</v>
      </c>
      <c r="AD122" s="129">
        <v>20</v>
      </c>
      <c r="AE122" s="129">
        <v>17.3</v>
      </c>
      <c r="AF122" s="129">
        <v>-5.7</v>
      </c>
      <c r="AG122" s="127">
        <v>60</v>
      </c>
      <c r="AH122" s="48">
        <f t="shared" si="55"/>
        <v>54</v>
      </c>
      <c r="AI122" s="49">
        <f t="shared" si="56"/>
        <v>-12.5</v>
      </c>
    </row>
    <row r="123" spans="1:35" x14ac:dyDescent="0.25">
      <c r="A123" s="125" t="s">
        <v>146</v>
      </c>
      <c r="B123" s="130">
        <f>66*1.64</f>
        <v>108.24</v>
      </c>
      <c r="C123" s="130">
        <f>63*1.64</f>
        <v>103.32</v>
      </c>
      <c r="D123" s="130">
        <v>100</v>
      </c>
      <c r="E123" s="130">
        <f>61.6*1.67</f>
        <v>102.872</v>
      </c>
      <c r="F123" s="130">
        <f>72.9*1.67</f>
        <v>121.74300000000001</v>
      </c>
      <c r="G123" s="130">
        <f>83.8*1.67</f>
        <v>139.946</v>
      </c>
      <c r="H123" s="130">
        <f>71.9*1.67</f>
        <v>120.07300000000001</v>
      </c>
      <c r="I123" s="130">
        <f>68.7*1.67</f>
        <v>114.729</v>
      </c>
      <c r="J123" s="130">
        <f>82.3*1.67</f>
        <v>137.441</v>
      </c>
      <c r="K123" s="130">
        <f>72.6*1.67</f>
        <v>121.24199999999999</v>
      </c>
      <c r="L123" s="130">
        <f>64.4*1.67</f>
        <v>107.548</v>
      </c>
      <c r="M123" s="130">
        <f>75*1.64</f>
        <v>122.99999999999999</v>
      </c>
      <c r="N123" s="130">
        <f>75*1.64</f>
        <v>122.99999999999999</v>
      </c>
      <c r="O123" s="130">
        <f>72*1.64</f>
        <v>118.08</v>
      </c>
      <c r="P123" s="130">
        <f>72*1.64</f>
        <v>118.08</v>
      </c>
      <c r="Q123" s="130">
        <f>75*1.64</f>
        <v>122.99999999999999</v>
      </c>
      <c r="R123" s="130">
        <f t="shared" ref="R123" si="122">75*1.64</f>
        <v>122.99999999999999</v>
      </c>
      <c r="S123" s="130">
        <f>82*1.6</f>
        <v>131.20000000000002</v>
      </c>
      <c r="T123" s="130">
        <f>80*1.6</f>
        <v>128</v>
      </c>
      <c r="U123" s="130">
        <f>90*1.6</f>
        <v>144</v>
      </c>
      <c r="V123" s="130">
        <f>76*1.6</f>
        <v>121.60000000000001</v>
      </c>
      <c r="W123" s="130">
        <v>95</v>
      </c>
      <c r="X123" s="130">
        <v>105</v>
      </c>
      <c r="Y123" s="130">
        <f>98*1.6</f>
        <v>156.80000000000001</v>
      </c>
      <c r="Z123" s="130">
        <v>152</v>
      </c>
      <c r="AA123" s="130">
        <f>93*1.6</f>
        <v>148.80000000000001</v>
      </c>
      <c r="AB123" s="130">
        <f>88.2*1.6</f>
        <v>141.12</v>
      </c>
      <c r="AC123" s="130">
        <f>85*1.6</f>
        <v>136</v>
      </c>
      <c r="AD123" s="130">
        <f>90.5*1.6</f>
        <v>144.80000000000001</v>
      </c>
      <c r="AE123" s="130">
        <f>79.3*1.6</f>
        <v>126.88</v>
      </c>
      <c r="AF123" s="130">
        <f>82*1.6</f>
        <v>131.20000000000002</v>
      </c>
      <c r="AG123" s="131">
        <v>120</v>
      </c>
      <c r="AH123" s="48">
        <f t="shared" si="55"/>
        <v>156.80000000000001</v>
      </c>
      <c r="AI123" s="49">
        <f t="shared" si="56"/>
        <v>95</v>
      </c>
    </row>
    <row r="124" spans="1:35" x14ac:dyDescent="0.25">
      <c r="A124" s="128" t="s">
        <v>147</v>
      </c>
      <c r="B124" s="130">
        <v>75</v>
      </c>
      <c r="C124" s="130">
        <v>73</v>
      </c>
      <c r="D124" s="130">
        <v>74</v>
      </c>
      <c r="E124" s="130">
        <v>71.2</v>
      </c>
      <c r="F124" s="130">
        <v>81.8</v>
      </c>
      <c r="G124" s="130">
        <v>89</v>
      </c>
      <c r="H124" s="130">
        <v>78.099999999999994</v>
      </c>
      <c r="I124" s="130">
        <v>76.2</v>
      </c>
      <c r="J124" s="130">
        <v>87.3</v>
      </c>
      <c r="K124" s="130">
        <v>77.099999999999994</v>
      </c>
      <c r="L124" s="130">
        <v>71.7</v>
      </c>
      <c r="M124" s="130">
        <v>80.400000000000006</v>
      </c>
      <c r="N124" s="130">
        <v>80.400000000000006</v>
      </c>
      <c r="O124" s="130">
        <v>77.8</v>
      </c>
      <c r="P124" s="130">
        <v>76.400000000000006</v>
      </c>
      <c r="Q124" s="130">
        <v>78.7</v>
      </c>
      <c r="R124" s="130">
        <v>78.7</v>
      </c>
      <c r="S124" s="130">
        <v>86</v>
      </c>
      <c r="T124" s="130">
        <v>85</v>
      </c>
      <c r="U124" s="130">
        <v>91</v>
      </c>
      <c r="V124" s="130">
        <v>81</v>
      </c>
      <c r="W124" s="130">
        <v>81</v>
      </c>
      <c r="X124" s="130">
        <v>89</v>
      </c>
      <c r="Y124" s="130">
        <v>100</v>
      </c>
      <c r="Z124" s="130">
        <v>96</v>
      </c>
      <c r="AA124" s="130">
        <v>95</v>
      </c>
      <c r="AB124" s="130">
        <v>89.4</v>
      </c>
      <c r="AC124" s="130">
        <v>87.5</v>
      </c>
      <c r="AD124" s="130">
        <v>92.8</v>
      </c>
      <c r="AE124" s="130">
        <v>84.1</v>
      </c>
      <c r="AF124" s="130">
        <v>86.3</v>
      </c>
      <c r="AG124" s="131"/>
      <c r="AH124" s="48"/>
      <c r="AI124" s="49"/>
    </row>
    <row r="125" spans="1:35" x14ac:dyDescent="0.25">
      <c r="A125" s="128" t="s">
        <v>148</v>
      </c>
      <c r="B125" s="130">
        <v>53</v>
      </c>
      <c r="C125" s="130">
        <v>54</v>
      </c>
      <c r="D125" s="130">
        <v>60</v>
      </c>
      <c r="E125" s="130">
        <v>55.4</v>
      </c>
      <c r="F125" s="130">
        <v>70.3</v>
      </c>
      <c r="G125" s="130">
        <v>65.7</v>
      </c>
      <c r="H125" s="130">
        <v>45.5</v>
      </c>
      <c r="I125" s="130">
        <v>30.8</v>
      </c>
      <c r="J125" s="130">
        <v>18.3</v>
      </c>
      <c r="K125" s="130">
        <v>-7.1</v>
      </c>
      <c r="L125" s="130">
        <v>-27.9</v>
      </c>
      <c r="M125" s="130">
        <v>-14.2</v>
      </c>
      <c r="N125" s="130">
        <v>-14.2</v>
      </c>
      <c r="O125" s="130">
        <v>0.2</v>
      </c>
      <c r="P125" s="130">
        <v>23.3</v>
      </c>
      <c r="Q125" s="130">
        <v>30.3</v>
      </c>
      <c r="R125" s="130">
        <v>30.3</v>
      </c>
      <c r="S125" s="130">
        <v>50</v>
      </c>
      <c r="T125" s="130">
        <v>41</v>
      </c>
      <c r="U125" s="130">
        <v>52.3</v>
      </c>
      <c r="V125" s="130">
        <v>26</v>
      </c>
      <c r="W125" s="130">
        <v>5</v>
      </c>
      <c r="X125" s="130">
        <v>11</v>
      </c>
      <c r="Y125" s="130">
        <v>0.1</v>
      </c>
      <c r="Z125" s="130">
        <v>-15</v>
      </c>
      <c r="AA125" s="130">
        <v>4</v>
      </c>
      <c r="AB125" s="130">
        <v>11.4</v>
      </c>
      <c r="AC125" s="130">
        <v>10.199999999999999</v>
      </c>
      <c r="AD125" s="130">
        <v>35.799999999999997</v>
      </c>
      <c r="AE125" s="130">
        <v>53.8</v>
      </c>
      <c r="AF125" s="130">
        <v>72.400000000000006</v>
      </c>
      <c r="AG125" s="131"/>
      <c r="AH125" s="48"/>
      <c r="AI125" s="49"/>
    </row>
    <row r="126" spans="1:35" ht="15.75" thickBot="1" x14ac:dyDescent="0.3">
      <c r="A126" s="128" t="s">
        <v>149</v>
      </c>
      <c r="B126" s="130">
        <v>80</v>
      </c>
      <c r="C126" s="130">
        <v>78.599999999999994</v>
      </c>
      <c r="D126" s="130">
        <v>83.6</v>
      </c>
      <c r="E126" s="130">
        <v>77.5</v>
      </c>
      <c r="F126" s="130">
        <v>91.3</v>
      </c>
      <c r="G126" s="130">
        <v>105</v>
      </c>
      <c r="H126" s="130">
        <v>95.6</v>
      </c>
      <c r="I126" s="130">
        <v>92</v>
      </c>
      <c r="J126" s="130">
        <v>99.1</v>
      </c>
      <c r="K126" s="130">
        <v>80</v>
      </c>
      <c r="L126" s="130">
        <v>67</v>
      </c>
      <c r="M126" s="130">
        <v>82.5</v>
      </c>
      <c r="N126" s="130">
        <v>82.5</v>
      </c>
      <c r="O126" s="130">
        <v>76.8</v>
      </c>
      <c r="P126" s="130">
        <v>75.8</v>
      </c>
      <c r="Q126" s="130">
        <v>84.5</v>
      </c>
      <c r="R126" s="130">
        <v>84.5</v>
      </c>
      <c r="S126" s="130">
        <v>93.2</v>
      </c>
      <c r="T126" s="130">
        <v>95</v>
      </c>
      <c r="U126" s="130">
        <v>108</v>
      </c>
      <c r="V126" s="130">
        <v>87</v>
      </c>
      <c r="W126" s="130">
        <v>93</v>
      </c>
      <c r="X126" s="130">
        <v>96</v>
      </c>
      <c r="Y126" s="130">
        <v>100</v>
      </c>
      <c r="Z126" s="130">
        <v>90.1</v>
      </c>
      <c r="AA126" s="130">
        <v>97</v>
      </c>
      <c r="AB126" s="130">
        <v>89.6</v>
      </c>
      <c r="AC126" s="130">
        <v>78.8</v>
      </c>
      <c r="AD126" s="130">
        <v>87.6</v>
      </c>
      <c r="AE126" s="130">
        <v>82.8</v>
      </c>
      <c r="AF126" s="130">
        <v>89</v>
      </c>
      <c r="AG126" s="127"/>
      <c r="AH126" s="48">
        <f>MAX(B126:AF126)</f>
        <v>108</v>
      </c>
      <c r="AI126" s="49">
        <f>MIN(B126:AF126)</f>
        <v>67</v>
      </c>
    </row>
    <row r="127" spans="1:35" x14ac:dyDescent="0.25">
      <c r="A127" s="125" t="s">
        <v>305</v>
      </c>
      <c r="B127" s="130">
        <v>2</v>
      </c>
      <c r="C127" s="130">
        <v>21</v>
      </c>
      <c r="D127" s="130">
        <v>21</v>
      </c>
      <c r="E127" s="130">
        <v>21.2</v>
      </c>
      <c r="F127" s="130">
        <v>31.9</v>
      </c>
      <c r="G127" s="130">
        <v>39.1</v>
      </c>
      <c r="H127" s="130">
        <v>28.2</v>
      </c>
      <c r="I127" s="130">
        <v>24.7</v>
      </c>
      <c r="J127" s="130">
        <v>1.6</v>
      </c>
      <c r="K127" s="130">
        <v>-45.4</v>
      </c>
      <c r="L127" s="130">
        <v>-25.1</v>
      </c>
      <c r="M127" s="130">
        <v>-20.8</v>
      </c>
      <c r="N127" s="130">
        <v>14.1</v>
      </c>
      <c r="O127" s="130">
        <v>14.1</v>
      </c>
      <c r="P127" s="130">
        <v>13.4</v>
      </c>
      <c r="Q127" s="130">
        <v>33.4</v>
      </c>
      <c r="R127" s="130">
        <v>33.4</v>
      </c>
      <c r="S127" s="130">
        <v>30</v>
      </c>
      <c r="T127" s="130">
        <v>43</v>
      </c>
      <c r="U127" s="130">
        <v>41.3</v>
      </c>
      <c r="V127" s="130">
        <v>24</v>
      </c>
      <c r="W127" s="130">
        <v>23</v>
      </c>
      <c r="X127" s="130">
        <v>-39</v>
      </c>
      <c r="Y127" s="130">
        <v>-65.2</v>
      </c>
      <c r="Z127" s="130">
        <v>-59.5</v>
      </c>
      <c r="AA127" s="130">
        <v>-40</v>
      </c>
      <c r="AB127" s="130">
        <v>-39.799999999999997</v>
      </c>
      <c r="AC127" s="130">
        <v>-17.3</v>
      </c>
      <c r="AD127" s="130">
        <v>-40.5</v>
      </c>
      <c r="AE127" s="130">
        <v>-40.5</v>
      </c>
      <c r="AF127" s="130">
        <v>-22.8</v>
      </c>
      <c r="AG127" s="127"/>
      <c r="AH127" s="48">
        <f>MAX(B127:AF127)</f>
        <v>43</v>
      </c>
      <c r="AI127" s="49">
        <f>MIN(B127:AF127)</f>
        <v>-65.2</v>
      </c>
    </row>
    <row r="128" spans="1:35" x14ac:dyDescent="0.25">
      <c r="A128" s="128" t="s">
        <v>151</v>
      </c>
      <c r="B128" s="118">
        <v>-27</v>
      </c>
      <c r="C128" s="118">
        <v>-28</v>
      </c>
      <c r="D128" s="118">
        <v>-23</v>
      </c>
      <c r="E128" s="118">
        <v>-19.100000000000001</v>
      </c>
      <c r="F128" s="118">
        <v>-19.100000000000001</v>
      </c>
      <c r="G128" s="118">
        <v>-26.9</v>
      </c>
      <c r="H128" s="118">
        <v>-30.9</v>
      </c>
      <c r="I128" s="118">
        <v>-41.7</v>
      </c>
      <c r="J128" s="118">
        <v>-57.7</v>
      </c>
      <c r="K128" s="118">
        <v>-52.4</v>
      </c>
      <c r="L128" s="118">
        <v>-62</v>
      </c>
      <c r="M128" s="118">
        <v>-68</v>
      </c>
      <c r="N128" s="118">
        <v>-54.1</v>
      </c>
      <c r="O128" s="118">
        <v>-54.1</v>
      </c>
      <c r="P128" s="118">
        <v>-45.9</v>
      </c>
      <c r="Q128" s="118">
        <v>-41.7</v>
      </c>
      <c r="R128" s="118">
        <v>-41.7</v>
      </c>
      <c r="S128" s="118">
        <v>-48.2</v>
      </c>
      <c r="T128" s="118">
        <v>-39</v>
      </c>
      <c r="U128" s="118">
        <v>-53.5</v>
      </c>
      <c r="V128" s="118">
        <v>-58</v>
      </c>
      <c r="W128" s="118">
        <v>-60</v>
      </c>
      <c r="X128" s="118">
        <v>-64</v>
      </c>
      <c r="Y128" s="118"/>
      <c r="Z128" s="118"/>
      <c r="AA128" s="118">
        <v>-58.2</v>
      </c>
      <c r="AB128" s="118">
        <v>-55.4</v>
      </c>
      <c r="AC128" s="118">
        <v>-50.8</v>
      </c>
      <c r="AD128" s="118">
        <v>-43.6</v>
      </c>
      <c r="AE128" s="118">
        <v>-32</v>
      </c>
      <c r="AF128" s="118">
        <v>-24.2</v>
      </c>
      <c r="AG128" s="127"/>
      <c r="AH128" s="48">
        <f>MAX(B128:AF128)</f>
        <v>-19.100000000000001</v>
      </c>
      <c r="AI128" s="49">
        <f>MIN(B128:AF128)</f>
        <v>-68</v>
      </c>
    </row>
    <row r="129" spans="1:37" x14ac:dyDescent="0.25">
      <c r="A129" s="128" t="s">
        <v>306</v>
      </c>
      <c r="B129" s="118">
        <v>114</v>
      </c>
      <c r="C129" s="118">
        <v>103</v>
      </c>
      <c r="D129" s="118">
        <v>97</v>
      </c>
      <c r="E129" s="118">
        <v>107.2</v>
      </c>
      <c r="F129" s="118">
        <v>102</v>
      </c>
      <c r="G129" s="118">
        <v>111.7</v>
      </c>
      <c r="H129" s="118">
        <v>110.6</v>
      </c>
      <c r="I129" s="118">
        <v>112.5</v>
      </c>
      <c r="J129" s="118">
        <v>127.9</v>
      </c>
      <c r="K129" s="118">
        <v>101.3</v>
      </c>
      <c r="L129" s="118">
        <v>111.7</v>
      </c>
      <c r="M129" s="118">
        <v>115.2</v>
      </c>
      <c r="N129" s="118">
        <v>102.4</v>
      </c>
      <c r="O129" s="118">
        <v>102.4</v>
      </c>
      <c r="P129" s="118">
        <v>108</v>
      </c>
      <c r="Q129" s="118">
        <v>111.2</v>
      </c>
      <c r="R129" s="118">
        <v>111.2</v>
      </c>
      <c r="S129" s="118">
        <v>124</v>
      </c>
      <c r="T129" s="118">
        <v>103</v>
      </c>
      <c r="U129" s="118">
        <v>118.4</v>
      </c>
      <c r="V129" s="118">
        <v>114.1</v>
      </c>
      <c r="W129" s="118">
        <v>110</v>
      </c>
      <c r="X129" s="118">
        <v>120</v>
      </c>
      <c r="Y129" s="118">
        <v>127</v>
      </c>
      <c r="Z129" s="118">
        <v>118.3</v>
      </c>
      <c r="AA129" s="118">
        <v>114</v>
      </c>
      <c r="AB129" s="118">
        <v>109.5</v>
      </c>
      <c r="AC129" s="118">
        <v>112.9</v>
      </c>
      <c r="AD129" s="118">
        <v>114.8</v>
      </c>
      <c r="AE129" s="118">
        <v>124.4</v>
      </c>
      <c r="AF129" s="118">
        <v>120</v>
      </c>
      <c r="AG129" s="127"/>
      <c r="AH129" s="48">
        <f>MAX(B129:AF129)</f>
        <v>127.9</v>
      </c>
      <c r="AI129" s="49">
        <f>MIN(B129:AF129)</f>
        <v>97</v>
      </c>
    </row>
    <row r="130" spans="1:37" ht="15.75" thickBot="1" x14ac:dyDescent="0.3">
      <c r="A130" s="128" t="s">
        <v>153</v>
      </c>
      <c r="B130" s="118">
        <v>114</v>
      </c>
      <c r="C130" s="118">
        <v>119</v>
      </c>
      <c r="D130" s="118">
        <v>106</v>
      </c>
      <c r="E130" s="118">
        <v>107.8</v>
      </c>
      <c r="F130" s="118">
        <v>106.8</v>
      </c>
      <c r="G130" s="118">
        <v>109</v>
      </c>
      <c r="H130" s="118">
        <v>109.5</v>
      </c>
      <c r="I130" s="118">
        <v>111.9</v>
      </c>
      <c r="J130" s="118">
        <v>127</v>
      </c>
      <c r="K130" s="118">
        <v>114.1</v>
      </c>
      <c r="L130" s="118">
        <v>119.2</v>
      </c>
      <c r="M130" s="118">
        <v>121.7</v>
      </c>
      <c r="N130" s="118">
        <v>111.2</v>
      </c>
      <c r="O130" s="118">
        <v>111.2</v>
      </c>
      <c r="P130" s="118">
        <v>113.1</v>
      </c>
      <c r="Q130" s="118">
        <v>115.1</v>
      </c>
      <c r="R130" s="118">
        <v>115.1</v>
      </c>
      <c r="S130" s="118">
        <v>129.5</v>
      </c>
      <c r="T130" s="118">
        <v>110</v>
      </c>
      <c r="U130" s="118">
        <v>122.4</v>
      </c>
      <c r="V130" s="118">
        <v>118</v>
      </c>
      <c r="W130" s="118">
        <v>118</v>
      </c>
      <c r="X130" s="118">
        <v>124</v>
      </c>
      <c r="Y130" s="118">
        <v>131</v>
      </c>
      <c r="Z130" s="118">
        <v>122</v>
      </c>
      <c r="AA130" s="118">
        <v>114.2</v>
      </c>
      <c r="AB130" s="118">
        <v>110.5</v>
      </c>
      <c r="AC130" s="118">
        <v>115.9</v>
      </c>
      <c r="AD130" s="118">
        <v>116.6</v>
      </c>
      <c r="AE130" s="118">
        <v>125.9</v>
      </c>
      <c r="AF130" s="118">
        <v>121.7</v>
      </c>
      <c r="AG130" s="127"/>
      <c r="AH130" s="48">
        <f>MAX(B130:AF130)</f>
        <v>131</v>
      </c>
      <c r="AI130" s="49">
        <f>MIN(B130:AF130)</f>
        <v>106</v>
      </c>
    </row>
    <row r="131" spans="1:37" x14ac:dyDescent="0.25">
      <c r="A131" s="132" t="s">
        <v>154</v>
      </c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4"/>
      <c r="AG131" s="44"/>
      <c r="AH131" s="48"/>
      <c r="AI131" s="49"/>
    </row>
    <row r="132" spans="1:37" x14ac:dyDescent="0.25">
      <c r="A132" s="135" t="s">
        <v>155</v>
      </c>
      <c r="B132" s="136">
        <v>1983.5</v>
      </c>
      <c r="C132" s="136">
        <v>1983.62</v>
      </c>
      <c r="D132" s="136">
        <v>1983.89</v>
      </c>
      <c r="E132" s="136">
        <v>1984.13</v>
      </c>
      <c r="F132" s="136">
        <v>1984.3</v>
      </c>
      <c r="G132" s="136">
        <v>1984.48</v>
      </c>
      <c r="H132" s="136"/>
      <c r="I132" s="136">
        <v>1984.7</v>
      </c>
      <c r="J132" s="136"/>
      <c r="K132" s="136">
        <v>1984.77</v>
      </c>
      <c r="L132" s="136"/>
      <c r="M132" s="130">
        <v>1984.49</v>
      </c>
      <c r="N132" s="130">
        <v>1984.35</v>
      </c>
      <c r="O132" s="130">
        <v>1984.38</v>
      </c>
      <c r="P132" s="130">
        <v>1984.48</v>
      </c>
      <c r="Q132" s="130">
        <v>1984.55</v>
      </c>
      <c r="R132" s="130"/>
      <c r="S132" s="136">
        <v>1984.78</v>
      </c>
      <c r="T132" s="136">
        <v>1984.88</v>
      </c>
      <c r="U132" s="136">
        <v>1985.02</v>
      </c>
      <c r="V132" s="136">
        <v>1985.15</v>
      </c>
      <c r="W132" s="136"/>
      <c r="X132" s="136">
        <v>1985.22</v>
      </c>
      <c r="Y132" s="136"/>
      <c r="Z132" s="136">
        <v>1984.83</v>
      </c>
      <c r="AA132" s="136"/>
      <c r="AB132" s="136">
        <v>1984.5</v>
      </c>
      <c r="AC132" s="136"/>
      <c r="AD132" s="136">
        <v>1984.25</v>
      </c>
      <c r="AE132" s="136">
        <v>1984.09</v>
      </c>
      <c r="AF132" s="136">
        <v>1984.09</v>
      </c>
      <c r="AG132" s="138"/>
      <c r="AH132" s="48"/>
      <c r="AI132" s="49"/>
    </row>
    <row r="133" spans="1:37" x14ac:dyDescent="0.25">
      <c r="A133" s="135" t="s">
        <v>156</v>
      </c>
      <c r="B133" s="139">
        <v>519.16999999999996</v>
      </c>
      <c r="C133" s="139">
        <v>519.52</v>
      </c>
      <c r="D133" s="139">
        <v>519.9</v>
      </c>
      <c r="E133" s="139">
        <v>520.26</v>
      </c>
      <c r="F133" s="139">
        <v>520.6</v>
      </c>
      <c r="G133" s="139">
        <v>520.94000000000005</v>
      </c>
      <c r="H133" s="139"/>
      <c r="I133" s="139">
        <v>521.08000000000004</v>
      </c>
      <c r="J133" s="139"/>
      <c r="K133" s="139">
        <v>520.84</v>
      </c>
      <c r="L133" s="139"/>
      <c r="M133" s="130">
        <v>520.61</v>
      </c>
      <c r="N133" s="130">
        <v>520.61</v>
      </c>
      <c r="O133" s="130">
        <v>520.73</v>
      </c>
      <c r="P133" s="130">
        <v>520.85</v>
      </c>
      <c r="Q133" s="130">
        <v>520.96</v>
      </c>
      <c r="R133" s="130"/>
      <c r="S133" s="139">
        <v>521.12</v>
      </c>
      <c r="T133" s="139">
        <v>521.21</v>
      </c>
      <c r="U133" s="139">
        <v>521.24</v>
      </c>
      <c r="V133" s="139">
        <v>521.15</v>
      </c>
      <c r="W133" s="139"/>
      <c r="X133" s="139">
        <v>520.79999999999995</v>
      </c>
      <c r="Y133" s="139"/>
      <c r="Z133" s="139">
        <v>520.21</v>
      </c>
      <c r="AA133" s="139">
        <v>519.91999999999996</v>
      </c>
      <c r="AB133" s="139">
        <v>519.67999999999995</v>
      </c>
      <c r="AC133" s="139"/>
      <c r="AD133" s="139">
        <v>519.5</v>
      </c>
      <c r="AE133" s="139">
        <v>519.52</v>
      </c>
      <c r="AF133" s="139">
        <v>519.52</v>
      </c>
      <c r="AG133" s="138"/>
      <c r="AH133" s="48"/>
      <c r="AI133" s="49"/>
    </row>
    <row r="134" spans="1:37" x14ac:dyDescent="0.25">
      <c r="A134" s="135" t="s">
        <v>158</v>
      </c>
      <c r="B134" s="139">
        <v>622.91</v>
      </c>
      <c r="C134" s="139">
        <v>623.20000000000005</v>
      </c>
      <c r="D134" s="139">
        <v>623.57000000000005</v>
      </c>
      <c r="E134" s="139">
        <v>623.92999999999995</v>
      </c>
      <c r="F134" s="139">
        <v>624.32000000000005</v>
      </c>
      <c r="G134" s="139">
        <v>624.57000000000005</v>
      </c>
      <c r="H134" s="139"/>
      <c r="I134" s="139">
        <v>624.80999999999995</v>
      </c>
      <c r="J134" s="139"/>
      <c r="K134" s="139">
        <v>624.74</v>
      </c>
      <c r="L134" s="139"/>
      <c r="M134" s="130">
        <v>624.64</v>
      </c>
      <c r="N134" s="130">
        <v>624.6</v>
      </c>
      <c r="O134" s="130">
        <v>624.66999999999996</v>
      </c>
      <c r="P134" s="130">
        <v>624.72</v>
      </c>
      <c r="Q134" s="130">
        <v>624.78</v>
      </c>
      <c r="R134" s="130"/>
      <c r="S134" s="139">
        <v>624.35</v>
      </c>
      <c r="T134" s="139">
        <v>623.87</v>
      </c>
      <c r="U134" s="139">
        <v>623.45000000000005</v>
      </c>
      <c r="V134" s="139">
        <v>622.91999999999996</v>
      </c>
      <c r="W134" s="139">
        <v>622.54999999999995</v>
      </c>
      <c r="X134" s="139">
        <v>622.27</v>
      </c>
      <c r="Y134" s="139"/>
      <c r="Z134" s="139">
        <v>621.55999999999995</v>
      </c>
      <c r="AA134" s="139"/>
      <c r="AB134" s="139">
        <v>621.38</v>
      </c>
      <c r="AC134" s="139"/>
      <c r="AD134" s="139">
        <v>622</v>
      </c>
      <c r="AE134" s="139">
        <v>622.49</v>
      </c>
      <c r="AF134" s="139">
        <v>622.49</v>
      </c>
      <c r="AG134" s="138"/>
      <c r="AH134" s="48"/>
      <c r="AI134" s="49"/>
    </row>
    <row r="135" spans="1:37" x14ac:dyDescent="0.25">
      <c r="A135" s="135" t="s">
        <v>159</v>
      </c>
      <c r="B135" s="139">
        <v>334.73</v>
      </c>
      <c r="C135" s="139">
        <v>335.11</v>
      </c>
      <c r="D135" s="139">
        <v>335.56</v>
      </c>
      <c r="E135" s="139">
        <v>335.91</v>
      </c>
      <c r="F135" s="139">
        <v>336.16</v>
      </c>
      <c r="G135" s="139">
        <v>336.35</v>
      </c>
      <c r="H135" s="139"/>
      <c r="I135" s="139">
        <v>336.38</v>
      </c>
      <c r="J135" s="139"/>
      <c r="K135" s="139">
        <v>336.2</v>
      </c>
      <c r="L135" s="139"/>
      <c r="M135" s="130">
        <v>335.86</v>
      </c>
      <c r="N135" s="130">
        <v>335.56</v>
      </c>
      <c r="O135" s="130">
        <v>335.3</v>
      </c>
      <c r="P135" s="130">
        <v>335.22</v>
      </c>
      <c r="Q135" s="130">
        <v>334.74</v>
      </c>
      <c r="R135" s="130"/>
      <c r="S135" s="139">
        <v>334.09</v>
      </c>
      <c r="T135" s="139">
        <v>334.22</v>
      </c>
      <c r="U135" s="139">
        <v>334.3</v>
      </c>
      <c r="V135" s="139">
        <v>334.34</v>
      </c>
      <c r="W135" s="139"/>
      <c r="X135" s="139">
        <v>334.18</v>
      </c>
      <c r="Y135" s="139"/>
      <c r="Z135" s="139">
        <v>334.13</v>
      </c>
      <c r="AA135" s="139"/>
      <c r="AB135" s="139">
        <v>334.49</v>
      </c>
      <c r="AC135" s="139"/>
      <c r="AD135" s="139">
        <v>334.68</v>
      </c>
      <c r="AE135" s="139">
        <v>334.92</v>
      </c>
      <c r="AF135" s="139">
        <v>334.92</v>
      </c>
      <c r="AG135" s="138"/>
      <c r="AH135" s="48"/>
      <c r="AI135" s="49"/>
    </row>
    <row r="136" spans="1:37" x14ac:dyDescent="0.25">
      <c r="A136" s="135" t="s">
        <v>160</v>
      </c>
      <c r="B136" s="139">
        <v>885.6</v>
      </c>
      <c r="C136" s="139">
        <v>885.9</v>
      </c>
      <c r="D136" s="139">
        <v>886.4</v>
      </c>
      <c r="E136" s="139">
        <v>886.9</v>
      </c>
      <c r="F136" s="139">
        <v>887.3</v>
      </c>
      <c r="G136" s="139">
        <v>887.7</v>
      </c>
      <c r="H136" s="139"/>
      <c r="I136" s="139">
        <v>887.7</v>
      </c>
      <c r="J136" s="139"/>
      <c r="K136" s="139">
        <v>887.3</v>
      </c>
      <c r="L136" s="139"/>
      <c r="M136" s="130">
        <v>886.5</v>
      </c>
      <c r="N136" s="130">
        <v>885.5</v>
      </c>
      <c r="O136" s="130">
        <v>885.1</v>
      </c>
      <c r="P136" s="130">
        <v>885</v>
      </c>
      <c r="Q136" s="130">
        <v>884.9</v>
      </c>
      <c r="R136" s="130"/>
      <c r="S136" s="139">
        <v>884.7</v>
      </c>
      <c r="T136" s="139">
        <v>884.5</v>
      </c>
      <c r="U136" s="139">
        <v>884.1</v>
      </c>
      <c r="V136" s="139">
        <v>884.5</v>
      </c>
      <c r="W136" s="139"/>
      <c r="X136" s="139"/>
      <c r="Y136" s="139"/>
      <c r="Z136" s="139">
        <v>885</v>
      </c>
      <c r="AA136" s="139"/>
      <c r="AB136" s="139">
        <v>883.8</v>
      </c>
      <c r="AC136" s="139"/>
      <c r="AD136" s="139">
        <v>883</v>
      </c>
      <c r="AE136" s="139">
        <v>882.6</v>
      </c>
      <c r="AF136" s="140">
        <v>882.2</v>
      </c>
      <c r="AG136" s="138"/>
      <c r="AH136" s="48"/>
      <c r="AI136" s="49"/>
    </row>
    <row r="137" spans="1:37" ht="15.75" thickBot="1" x14ac:dyDescent="0.3">
      <c r="A137" s="135" t="s">
        <v>161</v>
      </c>
      <c r="B137" s="141">
        <v>1519.6</v>
      </c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30"/>
      <c r="N137" s="130"/>
      <c r="O137" s="130"/>
      <c r="P137" s="130"/>
      <c r="Q137" s="130"/>
      <c r="R137" s="130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  <c r="AF137" s="142"/>
      <c r="AG137" s="138"/>
      <c r="AH137" s="48"/>
      <c r="AI137" s="49"/>
    </row>
    <row r="138" spans="1:37" ht="15.75" thickBot="1" x14ac:dyDescent="0.3">
      <c r="A138" s="143" t="s">
        <v>162</v>
      </c>
      <c r="B138" s="144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123">SUM(B139:B243)</f>
        <v>0</v>
      </c>
      <c r="C244" s="160">
        <f t="shared" si="123"/>
        <v>0</v>
      </c>
      <c r="D244" s="160">
        <f t="shared" si="123"/>
        <v>0</v>
      </c>
      <c r="E244" s="160">
        <f t="shared" si="123"/>
        <v>0</v>
      </c>
      <c r="F244" s="160">
        <f t="shared" si="123"/>
        <v>0</v>
      </c>
      <c r="G244" s="160">
        <f t="shared" si="123"/>
        <v>0</v>
      </c>
      <c r="H244" s="160">
        <f t="shared" si="123"/>
        <v>0</v>
      </c>
      <c r="I244" s="160">
        <f t="shared" si="123"/>
        <v>0</v>
      </c>
      <c r="J244" s="160">
        <f t="shared" si="123"/>
        <v>0</v>
      </c>
      <c r="K244" s="160">
        <f t="shared" si="123"/>
        <v>0</v>
      </c>
      <c r="L244" s="160">
        <f t="shared" si="123"/>
        <v>0</v>
      </c>
      <c r="M244" s="160">
        <f t="shared" si="123"/>
        <v>0</v>
      </c>
      <c r="N244" s="160">
        <f t="shared" si="123"/>
        <v>0</v>
      </c>
      <c r="O244" s="160">
        <f t="shared" si="123"/>
        <v>0</v>
      </c>
      <c r="P244" s="160">
        <f t="shared" si="123"/>
        <v>0</v>
      </c>
      <c r="Q244" s="160">
        <f t="shared" si="123"/>
        <v>0</v>
      </c>
      <c r="R244" s="160">
        <f t="shared" si="123"/>
        <v>0</v>
      </c>
      <c r="S244" s="160">
        <f t="shared" si="123"/>
        <v>0</v>
      </c>
      <c r="T244" s="160">
        <f t="shared" si="123"/>
        <v>0</v>
      </c>
      <c r="U244" s="160">
        <f t="shared" si="123"/>
        <v>0</v>
      </c>
      <c r="V244" s="160">
        <f t="shared" si="123"/>
        <v>0</v>
      </c>
      <c r="W244" s="160">
        <f t="shared" si="123"/>
        <v>0</v>
      </c>
      <c r="X244" s="160">
        <f t="shared" si="123"/>
        <v>0</v>
      </c>
      <c r="Y244" s="160">
        <f t="shared" si="123"/>
        <v>0</v>
      </c>
      <c r="Z244" s="160">
        <f t="shared" si="123"/>
        <v>0</v>
      </c>
      <c r="AA244" s="160">
        <f t="shared" si="123"/>
        <v>0</v>
      </c>
      <c r="AB244" s="160">
        <f t="shared" si="123"/>
        <v>0</v>
      </c>
      <c r="AC244" s="160">
        <f t="shared" si="123"/>
        <v>0</v>
      </c>
      <c r="AD244" s="160">
        <f t="shared" si="123"/>
        <v>0</v>
      </c>
      <c r="AE244" s="160">
        <f t="shared" si="123"/>
        <v>0</v>
      </c>
      <c r="AF244" s="161">
        <f t="shared" si="123"/>
        <v>0</v>
      </c>
      <c r="AG244" s="162">
        <f t="shared" si="123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124">AF246</f>
        <v>0.3</v>
      </c>
      <c r="C246" s="165">
        <v>0.3</v>
      </c>
      <c r="D246" s="165">
        <f t="shared" ref="D246:S251" si="125">C246</f>
        <v>0.3</v>
      </c>
      <c r="E246" s="165">
        <f t="shared" si="125"/>
        <v>0.3</v>
      </c>
      <c r="F246" s="165">
        <f t="shared" si="125"/>
        <v>0.3</v>
      </c>
      <c r="G246" s="165">
        <f t="shared" si="125"/>
        <v>0.3</v>
      </c>
      <c r="H246" s="165">
        <f t="shared" si="125"/>
        <v>0.3</v>
      </c>
      <c r="I246" s="165">
        <f t="shared" si="125"/>
        <v>0.3</v>
      </c>
      <c r="J246" s="165">
        <f t="shared" si="125"/>
        <v>0.3</v>
      </c>
      <c r="K246" s="165">
        <f t="shared" si="125"/>
        <v>0.3</v>
      </c>
      <c r="L246" s="165">
        <f t="shared" si="125"/>
        <v>0.3</v>
      </c>
      <c r="M246" s="165">
        <f t="shared" si="125"/>
        <v>0.3</v>
      </c>
      <c r="N246" s="165">
        <f t="shared" si="125"/>
        <v>0.3</v>
      </c>
      <c r="O246" s="165">
        <f t="shared" si="125"/>
        <v>0.3</v>
      </c>
      <c r="P246" s="165">
        <f t="shared" si="125"/>
        <v>0.3</v>
      </c>
      <c r="Q246" s="165">
        <f t="shared" si="125"/>
        <v>0.3</v>
      </c>
      <c r="R246" s="165">
        <f t="shared" si="125"/>
        <v>0.3</v>
      </c>
      <c r="S246" s="165">
        <f t="shared" si="125"/>
        <v>0.3</v>
      </c>
      <c r="T246" s="165">
        <f t="shared" ref="T246:AF251" si="126">S246</f>
        <v>0.3</v>
      </c>
      <c r="U246" s="165">
        <f t="shared" si="126"/>
        <v>0.3</v>
      </c>
      <c r="V246" s="165">
        <f t="shared" si="126"/>
        <v>0.3</v>
      </c>
      <c r="W246" s="165">
        <f t="shared" si="126"/>
        <v>0.3</v>
      </c>
      <c r="X246" s="165">
        <f t="shared" si="126"/>
        <v>0.3</v>
      </c>
      <c r="Y246" s="165">
        <f t="shared" si="126"/>
        <v>0.3</v>
      </c>
      <c r="Z246" s="165">
        <f t="shared" si="126"/>
        <v>0.3</v>
      </c>
      <c r="AA246" s="165">
        <f t="shared" si="126"/>
        <v>0.3</v>
      </c>
      <c r="AB246" s="165">
        <f t="shared" si="126"/>
        <v>0.3</v>
      </c>
      <c r="AC246" s="165">
        <f t="shared" si="126"/>
        <v>0.3</v>
      </c>
      <c r="AD246" s="165">
        <f t="shared" si="126"/>
        <v>0.3</v>
      </c>
      <c r="AE246" s="165">
        <f t="shared" si="126"/>
        <v>0.3</v>
      </c>
      <c r="AF246" s="165">
        <f t="shared" si="126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124"/>
        <v>0.4</v>
      </c>
      <c r="C247" s="151">
        <v>0.4</v>
      </c>
      <c r="D247" s="151">
        <f t="shared" si="125"/>
        <v>0.4</v>
      </c>
      <c r="E247" s="151">
        <f t="shared" si="125"/>
        <v>0.4</v>
      </c>
      <c r="F247" s="151">
        <f t="shared" si="125"/>
        <v>0.4</v>
      </c>
      <c r="G247" s="151">
        <f t="shared" si="125"/>
        <v>0.4</v>
      </c>
      <c r="H247" s="151">
        <f t="shared" si="125"/>
        <v>0.4</v>
      </c>
      <c r="I247" s="151">
        <f t="shared" si="125"/>
        <v>0.4</v>
      </c>
      <c r="J247" s="151">
        <f t="shared" si="125"/>
        <v>0.4</v>
      </c>
      <c r="K247" s="151">
        <f t="shared" si="125"/>
        <v>0.4</v>
      </c>
      <c r="L247" s="151">
        <f t="shared" si="125"/>
        <v>0.4</v>
      </c>
      <c r="M247" s="151">
        <f t="shared" si="125"/>
        <v>0.4</v>
      </c>
      <c r="N247" s="151">
        <f t="shared" si="125"/>
        <v>0.4</v>
      </c>
      <c r="O247" s="151">
        <f t="shared" si="125"/>
        <v>0.4</v>
      </c>
      <c r="P247" s="151">
        <f t="shared" si="125"/>
        <v>0.4</v>
      </c>
      <c r="Q247" s="151">
        <f t="shared" si="125"/>
        <v>0.4</v>
      </c>
      <c r="R247" s="151">
        <f t="shared" si="125"/>
        <v>0.4</v>
      </c>
      <c r="S247" s="151">
        <f t="shared" si="125"/>
        <v>0.4</v>
      </c>
      <c r="T247" s="151">
        <f t="shared" si="126"/>
        <v>0.4</v>
      </c>
      <c r="U247" s="151">
        <f t="shared" si="126"/>
        <v>0.4</v>
      </c>
      <c r="V247" s="151">
        <f t="shared" si="126"/>
        <v>0.4</v>
      </c>
      <c r="W247" s="151">
        <f t="shared" si="126"/>
        <v>0.4</v>
      </c>
      <c r="X247" s="151">
        <f t="shared" si="126"/>
        <v>0.4</v>
      </c>
      <c r="Y247" s="151">
        <f t="shared" si="126"/>
        <v>0.4</v>
      </c>
      <c r="Z247" s="151">
        <f t="shared" si="126"/>
        <v>0.4</v>
      </c>
      <c r="AA247" s="151">
        <f t="shared" si="126"/>
        <v>0.4</v>
      </c>
      <c r="AB247" s="151">
        <f t="shared" si="126"/>
        <v>0.4</v>
      </c>
      <c r="AC247" s="151">
        <f t="shared" si="126"/>
        <v>0.4</v>
      </c>
      <c r="AD247" s="151">
        <f t="shared" si="126"/>
        <v>0.4</v>
      </c>
      <c r="AE247" s="151">
        <f t="shared" si="126"/>
        <v>0.4</v>
      </c>
      <c r="AF247" s="151">
        <f t="shared" si="126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124"/>
        <v>1.5</v>
      </c>
      <c r="C248" s="151">
        <v>1.5</v>
      </c>
      <c r="D248" s="151">
        <f t="shared" si="125"/>
        <v>1.5</v>
      </c>
      <c r="E248" s="151">
        <f t="shared" si="125"/>
        <v>1.5</v>
      </c>
      <c r="F248" s="151">
        <f t="shared" si="125"/>
        <v>1.5</v>
      </c>
      <c r="G248" s="151">
        <f t="shared" si="125"/>
        <v>1.5</v>
      </c>
      <c r="H248" s="151">
        <f t="shared" si="125"/>
        <v>1.5</v>
      </c>
      <c r="I248" s="151">
        <f t="shared" si="125"/>
        <v>1.5</v>
      </c>
      <c r="J248" s="151">
        <f t="shared" si="125"/>
        <v>1.5</v>
      </c>
      <c r="K248" s="151">
        <f t="shared" si="125"/>
        <v>1.5</v>
      </c>
      <c r="L248" s="151">
        <f t="shared" si="125"/>
        <v>1.5</v>
      </c>
      <c r="M248" s="151">
        <f t="shared" si="125"/>
        <v>1.5</v>
      </c>
      <c r="N248" s="151">
        <f t="shared" si="125"/>
        <v>1.5</v>
      </c>
      <c r="O248" s="151">
        <f t="shared" si="125"/>
        <v>1.5</v>
      </c>
      <c r="P248" s="151">
        <f t="shared" si="125"/>
        <v>1.5</v>
      </c>
      <c r="Q248" s="151">
        <f t="shared" si="125"/>
        <v>1.5</v>
      </c>
      <c r="R248" s="151">
        <f t="shared" si="125"/>
        <v>1.5</v>
      </c>
      <c r="S248" s="151">
        <f t="shared" si="125"/>
        <v>1.5</v>
      </c>
      <c r="T248" s="151">
        <f t="shared" si="126"/>
        <v>1.5</v>
      </c>
      <c r="U248" s="151">
        <f t="shared" si="126"/>
        <v>1.5</v>
      </c>
      <c r="V248" s="151">
        <f t="shared" si="126"/>
        <v>1.5</v>
      </c>
      <c r="W248" s="151">
        <f t="shared" si="126"/>
        <v>1.5</v>
      </c>
      <c r="X248" s="151">
        <f t="shared" si="126"/>
        <v>1.5</v>
      </c>
      <c r="Y248" s="151">
        <f t="shared" si="126"/>
        <v>1.5</v>
      </c>
      <c r="Z248" s="151">
        <f t="shared" si="126"/>
        <v>1.5</v>
      </c>
      <c r="AA248" s="151">
        <f t="shared" si="126"/>
        <v>1.5</v>
      </c>
      <c r="AB248" s="151">
        <f t="shared" si="126"/>
        <v>1.5</v>
      </c>
      <c r="AC248" s="151">
        <f t="shared" si="126"/>
        <v>1.5</v>
      </c>
      <c r="AD248" s="151">
        <f t="shared" si="126"/>
        <v>1.5</v>
      </c>
      <c r="AE248" s="151">
        <f t="shared" si="126"/>
        <v>1.5</v>
      </c>
      <c r="AF248" s="151">
        <f t="shared" si="126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124"/>
        <v>0.3</v>
      </c>
      <c r="C249" s="151">
        <v>0.3</v>
      </c>
      <c r="D249" s="151">
        <f t="shared" si="125"/>
        <v>0.3</v>
      </c>
      <c r="E249" s="151">
        <f t="shared" si="125"/>
        <v>0.3</v>
      </c>
      <c r="F249" s="151">
        <f t="shared" si="125"/>
        <v>0.3</v>
      </c>
      <c r="G249" s="151">
        <f t="shared" si="125"/>
        <v>0.3</v>
      </c>
      <c r="H249" s="151">
        <f t="shared" si="125"/>
        <v>0.3</v>
      </c>
      <c r="I249" s="151">
        <f t="shared" si="125"/>
        <v>0.3</v>
      </c>
      <c r="J249" s="151">
        <f t="shared" si="125"/>
        <v>0.3</v>
      </c>
      <c r="K249" s="151">
        <f t="shared" si="125"/>
        <v>0.3</v>
      </c>
      <c r="L249" s="151">
        <f t="shared" si="125"/>
        <v>0.3</v>
      </c>
      <c r="M249" s="151">
        <f t="shared" si="125"/>
        <v>0.3</v>
      </c>
      <c r="N249" s="151">
        <f t="shared" si="125"/>
        <v>0.3</v>
      </c>
      <c r="O249" s="151">
        <f t="shared" si="125"/>
        <v>0.3</v>
      </c>
      <c r="P249" s="151">
        <f t="shared" si="125"/>
        <v>0.3</v>
      </c>
      <c r="Q249" s="151">
        <f t="shared" si="125"/>
        <v>0.3</v>
      </c>
      <c r="R249" s="151">
        <f t="shared" si="125"/>
        <v>0.3</v>
      </c>
      <c r="S249" s="151">
        <f t="shared" si="125"/>
        <v>0.3</v>
      </c>
      <c r="T249" s="151">
        <f t="shared" si="126"/>
        <v>0.3</v>
      </c>
      <c r="U249" s="151">
        <f t="shared" si="126"/>
        <v>0.3</v>
      </c>
      <c r="V249" s="151">
        <f t="shared" si="126"/>
        <v>0.3</v>
      </c>
      <c r="W249" s="151">
        <f t="shared" si="126"/>
        <v>0.3</v>
      </c>
      <c r="X249" s="151">
        <f t="shared" si="126"/>
        <v>0.3</v>
      </c>
      <c r="Y249" s="151">
        <f t="shared" si="126"/>
        <v>0.3</v>
      </c>
      <c r="Z249" s="151">
        <f t="shared" si="126"/>
        <v>0.3</v>
      </c>
      <c r="AA249" s="151">
        <f t="shared" si="126"/>
        <v>0.3</v>
      </c>
      <c r="AB249" s="151">
        <f t="shared" si="126"/>
        <v>0.3</v>
      </c>
      <c r="AC249" s="151">
        <f t="shared" si="126"/>
        <v>0.3</v>
      </c>
      <c r="AD249" s="151">
        <f t="shared" si="126"/>
        <v>0.3</v>
      </c>
      <c r="AE249" s="151">
        <f t="shared" si="126"/>
        <v>0.3</v>
      </c>
      <c r="AF249" s="151">
        <f t="shared" si="126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124"/>
        <v>0.4</v>
      </c>
      <c r="C250" s="151">
        <v>0.4</v>
      </c>
      <c r="D250" s="151">
        <f t="shared" si="125"/>
        <v>0.4</v>
      </c>
      <c r="E250" s="151">
        <f t="shared" si="125"/>
        <v>0.4</v>
      </c>
      <c r="F250" s="151">
        <f t="shared" si="125"/>
        <v>0.4</v>
      </c>
      <c r="G250" s="151">
        <f t="shared" si="125"/>
        <v>0.4</v>
      </c>
      <c r="H250" s="151">
        <f t="shared" si="125"/>
        <v>0.4</v>
      </c>
      <c r="I250" s="151">
        <f t="shared" si="125"/>
        <v>0.4</v>
      </c>
      <c r="J250" s="151">
        <f t="shared" si="125"/>
        <v>0.4</v>
      </c>
      <c r="K250" s="151">
        <f t="shared" si="125"/>
        <v>0.4</v>
      </c>
      <c r="L250" s="151">
        <f t="shared" si="125"/>
        <v>0.4</v>
      </c>
      <c r="M250" s="151">
        <f t="shared" si="125"/>
        <v>0.4</v>
      </c>
      <c r="N250" s="151">
        <f t="shared" si="125"/>
        <v>0.4</v>
      </c>
      <c r="O250" s="151">
        <f t="shared" si="125"/>
        <v>0.4</v>
      </c>
      <c r="P250" s="151">
        <f t="shared" si="125"/>
        <v>0.4</v>
      </c>
      <c r="Q250" s="151">
        <f t="shared" si="125"/>
        <v>0.4</v>
      </c>
      <c r="R250" s="151">
        <f t="shared" si="125"/>
        <v>0.4</v>
      </c>
      <c r="S250" s="151">
        <f t="shared" si="125"/>
        <v>0.4</v>
      </c>
      <c r="T250" s="151">
        <f t="shared" si="126"/>
        <v>0.4</v>
      </c>
      <c r="U250" s="151">
        <f t="shared" si="126"/>
        <v>0.4</v>
      </c>
      <c r="V250" s="151">
        <f t="shared" si="126"/>
        <v>0.4</v>
      </c>
      <c r="W250" s="151">
        <f t="shared" si="126"/>
        <v>0.4</v>
      </c>
      <c r="X250" s="151">
        <f t="shared" si="126"/>
        <v>0.4</v>
      </c>
      <c r="Y250" s="151">
        <f t="shared" si="126"/>
        <v>0.4</v>
      </c>
      <c r="Z250" s="151">
        <f t="shared" si="126"/>
        <v>0.4</v>
      </c>
      <c r="AA250" s="151">
        <f t="shared" si="126"/>
        <v>0.4</v>
      </c>
      <c r="AB250" s="151">
        <f t="shared" si="126"/>
        <v>0.4</v>
      </c>
      <c r="AC250" s="151">
        <f t="shared" si="126"/>
        <v>0.4</v>
      </c>
      <c r="AD250" s="151">
        <f t="shared" si="126"/>
        <v>0.4</v>
      </c>
      <c r="AE250" s="151">
        <f t="shared" si="126"/>
        <v>0.4</v>
      </c>
      <c r="AF250" s="151">
        <f t="shared" si="126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124"/>
        <v>0.64</v>
      </c>
      <c r="C251" s="156">
        <v>0.64</v>
      </c>
      <c r="D251" s="156">
        <f t="shared" si="125"/>
        <v>0.64</v>
      </c>
      <c r="E251" s="156">
        <f t="shared" si="125"/>
        <v>0.64</v>
      </c>
      <c r="F251" s="156">
        <f t="shared" si="125"/>
        <v>0.64</v>
      </c>
      <c r="G251" s="156">
        <f t="shared" si="125"/>
        <v>0.64</v>
      </c>
      <c r="H251" s="156">
        <f t="shared" si="125"/>
        <v>0.64</v>
      </c>
      <c r="I251" s="156">
        <f t="shared" si="125"/>
        <v>0.64</v>
      </c>
      <c r="J251" s="156">
        <f t="shared" si="125"/>
        <v>0.64</v>
      </c>
      <c r="K251" s="156">
        <f t="shared" si="125"/>
        <v>0.64</v>
      </c>
      <c r="L251" s="156">
        <f t="shared" si="125"/>
        <v>0.64</v>
      </c>
      <c r="M251" s="156">
        <f t="shared" si="125"/>
        <v>0.64</v>
      </c>
      <c r="N251" s="156">
        <f t="shared" si="125"/>
        <v>0.64</v>
      </c>
      <c r="O251" s="156">
        <f t="shared" si="125"/>
        <v>0.64</v>
      </c>
      <c r="P251" s="156">
        <f t="shared" si="125"/>
        <v>0.64</v>
      </c>
      <c r="Q251" s="156">
        <f t="shared" si="125"/>
        <v>0.64</v>
      </c>
      <c r="R251" s="156">
        <f t="shared" si="125"/>
        <v>0.64</v>
      </c>
      <c r="S251" s="156">
        <f t="shared" si="125"/>
        <v>0.64</v>
      </c>
      <c r="T251" s="156">
        <f t="shared" si="126"/>
        <v>0.64</v>
      </c>
      <c r="U251" s="156">
        <f t="shared" si="126"/>
        <v>0.64</v>
      </c>
      <c r="V251" s="156">
        <f t="shared" si="126"/>
        <v>0.64</v>
      </c>
      <c r="W251" s="156">
        <f t="shared" si="126"/>
        <v>0.64</v>
      </c>
      <c r="X251" s="156">
        <f t="shared" si="126"/>
        <v>0.64</v>
      </c>
      <c r="Y251" s="156">
        <f t="shared" si="126"/>
        <v>0.64</v>
      </c>
      <c r="Z251" s="156">
        <f t="shared" si="126"/>
        <v>0.64</v>
      </c>
      <c r="AA251" s="156">
        <f t="shared" si="126"/>
        <v>0.64</v>
      </c>
      <c r="AB251" s="156">
        <f t="shared" si="126"/>
        <v>0.64</v>
      </c>
      <c r="AC251" s="156">
        <f t="shared" si="126"/>
        <v>0.64</v>
      </c>
      <c r="AD251" s="156">
        <f t="shared" si="126"/>
        <v>0.64</v>
      </c>
      <c r="AE251" s="156">
        <f t="shared" si="126"/>
        <v>0.64</v>
      </c>
      <c r="AF251" s="156">
        <f t="shared" si="126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127">SUM(B246:B251)</f>
        <v>3.54</v>
      </c>
      <c r="C252" s="160">
        <f t="shared" si="127"/>
        <v>3.54</v>
      </c>
      <c r="D252" s="160">
        <f t="shared" si="127"/>
        <v>3.54</v>
      </c>
      <c r="E252" s="160">
        <f t="shared" si="127"/>
        <v>3.54</v>
      </c>
      <c r="F252" s="160">
        <f t="shared" si="127"/>
        <v>3.54</v>
      </c>
      <c r="G252" s="160">
        <f t="shared" si="127"/>
        <v>3.54</v>
      </c>
      <c r="H252" s="160">
        <f t="shared" si="127"/>
        <v>3.54</v>
      </c>
      <c r="I252" s="160">
        <f t="shared" si="127"/>
        <v>3.54</v>
      </c>
      <c r="J252" s="160">
        <f t="shared" si="127"/>
        <v>3.54</v>
      </c>
      <c r="K252" s="160">
        <f t="shared" si="127"/>
        <v>3.54</v>
      </c>
      <c r="L252" s="160">
        <f t="shared" si="127"/>
        <v>3.54</v>
      </c>
      <c r="M252" s="160">
        <f t="shared" si="127"/>
        <v>3.54</v>
      </c>
      <c r="N252" s="160">
        <f t="shared" si="127"/>
        <v>3.54</v>
      </c>
      <c r="O252" s="160">
        <f t="shared" si="127"/>
        <v>3.54</v>
      </c>
      <c r="P252" s="160">
        <f t="shared" si="127"/>
        <v>3.54</v>
      </c>
      <c r="Q252" s="160">
        <f t="shared" si="127"/>
        <v>3.54</v>
      </c>
      <c r="R252" s="160">
        <f t="shared" si="127"/>
        <v>3.54</v>
      </c>
      <c r="S252" s="160">
        <f t="shared" si="127"/>
        <v>3.54</v>
      </c>
      <c r="T252" s="160">
        <f t="shared" si="127"/>
        <v>3.54</v>
      </c>
      <c r="U252" s="160">
        <f t="shared" si="127"/>
        <v>3.54</v>
      </c>
      <c r="V252" s="160">
        <f t="shared" si="127"/>
        <v>3.54</v>
      </c>
      <c r="W252" s="160">
        <f t="shared" si="127"/>
        <v>3.54</v>
      </c>
      <c r="X252" s="160">
        <f t="shared" si="127"/>
        <v>3.54</v>
      </c>
      <c r="Y252" s="160">
        <f t="shared" si="127"/>
        <v>3.54</v>
      </c>
      <c r="Z252" s="160">
        <f t="shared" si="127"/>
        <v>3.54</v>
      </c>
      <c r="AA252" s="160">
        <f t="shared" si="127"/>
        <v>3.54</v>
      </c>
      <c r="AB252" s="160">
        <f t="shared" si="127"/>
        <v>3.54</v>
      </c>
      <c r="AC252" s="160">
        <f t="shared" si="127"/>
        <v>3.54</v>
      </c>
      <c r="AD252" s="160">
        <f t="shared" si="127"/>
        <v>3.54</v>
      </c>
      <c r="AE252" s="160">
        <f t="shared" si="127"/>
        <v>3.54</v>
      </c>
      <c r="AF252" s="160">
        <f t="shared" si="127"/>
        <v>3.54</v>
      </c>
      <c r="AG252" s="170">
        <f t="shared" si="127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1822.29</v>
      </c>
      <c r="C256" s="173">
        <f>INDEX(G9:N9,1,MATCH(MAX(G99:N99),G99:N99,0))</f>
        <v>0.33333333333333331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2080/10/6)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3371" priority="104">
      <formula>$AH11=0</formula>
    </cfRule>
  </conditionalFormatting>
  <conditionalFormatting sqref="A132:A253">
    <cfRule type="expression" dxfId="3370" priority="105">
      <formula>$AH132=0</formula>
    </cfRule>
  </conditionalFormatting>
  <conditionalFormatting sqref="B8">
    <cfRule type="expression" dxfId="3369" priority="164">
      <formula>AND(C$9&gt;=8/24,C$9&lt;14/24)</formula>
    </cfRule>
    <cfRule type="expression" dxfId="3368" priority="165">
      <formula>C$9&lt;8/24</formula>
    </cfRule>
    <cfRule type="expression" dxfId="3367" priority="163">
      <formula>AND(C$9&gt;=14/24,C$9&lt;20/24)</formula>
    </cfRule>
    <cfRule type="expression" dxfId="3366" priority="166">
      <formula>C$9&gt;=20/24</formula>
    </cfRule>
  </conditionalFormatting>
  <conditionalFormatting sqref="B59:D61">
    <cfRule type="expression" dxfId="3365" priority="10">
      <formula>B59&gt;$AG59</formula>
    </cfRule>
  </conditionalFormatting>
  <conditionalFormatting sqref="B59:D62">
    <cfRule type="expression" dxfId="3364" priority="11">
      <formula>B$9&gt;=20/24</formula>
    </cfRule>
    <cfRule type="expression" dxfId="3363" priority="12">
      <formula>AND(B$9&gt;=14/24,B$9&lt;20/24)</formula>
    </cfRule>
    <cfRule type="expression" dxfId="3362" priority="13">
      <formula>AND(B$9&gt;=8/24,B$9&lt;14/24)</formula>
    </cfRule>
    <cfRule type="expression" dxfId="3361" priority="14">
      <formula>B$9&lt;8/24</formula>
    </cfRule>
  </conditionalFormatting>
  <conditionalFormatting sqref="B63:D74">
    <cfRule type="expression" dxfId="3360" priority="2">
      <formula>B$9&gt;=20/24</formula>
    </cfRule>
    <cfRule type="expression" dxfId="3359" priority="3">
      <formula>AND(B$9&gt;=14/24,B$9&lt;20/24)</formula>
    </cfRule>
    <cfRule type="expression" dxfId="3358" priority="4">
      <formula>AND(B$9&gt;=8/24,B$9&lt;14/24)</formula>
    </cfRule>
    <cfRule type="expression" dxfId="3357" priority="5">
      <formula>B$9&lt;8/24</formula>
    </cfRule>
  </conditionalFormatting>
  <conditionalFormatting sqref="B62:V80">
    <cfRule type="expression" dxfId="3356" priority="1">
      <formula>B62&gt;$AG62</formula>
    </cfRule>
  </conditionalFormatting>
  <conditionalFormatting sqref="B9:AF10 M11:AF52 B11:L57 E69:AF74 B77:AF99 B101:AF117 B119:AF137 B244:AF244 B246:B252">
    <cfRule type="expression" dxfId="3355" priority="58">
      <formula>B$9&lt;8/24</formula>
    </cfRule>
  </conditionalFormatting>
  <conditionalFormatting sqref="B9:AF52 E69:AF74 B77:AF99 B101:AF117 B119:AF137 B244:AF244 B246:B252">
    <cfRule type="expression" dxfId="3354" priority="57">
      <formula>AND(B$9&gt;=8/24,B$9&lt;14/24)</formula>
    </cfRule>
    <cfRule type="expression" dxfId="3353" priority="56">
      <formula>AND(B$9&gt;=14/24,B$9&lt;20/24)</formula>
    </cfRule>
    <cfRule type="expression" dxfId="3352" priority="55">
      <formula>B$9&gt;=20/24</formula>
    </cfRule>
  </conditionalFormatting>
  <conditionalFormatting sqref="D246:AF252">
    <cfRule type="expression" dxfId="3351" priority="149">
      <formula>AND(D$9&gt;=14/24,D$9&lt;20/24)</formula>
    </cfRule>
    <cfRule type="expression" dxfId="3350" priority="148">
      <formula>D$9&gt;=20/24</formula>
    </cfRule>
    <cfRule type="expression" dxfId="3349" priority="151">
      <formula>D$9&lt;8/24</formula>
    </cfRule>
    <cfRule type="expression" dxfId="3348" priority="150">
      <formula>AND(D$9&gt;=8/24,D$9&lt;14/24)</formula>
    </cfRule>
  </conditionalFormatting>
  <conditionalFormatting sqref="E63:I67 J64:J67 K67">
    <cfRule type="expression" dxfId="3347" priority="71">
      <formula>E$9&lt;8/24</formula>
    </cfRule>
    <cfRule type="expression" dxfId="3346" priority="69">
      <formula>AND(E$9&gt;=14/24,E$9&lt;20/24)</formula>
    </cfRule>
    <cfRule type="expression" dxfId="3345" priority="68">
      <formula>E$9&gt;=20/24</formula>
    </cfRule>
    <cfRule type="expression" dxfId="3344" priority="70">
      <formula>AND(E$9&gt;=8/24,E$9&lt;14/24)</formula>
    </cfRule>
  </conditionalFormatting>
  <conditionalFormatting sqref="E68:K68">
    <cfRule type="expression" dxfId="3343" priority="66">
      <formula>E$9&lt;8/24</formula>
    </cfRule>
    <cfRule type="expression" dxfId="3342" priority="65">
      <formula>AND(E$9&gt;=8/24,E$9&lt;14/24)</formula>
    </cfRule>
    <cfRule type="expression" dxfId="3341" priority="64">
      <formula>AND(E$9&gt;=14/24,E$9&lt;20/24)</formula>
    </cfRule>
    <cfRule type="expression" dxfId="3340" priority="63">
      <formula>E$9&gt;=20/24</formula>
    </cfRule>
  </conditionalFormatting>
  <conditionalFormatting sqref="E59:AF62">
    <cfRule type="expression" dxfId="3339" priority="82">
      <formula>E$9&gt;=20/24</formula>
    </cfRule>
    <cfRule type="expression" dxfId="3338" priority="83">
      <formula>AND(E$9&gt;=14/24,E$9&lt;20/24)</formula>
    </cfRule>
    <cfRule type="expression" dxfId="3337" priority="84">
      <formula>AND(E$9&gt;=8/24,E$9&lt;14/24)</formula>
    </cfRule>
    <cfRule type="expression" dxfId="3336" priority="85">
      <formula>E$9&lt;8/24</formula>
    </cfRule>
  </conditionalFormatting>
  <conditionalFormatting sqref="F63:L65">
    <cfRule type="expression" dxfId="3335" priority="97">
      <formula>AND(F$9&gt;=14/24,F$9&lt;20/24)</formula>
    </cfRule>
    <cfRule type="expression" dxfId="3334" priority="96">
      <formula>F$9&gt;=20/24</formula>
    </cfRule>
    <cfRule type="expression" dxfId="3333" priority="99">
      <formula>F$9&lt;8/24</formula>
    </cfRule>
    <cfRule type="expression" dxfId="3332" priority="98">
      <formula>AND(F$9&gt;=8/24,F$9&lt;14/24)</formula>
    </cfRule>
  </conditionalFormatting>
  <conditionalFormatting sqref="L68:AF68">
    <cfRule type="expression" dxfId="3331" priority="93">
      <formula>AND(L$9&gt;=14/24,L$9&lt;20/24)</formula>
    </cfRule>
    <cfRule type="expression" dxfId="3330" priority="92">
      <formula>L$9&gt;=20/24</formula>
    </cfRule>
    <cfRule type="expression" dxfId="3329" priority="95">
      <formula>L$9&lt;8/24</formula>
    </cfRule>
    <cfRule type="expression" dxfId="3328" priority="94">
      <formula>AND(L$9&gt;=8/24,L$9&lt;14/24)</formula>
    </cfRule>
  </conditionalFormatting>
  <conditionalFormatting sqref="M8 S8 AB8">
    <cfRule type="expression" dxfId="3327" priority="157">
      <formula>N$9&lt;8/24</formula>
    </cfRule>
    <cfRule type="expression" dxfId="3326" priority="156">
      <formula>AND(N$9&gt;=8/24,N$9&lt;14/24)</formula>
    </cfRule>
    <cfRule type="expression" dxfId="3325" priority="155">
      <formula>AND(N$9&gt;=14/24,N$9&lt;20/24)</formula>
    </cfRule>
  </conditionalFormatting>
  <conditionalFormatting sqref="M11:AF56 E11:L57 B11:D58 M57:V57 W57:AF80 E58:V61 AG62 AG80">
    <cfRule type="expression" dxfId="3324" priority="54">
      <formula>B11&gt;$AG11</formula>
    </cfRule>
  </conditionalFormatting>
  <conditionalFormatting sqref="M53:AF55 B53:L57">
    <cfRule type="expression" dxfId="3323" priority="51">
      <formula>B$9&gt;=20/24</formula>
    </cfRule>
    <cfRule type="expression" dxfId="3322" priority="52">
      <formula>AND(B$9&gt;=14/24,B$9&lt;20/24)</formula>
    </cfRule>
    <cfRule type="expression" dxfId="3321" priority="53">
      <formula>AND(B$9&gt;=8/24,B$9&lt;14/24)</formula>
    </cfRule>
  </conditionalFormatting>
  <conditionalFormatting sqref="M53:AF57">
    <cfRule type="expression" dxfId="3320" priority="67">
      <formula>M$9&lt;8/24</formula>
    </cfRule>
  </conditionalFormatting>
  <conditionalFormatting sqref="M56:AF57">
    <cfRule type="expression" dxfId="3319" priority="60">
      <formula>M$9&gt;=20/24</formula>
    </cfRule>
    <cfRule type="expression" dxfId="3318" priority="61">
      <formula>AND(M$9&gt;=14/24,M$9&lt;20/24)</formula>
    </cfRule>
    <cfRule type="expression" dxfId="3317" priority="62">
      <formula>AND(M$9&gt;=8/24,M$9&lt;14/24)</formula>
    </cfRule>
  </conditionalFormatting>
  <conditionalFormatting sqref="M63:AF67">
    <cfRule type="expression" dxfId="3316" priority="100">
      <formula>M$9&gt;=20/24</formula>
    </cfRule>
    <cfRule type="expression" dxfId="3315" priority="101">
      <formula>AND(M$9&gt;=14/24,M$9&lt;20/24)</formula>
    </cfRule>
    <cfRule type="expression" dxfId="3314" priority="102">
      <formula>AND(M$9&gt;=8/24,M$9&lt;14/24)</formula>
    </cfRule>
    <cfRule type="expression" dxfId="3313" priority="103">
      <formula>M$9&lt;8/24</formula>
    </cfRule>
  </conditionalFormatting>
  <conditionalFormatting sqref="O3:P3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312" priority="154">
      <formula>N$9&gt;=20/24</formula>
    </cfRule>
  </conditionalFormatting>
  <conditionalFormatting sqref="S8">
    <cfRule type="expression" dxfId="3311" priority="142">
      <formula>AND(U$9&gt;=14/24,U$9&lt;20/24)</formula>
    </cfRule>
    <cfRule type="expression" dxfId="3310" priority="143">
      <formula>AND(U$9&gt;=8/24,U$9&lt;14/24)</formula>
    </cfRule>
    <cfRule type="expression" dxfId="3309" priority="144">
      <formula>U$9&lt;8/24</formula>
    </cfRule>
    <cfRule type="expression" dxfId="3308" priority="141">
      <formula>U$9&gt;=20/24</formula>
    </cfRule>
  </conditionalFormatting>
  <conditionalFormatting sqref="T63:AF68">
    <cfRule type="expression" dxfId="3307" priority="89">
      <formula>T$9&lt;8/24</formula>
    </cfRule>
    <cfRule type="expression" dxfId="3306" priority="86">
      <formula>T$9&gt;=20/24</formula>
    </cfRule>
    <cfRule type="expression" dxfId="3305" priority="87">
      <formula>AND(T$9&gt;=14/24,T$9&lt;20/24)</formula>
    </cfRule>
    <cfRule type="expression" dxfId="3304" priority="88">
      <formula>AND(T$9&gt;=8/24,T$9&lt;14/24)</formula>
    </cfRule>
  </conditionalFormatting>
  <conditionalFormatting sqref="V3 AB3">
    <cfRule type="iconSet" priority="153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303" priority="137">
      <formula>AD$9&gt;=20/24</formula>
    </cfRule>
    <cfRule type="expression" dxfId="3302" priority="138">
      <formula>AND(AD$9&gt;=14/24,AD$9&lt;20/24)</formula>
    </cfRule>
    <cfRule type="expression" dxfId="3301" priority="140">
      <formula>AD$9&lt;8/24</formula>
    </cfRule>
    <cfRule type="expression" dxfId="3300" priority="139">
      <formula>AND(AD$9&gt;=8/24,AD$9&lt;14/24)</formula>
    </cfRule>
  </conditionalFormatting>
  <conditionalFormatting sqref="AG58">
    <cfRule type="expression" dxfId="3299" priority="132">
      <formula>AG58&gt;$AG58</formula>
    </cfRule>
  </conditionalFormatting>
  <conditionalFormatting sqref="AG62">
    <cfRule type="expression" dxfId="3298" priority="118">
      <formula>AG$9&lt;8/24</formula>
    </cfRule>
    <cfRule type="expression" dxfId="3297" priority="117">
      <formula>AND(AG$9&gt;=8/24,AG$9&lt;14/24)</formula>
    </cfRule>
    <cfRule type="expression" dxfId="3296" priority="116">
      <formula>AND(AG$9&gt;=14/24,AG$9&lt;20/24)</formula>
    </cfRule>
    <cfRule type="expression" dxfId="3295" priority="115">
      <formula>AG$9&gt;=20/24</formula>
    </cfRule>
  </conditionalFormatting>
  <conditionalFormatting sqref="AG75:AG76">
    <cfRule type="expression" dxfId="3294" priority="110">
      <formula>AG75&gt;$AG75</formula>
    </cfRule>
  </conditionalFormatting>
  <conditionalFormatting sqref="AG80">
    <cfRule type="expression" dxfId="3293" priority="111">
      <formula>AG$9&gt;=20/24</formula>
    </cfRule>
    <cfRule type="expression" dxfId="3292" priority="112">
      <formula>AND(AG$9&gt;=14/24,AG$9&lt;20/24)</formula>
    </cfRule>
    <cfRule type="expression" dxfId="3291" priority="113">
      <formula>AND(AG$9&gt;=8/24,AG$9&lt;14/24)</formula>
    </cfRule>
    <cfRule type="expression" dxfId="3290" priority="114">
      <formula>AG$9&lt;8/24</formula>
    </cfRule>
  </conditionalFormatting>
  <conditionalFormatting sqref="AG97">
    <cfRule type="expression" dxfId="3289" priority="136">
      <formula>AG$9&lt;8/24</formula>
    </cfRule>
    <cfRule type="expression" dxfId="3288" priority="135">
      <formula>AND(AG$9&gt;=8/24,AG$9&lt;14/24)</formula>
    </cfRule>
    <cfRule type="expression" dxfId="3287" priority="134">
      <formula>AND(AG$9&gt;=14/24,AG$9&lt;20/24)</formula>
    </cfRule>
    <cfRule type="expression" dxfId="3286" priority="133">
      <formula>AG$9&gt;=20/24</formula>
    </cfRule>
  </conditionalFormatting>
  <conditionalFormatting sqref="AL4:AL6">
    <cfRule type="iconSet" priority="147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30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46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45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1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285" priority="158">
      <formula>AJ$9&gt;=20/24</formula>
    </cfRule>
    <cfRule type="expression" dxfId="3284" priority="159">
      <formula>AND(AJ$9&gt;=14/24,AJ$9&lt;20/24)</formula>
    </cfRule>
    <cfRule type="expression" dxfId="3283" priority="160">
      <formula>AND(AJ$9&gt;=8/24,AJ$9&lt;14/24)</formula>
    </cfRule>
    <cfRule type="expression" dxfId="3282" priority="161">
      <formula>AJ$9&lt;8/24</formula>
    </cfRule>
  </conditionalFormatting>
  <conditionalFormatting sqref="AL88:AN88 AL94:AN94">
    <cfRule type="expression" dxfId="3281" priority="125">
      <formula>AL$9&gt;=20/24</formula>
    </cfRule>
    <cfRule type="expression" dxfId="3280" priority="127">
      <formula>AND(AL$9&gt;=8/24,AL$9&lt;14/24)</formula>
    </cfRule>
    <cfRule type="expression" dxfId="3279" priority="128">
      <formula>AL$9&lt;8/24</formula>
    </cfRule>
    <cfRule type="expression" dxfId="3278" priority="126">
      <formula>AND(AL$9&gt;=14/24,AL$9&lt;20/24)</formula>
    </cfRule>
  </conditionalFormatting>
  <conditionalFormatting sqref="AM15:AM21 AN16:AR21">
    <cfRule type="expression" dxfId="3277" priority="30">
      <formula>AX$9&lt;8/24</formula>
    </cfRule>
    <cfRule type="expression" dxfId="3276" priority="29">
      <formula>AND(AX$9&gt;=8/24,AX$9&lt;14/24)</formula>
    </cfRule>
    <cfRule type="expression" dxfId="3275" priority="28">
      <formula>AND(AX$9&gt;=14/24,AX$9&lt;20/24)</formula>
    </cfRule>
    <cfRule type="expression" dxfId="3274" priority="27">
      <formula>AX$9&gt;=20/24</formula>
    </cfRule>
  </conditionalFormatting>
  <conditionalFormatting sqref="AN89:AN92">
    <cfRule type="expression" dxfId="3273" priority="121">
      <formula>AN$9&gt;=20/24</formula>
    </cfRule>
    <cfRule type="expression" dxfId="3272" priority="122">
      <formula>AND(AN$9&gt;=14/24,AN$9&lt;20/24)</formula>
    </cfRule>
    <cfRule type="expression" dxfId="3271" priority="123">
      <formula>AND(AN$9&gt;=8/24,AN$9&lt;14/24)</formula>
    </cfRule>
    <cfRule type="expression" dxfId="3270" priority="124">
      <formula>AN$9&lt;8/24</formula>
    </cfRule>
  </conditionalFormatting>
  <conditionalFormatting sqref="AN15:AR15">
    <cfRule type="expression" dxfId="3269" priority="15">
      <formula>U$9&gt;=20/24</formula>
    </cfRule>
    <cfRule type="expression" dxfId="3268" priority="18">
      <formula>U$9&lt;8/24</formula>
    </cfRule>
    <cfRule type="expression" dxfId="3267" priority="17">
      <formula>AND(U$9&gt;=8/24,U$9&lt;14/24)</formula>
    </cfRule>
    <cfRule type="expression" dxfId="3266" priority="16">
      <formula>AND(U$9&gt;=14/24,U$9&lt;20/24)</formula>
    </cfRule>
  </conditionalFormatting>
  <conditionalFormatting sqref="AS15">
    <cfRule type="expression" dxfId="3265" priority="25">
      <formula>AND(AA$9&gt;=8/24,AA$9&lt;14/24)</formula>
    </cfRule>
    <cfRule type="expression" dxfId="3264" priority="23">
      <formula>AA$9&gt;=20/24</formula>
    </cfRule>
    <cfRule type="expression" dxfId="3263" priority="26">
      <formula>AA$9&lt;8/24</formula>
    </cfRule>
    <cfRule type="expression" dxfId="3262" priority="24">
      <formula>AND(AA$9&gt;=14/24,AA$9&lt;20/24)</formula>
    </cfRule>
  </conditionalFormatting>
  <conditionalFormatting sqref="AS16:AS21">
    <cfRule type="expression" dxfId="3261" priority="33">
      <formula>AND(BE$9&gt;=8/24,BE$9&lt;14/24)</formula>
    </cfRule>
    <cfRule type="expression" dxfId="3260" priority="32">
      <formula>AND(BE$9&gt;=14/24,BE$9&lt;20/24)</formula>
    </cfRule>
    <cfRule type="expression" dxfId="3259" priority="31">
      <formula>BE$9&gt;=20/24</formula>
    </cfRule>
    <cfRule type="expression" dxfId="3258" priority="34">
      <formula>BE$9&lt;8/24</formula>
    </cfRule>
  </conditionalFormatting>
  <conditionalFormatting sqref="AT15 AX15">
    <cfRule type="expression" dxfId="3257" priority="36">
      <formula>AND(AC$9&gt;=14/24,AC$9&lt;20/24)</formula>
    </cfRule>
    <cfRule type="expression" dxfId="3256" priority="38">
      <formula>AC$9&lt;8/24</formula>
    </cfRule>
    <cfRule type="expression" dxfId="3255" priority="37">
      <formula>AND(AC$9&gt;=8/24,AC$9&lt;14/24)</formula>
    </cfRule>
    <cfRule type="expression" dxfId="3254" priority="35">
      <formula>AC$9&gt;=20/24</formula>
    </cfRule>
  </conditionalFormatting>
  <conditionalFormatting sqref="AT16:AT21">
    <cfRule type="expression" dxfId="3253" priority="39">
      <formula>BG$9&gt;=20/24</formula>
    </cfRule>
    <cfRule type="expression" dxfId="3252" priority="40">
      <formula>AND(BG$9&gt;=14/24,BG$9&lt;20/24)</formula>
    </cfRule>
    <cfRule type="expression" dxfId="3251" priority="41">
      <formula>AND(BG$9&gt;=8/24,BG$9&lt;14/24)</formula>
    </cfRule>
    <cfRule type="expression" dxfId="3250" priority="42">
      <formula>BG$9&lt;8/24</formula>
    </cfRule>
  </conditionalFormatting>
  <conditionalFormatting sqref="AU15:AV15">
    <cfRule type="expression" dxfId="3249" priority="46">
      <formula>AE$9&lt;8/24</formula>
    </cfRule>
    <cfRule type="expression" dxfId="3248" priority="43">
      <formula>AE$9&gt;=20/24</formula>
    </cfRule>
    <cfRule type="expression" dxfId="3247" priority="44">
      <formula>AND(AE$9&gt;=14/24,AE$9&lt;20/24)</formula>
    </cfRule>
    <cfRule type="expression" dxfId="3246" priority="45">
      <formula>AND(AE$9&gt;=8/24,AE$9&lt;14/24)</formula>
    </cfRule>
  </conditionalFormatting>
  <conditionalFormatting sqref="AU16:AX21">
    <cfRule type="expression" dxfId="3245" priority="48">
      <formula>AND(BI$9&gt;=14/24,BI$9&lt;20/24)</formula>
    </cfRule>
    <cfRule type="expression" dxfId="3244" priority="49">
      <formula>AND(BI$9&gt;=8/24,BI$9&lt;14/24)</formula>
    </cfRule>
    <cfRule type="expression" dxfId="3243" priority="50">
      <formula>BI$9&lt;8/24</formula>
    </cfRule>
    <cfRule type="expression" dxfId="3242" priority="47">
      <formula>BI$9&gt;=20/24</formula>
    </cfRule>
  </conditionalFormatting>
  <conditionalFormatting sqref="AW15">
    <cfRule type="expression" dxfId="3241" priority="19">
      <formula>B$9&gt;=20/24</formula>
    </cfRule>
    <cfRule type="expression" dxfId="3240" priority="22">
      <formula>B$9&lt;8/24</formula>
    </cfRule>
    <cfRule type="expression" dxfId="3239" priority="21">
      <formula>AND(B$9&gt;=8/24,B$9&lt;14/24)</formula>
    </cfRule>
    <cfRule type="expression" dxfId="3238" priority="20">
      <formula>AND(B$9&gt;=14/24,B$9&lt;20/24)</formula>
    </cfRule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4B368-7D68-4C98-9A92-11145816A792}">
  <sheetPr codeName="Sheet8"/>
  <dimension ref="A1:CJ294"/>
  <sheetViews>
    <sheetView zoomScale="106" workbookViewId="0">
      <pane xSplit="1" ySplit="10" topLeftCell="AU81" activePane="bottomRight" state="frozen"/>
      <selection activeCell="Z63" sqref="Z63"/>
      <selection pane="topRight" activeCell="Z63" sqref="Z63"/>
      <selection pane="bottomLeft" activeCell="Z63" sqref="Z63"/>
      <selection pane="bottomRight" activeCell="BL84" sqref="BL84:BL10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2080/10/7</v>
      </c>
      <c r="C4" s="214"/>
      <c r="D4" s="214"/>
      <c r="E4" s="215" t="str">
        <f ca="1">"2080/"&amp;"10/"&amp;INT(MID(CELL("filename",G6),FIND("]",CELL("filename",G6))+1,200))</f>
        <v>2080/10/7</v>
      </c>
      <c r="F4" s="215"/>
      <c r="G4" s="215"/>
      <c r="H4" s="215" t="str">
        <f ca="1">TEXT(E4,"dddd")</f>
        <v>Monday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723.69999999999993</v>
      </c>
      <c r="C5" s="30">
        <f t="shared" ref="C5:AE5" si="0">D92</f>
        <v>733.7</v>
      </c>
      <c r="D5" s="30">
        <f t="shared" si="0"/>
        <v>727.2</v>
      </c>
      <c r="E5" s="30">
        <f t="shared" si="0"/>
        <v>695.80000000000007</v>
      </c>
      <c r="F5" s="30">
        <f t="shared" si="0"/>
        <v>630.70000000000005</v>
      </c>
      <c r="G5" s="30">
        <f t="shared" si="0"/>
        <v>552</v>
      </c>
      <c r="H5" s="30">
        <f t="shared" si="0"/>
        <v>562.79999999999995</v>
      </c>
      <c r="I5" s="30">
        <f t="shared" si="0"/>
        <v>593.4</v>
      </c>
      <c r="J5" s="30">
        <f t="shared" si="0"/>
        <v>537.40000000000009</v>
      </c>
      <c r="K5" s="30">
        <f t="shared" si="0"/>
        <v>531</v>
      </c>
      <c r="L5" s="30">
        <f t="shared" si="0"/>
        <v>557.29999999999995</v>
      </c>
      <c r="M5" s="30">
        <f t="shared" si="0"/>
        <v>589</v>
      </c>
      <c r="N5" s="30">
        <f t="shared" si="0"/>
        <v>641.70000000000005</v>
      </c>
      <c r="O5" s="30">
        <f t="shared" si="0"/>
        <v>634</v>
      </c>
      <c r="P5" s="30">
        <f t="shared" si="0"/>
        <v>710</v>
      </c>
      <c r="Q5" s="30">
        <f t="shared" si="0"/>
        <v>677</v>
      </c>
      <c r="R5" s="30">
        <f t="shared" si="0"/>
        <v>748.4</v>
      </c>
      <c r="S5" s="30">
        <f t="shared" si="0"/>
        <v>744.9</v>
      </c>
      <c r="T5" s="30">
        <f t="shared" si="0"/>
        <v>741.5</v>
      </c>
      <c r="U5" s="30">
        <f t="shared" si="0"/>
        <v>711.7</v>
      </c>
      <c r="V5" s="30">
        <f t="shared" si="0"/>
        <v>553.5</v>
      </c>
      <c r="W5" s="30">
        <f t="shared" si="0"/>
        <v>615.9</v>
      </c>
      <c r="X5" s="30">
        <f t="shared" si="0"/>
        <v>649.09999999999991</v>
      </c>
      <c r="Y5" s="30">
        <f t="shared" si="0"/>
        <v>520.20000000000005</v>
      </c>
      <c r="Z5" s="30">
        <f t="shared" si="0"/>
        <v>438.5</v>
      </c>
      <c r="AA5" s="30">
        <f t="shared" si="0"/>
        <v>559.70000000000005</v>
      </c>
      <c r="AB5" s="30">
        <f t="shared" si="0"/>
        <v>595.20000000000005</v>
      </c>
      <c r="AC5" s="30">
        <f t="shared" si="0"/>
        <v>619.29999999999995</v>
      </c>
      <c r="AD5" s="30">
        <f t="shared" si="0"/>
        <v>596.79999999999995</v>
      </c>
      <c r="AE5" s="30">
        <f t="shared" si="0"/>
        <v>571.40000000000009</v>
      </c>
      <c r="AF5" s="30">
        <f>B92</f>
        <v>627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1637MW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Load=1179</v>
      </c>
      <c r="B7" s="35">
        <f>B100</f>
        <v>1356.69</v>
      </c>
      <c r="C7" s="35">
        <f t="shared" ref="C7:AF7" si="1">C100</f>
        <v>1331.99</v>
      </c>
      <c r="D7" s="35">
        <f t="shared" si="1"/>
        <v>1301.9900000000002</v>
      </c>
      <c r="E7" s="35">
        <f t="shared" si="1"/>
        <v>1296.3900000000001</v>
      </c>
      <c r="F7" s="35">
        <f t="shared" si="1"/>
        <v>1264.5900000000001</v>
      </c>
      <c r="G7" s="35">
        <f t="shared" si="1"/>
        <v>1214.79</v>
      </c>
      <c r="H7" s="35">
        <f t="shared" si="1"/>
        <v>1256.19</v>
      </c>
      <c r="I7" s="35">
        <f t="shared" si="1"/>
        <v>1340.0900000000001</v>
      </c>
      <c r="J7" s="35">
        <f t="shared" si="1"/>
        <v>1477.29</v>
      </c>
      <c r="K7" s="35">
        <f t="shared" si="1"/>
        <v>1542.4900000000002</v>
      </c>
      <c r="L7" s="35">
        <f t="shared" si="1"/>
        <v>1636.79</v>
      </c>
      <c r="M7" s="35">
        <f t="shared" si="1"/>
        <v>1618.39</v>
      </c>
      <c r="N7" s="35">
        <f t="shared" si="1"/>
        <v>1522.99</v>
      </c>
      <c r="O7" s="35">
        <f t="shared" si="1"/>
        <v>1375.69</v>
      </c>
      <c r="P7" s="35">
        <f t="shared" si="1"/>
        <v>1400.19</v>
      </c>
      <c r="Q7" s="35">
        <f t="shared" si="1"/>
        <v>1393.19</v>
      </c>
      <c r="R7" s="35">
        <f t="shared" si="1"/>
        <v>1387.29</v>
      </c>
      <c r="S7" s="35">
        <f t="shared" si="1"/>
        <v>1387.8899999999999</v>
      </c>
      <c r="T7" s="35">
        <f t="shared" si="1"/>
        <v>1377.99</v>
      </c>
      <c r="U7" s="35">
        <f t="shared" si="1"/>
        <v>1414.79</v>
      </c>
      <c r="V7" s="35">
        <f t="shared" si="1"/>
        <v>1376.5900000000001</v>
      </c>
      <c r="W7" s="35">
        <f t="shared" si="1"/>
        <v>1508.19</v>
      </c>
      <c r="X7" s="35">
        <f t="shared" si="1"/>
        <v>1506.69</v>
      </c>
      <c r="Y7" s="35">
        <f t="shared" si="1"/>
        <v>1673.85</v>
      </c>
      <c r="Z7" s="35">
        <f t="shared" si="1"/>
        <v>1688.05</v>
      </c>
      <c r="AA7" s="35">
        <f t="shared" si="1"/>
        <v>1654.0900000000001</v>
      </c>
      <c r="AB7" s="35">
        <f t="shared" si="1"/>
        <v>1566.29</v>
      </c>
      <c r="AC7" s="35">
        <f t="shared" si="1"/>
        <v>1485.39</v>
      </c>
      <c r="AD7" s="35">
        <f t="shared" si="1"/>
        <v>1417.3899999999999</v>
      </c>
      <c r="AE7" s="35">
        <f t="shared" si="1"/>
        <v>1256.5899999999999</v>
      </c>
      <c r="AF7" s="35">
        <f t="shared" si="1"/>
        <v>1179.19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1618.39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1618.39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23.7</v>
      </c>
      <c r="C11" s="46">
        <v>23.7</v>
      </c>
      <c r="D11" s="46">
        <v>23.7</v>
      </c>
      <c r="E11" s="46">
        <v>23.7</v>
      </c>
      <c r="F11" s="46">
        <v>23.7</v>
      </c>
      <c r="G11" s="46">
        <v>23.7</v>
      </c>
      <c r="H11" s="46">
        <v>23.7</v>
      </c>
      <c r="I11" s="46">
        <v>23.7</v>
      </c>
      <c r="J11" s="46">
        <v>23.7</v>
      </c>
      <c r="K11" s="46">
        <v>23.7</v>
      </c>
      <c r="L11" s="46">
        <v>23.7</v>
      </c>
      <c r="M11" s="46">
        <v>23.7</v>
      </c>
      <c r="N11" s="46">
        <v>23.7</v>
      </c>
      <c r="O11" s="46">
        <v>23.7</v>
      </c>
      <c r="P11" s="46">
        <v>23.7</v>
      </c>
      <c r="Q11" s="46">
        <v>23.7</v>
      </c>
      <c r="R11" s="46">
        <v>23.7</v>
      </c>
      <c r="S11" s="46">
        <v>23.7</v>
      </c>
      <c r="T11" s="46">
        <v>23.7</v>
      </c>
      <c r="U11" s="46">
        <v>23.7</v>
      </c>
      <c r="V11" s="46">
        <v>23.7</v>
      </c>
      <c r="W11" s="46">
        <v>23.7</v>
      </c>
      <c r="X11" s="46">
        <v>23.7</v>
      </c>
      <c r="Y11" s="46">
        <v>23.7</v>
      </c>
      <c r="Z11" s="46">
        <v>23.7</v>
      </c>
      <c r="AA11" s="46">
        <v>23.7</v>
      </c>
      <c r="AB11" s="46">
        <v>26.7</v>
      </c>
      <c r="AC11" s="46">
        <v>27.6</v>
      </c>
      <c r="AD11" s="46">
        <v>29.6</v>
      </c>
      <c r="AE11" s="46">
        <v>25.8</v>
      </c>
      <c r="AF11" s="46">
        <v>25.8</v>
      </c>
      <c r="AG11" s="47">
        <v>86</v>
      </c>
      <c r="AH11" s="48">
        <f t="shared" ref="AH11:AH16" si="2">MAX(B11:AF11)</f>
        <v>29.6</v>
      </c>
      <c r="AI11" s="49">
        <f t="shared" ref="AI11:AI16" si="3">MIN(B11:AF11)</f>
        <v>23.7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8</v>
      </c>
      <c r="C12" s="46">
        <v>8</v>
      </c>
      <c r="D12" s="46">
        <v>8</v>
      </c>
      <c r="E12" s="46">
        <v>8</v>
      </c>
      <c r="F12" s="46">
        <v>8</v>
      </c>
      <c r="G12" s="46">
        <v>8</v>
      </c>
      <c r="H12" s="46">
        <v>8</v>
      </c>
      <c r="I12" s="46">
        <v>8</v>
      </c>
      <c r="J12" s="46">
        <v>8</v>
      </c>
      <c r="K12" s="46">
        <v>8</v>
      </c>
      <c r="L12" s="46">
        <v>8</v>
      </c>
      <c r="M12" s="46">
        <v>8</v>
      </c>
      <c r="N12" s="46">
        <v>8</v>
      </c>
      <c r="O12" s="46">
        <v>8</v>
      </c>
      <c r="P12" s="46">
        <v>8</v>
      </c>
      <c r="Q12" s="46">
        <v>8</v>
      </c>
      <c r="R12" s="46">
        <v>8</v>
      </c>
      <c r="S12" s="46">
        <v>8</v>
      </c>
      <c r="T12" s="46">
        <v>8</v>
      </c>
      <c r="U12" s="46">
        <v>8</v>
      </c>
      <c r="V12" s="46">
        <v>8</v>
      </c>
      <c r="W12" s="46">
        <v>8</v>
      </c>
      <c r="X12" s="46">
        <v>8</v>
      </c>
      <c r="Y12" s="46">
        <v>8</v>
      </c>
      <c r="Z12" s="46">
        <v>8</v>
      </c>
      <c r="AA12" s="46">
        <v>8</v>
      </c>
      <c r="AB12" s="46">
        <v>8</v>
      </c>
      <c r="AC12" s="46">
        <v>8</v>
      </c>
      <c r="AD12" s="46">
        <v>8</v>
      </c>
      <c r="AE12" s="46">
        <v>8</v>
      </c>
      <c r="AF12" s="46">
        <v>8</v>
      </c>
      <c r="AG12" s="50">
        <v>54</v>
      </c>
      <c r="AH12" s="48">
        <f t="shared" si="2"/>
        <v>8</v>
      </c>
      <c r="AI12" s="49">
        <f t="shared" si="3"/>
        <v>8</v>
      </c>
      <c r="AK12" s="51"/>
      <c r="AL12" s="52" t="str">
        <f ca="1">MID(CELL("filename",C7),FIND("]",CELL("filename",C7))+1,600)</f>
        <v>7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9.6</v>
      </c>
      <c r="C13" s="46">
        <v>9.6</v>
      </c>
      <c r="D13" s="46">
        <v>9.6</v>
      </c>
      <c r="E13" s="46">
        <v>9.6</v>
      </c>
      <c r="F13" s="46">
        <v>9.6</v>
      </c>
      <c r="G13" s="46">
        <v>9.6</v>
      </c>
      <c r="H13" s="46">
        <v>9.6</v>
      </c>
      <c r="I13" s="46">
        <v>9.6</v>
      </c>
      <c r="J13" s="46">
        <v>9.6</v>
      </c>
      <c r="K13" s="46">
        <v>9.6</v>
      </c>
      <c r="L13" s="46">
        <v>9.6</v>
      </c>
      <c r="M13" s="46">
        <v>9.6</v>
      </c>
      <c r="N13" s="46">
        <v>9.6</v>
      </c>
      <c r="O13" s="46">
        <v>9.6</v>
      </c>
      <c r="P13" s="46">
        <v>9.6</v>
      </c>
      <c r="Q13" s="46">
        <v>9.6</v>
      </c>
      <c r="R13" s="46">
        <v>9.6</v>
      </c>
      <c r="S13" s="46">
        <v>9.6</v>
      </c>
      <c r="T13" s="46">
        <v>9.6</v>
      </c>
      <c r="U13" s="46">
        <v>9.6</v>
      </c>
      <c r="V13" s="46">
        <v>9.6</v>
      </c>
      <c r="W13" s="46">
        <v>9.6</v>
      </c>
      <c r="X13" s="46">
        <v>9.6</v>
      </c>
      <c r="Y13" s="46">
        <v>9.6</v>
      </c>
      <c r="Z13" s="46">
        <v>9.6</v>
      </c>
      <c r="AA13" s="46">
        <v>9.6</v>
      </c>
      <c r="AB13" s="46">
        <v>9.6</v>
      </c>
      <c r="AC13" s="46">
        <v>9.6</v>
      </c>
      <c r="AD13" s="46">
        <v>9.6</v>
      </c>
      <c r="AE13" s="46">
        <v>9.4</v>
      </c>
      <c r="AF13" s="46">
        <v>9.4</v>
      </c>
      <c r="AG13" s="50">
        <v>54</v>
      </c>
      <c r="AH13" s="48">
        <f t="shared" si="2"/>
        <v>9.6</v>
      </c>
      <c r="AI13" s="49">
        <f t="shared" si="3"/>
        <v>9.4</v>
      </c>
      <c r="AK13" s="51"/>
      <c r="AL13" s="52" t="str">
        <f ca="1">"Daily Load Curve(Excluding of Export) of Nepal ("&amp;A4&amp;" "&amp;B4&amp;")"</f>
        <v>Daily Load Curve(Excluding of Export) of Nepal (Nepali Date: 2080/10/7)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14.2</v>
      </c>
      <c r="C14" s="46">
        <v>14.2</v>
      </c>
      <c r="D14" s="46">
        <v>14.2</v>
      </c>
      <c r="E14" s="46">
        <v>14.2</v>
      </c>
      <c r="F14" s="46">
        <v>14.2</v>
      </c>
      <c r="G14" s="46">
        <v>14.2</v>
      </c>
      <c r="H14" s="46">
        <v>14.2</v>
      </c>
      <c r="I14" s="46">
        <v>14.2</v>
      </c>
      <c r="J14" s="46">
        <v>14.2</v>
      </c>
      <c r="K14" s="46">
        <v>14.2</v>
      </c>
      <c r="L14" s="46">
        <v>14.2</v>
      </c>
      <c r="M14" s="46">
        <v>14.2</v>
      </c>
      <c r="N14" s="46">
        <v>14.2</v>
      </c>
      <c r="O14" s="46">
        <v>14.2</v>
      </c>
      <c r="P14" s="46">
        <v>14.2</v>
      </c>
      <c r="Q14" s="46">
        <v>14.2</v>
      </c>
      <c r="R14" s="46">
        <v>14.2</v>
      </c>
      <c r="S14" s="46">
        <v>14.2</v>
      </c>
      <c r="T14" s="46">
        <v>14.2</v>
      </c>
      <c r="U14" s="46">
        <v>14.2</v>
      </c>
      <c r="V14" s="46">
        <v>14.2</v>
      </c>
      <c r="W14" s="46">
        <v>14.2</v>
      </c>
      <c r="X14" s="46">
        <v>14.2</v>
      </c>
      <c r="Y14" s="46">
        <v>14.2</v>
      </c>
      <c r="Z14" s="46">
        <v>14.2</v>
      </c>
      <c r="AA14" s="46">
        <v>14.2</v>
      </c>
      <c r="AB14" s="46">
        <v>14.2</v>
      </c>
      <c r="AC14" s="46">
        <v>14.2</v>
      </c>
      <c r="AD14" s="46">
        <v>14.2</v>
      </c>
      <c r="AE14" s="46">
        <v>15.4</v>
      </c>
      <c r="AF14" s="46">
        <v>15.4</v>
      </c>
      <c r="AG14" s="47">
        <v>52.4</v>
      </c>
      <c r="AH14" s="48">
        <f t="shared" si="2"/>
        <v>15.4</v>
      </c>
      <c r="AI14" s="49">
        <f t="shared" si="3"/>
        <v>14.2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28.1</v>
      </c>
      <c r="C15" s="46">
        <v>28.1</v>
      </c>
      <c r="D15" s="46">
        <v>28.1</v>
      </c>
      <c r="E15" s="46">
        <v>28.1</v>
      </c>
      <c r="F15" s="46">
        <v>28.1</v>
      </c>
      <c r="G15" s="46">
        <v>28.1</v>
      </c>
      <c r="H15" s="46">
        <v>28.1</v>
      </c>
      <c r="I15" s="46">
        <v>28.1</v>
      </c>
      <c r="J15" s="46">
        <v>28.1</v>
      </c>
      <c r="K15" s="46">
        <v>28.1</v>
      </c>
      <c r="L15" s="46">
        <v>28.1</v>
      </c>
      <c r="M15" s="46">
        <v>28.1</v>
      </c>
      <c r="N15" s="46">
        <v>28.1</v>
      </c>
      <c r="O15" s="46">
        <v>28.1</v>
      </c>
      <c r="P15" s="46">
        <v>28.1</v>
      </c>
      <c r="Q15" s="46">
        <v>28.1</v>
      </c>
      <c r="R15" s="46">
        <v>28.1</v>
      </c>
      <c r="S15" s="46">
        <v>28.1</v>
      </c>
      <c r="T15" s="46">
        <v>28.1</v>
      </c>
      <c r="U15" s="46">
        <v>28.1</v>
      </c>
      <c r="V15" s="46">
        <v>28.1</v>
      </c>
      <c r="W15" s="46">
        <v>28.1</v>
      </c>
      <c r="X15" s="46">
        <v>28.1</v>
      </c>
      <c r="Y15" s="46">
        <v>28.1</v>
      </c>
      <c r="Z15" s="46">
        <v>28.1</v>
      </c>
      <c r="AA15" s="46">
        <v>28.1</v>
      </c>
      <c r="AB15" s="46">
        <v>28.1</v>
      </c>
      <c r="AC15" s="46">
        <v>28.1</v>
      </c>
      <c r="AD15" s="46">
        <v>28.1</v>
      </c>
      <c r="AE15" s="46">
        <v>25.2</v>
      </c>
      <c r="AF15" s="46">
        <v>25.2</v>
      </c>
      <c r="AG15" s="50">
        <v>50</v>
      </c>
      <c r="AH15" s="48">
        <f t="shared" si="2"/>
        <v>28.1</v>
      </c>
      <c r="AI15" s="49">
        <f t="shared" si="3"/>
        <v>25.2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16.5</v>
      </c>
      <c r="C16" s="46">
        <v>16.5</v>
      </c>
      <c r="D16" s="46">
        <v>16.5</v>
      </c>
      <c r="E16" s="46">
        <v>16.5</v>
      </c>
      <c r="F16" s="46">
        <v>16.5</v>
      </c>
      <c r="G16" s="46">
        <v>16.5</v>
      </c>
      <c r="H16" s="46">
        <v>16.5</v>
      </c>
      <c r="I16" s="46">
        <v>16.5</v>
      </c>
      <c r="J16" s="46">
        <v>16.5</v>
      </c>
      <c r="K16" s="46">
        <v>16.5</v>
      </c>
      <c r="L16" s="46">
        <v>16.5</v>
      </c>
      <c r="M16" s="46">
        <v>16.5</v>
      </c>
      <c r="N16" s="46">
        <v>16.5</v>
      </c>
      <c r="O16" s="46">
        <v>16.5</v>
      </c>
      <c r="P16" s="46">
        <v>16.5</v>
      </c>
      <c r="Q16" s="46">
        <v>16.5</v>
      </c>
      <c r="R16" s="46">
        <v>16.5</v>
      </c>
      <c r="S16" s="46">
        <v>16.5</v>
      </c>
      <c r="T16" s="46">
        <v>16.5</v>
      </c>
      <c r="U16" s="46">
        <v>16.5</v>
      </c>
      <c r="V16" s="46">
        <v>16.5</v>
      </c>
      <c r="W16" s="46">
        <v>16.5</v>
      </c>
      <c r="X16" s="46">
        <v>16.5</v>
      </c>
      <c r="Y16" s="46">
        <v>16.5</v>
      </c>
      <c r="Z16" s="46">
        <v>16.5</v>
      </c>
      <c r="AA16" s="46">
        <v>16.5</v>
      </c>
      <c r="AB16" s="46">
        <v>16.5</v>
      </c>
      <c r="AC16" s="46">
        <v>16.5</v>
      </c>
      <c r="AD16" s="46">
        <v>16.5</v>
      </c>
      <c r="AE16" s="46">
        <v>14.6</v>
      </c>
      <c r="AF16" s="46">
        <v>14.6</v>
      </c>
      <c r="AG16" s="50">
        <v>45</v>
      </c>
      <c r="AH16" s="48">
        <f t="shared" si="2"/>
        <v>16.5</v>
      </c>
      <c r="AI16" s="49">
        <f t="shared" si="3"/>
        <v>14.6</v>
      </c>
      <c r="AK16" s="51"/>
      <c r="AL16" s="54" t="s">
        <v>7</v>
      </c>
      <c r="AM16" s="59">
        <f>B58</f>
        <v>455.95000000000005</v>
      </c>
      <c r="AN16" s="59">
        <f t="shared" ref="AN16:AR16" si="4">C58</f>
        <v>455.95000000000005</v>
      </c>
      <c r="AO16" s="59">
        <f t="shared" si="4"/>
        <v>455.95000000000005</v>
      </c>
      <c r="AP16" s="59">
        <f t="shared" si="4"/>
        <v>455.95000000000005</v>
      </c>
      <c r="AQ16" s="59">
        <f t="shared" si="4"/>
        <v>455.95000000000005</v>
      </c>
      <c r="AR16" s="59">
        <f t="shared" si="4"/>
        <v>455.95000000000005</v>
      </c>
      <c r="AS16" s="59">
        <f>I58</f>
        <v>455.95000000000005</v>
      </c>
      <c r="AT16" s="59">
        <f>K58</f>
        <v>455.95000000000005</v>
      </c>
      <c r="AU16" s="59">
        <f t="shared" ref="AU16:AX16" si="5">M58</f>
        <v>455.95000000000005</v>
      </c>
      <c r="AV16" s="59">
        <f t="shared" si="5"/>
        <v>455.95000000000005</v>
      </c>
      <c r="AW16" s="59">
        <f t="shared" si="5"/>
        <v>455.95000000000005</v>
      </c>
      <c r="AX16" s="59">
        <f t="shared" si="5"/>
        <v>455.95000000000005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14</v>
      </c>
      <c r="C17" s="46">
        <v>14</v>
      </c>
      <c r="D17" s="46">
        <v>14</v>
      </c>
      <c r="E17" s="46">
        <v>14</v>
      </c>
      <c r="F17" s="46">
        <v>14</v>
      </c>
      <c r="G17" s="46">
        <v>14</v>
      </c>
      <c r="H17" s="46">
        <v>14</v>
      </c>
      <c r="I17" s="46">
        <v>14</v>
      </c>
      <c r="J17" s="46">
        <v>14</v>
      </c>
      <c r="K17" s="46">
        <v>14</v>
      </c>
      <c r="L17" s="46">
        <v>14</v>
      </c>
      <c r="M17" s="46">
        <v>14</v>
      </c>
      <c r="N17" s="46">
        <v>14</v>
      </c>
      <c r="O17" s="46">
        <v>14</v>
      </c>
      <c r="P17" s="46">
        <v>14</v>
      </c>
      <c r="Q17" s="46">
        <v>14</v>
      </c>
      <c r="R17" s="46">
        <v>14</v>
      </c>
      <c r="S17" s="46">
        <v>14</v>
      </c>
      <c r="T17" s="46">
        <v>14</v>
      </c>
      <c r="U17" s="46">
        <v>14</v>
      </c>
      <c r="V17" s="46">
        <v>14</v>
      </c>
      <c r="W17" s="46">
        <v>14</v>
      </c>
      <c r="X17" s="46">
        <v>14</v>
      </c>
      <c r="Y17" s="46">
        <v>14</v>
      </c>
      <c r="Z17" s="46">
        <v>14</v>
      </c>
      <c r="AA17" s="46">
        <v>14</v>
      </c>
      <c r="AB17" s="46">
        <v>14</v>
      </c>
      <c r="AC17" s="46">
        <v>14</v>
      </c>
      <c r="AD17" s="46">
        <v>14</v>
      </c>
      <c r="AE17" s="46">
        <v>14</v>
      </c>
      <c r="AF17" s="46">
        <v>14</v>
      </c>
      <c r="AG17" s="50">
        <v>44</v>
      </c>
      <c r="AH17" s="48">
        <f>MAX(B17:AG17)</f>
        <v>44</v>
      </c>
      <c r="AI17" s="49">
        <f>MIN(B17:AG17)</f>
        <v>14</v>
      </c>
      <c r="AK17" s="51"/>
      <c r="AL17" s="54" t="s">
        <v>27</v>
      </c>
      <c r="AM17" s="59">
        <f>B62</f>
        <v>137.1</v>
      </c>
      <c r="AN17" s="59">
        <f t="shared" ref="AN17:AR17" si="6">C62</f>
        <v>77.099999999999994</v>
      </c>
      <c r="AO17" s="59">
        <f t="shared" si="6"/>
        <v>37.1</v>
      </c>
      <c r="AP17" s="59">
        <f t="shared" si="6"/>
        <v>37</v>
      </c>
      <c r="AQ17" s="59">
        <f t="shared" si="6"/>
        <v>37.1</v>
      </c>
      <c r="AR17" s="59">
        <f t="shared" si="6"/>
        <v>37</v>
      </c>
      <c r="AS17" s="59">
        <f>I62</f>
        <v>37.1</v>
      </c>
      <c r="AT17" s="59">
        <f>K62</f>
        <v>148.69999999999999</v>
      </c>
      <c r="AU17" s="59">
        <f t="shared" ref="AU17:AX17" si="7">M62</f>
        <v>118.6</v>
      </c>
      <c r="AV17" s="59">
        <f t="shared" si="7"/>
        <v>80</v>
      </c>
      <c r="AW17" s="59">
        <f t="shared" si="7"/>
        <v>80</v>
      </c>
      <c r="AX17" s="59">
        <f t="shared" si="7"/>
        <v>107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8</v>
      </c>
      <c r="C18" s="46">
        <v>8</v>
      </c>
      <c r="D18" s="46">
        <v>8</v>
      </c>
      <c r="E18" s="46">
        <v>8</v>
      </c>
      <c r="F18" s="46">
        <v>8</v>
      </c>
      <c r="G18" s="46">
        <v>8</v>
      </c>
      <c r="H18" s="46">
        <v>8</v>
      </c>
      <c r="I18" s="46">
        <v>8</v>
      </c>
      <c r="J18" s="46">
        <v>8</v>
      </c>
      <c r="K18" s="46">
        <v>8</v>
      </c>
      <c r="L18" s="46">
        <v>8</v>
      </c>
      <c r="M18" s="46">
        <v>8</v>
      </c>
      <c r="N18" s="46">
        <v>8</v>
      </c>
      <c r="O18" s="46">
        <v>8</v>
      </c>
      <c r="P18" s="46">
        <v>8</v>
      </c>
      <c r="Q18" s="46">
        <v>8</v>
      </c>
      <c r="R18" s="46">
        <v>8</v>
      </c>
      <c r="S18" s="46">
        <v>8</v>
      </c>
      <c r="T18" s="46">
        <v>8</v>
      </c>
      <c r="U18" s="46">
        <v>8</v>
      </c>
      <c r="V18" s="46">
        <v>8</v>
      </c>
      <c r="W18" s="46">
        <v>8</v>
      </c>
      <c r="X18" s="46">
        <v>8</v>
      </c>
      <c r="Y18" s="46">
        <v>8</v>
      </c>
      <c r="Z18" s="46">
        <v>8</v>
      </c>
      <c r="AA18" s="46">
        <v>8</v>
      </c>
      <c r="AB18" s="46">
        <v>8</v>
      </c>
      <c r="AC18" s="46">
        <v>8</v>
      </c>
      <c r="AD18" s="46">
        <v>8</v>
      </c>
      <c r="AE18" s="46">
        <v>6.5</v>
      </c>
      <c r="AF18" s="46">
        <v>6.5</v>
      </c>
      <c r="AG18" s="50">
        <v>42</v>
      </c>
      <c r="AH18" s="48">
        <f t="shared" ref="AH18:AH81" si="8">MAX(B18:AF18)</f>
        <v>8</v>
      </c>
      <c r="AI18" s="49">
        <f t="shared" ref="AI18:AI81" si="9">MIN(B18:AF18)</f>
        <v>6.5</v>
      </c>
      <c r="AK18" s="51"/>
      <c r="AL18" s="54" t="s">
        <v>29</v>
      </c>
      <c r="AM18" s="59">
        <f>B76</f>
        <v>136.64000000000001</v>
      </c>
      <c r="AN18" s="59">
        <f t="shared" ref="AN18:AR18" si="10">C76</f>
        <v>75.240000000000009</v>
      </c>
      <c r="AO18" s="59">
        <f t="shared" si="10"/>
        <v>75.240000000000009</v>
      </c>
      <c r="AP18" s="59">
        <f t="shared" si="10"/>
        <v>76.240000000000009</v>
      </c>
      <c r="AQ18" s="59">
        <f t="shared" si="10"/>
        <v>75.739999999999995</v>
      </c>
      <c r="AR18" s="59">
        <f t="shared" si="10"/>
        <v>91.140000000000015</v>
      </c>
      <c r="AS18" s="59">
        <f>I76</f>
        <v>204.24</v>
      </c>
      <c r="AT18" s="59">
        <f>K76</f>
        <v>260.44</v>
      </c>
      <c r="AU18" s="59">
        <f t="shared" ref="AU18:AX18" si="11">M76</f>
        <v>246.54000000000002</v>
      </c>
      <c r="AV18" s="59">
        <f t="shared" si="11"/>
        <v>198.04000000000002</v>
      </c>
      <c r="AW18" s="59">
        <f t="shared" si="11"/>
        <v>198.04000000000002</v>
      </c>
      <c r="AX18" s="59">
        <f t="shared" si="11"/>
        <v>203.24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11</v>
      </c>
      <c r="C19" s="46">
        <v>11</v>
      </c>
      <c r="D19" s="46">
        <v>11</v>
      </c>
      <c r="E19" s="46">
        <v>11</v>
      </c>
      <c r="F19" s="46">
        <v>11</v>
      </c>
      <c r="G19" s="46">
        <v>11</v>
      </c>
      <c r="H19" s="46">
        <v>11</v>
      </c>
      <c r="I19" s="46">
        <v>11</v>
      </c>
      <c r="J19" s="46">
        <v>11</v>
      </c>
      <c r="K19" s="46">
        <v>11</v>
      </c>
      <c r="L19" s="46">
        <v>11</v>
      </c>
      <c r="M19" s="46">
        <v>11</v>
      </c>
      <c r="N19" s="46">
        <v>11</v>
      </c>
      <c r="O19" s="46">
        <v>11</v>
      </c>
      <c r="P19" s="46">
        <v>11</v>
      </c>
      <c r="Q19" s="46">
        <v>11</v>
      </c>
      <c r="R19" s="46">
        <v>11</v>
      </c>
      <c r="S19" s="46">
        <v>11</v>
      </c>
      <c r="T19" s="46">
        <v>11</v>
      </c>
      <c r="U19" s="46">
        <v>11</v>
      </c>
      <c r="V19" s="46">
        <v>11</v>
      </c>
      <c r="W19" s="46">
        <v>11</v>
      </c>
      <c r="X19" s="46">
        <v>11</v>
      </c>
      <c r="Y19" s="46">
        <v>11</v>
      </c>
      <c r="Z19" s="46">
        <v>11</v>
      </c>
      <c r="AA19" s="46">
        <v>11</v>
      </c>
      <c r="AB19" s="46">
        <v>11</v>
      </c>
      <c r="AC19" s="46">
        <v>11</v>
      </c>
      <c r="AD19" s="46">
        <v>11</v>
      </c>
      <c r="AE19" s="46">
        <v>11</v>
      </c>
      <c r="AF19" s="46">
        <v>11</v>
      </c>
      <c r="AG19" s="50">
        <v>38.46</v>
      </c>
      <c r="AH19" s="48">
        <f t="shared" si="8"/>
        <v>11</v>
      </c>
      <c r="AI19" s="49">
        <f t="shared" si="9"/>
        <v>11</v>
      </c>
      <c r="AK19" s="51"/>
      <c r="AL19" s="54" t="s">
        <v>31</v>
      </c>
      <c r="AM19" s="59">
        <f>B92</f>
        <v>627</v>
      </c>
      <c r="AN19" s="59">
        <f t="shared" ref="AN19:AR19" si="12">C92</f>
        <v>723.69999999999993</v>
      </c>
      <c r="AO19" s="59">
        <f t="shared" si="12"/>
        <v>733.7</v>
      </c>
      <c r="AP19" s="59">
        <f t="shared" si="12"/>
        <v>727.2</v>
      </c>
      <c r="AQ19" s="59">
        <f t="shared" si="12"/>
        <v>695.80000000000007</v>
      </c>
      <c r="AR19" s="59">
        <f t="shared" si="12"/>
        <v>630.70000000000005</v>
      </c>
      <c r="AS19" s="59">
        <f>I92</f>
        <v>562.79999999999995</v>
      </c>
      <c r="AT19" s="59">
        <f>K92</f>
        <v>537.40000000000009</v>
      </c>
      <c r="AU19" s="59">
        <f t="shared" ref="AU19:AX19" si="13">M92</f>
        <v>557.29999999999995</v>
      </c>
      <c r="AV19" s="59">
        <f t="shared" si="13"/>
        <v>589</v>
      </c>
      <c r="AW19" s="59">
        <f t="shared" si="13"/>
        <v>641.70000000000005</v>
      </c>
      <c r="AX19" s="59">
        <f t="shared" si="13"/>
        <v>634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7.8</v>
      </c>
      <c r="C20" s="46">
        <v>7.8</v>
      </c>
      <c r="D20" s="46">
        <v>7.8</v>
      </c>
      <c r="E20" s="46">
        <v>7.8</v>
      </c>
      <c r="F20" s="46">
        <v>7.8</v>
      </c>
      <c r="G20" s="46">
        <v>7.8</v>
      </c>
      <c r="H20" s="46">
        <v>7.8</v>
      </c>
      <c r="I20" s="46">
        <v>7.8</v>
      </c>
      <c r="J20" s="46">
        <v>7.8</v>
      </c>
      <c r="K20" s="46">
        <v>7.8</v>
      </c>
      <c r="L20" s="46">
        <v>7.8</v>
      </c>
      <c r="M20" s="46">
        <v>7.8</v>
      </c>
      <c r="N20" s="46">
        <v>7.8</v>
      </c>
      <c r="O20" s="46">
        <v>7.8</v>
      </c>
      <c r="P20" s="46">
        <v>7.8</v>
      </c>
      <c r="Q20" s="46">
        <v>7.8</v>
      </c>
      <c r="R20" s="46">
        <v>7.8</v>
      </c>
      <c r="S20" s="46">
        <v>7.8</v>
      </c>
      <c r="T20" s="46">
        <v>7.8</v>
      </c>
      <c r="U20" s="46">
        <v>7.8</v>
      </c>
      <c r="V20" s="46">
        <v>7.8</v>
      </c>
      <c r="W20" s="46">
        <v>7.8</v>
      </c>
      <c r="X20" s="46">
        <v>7.8</v>
      </c>
      <c r="Y20" s="46">
        <v>7.8</v>
      </c>
      <c r="Z20" s="46">
        <v>7.8</v>
      </c>
      <c r="AA20" s="46">
        <v>7.8</v>
      </c>
      <c r="AB20" s="46">
        <v>7.8</v>
      </c>
      <c r="AC20" s="46">
        <v>7.8</v>
      </c>
      <c r="AD20" s="46">
        <v>7.8</v>
      </c>
      <c r="AE20" s="46">
        <v>7.8</v>
      </c>
      <c r="AF20" s="46">
        <v>7.8</v>
      </c>
      <c r="AG20" s="50">
        <v>38.46</v>
      </c>
      <c r="AH20" s="48">
        <f t="shared" si="8"/>
        <v>7.8</v>
      </c>
      <c r="AI20" s="49">
        <f t="shared" si="9"/>
        <v>7.8</v>
      </c>
      <c r="AK20" s="51"/>
      <c r="AL20" s="54" t="s">
        <v>33</v>
      </c>
      <c r="AM20" s="59">
        <f>B80</f>
        <v>0</v>
      </c>
      <c r="AN20" s="59">
        <f t="shared" ref="AN20:AR20" si="14">C80</f>
        <v>0</v>
      </c>
      <c r="AO20" s="59">
        <f t="shared" si="14"/>
        <v>0</v>
      </c>
      <c r="AP20" s="59">
        <f t="shared" si="14"/>
        <v>0</v>
      </c>
      <c r="AQ20" s="59">
        <f t="shared" si="14"/>
        <v>0</v>
      </c>
      <c r="AR20" s="59">
        <f t="shared" si="14"/>
        <v>0</v>
      </c>
      <c r="AS20" s="59">
        <f>I80</f>
        <v>0</v>
      </c>
      <c r="AT20" s="59">
        <f>K80</f>
        <v>0</v>
      </c>
      <c r="AU20" s="59">
        <f t="shared" ref="AU20:AX20" si="15">M80</f>
        <v>0</v>
      </c>
      <c r="AV20" s="59">
        <f t="shared" si="15"/>
        <v>0</v>
      </c>
      <c r="AW20" s="59">
        <f t="shared" si="15"/>
        <v>0</v>
      </c>
      <c r="AX20" s="59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13</v>
      </c>
      <c r="C21" s="46">
        <v>13</v>
      </c>
      <c r="D21" s="46">
        <v>13</v>
      </c>
      <c r="E21" s="46">
        <v>13</v>
      </c>
      <c r="F21" s="46">
        <v>13</v>
      </c>
      <c r="G21" s="46">
        <v>13</v>
      </c>
      <c r="H21" s="46">
        <v>13</v>
      </c>
      <c r="I21" s="46">
        <v>13</v>
      </c>
      <c r="J21" s="46">
        <v>13</v>
      </c>
      <c r="K21" s="46">
        <v>13</v>
      </c>
      <c r="L21" s="46">
        <v>13</v>
      </c>
      <c r="M21" s="46">
        <v>13</v>
      </c>
      <c r="N21" s="46">
        <v>13</v>
      </c>
      <c r="O21" s="46">
        <v>13</v>
      </c>
      <c r="P21" s="46">
        <v>13</v>
      </c>
      <c r="Q21" s="46">
        <v>13</v>
      </c>
      <c r="R21" s="46">
        <v>13</v>
      </c>
      <c r="S21" s="46">
        <v>13</v>
      </c>
      <c r="T21" s="46">
        <v>13</v>
      </c>
      <c r="U21" s="46">
        <v>13</v>
      </c>
      <c r="V21" s="46">
        <v>13</v>
      </c>
      <c r="W21" s="46">
        <v>13</v>
      </c>
      <c r="X21" s="46">
        <v>13</v>
      </c>
      <c r="Y21" s="46">
        <v>13</v>
      </c>
      <c r="Z21" s="46">
        <v>13</v>
      </c>
      <c r="AA21" s="46">
        <v>13</v>
      </c>
      <c r="AB21" s="46">
        <v>13</v>
      </c>
      <c r="AC21" s="46">
        <v>13</v>
      </c>
      <c r="AD21" s="46">
        <v>13</v>
      </c>
      <c r="AE21" s="46">
        <v>13</v>
      </c>
      <c r="AF21" s="46">
        <v>13</v>
      </c>
      <c r="AG21" s="50">
        <v>36</v>
      </c>
      <c r="AH21" s="48">
        <f t="shared" si="8"/>
        <v>13</v>
      </c>
      <c r="AI21" s="49">
        <f t="shared" si="9"/>
        <v>13</v>
      </c>
      <c r="AK21" s="51"/>
      <c r="AL21" s="54" t="s">
        <v>35</v>
      </c>
      <c r="AM21" s="59">
        <f>B98</f>
        <v>0</v>
      </c>
      <c r="AN21" s="59">
        <f t="shared" ref="AN21:AR21" si="16">C98</f>
        <v>0</v>
      </c>
      <c r="AO21" s="59">
        <f t="shared" si="16"/>
        <v>0</v>
      </c>
      <c r="AP21" s="59">
        <f t="shared" si="16"/>
        <v>0</v>
      </c>
      <c r="AQ21" s="59">
        <f t="shared" si="16"/>
        <v>0</v>
      </c>
      <c r="AR21" s="59">
        <f t="shared" si="16"/>
        <v>0</v>
      </c>
      <c r="AS21" s="59">
        <f>I98</f>
        <v>80</v>
      </c>
      <c r="AT21" s="59">
        <f>K98</f>
        <v>140</v>
      </c>
      <c r="AU21" s="59">
        <f t="shared" ref="AU21:AX21" si="17">M98</f>
        <v>240</v>
      </c>
      <c r="AV21" s="59">
        <f t="shared" si="17"/>
        <v>200</v>
      </c>
      <c r="AW21" s="59">
        <f t="shared" si="17"/>
        <v>0</v>
      </c>
      <c r="AX21" s="59">
        <f t="shared" si="17"/>
        <v>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6.9</v>
      </c>
      <c r="C22" s="46">
        <v>6.9</v>
      </c>
      <c r="D22" s="46">
        <v>6.9</v>
      </c>
      <c r="E22" s="46">
        <v>6.9</v>
      </c>
      <c r="F22" s="46">
        <v>6.9</v>
      </c>
      <c r="G22" s="46">
        <v>6.9</v>
      </c>
      <c r="H22" s="46">
        <v>6.9</v>
      </c>
      <c r="I22" s="46">
        <v>6.9</v>
      </c>
      <c r="J22" s="46">
        <v>6.9</v>
      </c>
      <c r="K22" s="46">
        <v>6.9</v>
      </c>
      <c r="L22" s="46">
        <v>6.9</v>
      </c>
      <c r="M22" s="46">
        <v>6.9</v>
      </c>
      <c r="N22" s="46">
        <v>6.9</v>
      </c>
      <c r="O22" s="46">
        <v>6.9</v>
      </c>
      <c r="P22" s="46">
        <v>6.9</v>
      </c>
      <c r="Q22" s="46">
        <v>6.9</v>
      </c>
      <c r="R22" s="46">
        <v>6.9</v>
      </c>
      <c r="S22" s="46">
        <v>6.9</v>
      </c>
      <c r="T22" s="46">
        <v>6.9</v>
      </c>
      <c r="U22" s="46">
        <v>6.9</v>
      </c>
      <c r="V22" s="46">
        <v>6.9</v>
      </c>
      <c r="W22" s="46">
        <v>6.9</v>
      </c>
      <c r="X22" s="46">
        <v>6.9</v>
      </c>
      <c r="Y22" s="46">
        <v>6.9</v>
      </c>
      <c r="Z22" s="46">
        <v>6.9</v>
      </c>
      <c r="AA22" s="46">
        <v>6.9</v>
      </c>
      <c r="AB22" s="46">
        <v>6.9</v>
      </c>
      <c r="AC22" s="46">
        <v>6.9</v>
      </c>
      <c r="AD22" s="46">
        <v>6.9</v>
      </c>
      <c r="AE22" s="46">
        <v>6.7</v>
      </c>
      <c r="AF22" s="46">
        <v>6.7</v>
      </c>
      <c r="AG22" s="60">
        <v>30</v>
      </c>
      <c r="AH22" s="48">
        <f t="shared" si="8"/>
        <v>6.9</v>
      </c>
      <c r="AI22" s="49">
        <f t="shared" si="9"/>
        <v>6.7</v>
      </c>
      <c r="AK22" s="51"/>
      <c r="AL22" s="61" t="s">
        <v>37</v>
      </c>
      <c r="AM22" s="62">
        <f>SUM(AM16:AM21)</f>
        <v>1356.69</v>
      </c>
      <c r="AN22" s="62">
        <f t="shared" ref="AN22:AX22" si="18">SUM(AN16:AN21)</f>
        <v>1331.99</v>
      </c>
      <c r="AO22" s="62">
        <f t="shared" si="18"/>
        <v>1301.9900000000002</v>
      </c>
      <c r="AP22" s="62">
        <f t="shared" si="18"/>
        <v>1296.3900000000001</v>
      </c>
      <c r="AQ22" s="62">
        <f t="shared" si="18"/>
        <v>1264.5900000000001</v>
      </c>
      <c r="AR22" s="62">
        <f t="shared" si="18"/>
        <v>1214.79</v>
      </c>
      <c r="AS22" s="62">
        <f t="shared" si="18"/>
        <v>1340.0900000000001</v>
      </c>
      <c r="AT22" s="62">
        <f t="shared" si="18"/>
        <v>1542.4900000000002</v>
      </c>
      <c r="AU22" s="62">
        <f t="shared" si="18"/>
        <v>1618.39</v>
      </c>
      <c r="AV22" s="62">
        <f t="shared" si="18"/>
        <v>1522.99</v>
      </c>
      <c r="AW22" s="62">
        <f t="shared" si="18"/>
        <v>1375.69</v>
      </c>
      <c r="AX22" s="62">
        <f t="shared" si="18"/>
        <v>1400.19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5.5</v>
      </c>
      <c r="C23" s="46">
        <v>5.5</v>
      </c>
      <c r="D23" s="46">
        <v>5.5</v>
      </c>
      <c r="E23" s="46">
        <v>5.5</v>
      </c>
      <c r="F23" s="46">
        <v>5.5</v>
      </c>
      <c r="G23" s="46">
        <v>5.5</v>
      </c>
      <c r="H23" s="46">
        <v>5.5</v>
      </c>
      <c r="I23" s="46">
        <v>5.5</v>
      </c>
      <c r="J23" s="46">
        <v>5.5</v>
      </c>
      <c r="K23" s="46">
        <v>5.5</v>
      </c>
      <c r="L23" s="46">
        <v>5.5</v>
      </c>
      <c r="M23" s="46">
        <v>5.5</v>
      </c>
      <c r="N23" s="46">
        <v>5.5</v>
      </c>
      <c r="O23" s="46">
        <v>5.5</v>
      </c>
      <c r="P23" s="46">
        <v>5.5</v>
      </c>
      <c r="Q23" s="46">
        <v>5.5</v>
      </c>
      <c r="R23" s="46">
        <v>5.5</v>
      </c>
      <c r="S23" s="46">
        <v>5.5</v>
      </c>
      <c r="T23" s="46">
        <v>5.5</v>
      </c>
      <c r="U23" s="46">
        <v>5.5</v>
      </c>
      <c r="V23" s="46">
        <v>5.5</v>
      </c>
      <c r="W23" s="46">
        <v>5.5</v>
      </c>
      <c r="X23" s="46">
        <v>5.5</v>
      </c>
      <c r="Y23" s="46">
        <v>5.5</v>
      </c>
      <c r="Z23" s="46">
        <v>5.5</v>
      </c>
      <c r="AA23" s="46">
        <v>5.5</v>
      </c>
      <c r="AB23" s="46">
        <v>5.5</v>
      </c>
      <c r="AC23" s="46">
        <v>5.5</v>
      </c>
      <c r="AD23" s="46">
        <v>5.5</v>
      </c>
      <c r="AE23" s="46">
        <v>5.5</v>
      </c>
      <c r="AF23" s="46">
        <v>5.5</v>
      </c>
      <c r="AG23" s="50">
        <v>24.2</v>
      </c>
      <c r="AH23" s="48">
        <f t="shared" si="8"/>
        <v>5.5</v>
      </c>
      <c r="AI23" s="49">
        <f t="shared" si="9"/>
        <v>5.5</v>
      </c>
      <c r="AK23" s="51"/>
      <c r="AL23" s="61" t="s">
        <v>39</v>
      </c>
      <c r="AM23" s="62">
        <f>B107*-1</f>
        <v>0</v>
      </c>
      <c r="AN23" s="62">
        <f t="shared" ref="AN23:AR23" si="19">C107*-1</f>
        <v>0</v>
      </c>
      <c r="AO23" s="62">
        <f t="shared" si="19"/>
        <v>0</v>
      </c>
      <c r="AP23" s="62">
        <f t="shared" si="19"/>
        <v>0</v>
      </c>
      <c r="AQ23" s="62">
        <f t="shared" si="19"/>
        <v>0</v>
      </c>
      <c r="AR23" s="62">
        <f t="shared" si="19"/>
        <v>0</v>
      </c>
      <c r="AS23" s="62">
        <f>I107*-1</f>
        <v>0</v>
      </c>
      <c r="AT23" s="62">
        <f>K107*-1</f>
        <v>0</v>
      </c>
      <c r="AU23" s="62">
        <f t="shared" ref="AU23:AX23" si="20">M107*-1</f>
        <v>0</v>
      </c>
      <c r="AV23" s="62">
        <f t="shared" si="20"/>
        <v>0</v>
      </c>
      <c r="AW23" s="62">
        <f t="shared" si="20"/>
        <v>0</v>
      </c>
      <c r="AX23" s="62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7.4</v>
      </c>
      <c r="C24" s="46">
        <v>7.4</v>
      </c>
      <c r="D24" s="46">
        <v>7.4</v>
      </c>
      <c r="E24" s="46">
        <v>7.4</v>
      </c>
      <c r="F24" s="46">
        <v>7.4</v>
      </c>
      <c r="G24" s="46">
        <v>7.4</v>
      </c>
      <c r="H24" s="46">
        <v>7.4</v>
      </c>
      <c r="I24" s="46">
        <v>7.4</v>
      </c>
      <c r="J24" s="46">
        <v>7.4</v>
      </c>
      <c r="K24" s="46">
        <v>7.4</v>
      </c>
      <c r="L24" s="46">
        <v>7.4</v>
      </c>
      <c r="M24" s="46">
        <v>7.4</v>
      </c>
      <c r="N24" s="46">
        <v>7.4</v>
      </c>
      <c r="O24" s="46">
        <v>7.4</v>
      </c>
      <c r="P24" s="46">
        <v>7.4</v>
      </c>
      <c r="Q24" s="46">
        <v>7.4</v>
      </c>
      <c r="R24" s="46">
        <v>7.4</v>
      </c>
      <c r="S24" s="46">
        <v>7.4</v>
      </c>
      <c r="T24" s="46">
        <v>7.4</v>
      </c>
      <c r="U24" s="46">
        <v>7.4</v>
      </c>
      <c r="V24" s="46">
        <v>7.4</v>
      </c>
      <c r="W24" s="46">
        <v>7.4</v>
      </c>
      <c r="X24" s="46">
        <v>7.4</v>
      </c>
      <c r="Y24" s="46">
        <v>7.4</v>
      </c>
      <c r="Z24" s="46">
        <v>7.4</v>
      </c>
      <c r="AA24" s="46">
        <v>7.4</v>
      </c>
      <c r="AB24" s="46">
        <v>7.4</v>
      </c>
      <c r="AC24" s="46">
        <v>7.4</v>
      </c>
      <c r="AD24" s="46">
        <v>7.4</v>
      </c>
      <c r="AE24" s="46">
        <v>7.4</v>
      </c>
      <c r="AF24" s="46">
        <v>7.4</v>
      </c>
      <c r="AG24" s="50">
        <v>28</v>
      </c>
      <c r="AH24" s="48">
        <f t="shared" si="8"/>
        <v>7.4</v>
      </c>
      <c r="AI24" s="49">
        <f t="shared" si="9"/>
        <v>7.4</v>
      </c>
      <c r="AK24" s="51"/>
      <c r="AL24" s="61" t="s">
        <v>41</v>
      </c>
      <c r="AM24" s="62">
        <f>AM22+AM23</f>
        <v>1356.69</v>
      </c>
      <c r="AN24" s="62">
        <f t="shared" ref="AN24:AX24" si="21">AN22+AN23</f>
        <v>1331.99</v>
      </c>
      <c r="AO24" s="62">
        <f t="shared" si="21"/>
        <v>1301.9900000000002</v>
      </c>
      <c r="AP24" s="62">
        <f t="shared" si="21"/>
        <v>1296.3900000000001</v>
      </c>
      <c r="AQ24" s="62">
        <f t="shared" si="21"/>
        <v>1264.5900000000001</v>
      </c>
      <c r="AR24" s="62">
        <f t="shared" si="21"/>
        <v>1214.79</v>
      </c>
      <c r="AS24" s="62">
        <f t="shared" si="21"/>
        <v>1340.0900000000001</v>
      </c>
      <c r="AT24" s="62">
        <f t="shared" si="21"/>
        <v>1542.4900000000002</v>
      </c>
      <c r="AU24" s="62">
        <f t="shared" si="21"/>
        <v>1618.39</v>
      </c>
      <c r="AV24" s="62">
        <f t="shared" si="21"/>
        <v>1522.99</v>
      </c>
      <c r="AW24" s="62">
        <f t="shared" si="21"/>
        <v>1375.69</v>
      </c>
      <c r="AX24" s="62">
        <f t="shared" si="21"/>
        <v>1400.19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4.8</v>
      </c>
      <c r="C25" s="46">
        <v>4.8</v>
      </c>
      <c r="D25" s="46">
        <v>4.8</v>
      </c>
      <c r="E25" s="46">
        <v>4.8</v>
      </c>
      <c r="F25" s="46">
        <v>4.8</v>
      </c>
      <c r="G25" s="46">
        <v>4.8</v>
      </c>
      <c r="H25" s="46">
        <v>4.8</v>
      </c>
      <c r="I25" s="46">
        <v>4.8</v>
      </c>
      <c r="J25" s="46">
        <v>4.8</v>
      </c>
      <c r="K25" s="46">
        <v>4.8</v>
      </c>
      <c r="L25" s="46">
        <v>4.8</v>
      </c>
      <c r="M25" s="46">
        <v>4.8</v>
      </c>
      <c r="N25" s="46">
        <v>4.8</v>
      </c>
      <c r="O25" s="46">
        <v>4.8</v>
      </c>
      <c r="P25" s="46">
        <v>4.8</v>
      </c>
      <c r="Q25" s="46">
        <v>4.8</v>
      </c>
      <c r="R25" s="46">
        <v>4.8</v>
      </c>
      <c r="S25" s="46">
        <v>4.8</v>
      </c>
      <c r="T25" s="46">
        <v>4.8</v>
      </c>
      <c r="U25" s="46">
        <v>4.8</v>
      </c>
      <c r="V25" s="46">
        <v>4.8</v>
      </c>
      <c r="W25" s="46">
        <v>4.8</v>
      </c>
      <c r="X25" s="46">
        <v>4.8</v>
      </c>
      <c r="Y25" s="46">
        <v>4.8</v>
      </c>
      <c r="Z25" s="46">
        <v>4.8</v>
      </c>
      <c r="AA25" s="46">
        <v>4.8</v>
      </c>
      <c r="AB25" s="46">
        <v>4.8</v>
      </c>
      <c r="AC25" s="46">
        <v>4.8</v>
      </c>
      <c r="AD25" s="46">
        <v>4.8</v>
      </c>
      <c r="AE25" s="46">
        <v>6.4</v>
      </c>
      <c r="AF25" s="46">
        <v>6.4</v>
      </c>
      <c r="AG25" s="60">
        <v>30</v>
      </c>
      <c r="AH25" s="48">
        <f t="shared" si="8"/>
        <v>6.4</v>
      </c>
      <c r="AI25" s="49">
        <f t="shared" si="9"/>
        <v>4.8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8.6</v>
      </c>
      <c r="C26" s="46">
        <v>8.6</v>
      </c>
      <c r="D26" s="46">
        <v>8.6</v>
      </c>
      <c r="E26" s="46">
        <v>8.6</v>
      </c>
      <c r="F26" s="46">
        <v>8.6</v>
      </c>
      <c r="G26" s="46">
        <v>8.6</v>
      </c>
      <c r="H26" s="46">
        <v>8.6</v>
      </c>
      <c r="I26" s="46">
        <v>8.6</v>
      </c>
      <c r="J26" s="46">
        <v>8.6</v>
      </c>
      <c r="K26" s="46">
        <v>8.6</v>
      </c>
      <c r="L26" s="46">
        <v>8.6</v>
      </c>
      <c r="M26" s="46">
        <v>8.6</v>
      </c>
      <c r="N26" s="46">
        <v>8.6</v>
      </c>
      <c r="O26" s="46">
        <v>8.6</v>
      </c>
      <c r="P26" s="46">
        <v>8.6</v>
      </c>
      <c r="Q26" s="46">
        <v>8.6</v>
      </c>
      <c r="R26" s="46">
        <v>8.6</v>
      </c>
      <c r="S26" s="46">
        <v>8.6</v>
      </c>
      <c r="T26" s="46">
        <v>8.6</v>
      </c>
      <c r="U26" s="46">
        <v>8.6</v>
      </c>
      <c r="V26" s="46">
        <v>8.6</v>
      </c>
      <c r="W26" s="46">
        <v>8.6</v>
      </c>
      <c r="X26" s="46">
        <v>8.6</v>
      </c>
      <c r="Y26" s="46">
        <v>8.6</v>
      </c>
      <c r="Z26" s="46">
        <v>8.6</v>
      </c>
      <c r="AA26" s="46">
        <v>8.6</v>
      </c>
      <c r="AB26" s="46">
        <v>8.6</v>
      </c>
      <c r="AC26" s="46">
        <v>8.6</v>
      </c>
      <c r="AD26" s="46">
        <v>8.6</v>
      </c>
      <c r="AE26" s="46">
        <v>6.5</v>
      </c>
      <c r="AF26" s="46">
        <v>6.5</v>
      </c>
      <c r="AG26" s="50">
        <v>25</v>
      </c>
      <c r="AH26" s="48">
        <f t="shared" si="8"/>
        <v>8.6</v>
      </c>
      <c r="AI26" s="49">
        <f t="shared" si="9"/>
        <v>6.5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5</v>
      </c>
      <c r="N27" s="46">
        <v>5</v>
      </c>
      <c r="O27" s="46">
        <v>5</v>
      </c>
      <c r="P27" s="46">
        <v>5</v>
      </c>
      <c r="Q27" s="46">
        <v>5</v>
      </c>
      <c r="R27" s="46">
        <v>5</v>
      </c>
      <c r="S27" s="46">
        <v>5</v>
      </c>
      <c r="T27" s="46">
        <v>5</v>
      </c>
      <c r="U27" s="46">
        <v>5</v>
      </c>
      <c r="V27" s="46">
        <v>5</v>
      </c>
      <c r="W27" s="46">
        <v>5</v>
      </c>
      <c r="X27" s="46">
        <v>5</v>
      </c>
      <c r="Y27" s="46">
        <v>5</v>
      </c>
      <c r="Z27" s="46">
        <v>5</v>
      </c>
      <c r="AA27" s="46">
        <v>5</v>
      </c>
      <c r="AB27" s="46">
        <v>5</v>
      </c>
      <c r="AC27" s="46">
        <v>5</v>
      </c>
      <c r="AD27" s="46">
        <v>5</v>
      </c>
      <c r="AE27" s="46">
        <v>5</v>
      </c>
      <c r="AF27" s="46">
        <v>5</v>
      </c>
      <c r="AG27" s="50">
        <v>25</v>
      </c>
      <c r="AH27" s="48">
        <f t="shared" si="8"/>
        <v>5</v>
      </c>
      <c r="AI27" s="49">
        <f t="shared" si="9"/>
        <v>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6</v>
      </c>
      <c r="C28" s="46">
        <v>6</v>
      </c>
      <c r="D28" s="46">
        <v>6</v>
      </c>
      <c r="E28" s="46">
        <v>6</v>
      </c>
      <c r="F28" s="46">
        <v>6</v>
      </c>
      <c r="G28" s="46">
        <v>6</v>
      </c>
      <c r="H28" s="46">
        <v>6</v>
      </c>
      <c r="I28" s="46">
        <v>6</v>
      </c>
      <c r="J28" s="46">
        <v>6</v>
      </c>
      <c r="K28" s="46">
        <v>6</v>
      </c>
      <c r="L28" s="46">
        <v>6</v>
      </c>
      <c r="M28" s="46">
        <v>6</v>
      </c>
      <c r="N28" s="46">
        <v>6</v>
      </c>
      <c r="O28" s="46">
        <v>6</v>
      </c>
      <c r="P28" s="46">
        <v>6</v>
      </c>
      <c r="Q28" s="46">
        <v>6</v>
      </c>
      <c r="R28" s="46">
        <v>6</v>
      </c>
      <c r="S28" s="46">
        <v>6</v>
      </c>
      <c r="T28" s="46">
        <v>6</v>
      </c>
      <c r="U28" s="46">
        <v>6</v>
      </c>
      <c r="V28" s="46">
        <v>6</v>
      </c>
      <c r="W28" s="46">
        <v>6</v>
      </c>
      <c r="X28" s="46">
        <v>6</v>
      </c>
      <c r="Y28" s="46">
        <v>6</v>
      </c>
      <c r="Z28" s="46">
        <v>6</v>
      </c>
      <c r="AA28" s="46">
        <v>6</v>
      </c>
      <c r="AB28" s="46">
        <v>6</v>
      </c>
      <c r="AC28" s="46">
        <v>6</v>
      </c>
      <c r="AD28" s="46">
        <v>6</v>
      </c>
      <c r="AE28" s="46">
        <v>6</v>
      </c>
      <c r="AF28" s="46">
        <v>6</v>
      </c>
      <c r="AG28" s="50">
        <v>25</v>
      </c>
      <c r="AH28" s="48">
        <f t="shared" si="8"/>
        <v>6</v>
      </c>
      <c r="AI28" s="49">
        <f t="shared" si="9"/>
        <v>6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6.4</v>
      </c>
      <c r="C29" s="46">
        <v>6.4</v>
      </c>
      <c r="D29" s="46">
        <v>6.4</v>
      </c>
      <c r="E29" s="46">
        <v>6.4</v>
      </c>
      <c r="F29" s="46">
        <v>6.4</v>
      </c>
      <c r="G29" s="46">
        <v>6.4</v>
      </c>
      <c r="H29" s="46">
        <v>6.4</v>
      </c>
      <c r="I29" s="46">
        <v>6.4</v>
      </c>
      <c r="J29" s="46">
        <v>6.4</v>
      </c>
      <c r="K29" s="46">
        <v>6.4</v>
      </c>
      <c r="L29" s="46">
        <v>6.4</v>
      </c>
      <c r="M29" s="46">
        <v>6.4</v>
      </c>
      <c r="N29" s="46">
        <v>6.4</v>
      </c>
      <c r="O29" s="46">
        <v>6.4</v>
      </c>
      <c r="P29" s="46">
        <v>6.4</v>
      </c>
      <c r="Q29" s="46">
        <v>6.4</v>
      </c>
      <c r="R29" s="46">
        <v>6.4</v>
      </c>
      <c r="S29" s="46">
        <v>6.4</v>
      </c>
      <c r="T29" s="46">
        <v>6.4</v>
      </c>
      <c r="U29" s="46">
        <v>6.4</v>
      </c>
      <c r="V29" s="46">
        <v>6.4</v>
      </c>
      <c r="W29" s="46">
        <v>6.4</v>
      </c>
      <c r="X29" s="46">
        <v>6.4</v>
      </c>
      <c r="Y29" s="46">
        <v>6.4</v>
      </c>
      <c r="Z29" s="46">
        <v>6.4</v>
      </c>
      <c r="AA29" s="46">
        <v>6.4</v>
      </c>
      <c r="AB29" s="46">
        <v>6.4</v>
      </c>
      <c r="AC29" s="46">
        <v>6.4</v>
      </c>
      <c r="AD29" s="46">
        <v>6.4</v>
      </c>
      <c r="AE29" s="46">
        <v>6.3</v>
      </c>
      <c r="AF29" s="46">
        <v>6.3</v>
      </c>
      <c r="AG29" s="50">
        <v>25</v>
      </c>
      <c r="AH29" s="48">
        <f t="shared" si="8"/>
        <v>6.4</v>
      </c>
      <c r="AI29" s="49">
        <f t="shared" si="9"/>
        <v>6.3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6.6</v>
      </c>
      <c r="C30" s="46">
        <v>6.6</v>
      </c>
      <c r="D30" s="46">
        <v>6.6</v>
      </c>
      <c r="E30" s="46">
        <v>6.6</v>
      </c>
      <c r="F30" s="46">
        <v>6.6</v>
      </c>
      <c r="G30" s="46">
        <v>6.6</v>
      </c>
      <c r="H30" s="46">
        <v>6.6</v>
      </c>
      <c r="I30" s="46">
        <v>6.6</v>
      </c>
      <c r="J30" s="46">
        <v>6.6</v>
      </c>
      <c r="K30" s="46">
        <v>6.6</v>
      </c>
      <c r="L30" s="46">
        <v>6.6</v>
      </c>
      <c r="M30" s="46">
        <v>6.6</v>
      </c>
      <c r="N30" s="46">
        <v>6.6</v>
      </c>
      <c r="O30" s="46">
        <v>6.6</v>
      </c>
      <c r="P30" s="46">
        <v>6.6</v>
      </c>
      <c r="Q30" s="46">
        <v>6.6</v>
      </c>
      <c r="R30" s="46">
        <v>6.6</v>
      </c>
      <c r="S30" s="46">
        <v>6.6</v>
      </c>
      <c r="T30" s="46">
        <v>6.6</v>
      </c>
      <c r="U30" s="46">
        <v>6.6</v>
      </c>
      <c r="V30" s="46">
        <v>6.6</v>
      </c>
      <c r="W30" s="46">
        <v>6.6</v>
      </c>
      <c r="X30" s="46">
        <v>6.6</v>
      </c>
      <c r="Y30" s="46">
        <v>6.6</v>
      </c>
      <c r="Z30" s="46">
        <v>6.6</v>
      </c>
      <c r="AA30" s="46">
        <v>6.6</v>
      </c>
      <c r="AB30" s="46">
        <v>6.6</v>
      </c>
      <c r="AC30" s="46">
        <v>6.6</v>
      </c>
      <c r="AD30" s="46">
        <v>6.6</v>
      </c>
      <c r="AE30" s="46">
        <v>6.8</v>
      </c>
      <c r="AF30" s="46">
        <v>6.8</v>
      </c>
      <c r="AG30" s="50">
        <v>23.5</v>
      </c>
      <c r="AH30" s="48">
        <f t="shared" si="8"/>
        <v>6.8</v>
      </c>
      <c r="AI30" s="49">
        <f t="shared" si="9"/>
        <v>6.6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>
        <v>3</v>
      </c>
      <c r="V31" s="46">
        <v>3</v>
      </c>
      <c r="W31" s="46">
        <v>3</v>
      </c>
      <c r="X31" s="46">
        <v>3</v>
      </c>
      <c r="Y31" s="46">
        <v>3</v>
      </c>
      <c r="Z31" s="46">
        <v>3</v>
      </c>
      <c r="AA31" s="46">
        <v>3</v>
      </c>
      <c r="AB31" s="46">
        <v>3</v>
      </c>
      <c r="AC31" s="46">
        <v>3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8"/>
        <v>3</v>
      </c>
      <c r="AI31" s="49">
        <f t="shared" si="9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5.5</v>
      </c>
      <c r="Q32" s="46">
        <v>5.5</v>
      </c>
      <c r="R32" s="46">
        <v>5.5</v>
      </c>
      <c r="S32" s="46">
        <v>5.5</v>
      </c>
      <c r="T32" s="46">
        <v>5.5</v>
      </c>
      <c r="U32" s="46">
        <v>5.5</v>
      </c>
      <c r="V32" s="46">
        <v>5.5</v>
      </c>
      <c r="W32" s="46">
        <v>5.5</v>
      </c>
      <c r="X32" s="46">
        <v>5.5</v>
      </c>
      <c r="Y32" s="46">
        <v>5.5</v>
      </c>
      <c r="Z32" s="46">
        <v>5.5</v>
      </c>
      <c r="AA32" s="46">
        <v>5.5</v>
      </c>
      <c r="AB32" s="46">
        <v>5.5</v>
      </c>
      <c r="AC32" s="46">
        <v>5.5</v>
      </c>
      <c r="AD32" s="46">
        <v>5.5</v>
      </c>
      <c r="AE32" s="46">
        <v>5.5</v>
      </c>
      <c r="AF32" s="46">
        <v>5.5</v>
      </c>
      <c r="AG32" s="50">
        <v>22.1</v>
      </c>
      <c r="AH32" s="48">
        <f t="shared" si="8"/>
        <v>5.5</v>
      </c>
      <c r="AI32" s="49">
        <f t="shared" si="9"/>
        <v>5.5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6</v>
      </c>
      <c r="C33" s="46">
        <v>6</v>
      </c>
      <c r="D33" s="46">
        <v>6</v>
      </c>
      <c r="E33" s="46">
        <v>6</v>
      </c>
      <c r="F33" s="46">
        <v>6</v>
      </c>
      <c r="G33" s="46">
        <v>6</v>
      </c>
      <c r="H33" s="46">
        <v>6</v>
      </c>
      <c r="I33" s="46">
        <v>6</v>
      </c>
      <c r="J33" s="46">
        <v>6</v>
      </c>
      <c r="K33" s="46">
        <v>6</v>
      </c>
      <c r="L33" s="46">
        <v>6</v>
      </c>
      <c r="M33" s="46">
        <v>6</v>
      </c>
      <c r="N33" s="46">
        <v>6</v>
      </c>
      <c r="O33" s="46">
        <v>6</v>
      </c>
      <c r="P33" s="46">
        <v>6</v>
      </c>
      <c r="Q33" s="46">
        <v>6</v>
      </c>
      <c r="R33" s="46">
        <v>6</v>
      </c>
      <c r="S33" s="46">
        <v>6</v>
      </c>
      <c r="T33" s="46">
        <v>6</v>
      </c>
      <c r="U33" s="46">
        <v>6</v>
      </c>
      <c r="V33" s="46">
        <v>6</v>
      </c>
      <c r="W33" s="46">
        <v>6</v>
      </c>
      <c r="X33" s="46">
        <v>6</v>
      </c>
      <c r="Y33" s="46">
        <v>6</v>
      </c>
      <c r="Z33" s="46">
        <v>6</v>
      </c>
      <c r="AA33" s="46">
        <v>6</v>
      </c>
      <c r="AB33" s="46">
        <v>6</v>
      </c>
      <c r="AC33" s="46">
        <v>6</v>
      </c>
      <c r="AD33" s="46">
        <v>6</v>
      </c>
      <c r="AE33" s="46">
        <v>6</v>
      </c>
      <c r="AF33" s="46">
        <v>6</v>
      </c>
      <c r="AG33" s="50">
        <v>22</v>
      </c>
      <c r="AH33" s="48">
        <f t="shared" si="8"/>
        <v>6</v>
      </c>
      <c r="AI33" s="49">
        <f t="shared" si="9"/>
        <v>6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9.9</v>
      </c>
      <c r="C34" s="46">
        <v>9.9</v>
      </c>
      <c r="D34" s="46">
        <v>9.9</v>
      </c>
      <c r="E34" s="46">
        <v>9.9</v>
      </c>
      <c r="F34" s="46">
        <v>9.9</v>
      </c>
      <c r="G34" s="46">
        <v>9.9</v>
      </c>
      <c r="H34" s="46">
        <v>9.9</v>
      </c>
      <c r="I34" s="46">
        <v>9.9</v>
      </c>
      <c r="J34" s="46">
        <v>9.9</v>
      </c>
      <c r="K34" s="46">
        <v>9.9</v>
      </c>
      <c r="L34" s="46">
        <v>9.9</v>
      </c>
      <c r="M34" s="46">
        <v>9.9</v>
      </c>
      <c r="N34" s="46">
        <v>9.9</v>
      </c>
      <c r="O34" s="46">
        <v>9.9</v>
      </c>
      <c r="P34" s="46">
        <v>9.9</v>
      </c>
      <c r="Q34" s="46">
        <v>9.9</v>
      </c>
      <c r="R34" s="46">
        <v>9.9</v>
      </c>
      <c r="S34" s="46">
        <v>9.9</v>
      </c>
      <c r="T34" s="46">
        <v>9.9</v>
      </c>
      <c r="U34" s="46">
        <v>9.9</v>
      </c>
      <c r="V34" s="46">
        <v>9.9</v>
      </c>
      <c r="W34" s="46">
        <v>9.9</v>
      </c>
      <c r="X34" s="46">
        <v>9.9</v>
      </c>
      <c r="Y34" s="46">
        <v>9.9</v>
      </c>
      <c r="Z34" s="46">
        <v>9.9</v>
      </c>
      <c r="AA34" s="46">
        <v>9.9</v>
      </c>
      <c r="AB34" s="46">
        <v>9.9</v>
      </c>
      <c r="AC34" s="46">
        <v>9.9</v>
      </c>
      <c r="AD34" s="46">
        <v>9.9</v>
      </c>
      <c r="AE34" s="46">
        <v>22</v>
      </c>
      <c r="AF34" s="46">
        <v>22</v>
      </c>
      <c r="AG34" s="50">
        <v>22</v>
      </c>
      <c r="AH34" s="48">
        <f t="shared" si="8"/>
        <v>22</v>
      </c>
      <c r="AI34" s="49">
        <f t="shared" si="9"/>
        <v>9.9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8"/>
        <v>4</v>
      </c>
      <c r="AI35" s="49">
        <f t="shared" si="9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>
        <v>4</v>
      </c>
      <c r="V36" s="46">
        <v>4</v>
      </c>
      <c r="W36" s="46">
        <v>4</v>
      </c>
      <c r="X36" s="46">
        <v>4</v>
      </c>
      <c r="Y36" s="46">
        <v>4</v>
      </c>
      <c r="Z36" s="46">
        <v>4</v>
      </c>
      <c r="AA36" s="46">
        <v>4</v>
      </c>
      <c r="AB36" s="46">
        <v>4</v>
      </c>
      <c r="AC36" s="46">
        <v>4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8"/>
        <v>4</v>
      </c>
      <c r="AI36" s="49">
        <f t="shared" si="9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>
        <v>5.7</v>
      </c>
      <c r="V37" s="46">
        <v>5.7</v>
      </c>
      <c r="W37" s="46">
        <v>5.7</v>
      </c>
      <c r="X37" s="46">
        <v>5.7</v>
      </c>
      <c r="Y37" s="46">
        <v>5.7</v>
      </c>
      <c r="Z37" s="46">
        <v>5.7</v>
      </c>
      <c r="AA37" s="46">
        <v>5.7</v>
      </c>
      <c r="AB37" s="46">
        <v>5.7</v>
      </c>
      <c r="AC37" s="46">
        <v>5.7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8"/>
        <v>5.7</v>
      </c>
      <c r="AI37" s="49">
        <f t="shared" si="9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7.2</v>
      </c>
      <c r="Q38" s="46">
        <v>7.2</v>
      </c>
      <c r="R38" s="46">
        <v>7.2</v>
      </c>
      <c r="S38" s="46">
        <v>7.2</v>
      </c>
      <c r="T38" s="46">
        <v>7.2</v>
      </c>
      <c r="U38" s="46">
        <v>7.2</v>
      </c>
      <c r="V38" s="46">
        <v>7.2</v>
      </c>
      <c r="W38" s="46">
        <v>7.2</v>
      </c>
      <c r="X38" s="46">
        <v>7.2</v>
      </c>
      <c r="Y38" s="46">
        <v>7.2</v>
      </c>
      <c r="Z38" s="46">
        <v>7.2</v>
      </c>
      <c r="AA38" s="46">
        <v>7.2</v>
      </c>
      <c r="AB38" s="46">
        <v>7.2</v>
      </c>
      <c r="AC38" s="46">
        <v>7.2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8"/>
        <v>7.2</v>
      </c>
      <c r="AI38" s="49">
        <f t="shared" si="9"/>
        <v>7.2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0</v>
      </c>
      <c r="C40" s="46">
        <v>0</v>
      </c>
      <c r="D40" s="46">
        <v>0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46">
        <v>0</v>
      </c>
      <c r="P40" s="46">
        <v>0</v>
      </c>
      <c r="Q40" s="46">
        <v>0</v>
      </c>
      <c r="R40" s="46">
        <v>0</v>
      </c>
      <c r="S40" s="46">
        <v>0</v>
      </c>
      <c r="T40" s="46">
        <v>0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6">
        <v>0</v>
      </c>
      <c r="AD40" s="46">
        <v>0</v>
      </c>
      <c r="AE40" s="46">
        <v>0</v>
      </c>
      <c r="AF40" s="46">
        <v>0</v>
      </c>
      <c r="AG40" s="50">
        <v>14.9</v>
      </c>
      <c r="AH40" s="48">
        <f t="shared" si="8"/>
        <v>0</v>
      </c>
      <c r="AI40" s="49">
        <f t="shared" si="9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8"/>
        <v>4</v>
      </c>
      <c r="AI41" s="49">
        <f t="shared" si="9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>
        <v>1.8</v>
      </c>
      <c r="V42" s="46">
        <v>1.8</v>
      </c>
      <c r="W42" s="46">
        <v>1.8</v>
      </c>
      <c r="X42" s="46">
        <v>1.8</v>
      </c>
      <c r="Y42" s="46">
        <v>1.8</v>
      </c>
      <c r="Z42" s="46">
        <v>1.8</v>
      </c>
      <c r="AA42" s="46">
        <v>1.8</v>
      </c>
      <c r="AB42" s="46">
        <v>1.8</v>
      </c>
      <c r="AC42" s="46">
        <v>1.8</v>
      </c>
      <c r="AD42" s="46">
        <v>1.8</v>
      </c>
      <c r="AE42" s="46">
        <v>1.8</v>
      </c>
      <c r="AF42" s="46">
        <v>1.8</v>
      </c>
      <c r="AG42" s="50">
        <v>13.6</v>
      </c>
      <c r="AH42" s="48">
        <f t="shared" si="8"/>
        <v>1.8</v>
      </c>
      <c r="AI42" s="49">
        <f t="shared" si="9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>
        <v>3.8</v>
      </c>
      <c r="V43" s="46">
        <v>3.8</v>
      </c>
      <c r="W43" s="46">
        <v>3.8</v>
      </c>
      <c r="X43" s="46">
        <v>3.8</v>
      </c>
      <c r="Y43" s="46">
        <v>3.8</v>
      </c>
      <c r="Z43" s="46">
        <v>3.8</v>
      </c>
      <c r="AA43" s="46">
        <v>3.8</v>
      </c>
      <c r="AB43" s="46">
        <v>3.8</v>
      </c>
      <c r="AC43" s="46">
        <v>3.8</v>
      </c>
      <c r="AD43" s="46">
        <v>3.8</v>
      </c>
      <c r="AE43" s="46">
        <v>3.8</v>
      </c>
      <c r="AF43" s="46">
        <v>3.8</v>
      </c>
      <c r="AG43" s="50">
        <v>13</v>
      </c>
      <c r="AH43" s="48">
        <f t="shared" si="8"/>
        <v>3.8</v>
      </c>
      <c r="AI43" s="49">
        <f t="shared" si="9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2.5</v>
      </c>
      <c r="C44" s="46">
        <v>2.5</v>
      </c>
      <c r="D44" s="46">
        <v>2.5</v>
      </c>
      <c r="E44" s="46">
        <v>2.5</v>
      </c>
      <c r="F44" s="46">
        <v>2.5</v>
      </c>
      <c r="G44" s="46">
        <v>2.5</v>
      </c>
      <c r="H44" s="46">
        <v>2.5</v>
      </c>
      <c r="I44" s="46">
        <v>2.5</v>
      </c>
      <c r="J44" s="46">
        <v>2.5</v>
      </c>
      <c r="K44" s="46">
        <v>2.5</v>
      </c>
      <c r="L44" s="46">
        <v>2.5</v>
      </c>
      <c r="M44" s="46">
        <v>2.5</v>
      </c>
      <c r="N44" s="46">
        <v>2.5</v>
      </c>
      <c r="O44" s="46">
        <v>2.5</v>
      </c>
      <c r="P44" s="46">
        <v>2.5</v>
      </c>
      <c r="Q44" s="46">
        <v>2.5</v>
      </c>
      <c r="R44" s="46">
        <v>2.5</v>
      </c>
      <c r="S44" s="46">
        <v>2.5</v>
      </c>
      <c r="T44" s="46">
        <v>2.5</v>
      </c>
      <c r="U44" s="46">
        <v>2.5</v>
      </c>
      <c r="V44" s="46">
        <v>2.5</v>
      </c>
      <c r="W44" s="46">
        <v>2.5</v>
      </c>
      <c r="X44" s="46">
        <v>2.5</v>
      </c>
      <c r="Y44" s="46">
        <v>2.5</v>
      </c>
      <c r="Z44" s="46">
        <v>2.5</v>
      </c>
      <c r="AA44" s="46">
        <v>2.5</v>
      </c>
      <c r="AB44" s="46">
        <v>2.5</v>
      </c>
      <c r="AC44" s="46">
        <v>2.5</v>
      </c>
      <c r="AD44" s="46">
        <v>2.5</v>
      </c>
      <c r="AE44" s="46">
        <v>2.5</v>
      </c>
      <c r="AF44" s="46">
        <v>2.5</v>
      </c>
      <c r="AG44" s="50">
        <v>12</v>
      </c>
      <c r="AH44" s="48">
        <f t="shared" si="8"/>
        <v>2.5</v>
      </c>
      <c r="AI44" s="49">
        <f t="shared" si="9"/>
        <v>2.5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>
        <v>9</v>
      </c>
      <c r="V45" s="46">
        <v>9</v>
      </c>
      <c r="W45" s="46">
        <v>9</v>
      </c>
      <c r="X45" s="46">
        <v>9</v>
      </c>
      <c r="Y45" s="46">
        <v>9</v>
      </c>
      <c r="Z45" s="46">
        <v>9</v>
      </c>
      <c r="AA45" s="46">
        <v>9</v>
      </c>
      <c r="AB45" s="46">
        <v>9</v>
      </c>
      <c r="AC45" s="46">
        <v>9</v>
      </c>
      <c r="AD45" s="46">
        <v>9</v>
      </c>
      <c r="AE45" s="46">
        <v>9</v>
      </c>
      <c r="AF45" s="46">
        <v>9</v>
      </c>
      <c r="AG45" s="50">
        <v>12</v>
      </c>
      <c r="AH45" s="48">
        <f t="shared" si="8"/>
        <v>9</v>
      </c>
      <c r="AI45" s="49">
        <f t="shared" si="9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>
        <v>3.5</v>
      </c>
      <c r="V47" s="46">
        <v>3.5</v>
      </c>
      <c r="W47" s="46">
        <v>3.5</v>
      </c>
      <c r="X47" s="46">
        <v>3.5</v>
      </c>
      <c r="Y47" s="46">
        <v>3.5</v>
      </c>
      <c r="Z47" s="46">
        <v>3.5</v>
      </c>
      <c r="AA47" s="46">
        <v>3.5</v>
      </c>
      <c r="AB47" s="46">
        <v>3.5</v>
      </c>
      <c r="AC47" s="46">
        <v>3.5</v>
      </c>
      <c r="AD47" s="46">
        <v>3.5</v>
      </c>
      <c r="AE47" s="46">
        <v>3.5</v>
      </c>
      <c r="AF47" s="46">
        <v>3.5</v>
      </c>
      <c r="AG47" s="63">
        <v>22</v>
      </c>
      <c r="AH47" s="48">
        <f t="shared" si="8"/>
        <v>3.5</v>
      </c>
      <c r="AI47" s="49">
        <f t="shared" si="9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>
        <v>5</v>
      </c>
      <c r="V48" s="46">
        <v>5</v>
      </c>
      <c r="W48" s="46">
        <v>5</v>
      </c>
      <c r="X48" s="46">
        <v>5</v>
      </c>
      <c r="Y48" s="46">
        <v>5</v>
      </c>
      <c r="Z48" s="46">
        <v>5</v>
      </c>
      <c r="AA48" s="46">
        <v>5</v>
      </c>
      <c r="AB48" s="46">
        <v>5</v>
      </c>
      <c r="AC48" s="46">
        <v>5</v>
      </c>
      <c r="AD48" s="46">
        <v>5</v>
      </c>
      <c r="AE48" s="46">
        <v>5</v>
      </c>
      <c r="AF48" s="46">
        <v>5</v>
      </c>
      <c r="AG48" s="60">
        <v>11.88</v>
      </c>
      <c r="AH48" s="48">
        <f t="shared" si="8"/>
        <v>5</v>
      </c>
      <c r="AI48" s="49">
        <f t="shared" si="9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5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4" t="s">
        <v>67</v>
      </c>
      <c r="B50" s="46">
        <v>2.4500000000000002</v>
      </c>
      <c r="C50" s="46">
        <v>2.4500000000000002</v>
      </c>
      <c r="D50" s="46">
        <v>2.4500000000000002</v>
      </c>
      <c r="E50" s="46">
        <v>2.4500000000000002</v>
      </c>
      <c r="F50" s="46">
        <v>2.4500000000000002</v>
      </c>
      <c r="G50" s="46">
        <v>2.4500000000000002</v>
      </c>
      <c r="H50" s="46">
        <v>2.4500000000000002</v>
      </c>
      <c r="I50" s="46">
        <v>2.4500000000000002</v>
      </c>
      <c r="J50" s="46">
        <v>2.4500000000000002</v>
      </c>
      <c r="K50" s="46">
        <v>2.4500000000000002</v>
      </c>
      <c r="L50" s="46">
        <v>2.4500000000000002</v>
      </c>
      <c r="M50" s="46">
        <v>2.4500000000000002</v>
      </c>
      <c r="N50" s="46">
        <v>2.4500000000000002</v>
      </c>
      <c r="O50" s="46">
        <v>2.4500000000000002</v>
      </c>
      <c r="P50" s="46">
        <v>2.4500000000000002</v>
      </c>
      <c r="Q50" s="46">
        <v>2.4500000000000002</v>
      </c>
      <c r="R50" s="46">
        <v>2.4500000000000002</v>
      </c>
      <c r="S50" s="46">
        <v>2.4500000000000002</v>
      </c>
      <c r="T50" s="46">
        <v>2.4500000000000002</v>
      </c>
      <c r="U50" s="46">
        <v>2.4500000000000002</v>
      </c>
      <c r="V50" s="46">
        <v>2.4500000000000002</v>
      </c>
      <c r="W50" s="46">
        <v>2.4500000000000002</v>
      </c>
      <c r="X50" s="46">
        <v>2.4500000000000002</v>
      </c>
      <c r="Y50" s="46">
        <v>2.4500000000000002</v>
      </c>
      <c r="Z50" s="46">
        <v>2.4500000000000002</v>
      </c>
      <c r="AA50" s="46">
        <v>2.4500000000000002</v>
      </c>
      <c r="AB50" s="46">
        <v>2.4500000000000002</v>
      </c>
      <c r="AC50" s="46">
        <v>2.4500000000000002</v>
      </c>
      <c r="AD50" s="46">
        <v>2.4500000000000002</v>
      </c>
      <c r="AE50" s="46">
        <v>2.4500000000000002</v>
      </c>
      <c r="AF50" s="46">
        <v>2.4500000000000002</v>
      </c>
      <c r="AG50" s="65">
        <v>11</v>
      </c>
      <c r="AH50" s="48">
        <f t="shared" si="8"/>
        <v>2.4500000000000002</v>
      </c>
      <c r="AI50" s="49">
        <f t="shared" si="9"/>
        <v>2.4500000000000002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65">
        <v>11</v>
      </c>
      <c r="AH51" s="48">
        <f t="shared" si="8"/>
        <v>3</v>
      </c>
      <c r="AI51" s="49">
        <f t="shared" si="9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5">
        <v>10</v>
      </c>
      <c r="AH52" s="48">
        <f t="shared" si="8"/>
        <v>4</v>
      </c>
      <c r="AI52" s="49">
        <f t="shared" si="9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>
        <v>4.5</v>
      </c>
      <c r="V53" s="46">
        <v>4.5</v>
      </c>
      <c r="W53" s="46">
        <v>4.5</v>
      </c>
      <c r="X53" s="46">
        <v>4.5</v>
      </c>
      <c r="Y53" s="46">
        <v>4.5</v>
      </c>
      <c r="Z53" s="46">
        <v>4.5</v>
      </c>
      <c r="AA53" s="46">
        <v>4.5</v>
      </c>
      <c r="AB53" s="46">
        <v>4.5</v>
      </c>
      <c r="AC53" s="46">
        <v>4.5</v>
      </c>
      <c r="AD53" s="46">
        <v>4.5</v>
      </c>
      <c r="AE53" s="46">
        <v>4.5</v>
      </c>
      <c r="AF53" s="46">
        <v>4.5</v>
      </c>
      <c r="AG53" s="65">
        <v>10</v>
      </c>
      <c r="AH53" s="48">
        <f t="shared" si="8"/>
        <v>4.5</v>
      </c>
      <c r="AI53" s="49">
        <f t="shared" si="9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5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5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>
        <v>150</v>
      </c>
      <c r="W56" s="67">
        <v>150</v>
      </c>
      <c r="X56" s="67">
        <v>150</v>
      </c>
      <c r="Y56" s="67">
        <v>150</v>
      </c>
      <c r="Z56" s="67">
        <v>150</v>
      </c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8" t="s">
        <v>74</v>
      </c>
      <c r="B57" s="67">
        <v>11</v>
      </c>
      <c r="C57" s="67">
        <v>11</v>
      </c>
      <c r="D57" s="67">
        <v>11</v>
      </c>
      <c r="E57" s="67">
        <f>5.6+11.6</f>
        <v>17.2</v>
      </c>
      <c r="F57" s="67">
        <f>5+10.1</f>
        <v>15.1</v>
      </c>
      <c r="G57" s="67">
        <f>5.5+13</f>
        <v>18.5</v>
      </c>
      <c r="H57" s="67">
        <f>6.1+13.4</f>
        <v>19.5</v>
      </c>
      <c r="I57" s="67">
        <f>6.2+13.5</f>
        <v>19.7</v>
      </c>
      <c r="J57" s="67">
        <f>11.7+5.4</f>
        <v>17.100000000000001</v>
      </c>
      <c r="K57" s="53">
        <f>5.8+12.9</f>
        <v>18.7</v>
      </c>
      <c r="L57" s="53">
        <f t="shared" ref="L57:V57" si="22">5.4+11.9</f>
        <v>17.3</v>
      </c>
      <c r="M57" s="53">
        <f t="shared" si="22"/>
        <v>17.3</v>
      </c>
      <c r="N57" s="53">
        <f t="shared" si="22"/>
        <v>17.3</v>
      </c>
      <c r="O57" s="53">
        <f t="shared" si="22"/>
        <v>17.3</v>
      </c>
      <c r="P57" s="53">
        <f t="shared" si="22"/>
        <v>17.3</v>
      </c>
      <c r="Q57" s="53">
        <f t="shared" si="22"/>
        <v>17.3</v>
      </c>
      <c r="R57" s="53">
        <f t="shared" si="22"/>
        <v>17.3</v>
      </c>
      <c r="S57" s="53">
        <f t="shared" si="22"/>
        <v>17.3</v>
      </c>
      <c r="T57" s="53">
        <f t="shared" si="22"/>
        <v>17.3</v>
      </c>
      <c r="U57" s="53">
        <f t="shared" si="22"/>
        <v>17.3</v>
      </c>
      <c r="V57" s="53">
        <f t="shared" si="22"/>
        <v>17.3</v>
      </c>
      <c r="W57" s="53">
        <v>21.8</v>
      </c>
      <c r="X57" s="53">
        <v>20.2</v>
      </c>
      <c r="Y57" s="53">
        <v>20.2</v>
      </c>
      <c r="Z57" s="53">
        <v>20.2</v>
      </c>
      <c r="AA57" s="53">
        <v>20.2</v>
      </c>
      <c r="AB57" s="67">
        <f>8.8+4.7</f>
        <v>13.5</v>
      </c>
      <c r="AC57" s="67">
        <f>9.8+5.1</f>
        <v>14.9</v>
      </c>
      <c r="AD57" s="67">
        <f>12.5+5.6</f>
        <v>18.100000000000001</v>
      </c>
      <c r="AE57" s="67">
        <f>7.4+17.1</f>
        <v>24.5</v>
      </c>
      <c r="AF57" s="67">
        <f>8.1+18.4</f>
        <v>26.5</v>
      </c>
      <c r="AG57" s="65">
        <v>240</v>
      </c>
      <c r="AH57" s="48">
        <f t="shared" si="8"/>
        <v>26.5</v>
      </c>
      <c r="AI57" s="49">
        <f t="shared" si="9"/>
        <v>11</v>
      </c>
      <c r="AK57" s="51"/>
    </row>
    <row r="58" spans="1:88" ht="15.75" thickBot="1" x14ac:dyDescent="0.3">
      <c r="A58" s="69" t="s">
        <v>75</v>
      </c>
      <c r="B58" s="70">
        <f t="shared" ref="B58:C58" si="23">SUM(B11:B56)</f>
        <v>455.95000000000005</v>
      </c>
      <c r="C58" s="70">
        <f t="shared" si="23"/>
        <v>455.95000000000005</v>
      </c>
      <c r="D58" s="70">
        <f t="shared" ref="D58" si="24">SUM(D11:D56)</f>
        <v>455.95000000000005</v>
      </c>
      <c r="E58" s="70">
        <f t="shared" ref="E58:AD58" si="25">SUM(E11:E56)</f>
        <v>455.95000000000005</v>
      </c>
      <c r="F58" s="70">
        <f t="shared" si="25"/>
        <v>455.95000000000005</v>
      </c>
      <c r="G58" s="70">
        <f t="shared" si="25"/>
        <v>455.95000000000005</v>
      </c>
      <c r="H58" s="70">
        <f t="shared" si="25"/>
        <v>455.95000000000005</v>
      </c>
      <c r="I58" s="70">
        <f t="shared" si="25"/>
        <v>455.95000000000005</v>
      </c>
      <c r="J58" s="70">
        <f t="shared" si="25"/>
        <v>455.95000000000005</v>
      </c>
      <c r="K58" s="70">
        <f t="shared" si="25"/>
        <v>455.95000000000005</v>
      </c>
      <c r="L58" s="70">
        <f t="shared" si="25"/>
        <v>455.95000000000005</v>
      </c>
      <c r="M58" s="70">
        <f t="shared" si="25"/>
        <v>455.95000000000005</v>
      </c>
      <c r="N58" s="70">
        <f t="shared" si="25"/>
        <v>455.95000000000005</v>
      </c>
      <c r="O58" s="70">
        <f t="shared" ref="O58" si="26">SUM(O11:O56)</f>
        <v>455.95000000000005</v>
      </c>
      <c r="P58" s="70">
        <f t="shared" si="25"/>
        <v>455.95000000000005</v>
      </c>
      <c r="Q58" s="70">
        <f t="shared" si="25"/>
        <v>455.95000000000005</v>
      </c>
      <c r="R58" s="70">
        <f t="shared" si="25"/>
        <v>455.95000000000005</v>
      </c>
      <c r="S58" s="70">
        <f t="shared" si="25"/>
        <v>455.95000000000005</v>
      </c>
      <c r="T58" s="70">
        <f t="shared" si="25"/>
        <v>455.95000000000005</v>
      </c>
      <c r="U58" s="70">
        <f t="shared" si="25"/>
        <v>455.95000000000005</v>
      </c>
      <c r="V58" s="70">
        <f t="shared" si="25"/>
        <v>455.95000000000005</v>
      </c>
      <c r="W58" s="70">
        <f t="shared" si="25"/>
        <v>455.95000000000005</v>
      </c>
      <c r="X58" s="70">
        <f t="shared" si="25"/>
        <v>455.95000000000005</v>
      </c>
      <c r="Y58" s="70">
        <f t="shared" si="25"/>
        <v>455.95000000000005</v>
      </c>
      <c r="Z58" s="70">
        <f t="shared" si="25"/>
        <v>455.95000000000005</v>
      </c>
      <c r="AA58" s="70">
        <f t="shared" si="25"/>
        <v>455.95000000000005</v>
      </c>
      <c r="AB58" s="70">
        <f t="shared" si="25"/>
        <v>458.95000000000005</v>
      </c>
      <c r="AC58" s="70">
        <f t="shared" si="25"/>
        <v>459.85</v>
      </c>
      <c r="AD58" s="70">
        <f t="shared" si="25"/>
        <v>461.85</v>
      </c>
      <c r="AE58" s="70">
        <f t="shared" ref="AE58:AF58" si="27">SUM(AE11:AE56)</f>
        <v>464.25</v>
      </c>
      <c r="AF58" s="70">
        <f t="shared" si="27"/>
        <v>464.25</v>
      </c>
      <c r="AG58" s="71">
        <f>SUM(AG14:AG56)</f>
        <v>1042.4000000000001</v>
      </c>
      <c r="AH58" s="48">
        <f t="shared" si="8"/>
        <v>464.25</v>
      </c>
      <c r="AI58" s="49">
        <f t="shared" si="9"/>
        <v>455.95000000000005</v>
      </c>
      <c r="AK58" s="51"/>
    </row>
    <row r="59" spans="1:88" x14ac:dyDescent="0.25">
      <c r="A59" s="72" t="s">
        <v>76</v>
      </c>
      <c r="B59" s="46">
        <v>100</v>
      </c>
      <c r="C59" s="46">
        <v>40</v>
      </c>
      <c r="D59" s="46">
        <v>0</v>
      </c>
      <c r="E59" s="46">
        <v>0</v>
      </c>
      <c r="F59" s="46">
        <v>0</v>
      </c>
      <c r="G59" s="46">
        <v>0</v>
      </c>
      <c r="H59" s="46">
        <v>0</v>
      </c>
      <c r="I59" s="46">
        <v>0</v>
      </c>
      <c r="J59" s="46">
        <v>76</v>
      </c>
      <c r="K59" s="46">
        <v>111.7</v>
      </c>
      <c r="L59" s="46">
        <v>122.8</v>
      </c>
      <c r="M59" s="46">
        <v>81.599999999999994</v>
      </c>
      <c r="N59" s="46">
        <v>43</v>
      </c>
      <c r="O59" s="46">
        <v>43</v>
      </c>
      <c r="P59" s="46">
        <v>70</v>
      </c>
      <c r="Q59" s="46">
        <v>15</v>
      </c>
      <c r="R59" s="46">
        <v>15</v>
      </c>
      <c r="S59" s="46">
        <v>0</v>
      </c>
      <c r="T59" s="46">
        <v>0</v>
      </c>
      <c r="U59" s="46">
        <v>40.200000000000003</v>
      </c>
      <c r="V59" s="46">
        <v>15</v>
      </c>
      <c r="W59" s="46">
        <v>15</v>
      </c>
      <c r="X59" s="46">
        <v>65</v>
      </c>
      <c r="Y59" s="46">
        <v>150</v>
      </c>
      <c r="Z59" s="46">
        <v>228</v>
      </c>
      <c r="AA59" s="46">
        <v>305</v>
      </c>
      <c r="AB59" s="46">
        <v>164</v>
      </c>
      <c r="AC59" s="46">
        <v>70</v>
      </c>
      <c r="AD59" s="46">
        <v>50</v>
      </c>
      <c r="AE59" s="46">
        <v>0</v>
      </c>
      <c r="AF59" s="46">
        <v>0</v>
      </c>
      <c r="AG59" s="60">
        <v>456</v>
      </c>
      <c r="AH59" s="48">
        <f t="shared" si="8"/>
        <v>305</v>
      </c>
      <c r="AI59" s="49">
        <f t="shared" si="9"/>
        <v>0</v>
      </c>
      <c r="AK59" s="51"/>
    </row>
    <row r="60" spans="1:88" x14ac:dyDescent="0.25">
      <c r="A60" s="74" t="s">
        <v>77</v>
      </c>
      <c r="B60" s="75">
        <v>27</v>
      </c>
      <c r="C60" s="75">
        <v>27</v>
      </c>
      <c r="D60" s="75">
        <v>27</v>
      </c>
      <c r="E60" s="75">
        <v>27</v>
      </c>
      <c r="F60" s="75">
        <v>27</v>
      </c>
      <c r="G60" s="75">
        <v>27</v>
      </c>
      <c r="H60" s="75">
        <v>27</v>
      </c>
      <c r="I60" s="75">
        <v>27</v>
      </c>
      <c r="J60" s="75">
        <v>27</v>
      </c>
      <c r="K60" s="75">
        <v>27</v>
      </c>
      <c r="L60" s="75">
        <v>27</v>
      </c>
      <c r="M60" s="75">
        <v>27</v>
      </c>
      <c r="N60" s="75">
        <v>27</v>
      </c>
      <c r="O60" s="75">
        <v>27</v>
      </c>
      <c r="P60" s="75">
        <v>27</v>
      </c>
      <c r="Q60" s="75">
        <v>27</v>
      </c>
      <c r="R60" s="75">
        <v>27</v>
      </c>
      <c r="S60" s="75">
        <v>27</v>
      </c>
      <c r="T60" s="75">
        <v>27</v>
      </c>
      <c r="U60" s="75">
        <v>27</v>
      </c>
      <c r="V60" s="75">
        <v>27</v>
      </c>
      <c r="W60" s="75">
        <v>27</v>
      </c>
      <c r="X60" s="75">
        <v>27</v>
      </c>
      <c r="Y60" s="75">
        <v>27</v>
      </c>
      <c r="Z60" s="75">
        <v>27</v>
      </c>
      <c r="AA60" s="75">
        <v>27</v>
      </c>
      <c r="AB60" s="75">
        <v>27</v>
      </c>
      <c r="AC60" s="75">
        <v>27</v>
      </c>
      <c r="AD60" s="75">
        <v>27</v>
      </c>
      <c r="AE60" s="75">
        <v>27</v>
      </c>
      <c r="AF60" s="75">
        <v>27</v>
      </c>
      <c r="AG60" s="65">
        <v>60</v>
      </c>
      <c r="AH60" s="48">
        <f t="shared" si="8"/>
        <v>27</v>
      </c>
      <c r="AI60" s="49">
        <f t="shared" si="9"/>
        <v>27</v>
      </c>
      <c r="AK60" s="51"/>
    </row>
    <row r="61" spans="1:88" ht="15.75" thickBot="1" x14ac:dyDescent="0.3">
      <c r="A61" s="76" t="s">
        <v>78</v>
      </c>
      <c r="B61" s="77">
        <v>10.1</v>
      </c>
      <c r="C61" s="77">
        <v>10.1</v>
      </c>
      <c r="D61" s="77">
        <v>10.1</v>
      </c>
      <c r="E61" s="77">
        <v>10</v>
      </c>
      <c r="F61" s="77">
        <v>10.1</v>
      </c>
      <c r="G61" s="77">
        <v>10</v>
      </c>
      <c r="H61" s="77">
        <v>10.1</v>
      </c>
      <c r="I61" s="77">
        <v>10.1</v>
      </c>
      <c r="J61" s="77">
        <v>10.1</v>
      </c>
      <c r="K61" s="77">
        <v>10</v>
      </c>
      <c r="L61" s="77">
        <v>10</v>
      </c>
      <c r="M61" s="77">
        <v>10</v>
      </c>
      <c r="N61" s="77">
        <v>10</v>
      </c>
      <c r="O61" s="77">
        <v>10</v>
      </c>
      <c r="P61" s="77">
        <v>10</v>
      </c>
      <c r="Q61" s="77">
        <v>10</v>
      </c>
      <c r="R61" s="77">
        <v>10</v>
      </c>
      <c r="S61" s="77">
        <v>10</v>
      </c>
      <c r="T61" s="77">
        <v>10</v>
      </c>
      <c r="U61" s="77">
        <v>10</v>
      </c>
      <c r="V61" s="77">
        <v>10</v>
      </c>
      <c r="W61" s="77">
        <v>10</v>
      </c>
      <c r="X61" s="77">
        <v>10</v>
      </c>
      <c r="Y61" s="77">
        <v>10</v>
      </c>
      <c r="Z61" s="77">
        <v>10</v>
      </c>
      <c r="AA61" s="77">
        <v>10</v>
      </c>
      <c r="AB61" s="77">
        <v>11.5</v>
      </c>
      <c r="AC61" s="77">
        <v>11.5</v>
      </c>
      <c r="AD61" s="77">
        <v>11.5</v>
      </c>
      <c r="AE61" s="77">
        <v>10</v>
      </c>
      <c r="AF61" s="77">
        <v>10</v>
      </c>
      <c r="AG61" s="78">
        <v>22.1</v>
      </c>
      <c r="AH61" s="48">
        <f t="shared" si="8"/>
        <v>11.5</v>
      </c>
      <c r="AI61" s="49">
        <f t="shared" si="9"/>
        <v>10</v>
      </c>
      <c r="AK61" s="51"/>
    </row>
    <row r="62" spans="1:88" ht="15.75" thickBot="1" x14ac:dyDescent="0.3">
      <c r="A62" s="79" t="s">
        <v>79</v>
      </c>
      <c r="B62" s="70">
        <f t="shared" ref="B62:C62" si="28">SUM(B59:B61)</f>
        <v>137.1</v>
      </c>
      <c r="C62" s="70">
        <f t="shared" si="28"/>
        <v>77.099999999999994</v>
      </c>
      <c r="D62" s="70">
        <f t="shared" ref="D62" si="29">SUM(D59:D61)</f>
        <v>37.1</v>
      </c>
      <c r="E62" s="70">
        <f t="shared" ref="E62:AG62" si="30">SUM(E59:E61)</f>
        <v>37</v>
      </c>
      <c r="F62" s="70">
        <f t="shared" si="30"/>
        <v>37.1</v>
      </c>
      <c r="G62" s="70">
        <f t="shared" si="30"/>
        <v>37</v>
      </c>
      <c r="H62" s="70">
        <f t="shared" si="30"/>
        <v>37.1</v>
      </c>
      <c r="I62" s="70">
        <f t="shared" si="30"/>
        <v>37.1</v>
      </c>
      <c r="J62" s="70">
        <f t="shared" si="30"/>
        <v>113.1</v>
      </c>
      <c r="K62" s="70">
        <f t="shared" si="30"/>
        <v>148.69999999999999</v>
      </c>
      <c r="L62" s="70">
        <f t="shared" si="30"/>
        <v>159.80000000000001</v>
      </c>
      <c r="M62" s="70">
        <f t="shared" si="30"/>
        <v>118.6</v>
      </c>
      <c r="N62" s="70">
        <f t="shared" si="30"/>
        <v>80</v>
      </c>
      <c r="O62" s="70">
        <f t="shared" ref="O62" si="31">SUM(O59:O61)</f>
        <v>80</v>
      </c>
      <c r="P62" s="70">
        <f t="shared" si="30"/>
        <v>107</v>
      </c>
      <c r="Q62" s="70">
        <f t="shared" si="30"/>
        <v>52</v>
      </c>
      <c r="R62" s="70">
        <f t="shared" si="30"/>
        <v>52</v>
      </c>
      <c r="S62" s="70">
        <f t="shared" si="30"/>
        <v>37</v>
      </c>
      <c r="T62" s="70">
        <f t="shared" si="30"/>
        <v>37</v>
      </c>
      <c r="U62" s="70">
        <f t="shared" si="30"/>
        <v>77.2</v>
      </c>
      <c r="V62" s="70">
        <f t="shared" si="30"/>
        <v>52</v>
      </c>
      <c r="W62" s="70">
        <f t="shared" si="30"/>
        <v>52</v>
      </c>
      <c r="X62" s="70">
        <f t="shared" si="30"/>
        <v>102</v>
      </c>
      <c r="Y62" s="70">
        <f t="shared" si="30"/>
        <v>187</v>
      </c>
      <c r="Z62" s="70">
        <f t="shared" si="30"/>
        <v>265</v>
      </c>
      <c r="AA62" s="70">
        <f t="shared" si="30"/>
        <v>342</v>
      </c>
      <c r="AB62" s="70">
        <f t="shared" si="30"/>
        <v>202.5</v>
      </c>
      <c r="AC62" s="70">
        <f t="shared" si="30"/>
        <v>108.5</v>
      </c>
      <c r="AD62" s="70">
        <f t="shared" si="30"/>
        <v>88.5</v>
      </c>
      <c r="AE62" s="70">
        <f t="shared" ref="AE62:AF62" si="32">SUM(AE59:AE61)</f>
        <v>37</v>
      </c>
      <c r="AF62" s="70">
        <f t="shared" si="32"/>
        <v>37</v>
      </c>
      <c r="AG62" s="71">
        <f t="shared" si="30"/>
        <v>538.1</v>
      </c>
      <c r="AH62" s="48">
        <f t="shared" si="8"/>
        <v>342</v>
      </c>
      <c r="AI62" s="49">
        <f t="shared" si="9"/>
        <v>37</v>
      </c>
      <c r="AK62" s="51"/>
    </row>
    <row r="63" spans="1:88" x14ac:dyDescent="0.25">
      <c r="A63" s="45" t="s">
        <v>80</v>
      </c>
      <c r="B63" s="46">
        <v>30.2</v>
      </c>
      <c r="C63" s="46">
        <v>0</v>
      </c>
      <c r="D63" s="46">
        <v>0</v>
      </c>
      <c r="E63" s="46">
        <v>0</v>
      </c>
      <c r="F63" s="46">
        <v>0</v>
      </c>
      <c r="G63" s="46">
        <v>0</v>
      </c>
      <c r="H63" s="46">
        <v>0</v>
      </c>
      <c r="I63" s="46">
        <v>40.4</v>
      </c>
      <c r="J63" s="46">
        <v>65</v>
      </c>
      <c r="K63" s="46">
        <v>69.599999999999994</v>
      </c>
      <c r="L63" s="46">
        <v>63</v>
      </c>
      <c r="M63" s="46">
        <v>63</v>
      </c>
      <c r="N63" s="46">
        <v>61</v>
      </c>
      <c r="O63" s="46">
        <v>61</v>
      </c>
      <c r="P63" s="46">
        <v>71</v>
      </c>
      <c r="Q63" s="46">
        <v>61</v>
      </c>
      <c r="R63" s="46">
        <v>70</v>
      </c>
      <c r="S63" s="46">
        <v>30.6</v>
      </c>
      <c r="T63" s="46">
        <v>30.6</v>
      </c>
      <c r="U63" s="46">
        <v>30.6</v>
      </c>
      <c r="V63" s="46">
        <v>30.6</v>
      </c>
      <c r="W63" s="46">
        <v>93.1</v>
      </c>
      <c r="X63" s="46">
        <v>93.1</v>
      </c>
      <c r="Y63" s="46">
        <v>111</v>
      </c>
      <c r="Z63" s="46">
        <v>144</v>
      </c>
      <c r="AA63" s="46">
        <v>126</v>
      </c>
      <c r="AB63" s="46">
        <v>82.1</v>
      </c>
      <c r="AC63" s="46">
        <v>81.2</v>
      </c>
      <c r="AD63" s="46">
        <v>60.9</v>
      </c>
      <c r="AE63" s="46">
        <v>44.5</v>
      </c>
      <c r="AF63" s="46">
        <v>32.299999999999997</v>
      </c>
      <c r="AG63" s="60">
        <v>144</v>
      </c>
      <c r="AH63" s="48">
        <f t="shared" si="8"/>
        <v>144</v>
      </c>
      <c r="AI63" s="49">
        <f t="shared" si="9"/>
        <v>0</v>
      </c>
      <c r="AK63" s="51"/>
    </row>
    <row r="64" spans="1:88" x14ac:dyDescent="0.25">
      <c r="A64" s="64" t="s">
        <v>81</v>
      </c>
      <c r="B64" s="75">
        <v>0</v>
      </c>
      <c r="C64" s="75">
        <v>0</v>
      </c>
      <c r="D64" s="75">
        <v>0</v>
      </c>
      <c r="E64" s="75">
        <v>0</v>
      </c>
      <c r="F64" s="75">
        <v>0</v>
      </c>
      <c r="G64" s="75">
        <v>0</v>
      </c>
      <c r="H64" s="75">
        <v>34.6</v>
      </c>
      <c r="I64" s="75">
        <v>35</v>
      </c>
      <c r="J64" s="75">
        <v>49.2</v>
      </c>
      <c r="K64" s="75">
        <v>49.9</v>
      </c>
      <c r="L64" s="75">
        <v>45.5</v>
      </c>
      <c r="M64" s="75">
        <v>45.5</v>
      </c>
      <c r="N64" s="75">
        <v>25</v>
      </c>
      <c r="O64" s="75">
        <v>25</v>
      </c>
      <c r="P64" s="75">
        <v>23.5</v>
      </c>
      <c r="Q64" s="75">
        <v>23.5</v>
      </c>
      <c r="R64" s="75">
        <v>35</v>
      </c>
      <c r="S64" s="75">
        <v>24.2</v>
      </c>
      <c r="T64" s="75">
        <v>24.2</v>
      </c>
      <c r="U64" s="75">
        <v>24.2</v>
      </c>
      <c r="V64" s="75">
        <v>24.2</v>
      </c>
      <c r="W64" s="75">
        <v>24.2</v>
      </c>
      <c r="X64" s="75">
        <v>47.6</v>
      </c>
      <c r="Y64" s="75">
        <v>47.6</v>
      </c>
      <c r="Z64" s="75">
        <v>70</v>
      </c>
      <c r="AA64" s="75">
        <v>69.7</v>
      </c>
      <c r="AB64" s="46">
        <v>60.9</v>
      </c>
      <c r="AC64" s="46">
        <v>59.7</v>
      </c>
      <c r="AD64" s="46">
        <v>60.6</v>
      </c>
      <c r="AE64" s="46">
        <v>23.9</v>
      </c>
      <c r="AF64" s="46">
        <v>0</v>
      </c>
      <c r="AG64" s="65">
        <v>70</v>
      </c>
      <c r="AH64" s="48">
        <f t="shared" si="8"/>
        <v>70</v>
      </c>
      <c r="AI64" s="49">
        <f t="shared" si="9"/>
        <v>0</v>
      </c>
      <c r="AK64" s="51"/>
    </row>
    <row r="65" spans="1:75" x14ac:dyDescent="0.25">
      <c r="A65" s="64" t="s">
        <v>82</v>
      </c>
      <c r="B65" s="75">
        <v>21</v>
      </c>
      <c r="C65" s="75">
        <v>0</v>
      </c>
      <c r="D65" s="75">
        <v>0</v>
      </c>
      <c r="E65" s="75">
        <v>0</v>
      </c>
      <c r="F65" s="75">
        <v>0</v>
      </c>
      <c r="G65" s="75">
        <v>17.2</v>
      </c>
      <c r="H65" s="75">
        <v>22.4</v>
      </c>
      <c r="I65" s="75">
        <v>46.5</v>
      </c>
      <c r="J65" s="75">
        <v>35.700000000000003</v>
      </c>
      <c r="K65" s="75">
        <v>54.4</v>
      </c>
      <c r="L65" s="75">
        <v>54.5</v>
      </c>
      <c r="M65" s="75">
        <v>51</v>
      </c>
      <c r="N65" s="75">
        <v>35</v>
      </c>
      <c r="O65" s="75">
        <v>35</v>
      </c>
      <c r="P65" s="75">
        <v>34</v>
      </c>
      <c r="Q65" s="75">
        <v>16</v>
      </c>
      <c r="R65" s="75">
        <v>22.6</v>
      </c>
      <c r="S65" s="75">
        <v>16.3</v>
      </c>
      <c r="T65" s="75">
        <v>0</v>
      </c>
      <c r="U65" s="75">
        <v>0</v>
      </c>
      <c r="V65" s="75">
        <v>0</v>
      </c>
      <c r="W65" s="75">
        <v>17.2</v>
      </c>
      <c r="X65" s="75">
        <v>33.200000000000003</v>
      </c>
      <c r="Y65" s="75">
        <v>64.3</v>
      </c>
      <c r="Z65" s="75">
        <v>67</v>
      </c>
      <c r="AA65" s="75">
        <v>58</v>
      </c>
      <c r="AB65" s="46">
        <v>55.1</v>
      </c>
      <c r="AC65" s="46">
        <v>55</v>
      </c>
      <c r="AD65" s="46">
        <v>40.1</v>
      </c>
      <c r="AE65" s="46">
        <v>16</v>
      </c>
      <c r="AF65" s="46">
        <v>0</v>
      </c>
      <c r="AG65" s="65">
        <v>69</v>
      </c>
      <c r="AH65" s="48">
        <f t="shared" si="8"/>
        <v>67</v>
      </c>
      <c r="AI65" s="49">
        <f t="shared" si="9"/>
        <v>0</v>
      </c>
      <c r="AK65" s="51"/>
    </row>
    <row r="66" spans="1:75" x14ac:dyDescent="0.25">
      <c r="A66" s="64" t="s">
        <v>83</v>
      </c>
      <c r="B66" s="75">
        <v>33</v>
      </c>
      <c r="C66" s="75">
        <v>33</v>
      </c>
      <c r="D66" s="75">
        <v>33</v>
      </c>
      <c r="E66" s="75">
        <v>34</v>
      </c>
      <c r="F66" s="75">
        <v>33.799999999999997</v>
      </c>
      <c r="G66" s="75">
        <v>32</v>
      </c>
      <c r="H66" s="75">
        <v>32.200000000000003</v>
      </c>
      <c r="I66" s="75">
        <v>32</v>
      </c>
      <c r="J66" s="75">
        <v>33.299999999999997</v>
      </c>
      <c r="K66" s="67">
        <v>34.299999999999997</v>
      </c>
      <c r="L66" s="67">
        <v>34.299999999999997</v>
      </c>
      <c r="M66" s="67">
        <v>34.299999999999997</v>
      </c>
      <c r="N66" s="67">
        <v>34.299999999999997</v>
      </c>
      <c r="O66" s="67">
        <v>34.299999999999997</v>
      </c>
      <c r="P66" s="67">
        <v>32</v>
      </c>
      <c r="Q66" s="67">
        <v>32</v>
      </c>
      <c r="R66" s="67">
        <v>32</v>
      </c>
      <c r="S66" s="67">
        <v>32</v>
      </c>
      <c r="T66" s="67">
        <v>32</v>
      </c>
      <c r="U66" s="67">
        <v>32</v>
      </c>
      <c r="V66" s="67">
        <v>32</v>
      </c>
      <c r="W66" s="67">
        <v>34</v>
      </c>
      <c r="X66" s="67">
        <v>34</v>
      </c>
      <c r="Y66" s="67">
        <v>34</v>
      </c>
      <c r="Z66" s="67">
        <v>34</v>
      </c>
      <c r="AA66" s="67">
        <v>34</v>
      </c>
      <c r="AB66" s="46">
        <v>34</v>
      </c>
      <c r="AC66" s="46">
        <v>34</v>
      </c>
      <c r="AD66" s="46">
        <v>34</v>
      </c>
      <c r="AE66" s="46">
        <v>32</v>
      </c>
      <c r="AF66" s="46">
        <v>31.7</v>
      </c>
      <c r="AG66" s="65">
        <v>60</v>
      </c>
      <c r="AH66" s="48">
        <f t="shared" si="8"/>
        <v>34.299999999999997</v>
      </c>
      <c r="AI66" s="49">
        <f t="shared" si="9"/>
        <v>31.7</v>
      </c>
      <c r="AK66" s="51"/>
    </row>
    <row r="67" spans="1:75" x14ac:dyDescent="0.25">
      <c r="A67" s="64" t="s">
        <v>84</v>
      </c>
      <c r="B67" s="46">
        <v>10.199999999999999</v>
      </c>
      <c r="C67" s="46">
        <v>0</v>
      </c>
      <c r="D67" s="46">
        <v>0</v>
      </c>
      <c r="E67" s="75">
        <v>0</v>
      </c>
      <c r="F67" s="75">
        <v>0</v>
      </c>
      <c r="G67" s="75">
        <v>0</v>
      </c>
      <c r="H67" s="75">
        <v>0</v>
      </c>
      <c r="I67" s="75">
        <v>8.4</v>
      </c>
      <c r="J67" s="75">
        <v>9.6999999999999993</v>
      </c>
      <c r="K67" s="75">
        <v>9.9</v>
      </c>
      <c r="L67" s="67">
        <v>10</v>
      </c>
      <c r="M67" s="67">
        <v>10</v>
      </c>
      <c r="N67" s="67">
        <v>0</v>
      </c>
      <c r="O67" s="67">
        <v>0</v>
      </c>
      <c r="P67" s="67">
        <v>0</v>
      </c>
      <c r="Q67" s="67">
        <v>0</v>
      </c>
      <c r="R67" s="67">
        <v>0</v>
      </c>
      <c r="S67" s="67">
        <v>0</v>
      </c>
      <c r="T67" s="67">
        <v>10.8</v>
      </c>
      <c r="U67" s="67">
        <v>10.8</v>
      </c>
      <c r="V67" s="67">
        <v>27.8</v>
      </c>
      <c r="W67" s="67">
        <v>23</v>
      </c>
      <c r="X67" s="67">
        <v>23</v>
      </c>
      <c r="Y67" s="67">
        <v>23</v>
      </c>
      <c r="Z67" s="67">
        <v>28</v>
      </c>
      <c r="AA67" s="67">
        <v>28</v>
      </c>
      <c r="AB67" s="46">
        <v>11.1</v>
      </c>
      <c r="AC67" s="46">
        <v>10</v>
      </c>
      <c r="AD67" s="46">
        <v>10.199999999999999</v>
      </c>
      <c r="AE67" s="46">
        <v>0</v>
      </c>
      <c r="AF67" s="46">
        <v>0</v>
      </c>
      <c r="AG67" s="65">
        <v>30</v>
      </c>
      <c r="AH67" s="48">
        <f t="shared" si="8"/>
        <v>28</v>
      </c>
      <c r="AI67" s="49">
        <f t="shared" si="9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</row>
    <row r="68" spans="1:75" x14ac:dyDescent="0.25">
      <c r="A68" s="64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0.4</v>
      </c>
      <c r="L68" s="75">
        <v>0.8</v>
      </c>
      <c r="M68" s="75">
        <v>0.8</v>
      </c>
      <c r="N68" s="75">
        <v>0.8</v>
      </c>
      <c r="O68" s="75">
        <v>0.8</v>
      </c>
      <c r="P68" s="75">
        <v>0.8</v>
      </c>
      <c r="Q68" s="75">
        <v>0.8</v>
      </c>
      <c r="R68" s="75">
        <v>0.8</v>
      </c>
      <c r="S68" s="75">
        <v>1.5</v>
      </c>
      <c r="T68" s="75">
        <v>0.6</v>
      </c>
      <c r="U68" s="75">
        <v>0.6</v>
      </c>
      <c r="V68" s="75">
        <v>0.4</v>
      </c>
      <c r="W68" s="75">
        <v>0</v>
      </c>
      <c r="X68" s="75">
        <v>0</v>
      </c>
      <c r="Y68" s="75">
        <v>0</v>
      </c>
      <c r="Z68" s="75">
        <v>0</v>
      </c>
      <c r="AA68" s="75">
        <v>0</v>
      </c>
      <c r="AB68" s="75">
        <v>0</v>
      </c>
      <c r="AC68" s="75">
        <v>0</v>
      </c>
      <c r="AD68" s="75">
        <v>0</v>
      </c>
      <c r="AE68" s="75">
        <v>0</v>
      </c>
      <c r="AF68" s="75">
        <v>0</v>
      </c>
      <c r="AG68" s="65">
        <v>25</v>
      </c>
      <c r="AH68" s="48">
        <f t="shared" si="8"/>
        <v>1.5</v>
      </c>
      <c r="AI68" s="49">
        <f t="shared" si="9"/>
        <v>0</v>
      </c>
      <c r="AK68" s="51"/>
      <c r="AY68" s="1" t="s">
        <v>86</v>
      </c>
      <c r="AZ68" s="81">
        <f>ROUND(C81,0)</f>
        <v>63</v>
      </c>
      <c r="BA68" s="80">
        <f t="shared" ref="BA68:BD72" si="33">D81</f>
        <v>65.5</v>
      </c>
      <c r="BB68" s="80">
        <f t="shared" si="33"/>
        <v>55.6</v>
      </c>
      <c r="BC68" s="80">
        <f t="shared" si="33"/>
        <v>45</v>
      </c>
      <c r="BD68" s="80">
        <f t="shared" si="33"/>
        <v>46</v>
      </c>
      <c r="BE68" s="81">
        <f>I81</f>
        <v>52.5</v>
      </c>
      <c r="BF68" s="81">
        <f>K81</f>
        <v>54.6</v>
      </c>
      <c r="BG68" s="81">
        <f t="shared" ref="BG68:BP72" si="34">M81</f>
        <v>40</v>
      </c>
      <c r="BH68" s="81">
        <f t="shared" si="34"/>
        <v>54.5</v>
      </c>
      <c r="BI68" s="81">
        <f t="shared" si="34"/>
        <v>53.2</v>
      </c>
      <c r="BJ68" s="81">
        <f t="shared" si="34"/>
        <v>61</v>
      </c>
      <c r="BK68" s="81">
        <f t="shared" si="34"/>
        <v>52</v>
      </c>
      <c r="BL68" s="81">
        <f t="shared" si="34"/>
        <v>43</v>
      </c>
      <c r="BM68" s="81">
        <f t="shared" si="34"/>
        <v>39.299999999999997</v>
      </c>
      <c r="BN68" s="81">
        <f t="shared" si="34"/>
        <v>51.5</v>
      </c>
      <c r="BO68" s="81">
        <f t="shared" si="34"/>
        <v>55</v>
      </c>
      <c r="BP68" s="81">
        <f t="shared" si="34"/>
        <v>63.1</v>
      </c>
      <c r="BQ68" s="81">
        <f>X81</f>
        <v>56.9</v>
      </c>
      <c r="BR68" s="81">
        <f>Z81</f>
        <v>59.2</v>
      </c>
      <c r="BS68" s="80">
        <f>AB81</f>
        <v>69.5</v>
      </c>
      <c r="BT68" s="80">
        <f>AD81</f>
        <v>64.7</v>
      </c>
      <c r="BU68" s="80">
        <f>AE81</f>
        <v>64.099999999999994</v>
      </c>
      <c r="BV68" s="80">
        <f>AF81</f>
        <v>62.6</v>
      </c>
      <c r="BW68" s="80">
        <f>B81</f>
        <v>49.5</v>
      </c>
    </row>
    <row r="69" spans="1:75" x14ac:dyDescent="0.25">
      <c r="A69" s="64" t="s">
        <v>87</v>
      </c>
      <c r="B69" s="75">
        <v>15</v>
      </c>
      <c r="C69" s="75">
        <v>15</v>
      </c>
      <c r="D69" s="75">
        <v>15</v>
      </c>
      <c r="E69" s="75">
        <v>15</v>
      </c>
      <c r="F69" s="75">
        <v>15</v>
      </c>
      <c r="G69" s="75">
        <v>15</v>
      </c>
      <c r="H69" s="75">
        <v>15</v>
      </c>
      <c r="I69" s="75">
        <v>15</v>
      </c>
      <c r="J69" s="75">
        <v>15</v>
      </c>
      <c r="K69" s="75">
        <v>15</v>
      </c>
      <c r="L69" s="75">
        <v>15</v>
      </c>
      <c r="M69" s="75">
        <v>15</v>
      </c>
      <c r="N69" s="75">
        <v>15</v>
      </c>
      <c r="O69" s="75">
        <v>15</v>
      </c>
      <c r="P69" s="75">
        <v>15</v>
      </c>
      <c r="Q69" s="75">
        <v>15</v>
      </c>
      <c r="R69" s="75">
        <v>15</v>
      </c>
      <c r="S69" s="75">
        <v>15</v>
      </c>
      <c r="T69" s="75">
        <v>15</v>
      </c>
      <c r="U69" s="75">
        <v>15</v>
      </c>
      <c r="V69" s="75">
        <v>15</v>
      </c>
      <c r="W69" s="75">
        <v>15</v>
      </c>
      <c r="X69" s="75">
        <v>15</v>
      </c>
      <c r="Y69" s="75">
        <v>15</v>
      </c>
      <c r="Z69" s="75">
        <v>15</v>
      </c>
      <c r="AA69" s="75">
        <v>15</v>
      </c>
      <c r="AB69" s="75">
        <v>15</v>
      </c>
      <c r="AC69" s="75">
        <v>15</v>
      </c>
      <c r="AD69" s="75">
        <v>15</v>
      </c>
      <c r="AE69" s="75">
        <v>15</v>
      </c>
      <c r="AF69" s="75">
        <v>15</v>
      </c>
      <c r="AG69" s="65">
        <v>24</v>
      </c>
      <c r="AH69" s="48">
        <f t="shared" si="8"/>
        <v>15</v>
      </c>
      <c r="AI69" s="49">
        <f t="shared" si="9"/>
        <v>15</v>
      </c>
      <c r="AK69" s="51"/>
      <c r="AY69" s="1" t="s">
        <v>88</v>
      </c>
      <c r="AZ69" s="81">
        <f>ROUND(C82,0)</f>
        <v>0</v>
      </c>
      <c r="BA69" s="80">
        <f t="shared" si="33"/>
        <v>0</v>
      </c>
      <c r="BB69" s="80">
        <f t="shared" si="33"/>
        <v>0</v>
      </c>
      <c r="BC69" s="80">
        <f t="shared" si="33"/>
        <v>0</v>
      </c>
      <c r="BD69" s="80">
        <f t="shared" si="33"/>
        <v>0</v>
      </c>
      <c r="BE69" s="81">
        <f t="shared" ref="BE69:BE72" si="35">I82</f>
        <v>0</v>
      </c>
      <c r="BF69" s="81">
        <f t="shared" ref="BF69:BF72" si="36">K82</f>
        <v>0</v>
      </c>
      <c r="BG69" s="81">
        <f t="shared" si="34"/>
        <v>0</v>
      </c>
      <c r="BH69" s="81">
        <f t="shared" si="34"/>
        <v>0</v>
      </c>
      <c r="BI69" s="81">
        <f t="shared" si="34"/>
        <v>0</v>
      </c>
      <c r="BJ69" s="81">
        <f t="shared" si="34"/>
        <v>0</v>
      </c>
      <c r="BK69" s="81">
        <f t="shared" si="34"/>
        <v>0</v>
      </c>
      <c r="BL69" s="81">
        <f t="shared" si="34"/>
        <v>0</v>
      </c>
      <c r="BM69" s="81">
        <f t="shared" si="34"/>
        <v>0</v>
      </c>
      <c r="BN69" s="81">
        <f t="shared" si="34"/>
        <v>0</v>
      </c>
      <c r="BO69" s="81">
        <f t="shared" si="34"/>
        <v>0</v>
      </c>
      <c r="BP69" s="81">
        <f t="shared" si="34"/>
        <v>0</v>
      </c>
      <c r="BQ69" s="81">
        <f t="shared" ref="BQ69:BQ72" si="37">X82</f>
        <v>0</v>
      </c>
      <c r="BR69" s="81">
        <f t="shared" ref="BR69:BR72" si="38">Z82</f>
        <v>0</v>
      </c>
      <c r="BS69" s="80">
        <f t="shared" ref="BS69:BS72" si="39">AB82</f>
        <v>0</v>
      </c>
      <c r="BT69" s="80">
        <f t="shared" ref="BT69:BV72" si="40">AD82</f>
        <v>0</v>
      </c>
      <c r="BU69" s="80">
        <f t="shared" si="40"/>
        <v>0</v>
      </c>
      <c r="BV69" s="80">
        <f t="shared" si="40"/>
        <v>0</v>
      </c>
      <c r="BW69" s="80">
        <f t="shared" ref="BW69:BW72" si="41">B82</f>
        <v>0</v>
      </c>
    </row>
    <row r="70" spans="1:75" x14ac:dyDescent="0.25">
      <c r="A70" s="64" t="s">
        <v>89</v>
      </c>
      <c r="B70" s="75">
        <v>4</v>
      </c>
      <c r="C70" s="75">
        <v>4</v>
      </c>
      <c r="D70" s="75">
        <v>4</v>
      </c>
      <c r="E70" s="75">
        <v>4</v>
      </c>
      <c r="F70" s="75">
        <v>4</v>
      </c>
      <c r="G70" s="75">
        <v>4</v>
      </c>
      <c r="H70" s="75">
        <v>4</v>
      </c>
      <c r="I70" s="75">
        <v>4</v>
      </c>
      <c r="J70" s="75">
        <v>4</v>
      </c>
      <c r="K70" s="75">
        <v>4</v>
      </c>
      <c r="L70" s="75">
        <v>4</v>
      </c>
      <c r="M70" s="75">
        <v>4</v>
      </c>
      <c r="N70" s="75">
        <v>4</v>
      </c>
      <c r="O70" s="75">
        <v>4</v>
      </c>
      <c r="P70" s="75">
        <v>4</v>
      </c>
      <c r="Q70" s="75">
        <v>4</v>
      </c>
      <c r="R70" s="75">
        <v>4</v>
      </c>
      <c r="S70" s="75">
        <v>4</v>
      </c>
      <c r="T70" s="75">
        <v>4</v>
      </c>
      <c r="U70" s="75">
        <v>4</v>
      </c>
      <c r="V70" s="75">
        <v>4</v>
      </c>
      <c r="W70" s="75">
        <v>4</v>
      </c>
      <c r="X70" s="75">
        <v>4</v>
      </c>
      <c r="Y70" s="75">
        <v>4</v>
      </c>
      <c r="Z70" s="75">
        <v>4</v>
      </c>
      <c r="AA70" s="75">
        <v>4</v>
      </c>
      <c r="AB70" s="75">
        <v>4</v>
      </c>
      <c r="AC70" s="75">
        <v>4</v>
      </c>
      <c r="AD70" s="75">
        <v>4</v>
      </c>
      <c r="AE70" s="75">
        <v>4</v>
      </c>
      <c r="AF70" s="75">
        <v>4</v>
      </c>
      <c r="AG70" s="65">
        <v>15</v>
      </c>
      <c r="AH70" s="48">
        <f t="shared" si="8"/>
        <v>4</v>
      </c>
      <c r="AI70" s="49">
        <f t="shared" si="9"/>
        <v>4</v>
      </c>
      <c r="AK70" s="51"/>
      <c r="AL70" s="82"/>
      <c r="AO70" s="82"/>
      <c r="AY70" s="1" t="s">
        <v>90</v>
      </c>
      <c r="AZ70" s="81">
        <f>ROUND(C83,0)</f>
        <v>427</v>
      </c>
      <c r="BA70" s="80">
        <f t="shared" si="33"/>
        <v>436.6</v>
      </c>
      <c r="BB70" s="80">
        <f t="shared" si="33"/>
        <v>454.5</v>
      </c>
      <c r="BC70" s="80">
        <f t="shared" si="33"/>
        <v>461.1</v>
      </c>
      <c r="BD70" s="80">
        <f t="shared" si="33"/>
        <v>425</v>
      </c>
      <c r="BE70" s="81">
        <f t="shared" si="35"/>
        <v>430</v>
      </c>
      <c r="BF70" s="81">
        <f t="shared" si="36"/>
        <v>342.5</v>
      </c>
      <c r="BG70" s="81">
        <f t="shared" si="34"/>
        <v>386</v>
      </c>
      <c r="BH70" s="81">
        <f t="shared" si="34"/>
        <v>396</v>
      </c>
      <c r="BI70" s="81">
        <f t="shared" si="34"/>
        <v>438</v>
      </c>
      <c r="BJ70" s="81">
        <f t="shared" si="34"/>
        <v>407</v>
      </c>
      <c r="BK70" s="81">
        <f t="shared" si="34"/>
        <v>500</v>
      </c>
      <c r="BL70" s="81">
        <f t="shared" si="34"/>
        <v>462</v>
      </c>
      <c r="BM70" s="81">
        <f t="shared" si="34"/>
        <v>506</v>
      </c>
      <c r="BN70" s="81">
        <f t="shared" si="34"/>
        <v>491</v>
      </c>
      <c r="BO70" s="81">
        <f t="shared" si="34"/>
        <v>498</v>
      </c>
      <c r="BP70" s="81">
        <f t="shared" si="34"/>
        <v>471</v>
      </c>
      <c r="BQ70" s="81">
        <f t="shared" si="37"/>
        <v>391</v>
      </c>
      <c r="BR70" s="81">
        <f t="shared" si="38"/>
        <v>268</v>
      </c>
      <c r="BS70" s="80">
        <f t="shared" si="39"/>
        <v>375</v>
      </c>
      <c r="BT70" s="80">
        <f t="shared" si="40"/>
        <v>389.6</v>
      </c>
      <c r="BU70" s="80">
        <f t="shared" si="40"/>
        <v>389</v>
      </c>
      <c r="BV70" s="80">
        <f t="shared" si="40"/>
        <v>368</v>
      </c>
      <c r="BW70" s="80">
        <f t="shared" si="41"/>
        <v>411.9</v>
      </c>
    </row>
    <row r="71" spans="1:75" s="82" customFormat="1" x14ac:dyDescent="0.25">
      <c r="A71" s="64" t="s">
        <v>91</v>
      </c>
      <c r="B71" s="75">
        <v>9.6999999999999993</v>
      </c>
      <c r="C71" s="75">
        <v>9.6999999999999993</v>
      </c>
      <c r="D71" s="75">
        <v>9.6999999999999993</v>
      </c>
      <c r="E71" s="75">
        <v>9.6999999999999993</v>
      </c>
      <c r="F71" s="75">
        <v>9.4</v>
      </c>
      <c r="G71" s="75">
        <v>9.4</v>
      </c>
      <c r="H71" s="75">
        <v>9.4</v>
      </c>
      <c r="I71" s="75">
        <v>9.4</v>
      </c>
      <c r="J71" s="75">
        <v>9.4</v>
      </c>
      <c r="K71" s="75">
        <v>9.4</v>
      </c>
      <c r="L71" s="75">
        <v>9.4</v>
      </c>
      <c r="M71" s="75">
        <v>9.4</v>
      </c>
      <c r="N71" s="75">
        <v>9.4</v>
      </c>
      <c r="O71" s="75">
        <v>9.4</v>
      </c>
      <c r="P71" s="75">
        <v>9.4</v>
      </c>
      <c r="Q71" s="75">
        <v>9.4</v>
      </c>
      <c r="R71" s="75">
        <v>9.4</v>
      </c>
      <c r="S71" s="75">
        <v>9.4</v>
      </c>
      <c r="T71" s="75">
        <v>9.4</v>
      </c>
      <c r="U71" s="75">
        <v>9.4</v>
      </c>
      <c r="V71" s="75">
        <v>9.4</v>
      </c>
      <c r="W71" s="75">
        <v>9.4</v>
      </c>
      <c r="X71" s="75">
        <v>9.4</v>
      </c>
      <c r="Y71" s="75">
        <v>9.4</v>
      </c>
      <c r="Z71" s="75">
        <v>9.4</v>
      </c>
      <c r="AA71" s="75">
        <v>9.4</v>
      </c>
      <c r="AB71" s="75">
        <v>9.4</v>
      </c>
      <c r="AC71" s="75">
        <v>9.4</v>
      </c>
      <c r="AD71" s="75">
        <v>9.4</v>
      </c>
      <c r="AE71" s="75">
        <v>9.8000000000000007</v>
      </c>
      <c r="AF71" s="75">
        <v>10.1</v>
      </c>
      <c r="AG71" s="65">
        <v>14.1</v>
      </c>
      <c r="AH71" s="48">
        <f t="shared" si="8"/>
        <v>10.1</v>
      </c>
      <c r="AI71" s="49">
        <f t="shared" si="9"/>
        <v>9.4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48</v>
      </c>
      <c r="BA71" s="80">
        <f t="shared" si="33"/>
        <v>48.7</v>
      </c>
      <c r="BB71" s="80">
        <f t="shared" si="33"/>
        <v>35.6</v>
      </c>
      <c r="BC71" s="80">
        <f t="shared" si="33"/>
        <v>5.0999999999999996</v>
      </c>
      <c r="BD71" s="80">
        <f t="shared" si="33"/>
        <v>5.8</v>
      </c>
      <c r="BE71" s="81">
        <f t="shared" si="35"/>
        <v>7.4</v>
      </c>
      <c r="BF71" s="81">
        <f t="shared" si="36"/>
        <v>44.8</v>
      </c>
      <c r="BG71" s="81">
        <f t="shared" si="34"/>
        <v>37.299999999999997</v>
      </c>
      <c r="BH71" s="81">
        <f t="shared" si="34"/>
        <v>36.5</v>
      </c>
      <c r="BI71" s="81">
        <f t="shared" si="34"/>
        <v>34.5</v>
      </c>
      <c r="BJ71" s="81">
        <f t="shared" si="34"/>
        <v>33</v>
      </c>
      <c r="BK71" s="81">
        <f t="shared" si="34"/>
        <v>33</v>
      </c>
      <c r="BL71" s="81">
        <f t="shared" si="34"/>
        <v>18</v>
      </c>
      <c r="BM71" s="81">
        <f t="shared" si="34"/>
        <v>31</v>
      </c>
      <c r="BN71" s="81">
        <f t="shared" si="34"/>
        <v>38</v>
      </c>
      <c r="BO71" s="81">
        <f t="shared" si="34"/>
        <v>35</v>
      </c>
      <c r="BP71" s="81">
        <f t="shared" si="34"/>
        <v>28.6</v>
      </c>
      <c r="BQ71" s="81">
        <f t="shared" si="37"/>
        <v>34</v>
      </c>
      <c r="BR71" s="81">
        <f t="shared" si="38"/>
        <v>45</v>
      </c>
      <c r="BS71" s="80">
        <f t="shared" si="39"/>
        <v>38</v>
      </c>
      <c r="BT71" s="80">
        <f t="shared" si="40"/>
        <v>34</v>
      </c>
      <c r="BU71" s="80">
        <f t="shared" si="40"/>
        <v>33.200000000000003</v>
      </c>
      <c r="BV71" s="80">
        <f t="shared" si="40"/>
        <v>29.6</v>
      </c>
      <c r="BW71" s="80">
        <f t="shared" si="41"/>
        <v>47.8</v>
      </c>
    </row>
    <row r="72" spans="1:75" x14ac:dyDescent="0.25">
      <c r="A72" s="83" t="s">
        <v>93</v>
      </c>
      <c r="B72" s="75">
        <v>3.5</v>
      </c>
      <c r="C72" s="75">
        <v>3.5</v>
      </c>
      <c r="D72" s="75">
        <v>3.5</v>
      </c>
      <c r="E72" s="75">
        <v>3.5</v>
      </c>
      <c r="F72" s="75">
        <v>3.5</v>
      </c>
      <c r="G72" s="75">
        <v>3.5</v>
      </c>
      <c r="H72" s="75">
        <v>3.5</v>
      </c>
      <c r="I72" s="75">
        <v>3.5</v>
      </c>
      <c r="J72" s="75">
        <v>3.5</v>
      </c>
      <c r="K72" s="75">
        <v>3.5</v>
      </c>
      <c r="L72" s="75">
        <v>3.5</v>
      </c>
      <c r="M72" s="75">
        <v>3.5</v>
      </c>
      <c r="N72" s="75">
        <v>3.5</v>
      </c>
      <c r="O72" s="75">
        <v>3.5</v>
      </c>
      <c r="P72" s="75">
        <v>3.5</v>
      </c>
      <c r="Q72" s="75">
        <v>3.5</v>
      </c>
      <c r="R72" s="75">
        <v>3.5</v>
      </c>
      <c r="S72" s="75">
        <v>3.5</v>
      </c>
      <c r="T72" s="75">
        <v>3.5</v>
      </c>
      <c r="U72" s="75">
        <v>3.5</v>
      </c>
      <c r="V72" s="75">
        <v>3.5</v>
      </c>
      <c r="W72" s="75">
        <v>3.5</v>
      </c>
      <c r="X72" s="75">
        <v>3.5</v>
      </c>
      <c r="Y72" s="75">
        <v>3.5</v>
      </c>
      <c r="Z72" s="75">
        <v>3.5</v>
      </c>
      <c r="AA72" s="75">
        <v>3.5</v>
      </c>
      <c r="AB72" s="75">
        <v>3.5</v>
      </c>
      <c r="AC72" s="75">
        <v>3.5</v>
      </c>
      <c r="AD72" s="75">
        <v>3.5</v>
      </c>
      <c r="AE72" s="75">
        <v>3.3</v>
      </c>
      <c r="AF72" s="75">
        <v>3.4</v>
      </c>
      <c r="AG72" s="65">
        <v>14</v>
      </c>
      <c r="AH72" s="48">
        <f t="shared" si="8"/>
        <v>3.5</v>
      </c>
      <c r="AI72" s="49">
        <f t="shared" si="9"/>
        <v>3.3</v>
      </c>
      <c r="AK72" s="51"/>
      <c r="AY72" s="1" t="s">
        <v>94</v>
      </c>
      <c r="AZ72" s="81">
        <f>ROUND(C85,0)</f>
        <v>123</v>
      </c>
      <c r="BA72" s="80">
        <f t="shared" si="33"/>
        <v>113.9</v>
      </c>
      <c r="BB72" s="80">
        <f t="shared" si="33"/>
        <v>111.5</v>
      </c>
      <c r="BC72" s="80">
        <f t="shared" si="33"/>
        <v>119.6</v>
      </c>
      <c r="BD72" s="80">
        <f t="shared" si="33"/>
        <v>103.9</v>
      </c>
      <c r="BE72" s="81">
        <f t="shared" si="35"/>
        <v>22.9</v>
      </c>
      <c r="BF72" s="81">
        <f t="shared" si="36"/>
        <v>25.5</v>
      </c>
      <c r="BG72" s="81">
        <f t="shared" si="34"/>
        <v>30</v>
      </c>
      <c r="BH72" s="81">
        <f t="shared" si="34"/>
        <v>32</v>
      </c>
      <c r="BI72" s="81">
        <f t="shared" si="34"/>
        <v>46</v>
      </c>
      <c r="BJ72" s="81">
        <f t="shared" si="34"/>
        <v>61</v>
      </c>
      <c r="BK72" s="81">
        <f t="shared" si="34"/>
        <v>55</v>
      </c>
      <c r="BL72" s="81">
        <f t="shared" si="34"/>
        <v>84</v>
      </c>
      <c r="BM72" s="81">
        <f t="shared" si="34"/>
        <v>104.1</v>
      </c>
      <c r="BN72" s="81">
        <f t="shared" si="34"/>
        <v>96.4</v>
      </c>
      <c r="BO72" s="81">
        <f t="shared" si="34"/>
        <v>85.5</v>
      </c>
      <c r="BP72" s="81">
        <f t="shared" si="34"/>
        <v>81</v>
      </c>
      <c r="BQ72" s="81">
        <f t="shared" si="37"/>
        <v>62</v>
      </c>
      <c r="BR72" s="81">
        <f t="shared" si="38"/>
        <v>93</v>
      </c>
      <c r="BS72" s="80">
        <f t="shared" si="39"/>
        <v>77.2</v>
      </c>
      <c r="BT72" s="80">
        <f t="shared" si="40"/>
        <v>131</v>
      </c>
      <c r="BU72" s="80">
        <f t="shared" si="40"/>
        <v>110.5</v>
      </c>
      <c r="BV72" s="80">
        <f t="shared" si="40"/>
        <v>111.2</v>
      </c>
      <c r="BW72" s="80">
        <f t="shared" si="41"/>
        <v>117.8</v>
      </c>
    </row>
    <row r="73" spans="1:75" x14ac:dyDescent="0.25">
      <c r="A73" s="64" t="s">
        <v>95</v>
      </c>
      <c r="B73" s="75">
        <v>4.5</v>
      </c>
      <c r="C73" s="75">
        <v>4.5</v>
      </c>
      <c r="D73" s="75">
        <v>4.5</v>
      </c>
      <c r="E73" s="75">
        <v>4.5</v>
      </c>
      <c r="F73" s="75">
        <v>4.5</v>
      </c>
      <c r="G73" s="75">
        <v>4.5</v>
      </c>
      <c r="H73" s="75">
        <v>4.5</v>
      </c>
      <c r="I73" s="75">
        <v>4.5</v>
      </c>
      <c r="J73" s="75">
        <v>4.5</v>
      </c>
      <c r="K73" s="75">
        <v>4.5</v>
      </c>
      <c r="L73" s="75">
        <v>4.5</v>
      </c>
      <c r="M73" s="75">
        <v>4.5</v>
      </c>
      <c r="N73" s="75">
        <v>4.5</v>
      </c>
      <c r="O73" s="75">
        <v>4.5</v>
      </c>
      <c r="P73" s="75">
        <v>4.5</v>
      </c>
      <c r="Q73" s="75">
        <v>4.5</v>
      </c>
      <c r="R73" s="75">
        <v>4.5</v>
      </c>
      <c r="S73" s="75">
        <v>4.5</v>
      </c>
      <c r="T73" s="75">
        <v>4.5</v>
      </c>
      <c r="U73" s="75">
        <v>4.5</v>
      </c>
      <c r="V73" s="75">
        <v>4.5</v>
      </c>
      <c r="W73" s="75">
        <v>4.5</v>
      </c>
      <c r="X73" s="75">
        <v>4.5</v>
      </c>
      <c r="Y73" s="75">
        <v>4.5</v>
      </c>
      <c r="Z73" s="75">
        <v>4.5</v>
      </c>
      <c r="AA73" s="75">
        <v>4.5</v>
      </c>
      <c r="AB73" s="75">
        <v>4.5</v>
      </c>
      <c r="AC73" s="75">
        <v>4.5</v>
      </c>
      <c r="AD73" s="75">
        <v>4.5</v>
      </c>
      <c r="AE73" s="75">
        <v>4.5</v>
      </c>
      <c r="AF73" s="75">
        <v>4.5</v>
      </c>
      <c r="AG73" s="65">
        <v>10.050000000000001</v>
      </c>
      <c r="AH73" s="48">
        <f t="shared" si="8"/>
        <v>4.5</v>
      </c>
      <c r="AI73" s="49">
        <f t="shared" si="9"/>
        <v>4.5</v>
      </c>
      <c r="AK73" s="51"/>
      <c r="AY73" s="1" t="s">
        <v>96</v>
      </c>
      <c r="AZ73" s="81">
        <f>ROUND(C91,0)</f>
        <v>62</v>
      </c>
      <c r="BA73" s="81">
        <f>D91</f>
        <v>69</v>
      </c>
      <c r="BB73" s="81">
        <f>E91</f>
        <v>70</v>
      </c>
      <c r="BC73" s="81">
        <f>F91</f>
        <v>65</v>
      </c>
      <c r="BD73" s="81">
        <f>G91</f>
        <v>50</v>
      </c>
      <c r="BE73" s="81">
        <f>I91</f>
        <v>50</v>
      </c>
      <c r="BF73" s="81">
        <f>K91</f>
        <v>70</v>
      </c>
      <c r="BG73" s="81">
        <f t="shared" ref="BG73:BP73" si="42">M91</f>
        <v>64</v>
      </c>
      <c r="BH73" s="81">
        <f t="shared" si="42"/>
        <v>70</v>
      </c>
      <c r="BI73" s="81">
        <f t="shared" si="42"/>
        <v>70</v>
      </c>
      <c r="BJ73" s="81">
        <f t="shared" si="42"/>
        <v>72</v>
      </c>
      <c r="BK73" s="81">
        <f t="shared" si="42"/>
        <v>70</v>
      </c>
      <c r="BL73" s="81">
        <f t="shared" si="42"/>
        <v>70</v>
      </c>
      <c r="BM73" s="81">
        <f t="shared" si="42"/>
        <v>68</v>
      </c>
      <c r="BN73" s="81">
        <f t="shared" si="42"/>
        <v>68</v>
      </c>
      <c r="BO73" s="81">
        <f t="shared" si="42"/>
        <v>68</v>
      </c>
      <c r="BP73" s="81">
        <f t="shared" si="42"/>
        <v>68</v>
      </c>
      <c r="BQ73" s="81">
        <f>X91</f>
        <v>72</v>
      </c>
      <c r="BR73" s="81">
        <f>Z91</f>
        <v>55</v>
      </c>
      <c r="BS73" s="81">
        <f>AB91</f>
        <v>0</v>
      </c>
      <c r="BT73" s="81">
        <f>AD91</f>
        <v>0</v>
      </c>
      <c r="BU73" s="81">
        <f>AE91</f>
        <v>0</v>
      </c>
      <c r="BV73" s="81">
        <f>AF91</f>
        <v>0</v>
      </c>
      <c r="BW73" s="81">
        <f>B91</f>
        <v>0</v>
      </c>
    </row>
    <row r="74" spans="1:75" x14ac:dyDescent="0.25">
      <c r="A74" s="64" t="s">
        <v>97</v>
      </c>
      <c r="B74" s="75">
        <v>2</v>
      </c>
      <c r="C74" s="75">
        <v>2</v>
      </c>
      <c r="D74" s="75">
        <v>2</v>
      </c>
      <c r="E74" s="75">
        <v>2</v>
      </c>
      <c r="F74" s="75">
        <v>2</v>
      </c>
      <c r="G74" s="75">
        <v>2</v>
      </c>
      <c r="H74" s="75">
        <v>2</v>
      </c>
      <c r="I74" s="75">
        <v>2</v>
      </c>
      <c r="J74" s="75">
        <v>2</v>
      </c>
      <c r="K74" s="75">
        <v>2</v>
      </c>
      <c r="L74" s="75">
        <v>2</v>
      </c>
      <c r="M74" s="75">
        <v>2</v>
      </c>
      <c r="N74" s="75">
        <v>2</v>
      </c>
      <c r="O74" s="75">
        <v>2</v>
      </c>
      <c r="P74" s="75">
        <v>2</v>
      </c>
      <c r="Q74" s="75">
        <v>2</v>
      </c>
      <c r="R74" s="75">
        <v>2</v>
      </c>
      <c r="S74" s="75">
        <v>2</v>
      </c>
      <c r="T74" s="75">
        <v>2</v>
      </c>
      <c r="U74" s="75">
        <v>2</v>
      </c>
      <c r="V74" s="75">
        <v>2</v>
      </c>
      <c r="W74" s="75">
        <v>2</v>
      </c>
      <c r="X74" s="75">
        <v>2</v>
      </c>
      <c r="Y74" s="75">
        <v>2</v>
      </c>
      <c r="Z74" s="75">
        <v>2</v>
      </c>
      <c r="AA74" s="75">
        <v>2</v>
      </c>
      <c r="AB74" s="75">
        <v>2</v>
      </c>
      <c r="AC74" s="75">
        <v>2</v>
      </c>
      <c r="AD74" s="75">
        <v>2</v>
      </c>
      <c r="AE74" s="75">
        <v>2</v>
      </c>
      <c r="AF74" s="75">
        <v>2</v>
      </c>
      <c r="AG74" s="65">
        <v>6.2</v>
      </c>
      <c r="AH74" s="48">
        <f t="shared" si="8"/>
        <v>2</v>
      </c>
      <c r="AI74" s="49">
        <f t="shared" si="9"/>
        <v>2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</row>
    <row r="75" spans="1:75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>
        <v>3.54</v>
      </c>
      <c r="W75" s="84">
        <v>3.54</v>
      </c>
      <c r="X75" s="84">
        <v>3.54</v>
      </c>
      <c r="Y75" s="84">
        <v>3.5</v>
      </c>
      <c r="Z75" s="84">
        <v>5.5</v>
      </c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8"/>
        <v>5.5</v>
      </c>
      <c r="AI75" s="49">
        <f t="shared" si="9"/>
        <v>3.5</v>
      </c>
      <c r="AK75" s="51"/>
      <c r="AZ75" s="81">
        <f>VALUE(AZ68)</f>
        <v>63</v>
      </c>
      <c r="BA75" s="81">
        <f t="shared" ref="BA75:BW75" si="43">VALUE(BA68)</f>
        <v>65.5</v>
      </c>
      <c r="BB75" s="81">
        <f t="shared" si="43"/>
        <v>55.6</v>
      </c>
      <c r="BC75" s="81">
        <f t="shared" si="43"/>
        <v>45</v>
      </c>
      <c r="BD75" s="81">
        <f t="shared" si="43"/>
        <v>46</v>
      </c>
      <c r="BE75" s="81">
        <f t="shared" si="43"/>
        <v>52.5</v>
      </c>
      <c r="BF75" s="81">
        <f t="shared" si="43"/>
        <v>54.6</v>
      </c>
      <c r="BG75" s="81">
        <f t="shared" si="43"/>
        <v>40</v>
      </c>
      <c r="BH75" s="81">
        <f t="shared" si="43"/>
        <v>54.5</v>
      </c>
      <c r="BI75" s="81">
        <f t="shared" si="43"/>
        <v>53.2</v>
      </c>
      <c r="BJ75" s="81">
        <f t="shared" si="43"/>
        <v>61</v>
      </c>
      <c r="BK75" s="81">
        <f t="shared" si="43"/>
        <v>52</v>
      </c>
      <c r="BL75" s="81">
        <f t="shared" si="43"/>
        <v>43</v>
      </c>
      <c r="BM75" s="81">
        <f t="shared" si="43"/>
        <v>39.299999999999997</v>
      </c>
      <c r="BN75" s="81">
        <f t="shared" si="43"/>
        <v>51.5</v>
      </c>
      <c r="BO75" s="81">
        <f t="shared" si="43"/>
        <v>55</v>
      </c>
      <c r="BP75" s="81">
        <f t="shared" si="43"/>
        <v>63.1</v>
      </c>
      <c r="BQ75" s="81">
        <f t="shared" si="43"/>
        <v>56.9</v>
      </c>
      <c r="BR75" s="81">
        <f t="shared" si="43"/>
        <v>59.2</v>
      </c>
      <c r="BS75" s="81">
        <f t="shared" si="43"/>
        <v>69.5</v>
      </c>
      <c r="BT75" s="81">
        <f t="shared" si="43"/>
        <v>64.7</v>
      </c>
      <c r="BU75" s="81">
        <f t="shared" si="43"/>
        <v>64.099999999999994</v>
      </c>
      <c r="BV75" s="81">
        <f t="shared" si="43"/>
        <v>62.6</v>
      </c>
      <c r="BW75" s="81">
        <f t="shared" si="43"/>
        <v>49.5</v>
      </c>
    </row>
    <row r="76" spans="1:75" ht="15.75" thickBot="1" x14ac:dyDescent="0.3">
      <c r="A76" s="86" t="s">
        <v>99</v>
      </c>
      <c r="B76" s="70">
        <f t="shared" ref="B76:C76" si="44">SUM(B63:B75)</f>
        <v>136.64000000000001</v>
      </c>
      <c r="C76" s="70">
        <f t="shared" si="44"/>
        <v>75.240000000000009</v>
      </c>
      <c r="D76" s="70">
        <f t="shared" ref="D76" si="45">SUM(D63:D75)</f>
        <v>75.240000000000009</v>
      </c>
      <c r="E76" s="70">
        <f t="shared" ref="E76:AG76" si="46">SUM(E63:E75)</f>
        <v>76.240000000000009</v>
      </c>
      <c r="F76" s="70">
        <f t="shared" si="46"/>
        <v>75.739999999999995</v>
      </c>
      <c r="G76" s="70">
        <f t="shared" si="46"/>
        <v>91.140000000000015</v>
      </c>
      <c r="H76" s="70">
        <f t="shared" si="46"/>
        <v>131.14000000000001</v>
      </c>
      <c r="I76" s="70">
        <f t="shared" si="46"/>
        <v>204.24</v>
      </c>
      <c r="J76" s="70">
        <f t="shared" si="46"/>
        <v>234.83999999999997</v>
      </c>
      <c r="K76" s="70">
        <f t="shared" si="46"/>
        <v>260.44</v>
      </c>
      <c r="L76" s="70">
        <f t="shared" si="46"/>
        <v>250.04000000000002</v>
      </c>
      <c r="M76" s="70">
        <f t="shared" si="46"/>
        <v>246.54000000000002</v>
      </c>
      <c r="N76" s="70">
        <f t="shared" si="46"/>
        <v>198.04000000000002</v>
      </c>
      <c r="O76" s="70">
        <f t="shared" si="46"/>
        <v>198.04000000000002</v>
      </c>
      <c r="P76" s="70">
        <f t="shared" si="46"/>
        <v>203.24</v>
      </c>
      <c r="Q76" s="70">
        <f t="shared" si="46"/>
        <v>175.24</v>
      </c>
      <c r="R76" s="70">
        <f t="shared" si="46"/>
        <v>202.34</v>
      </c>
      <c r="S76" s="70">
        <f t="shared" si="46"/>
        <v>146.54</v>
      </c>
      <c r="T76" s="70">
        <f t="shared" si="46"/>
        <v>140.13999999999999</v>
      </c>
      <c r="U76" s="70">
        <f t="shared" si="46"/>
        <v>140.13999999999999</v>
      </c>
      <c r="V76" s="70">
        <f t="shared" si="46"/>
        <v>156.94</v>
      </c>
      <c r="W76" s="70">
        <f t="shared" si="46"/>
        <v>233.44</v>
      </c>
      <c r="X76" s="70">
        <f t="shared" si="46"/>
        <v>272.83999999999997</v>
      </c>
      <c r="Y76" s="70">
        <f>SUM(Y63:Y75)</f>
        <v>321.79999999999995</v>
      </c>
      <c r="Z76" s="70">
        <f>SUM(Z63:Z75)</f>
        <v>386.9</v>
      </c>
      <c r="AA76" s="70">
        <f t="shared" si="46"/>
        <v>357.64</v>
      </c>
      <c r="AB76" s="70">
        <f t="shared" si="46"/>
        <v>285.14</v>
      </c>
      <c r="AC76" s="70">
        <f t="shared" si="46"/>
        <v>281.83999999999997</v>
      </c>
      <c r="AD76" s="70">
        <f t="shared" si="46"/>
        <v>247.73999999999998</v>
      </c>
      <c r="AE76" s="70">
        <f t="shared" ref="AE76:AF76" si="47">SUM(AE63:AE75)</f>
        <v>158.54000000000002</v>
      </c>
      <c r="AF76" s="70">
        <f t="shared" si="47"/>
        <v>106.54</v>
      </c>
      <c r="AG76" s="71">
        <f t="shared" si="46"/>
        <v>489.91</v>
      </c>
      <c r="AH76" s="48">
        <f t="shared" si="8"/>
        <v>386.9</v>
      </c>
      <c r="AI76" s="49">
        <f t="shared" si="9"/>
        <v>75.240000000000009</v>
      </c>
      <c r="AK76" s="51"/>
      <c r="AZ76" s="81">
        <f t="shared" ref="AZ76:BW80" si="48">VALUE(AZ69)</f>
        <v>0</v>
      </c>
      <c r="BA76" s="81">
        <f t="shared" si="48"/>
        <v>0</v>
      </c>
      <c r="BB76" s="81">
        <f t="shared" si="48"/>
        <v>0</v>
      </c>
      <c r="BC76" s="81">
        <f t="shared" si="48"/>
        <v>0</v>
      </c>
      <c r="BD76" s="81">
        <f t="shared" si="48"/>
        <v>0</v>
      </c>
      <c r="BE76" s="81">
        <f t="shared" si="48"/>
        <v>0</v>
      </c>
      <c r="BF76" s="81">
        <f t="shared" si="48"/>
        <v>0</v>
      </c>
      <c r="BG76" s="81">
        <f t="shared" si="48"/>
        <v>0</v>
      </c>
      <c r="BH76" s="81">
        <f t="shared" si="48"/>
        <v>0</v>
      </c>
      <c r="BI76" s="81">
        <f t="shared" si="48"/>
        <v>0</v>
      </c>
      <c r="BJ76" s="81">
        <f t="shared" si="48"/>
        <v>0</v>
      </c>
      <c r="BK76" s="81">
        <f t="shared" si="48"/>
        <v>0</v>
      </c>
      <c r="BL76" s="81">
        <f t="shared" si="48"/>
        <v>0</v>
      </c>
      <c r="BM76" s="81">
        <f t="shared" si="48"/>
        <v>0</v>
      </c>
      <c r="BN76" s="81">
        <f t="shared" si="48"/>
        <v>0</v>
      </c>
      <c r="BO76" s="81">
        <f t="shared" si="48"/>
        <v>0</v>
      </c>
      <c r="BP76" s="81">
        <f t="shared" si="48"/>
        <v>0</v>
      </c>
      <c r="BQ76" s="81">
        <f t="shared" si="48"/>
        <v>0</v>
      </c>
      <c r="BR76" s="81">
        <f t="shared" si="48"/>
        <v>0</v>
      </c>
      <c r="BS76" s="81">
        <f t="shared" si="48"/>
        <v>0</v>
      </c>
      <c r="BT76" s="81">
        <f t="shared" si="48"/>
        <v>0</v>
      </c>
      <c r="BU76" s="81">
        <f t="shared" si="48"/>
        <v>0</v>
      </c>
      <c r="BV76" s="81">
        <f t="shared" si="48"/>
        <v>0</v>
      </c>
      <c r="BW76" s="81">
        <f t="shared" si="48"/>
        <v>0</v>
      </c>
    </row>
    <row r="77" spans="1:75" x14ac:dyDescent="0.25">
      <c r="A77" s="45" t="s">
        <v>100</v>
      </c>
      <c r="B77" s="46">
        <v>0</v>
      </c>
      <c r="C77" s="46">
        <v>0</v>
      </c>
      <c r="D77" s="46">
        <v>0</v>
      </c>
      <c r="E77" s="46">
        <v>0</v>
      </c>
      <c r="F77" s="46">
        <v>0</v>
      </c>
      <c r="G77" s="46">
        <v>0</v>
      </c>
      <c r="H77" s="46">
        <v>0</v>
      </c>
      <c r="I77" s="46">
        <v>0</v>
      </c>
      <c r="J77" s="46">
        <v>0</v>
      </c>
      <c r="K77" s="46">
        <v>0</v>
      </c>
      <c r="L77" s="46">
        <v>0</v>
      </c>
      <c r="M77" s="46">
        <v>0</v>
      </c>
      <c r="N77" s="46">
        <v>0</v>
      </c>
      <c r="O77" s="46"/>
      <c r="P77" s="46"/>
      <c r="Q77" s="46"/>
      <c r="R77" s="46"/>
      <c r="S77" s="46"/>
      <c r="T77" s="46"/>
      <c r="U77" s="46"/>
      <c r="V77" s="46"/>
      <c r="W77" s="46">
        <v>10</v>
      </c>
      <c r="X77" s="46">
        <v>0</v>
      </c>
      <c r="Y77" s="46">
        <v>0</v>
      </c>
      <c r="Z77" s="46">
        <v>0</v>
      </c>
      <c r="AA77" s="46">
        <v>0</v>
      </c>
      <c r="AB77" s="46"/>
      <c r="AC77" s="46"/>
      <c r="AD77" s="46"/>
      <c r="AE77" s="46"/>
      <c r="AF77" s="46"/>
      <c r="AG77" s="60">
        <v>60</v>
      </c>
      <c r="AH77" s="48">
        <f t="shared" si="8"/>
        <v>10</v>
      </c>
      <c r="AI77" s="49">
        <f t="shared" si="9"/>
        <v>0</v>
      </c>
      <c r="AK77" s="51"/>
      <c r="AZ77" s="81">
        <f t="shared" si="48"/>
        <v>427</v>
      </c>
      <c r="BA77" s="81">
        <f t="shared" si="48"/>
        <v>436.6</v>
      </c>
      <c r="BB77" s="81">
        <f t="shared" si="48"/>
        <v>454.5</v>
      </c>
      <c r="BC77" s="81">
        <f t="shared" si="48"/>
        <v>461.1</v>
      </c>
      <c r="BD77" s="81">
        <f t="shared" si="48"/>
        <v>425</v>
      </c>
      <c r="BE77" s="81">
        <f t="shared" si="48"/>
        <v>430</v>
      </c>
      <c r="BF77" s="81">
        <f t="shared" si="48"/>
        <v>342.5</v>
      </c>
      <c r="BG77" s="81">
        <f t="shared" si="48"/>
        <v>386</v>
      </c>
      <c r="BH77" s="81">
        <f t="shared" si="48"/>
        <v>396</v>
      </c>
      <c r="BI77" s="81">
        <f t="shared" si="48"/>
        <v>438</v>
      </c>
      <c r="BJ77" s="81">
        <f t="shared" si="48"/>
        <v>407</v>
      </c>
      <c r="BK77" s="81">
        <f t="shared" si="48"/>
        <v>500</v>
      </c>
      <c r="BL77" s="81">
        <f t="shared" si="48"/>
        <v>462</v>
      </c>
      <c r="BM77" s="81">
        <f t="shared" si="48"/>
        <v>506</v>
      </c>
      <c r="BN77" s="81">
        <f t="shared" si="48"/>
        <v>491</v>
      </c>
      <c r="BO77" s="81">
        <f t="shared" si="48"/>
        <v>498</v>
      </c>
      <c r="BP77" s="81">
        <f t="shared" si="48"/>
        <v>471</v>
      </c>
      <c r="BQ77" s="81">
        <f t="shared" si="48"/>
        <v>391</v>
      </c>
      <c r="BR77" s="81">
        <f t="shared" si="48"/>
        <v>268</v>
      </c>
      <c r="BS77" s="81">
        <f t="shared" si="48"/>
        <v>375</v>
      </c>
      <c r="BT77" s="81">
        <f t="shared" si="48"/>
        <v>389.6</v>
      </c>
      <c r="BU77" s="81">
        <f t="shared" si="48"/>
        <v>389</v>
      </c>
      <c r="BV77" s="81">
        <f t="shared" si="48"/>
        <v>368</v>
      </c>
      <c r="BW77" s="81">
        <f t="shared" si="48"/>
        <v>411.9</v>
      </c>
    </row>
    <row r="78" spans="1:75" x14ac:dyDescent="0.25">
      <c r="A78" s="64" t="s">
        <v>101</v>
      </c>
      <c r="B78" s="75">
        <v>0</v>
      </c>
      <c r="C78" s="75">
        <v>0</v>
      </c>
      <c r="D78" s="75">
        <v>0</v>
      </c>
      <c r="E78" s="75">
        <v>0</v>
      </c>
      <c r="F78" s="75">
        <v>0</v>
      </c>
      <c r="G78" s="75">
        <v>0</v>
      </c>
      <c r="H78" s="75">
        <v>0</v>
      </c>
      <c r="I78" s="75">
        <v>0</v>
      </c>
      <c r="J78" s="75">
        <v>0</v>
      </c>
      <c r="K78" s="75">
        <v>0</v>
      </c>
      <c r="L78" s="75">
        <v>0</v>
      </c>
      <c r="M78" s="75">
        <v>0</v>
      </c>
      <c r="N78" s="75">
        <v>0</v>
      </c>
      <c r="O78" s="75"/>
      <c r="P78" s="75"/>
      <c r="Q78" s="75"/>
      <c r="R78" s="75"/>
      <c r="S78" s="75"/>
      <c r="T78" s="75"/>
      <c r="U78" s="75"/>
      <c r="V78" s="75"/>
      <c r="W78" s="75">
        <v>2.4</v>
      </c>
      <c r="X78" s="75">
        <v>0</v>
      </c>
      <c r="Y78" s="75">
        <v>0</v>
      </c>
      <c r="Z78" s="75">
        <v>0</v>
      </c>
      <c r="AA78" s="75">
        <v>0</v>
      </c>
      <c r="AB78" s="75"/>
      <c r="AC78" s="75"/>
      <c r="AD78" s="75"/>
      <c r="AE78" s="75"/>
      <c r="AF78" s="75"/>
      <c r="AG78" s="65">
        <v>32</v>
      </c>
      <c r="AH78" s="48">
        <f t="shared" si="8"/>
        <v>2.4</v>
      </c>
      <c r="AI78" s="49">
        <f t="shared" si="9"/>
        <v>0</v>
      </c>
      <c r="AK78" s="51"/>
      <c r="AZ78" s="81">
        <f t="shared" si="48"/>
        <v>48</v>
      </c>
      <c r="BA78" s="81">
        <f t="shared" si="48"/>
        <v>48.7</v>
      </c>
      <c r="BB78" s="81">
        <f t="shared" si="48"/>
        <v>35.6</v>
      </c>
      <c r="BC78" s="81">
        <f t="shared" si="48"/>
        <v>5.0999999999999996</v>
      </c>
      <c r="BD78" s="81">
        <f t="shared" si="48"/>
        <v>5.8</v>
      </c>
      <c r="BE78" s="81">
        <f t="shared" si="48"/>
        <v>7.4</v>
      </c>
      <c r="BF78" s="81">
        <f t="shared" si="48"/>
        <v>44.8</v>
      </c>
      <c r="BG78" s="81">
        <f t="shared" si="48"/>
        <v>37.299999999999997</v>
      </c>
      <c r="BH78" s="81">
        <f t="shared" si="48"/>
        <v>36.5</v>
      </c>
      <c r="BI78" s="81">
        <f t="shared" si="48"/>
        <v>34.5</v>
      </c>
      <c r="BJ78" s="81">
        <f t="shared" si="48"/>
        <v>33</v>
      </c>
      <c r="BK78" s="81">
        <f t="shared" si="48"/>
        <v>33</v>
      </c>
      <c r="BL78" s="81">
        <f t="shared" si="48"/>
        <v>18</v>
      </c>
      <c r="BM78" s="81">
        <f t="shared" si="48"/>
        <v>31</v>
      </c>
      <c r="BN78" s="81">
        <f t="shared" si="48"/>
        <v>38</v>
      </c>
      <c r="BO78" s="81">
        <f t="shared" si="48"/>
        <v>35</v>
      </c>
      <c r="BP78" s="81">
        <f t="shared" si="48"/>
        <v>28.6</v>
      </c>
      <c r="BQ78" s="81">
        <f t="shared" si="48"/>
        <v>34</v>
      </c>
      <c r="BR78" s="81">
        <f t="shared" si="48"/>
        <v>45</v>
      </c>
      <c r="BS78" s="81">
        <f t="shared" si="48"/>
        <v>38</v>
      </c>
      <c r="BT78" s="81">
        <f t="shared" si="48"/>
        <v>34</v>
      </c>
      <c r="BU78" s="81">
        <f t="shared" si="48"/>
        <v>33.200000000000003</v>
      </c>
      <c r="BV78" s="81">
        <f t="shared" si="48"/>
        <v>29.6</v>
      </c>
      <c r="BW78" s="81">
        <f t="shared" si="48"/>
        <v>47.8</v>
      </c>
    </row>
    <row r="79" spans="1:75" ht="15.75" thickBot="1" x14ac:dyDescent="0.3">
      <c r="A79" s="83" t="s">
        <v>102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/>
      <c r="P79" s="77"/>
      <c r="Q79" s="77"/>
      <c r="R79" s="77"/>
      <c r="S79" s="77"/>
      <c r="T79" s="77"/>
      <c r="U79" s="77"/>
      <c r="V79" s="77"/>
      <c r="W79" s="77">
        <v>0.9</v>
      </c>
      <c r="X79" s="77">
        <v>0</v>
      </c>
      <c r="Y79" s="77">
        <v>0</v>
      </c>
      <c r="Z79" s="77">
        <v>0</v>
      </c>
      <c r="AA79" s="77">
        <v>0</v>
      </c>
      <c r="AB79" s="77"/>
      <c r="AC79" s="77"/>
      <c r="AD79" s="77"/>
      <c r="AE79" s="77"/>
      <c r="AF79" s="77"/>
      <c r="AG79" s="78">
        <v>14</v>
      </c>
      <c r="AH79" s="48">
        <f t="shared" si="8"/>
        <v>0.9</v>
      </c>
      <c r="AI79" s="49">
        <f t="shared" si="9"/>
        <v>0</v>
      </c>
      <c r="AK79" s="51"/>
      <c r="AZ79" s="81">
        <f t="shared" si="48"/>
        <v>123</v>
      </c>
      <c r="BA79" s="81">
        <f t="shared" si="48"/>
        <v>113.9</v>
      </c>
      <c r="BB79" s="81">
        <f t="shared" si="48"/>
        <v>111.5</v>
      </c>
      <c r="BC79" s="81">
        <f t="shared" si="48"/>
        <v>119.6</v>
      </c>
      <c r="BD79" s="81">
        <f t="shared" si="48"/>
        <v>103.9</v>
      </c>
      <c r="BE79" s="81">
        <f t="shared" si="48"/>
        <v>22.9</v>
      </c>
      <c r="BF79" s="81">
        <f t="shared" si="48"/>
        <v>25.5</v>
      </c>
      <c r="BG79" s="81">
        <f t="shared" si="48"/>
        <v>30</v>
      </c>
      <c r="BH79" s="81">
        <f t="shared" si="48"/>
        <v>32</v>
      </c>
      <c r="BI79" s="81">
        <f t="shared" si="48"/>
        <v>46</v>
      </c>
      <c r="BJ79" s="81">
        <f t="shared" si="48"/>
        <v>61</v>
      </c>
      <c r="BK79" s="81">
        <f t="shared" si="48"/>
        <v>55</v>
      </c>
      <c r="BL79" s="81">
        <f t="shared" si="48"/>
        <v>84</v>
      </c>
      <c r="BM79" s="81">
        <f t="shared" si="48"/>
        <v>104.1</v>
      </c>
      <c r="BN79" s="81">
        <f t="shared" si="48"/>
        <v>96.4</v>
      </c>
      <c r="BO79" s="81">
        <f t="shared" si="48"/>
        <v>85.5</v>
      </c>
      <c r="BP79" s="81">
        <f t="shared" si="48"/>
        <v>81</v>
      </c>
      <c r="BQ79" s="81">
        <f t="shared" si="48"/>
        <v>62</v>
      </c>
      <c r="BR79" s="81">
        <f t="shared" si="48"/>
        <v>93</v>
      </c>
      <c r="BS79" s="81">
        <f t="shared" si="48"/>
        <v>77.2</v>
      </c>
      <c r="BT79" s="81">
        <f t="shared" si="48"/>
        <v>131</v>
      </c>
      <c r="BU79" s="81">
        <f t="shared" si="48"/>
        <v>110.5</v>
      </c>
      <c r="BV79" s="81">
        <f t="shared" si="48"/>
        <v>111.2</v>
      </c>
      <c r="BW79" s="81">
        <f t="shared" si="48"/>
        <v>117.8</v>
      </c>
    </row>
    <row r="80" spans="1:75" ht="15.75" thickBot="1" x14ac:dyDescent="0.3">
      <c r="A80" s="86" t="s">
        <v>103</v>
      </c>
      <c r="B80" s="70">
        <f t="shared" ref="B80:C80" si="49">B77+B78+B79</f>
        <v>0</v>
      </c>
      <c r="C80" s="70">
        <f t="shared" si="49"/>
        <v>0</v>
      </c>
      <c r="D80" s="70">
        <f t="shared" ref="D80" si="50">D77+D78+D79</f>
        <v>0</v>
      </c>
      <c r="E80" s="70">
        <f t="shared" ref="E80:AD80" si="51">E77+E78+E79</f>
        <v>0</v>
      </c>
      <c r="F80" s="70">
        <f t="shared" si="51"/>
        <v>0</v>
      </c>
      <c r="G80" s="70">
        <f t="shared" si="51"/>
        <v>0</v>
      </c>
      <c r="H80" s="70">
        <f t="shared" si="51"/>
        <v>0</v>
      </c>
      <c r="I80" s="70">
        <f t="shared" si="51"/>
        <v>0</v>
      </c>
      <c r="J80" s="70">
        <f t="shared" si="51"/>
        <v>0</v>
      </c>
      <c r="K80" s="70">
        <f t="shared" si="51"/>
        <v>0</v>
      </c>
      <c r="L80" s="70">
        <f t="shared" si="51"/>
        <v>0</v>
      </c>
      <c r="M80" s="70">
        <f t="shared" si="51"/>
        <v>0</v>
      </c>
      <c r="N80" s="70">
        <f t="shared" si="51"/>
        <v>0</v>
      </c>
      <c r="O80" s="70">
        <f t="shared" si="51"/>
        <v>0</v>
      </c>
      <c r="P80" s="70">
        <f t="shared" si="51"/>
        <v>0</v>
      </c>
      <c r="Q80" s="70">
        <f t="shared" si="51"/>
        <v>0</v>
      </c>
      <c r="R80" s="70">
        <f t="shared" si="51"/>
        <v>0</v>
      </c>
      <c r="S80" s="70">
        <f t="shared" si="51"/>
        <v>0</v>
      </c>
      <c r="T80" s="70">
        <f t="shared" si="51"/>
        <v>0</v>
      </c>
      <c r="U80" s="70">
        <f t="shared" si="51"/>
        <v>0</v>
      </c>
      <c r="V80" s="70">
        <f t="shared" si="51"/>
        <v>0</v>
      </c>
      <c r="W80" s="70">
        <f t="shared" si="51"/>
        <v>13.3</v>
      </c>
      <c r="X80" s="70">
        <f t="shared" si="51"/>
        <v>0</v>
      </c>
      <c r="Y80" s="70">
        <f>Y77+Y78+Y79</f>
        <v>0</v>
      </c>
      <c r="Z80" s="70">
        <f>Z77+Z78+Z79</f>
        <v>0</v>
      </c>
      <c r="AA80" s="70">
        <f t="shared" si="51"/>
        <v>0</v>
      </c>
      <c r="AB80" s="70">
        <f t="shared" si="51"/>
        <v>0</v>
      </c>
      <c r="AC80" s="70">
        <f t="shared" si="51"/>
        <v>0</v>
      </c>
      <c r="AD80" s="70">
        <f t="shared" si="51"/>
        <v>0</v>
      </c>
      <c r="AE80" s="70">
        <f t="shared" ref="AE80:AF80" si="52">AE77+AE78+AE79</f>
        <v>0</v>
      </c>
      <c r="AF80" s="70">
        <f t="shared" si="52"/>
        <v>0</v>
      </c>
      <c r="AG80" s="71">
        <f>SUM(AG77:AG79)</f>
        <v>106</v>
      </c>
      <c r="AH80" s="48">
        <f t="shared" si="8"/>
        <v>13.3</v>
      </c>
      <c r="AI80" s="49">
        <f t="shared" si="9"/>
        <v>0</v>
      </c>
      <c r="AK80" s="51"/>
      <c r="AZ80" s="81">
        <f t="shared" si="48"/>
        <v>62</v>
      </c>
      <c r="BA80" s="81">
        <f t="shared" si="48"/>
        <v>69</v>
      </c>
      <c r="BB80" s="81">
        <f t="shared" si="48"/>
        <v>70</v>
      </c>
      <c r="BC80" s="81">
        <f t="shared" si="48"/>
        <v>65</v>
      </c>
      <c r="BD80" s="81">
        <f t="shared" si="48"/>
        <v>50</v>
      </c>
      <c r="BE80" s="81">
        <f t="shared" si="48"/>
        <v>50</v>
      </c>
      <c r="BF80" s="81">
        <f t="shared" si="48"/>
        <v>70</v>
      </c>
      <c r="BG80" s="81">
        <f t="shared" si="48"/>
        <v>64</v>
      </c>
      <c r="BH80" s="81">
        <f t="shared" si="48"/>
        <v>70</v>
      </c>
      <c r="BI80" s="81">
        <f t="shared" si="48"/>
        <v>70</v>
      </c>
      <c r="BJ80" s="81">
        <f t="shared" si="48"/>
        <v>72</v>
      </c>
      <c r="BK80" s="81">
        <f t="shared" si="48"/>
        <v>70</v>
      </c>
      <c r="BL80" s="81">
        <f t="shared" si="48"/>
        <v>70</v>
      </c>
      <c r="BM80" s="81">
        <f t="shared" si="48"/>
        <v>68</v>
      </c>
      <c r="BN80" s="81">
        <f t="shared" si="48"/>
        <v>68</v>
      </c>
      <c r="BO80" s="81">
        <f t="shared" si="48"/>
        <v>68</v>
      </c>
      <c r="BP80" s="81">
        <f t="shared" si="48"/>
        <v>68</v>
      </c>
      <c r="BQ80" s="81">
        <f t="shared" si="48"/>
        <v>72</v>
      </c>
      <c r="BR80" s="81">
        <f t="shared" si="48"/>
        <v>55</v>
      </c>
      <c r="BS80" s="81">
        <f t="shared" si="48"/>
        <v>0</v>
      </c>
      <c r="BT80" s="81">
        <f t="shared" si="48"/>
        <v>0</v>
      </c>
      <c r="BU80" s="81">
        <f t="shared" si="48"/>
        <v>0</v>
      </c>
      <c r="BV80" s="81">
        <f t="shared" si="48"/>
        <v>0</v>
      </c>
      <c r="BW80" s="81">
        <f t="shared" si="48"/>
        <v>0</v>
      </c>
    </row>
    <row r="81" spans="1:64" x14ac:dyDescent="0.25">
      <c r="A81" s="45" t="s">
        <v>104</v>
      </c>
      <c r="B81" s="46">
        <v>49.5</v>
      </c>
      <c r="C81" s="46">
        <v>63</v>
      </c>
      <c r="D81" s="46">
        <v>65.5</v>
      </c>
      <c r="E81" s="46">
        <v>55.6</v>
      </c>
      <c r="F81" s="46">
        <v>45</v>
      </c>
      <c r="G81" s="46">
        <v>46</v>
      </c>
      <c r="H81" s="46">
        <v>58.6</v>
      </c>
      <c r="I81" s="46">
        <v>52.5</v>
      </c>
      <c r="J81" s="46">
        <v>57.2</v>
      </c>
      <c r="K81" s="46">
        <v>54.6</v>
      </c>
      <c r="L81" s="46">
        <v>57.1</v>
      </c>
      <c r="M81" s="46">
        <v>40</v>
      </c>
      <c r="N81" s="46">
        <v>54.5</v>
      </c>
      <c r="O81" s="46">
        <v>53.2</v>
      </c>
      <c r="P81" s="46">
        <v>61</v>
      </c>
      <c r="Q81" s="46">
        <v>52</v>
      </c>
      <c r="R81" s="46">
        <v>43</v>
      </c>
      <c r="S81" s="46">
        <v>39.299999999999997</v>
      </c>
      <c r="T81" s="46">
        <v>51.5</v>
      </c>
      <c r="U81" s="46">
        <v>55</v>
      </c>
      <c r="V81" s="46">
        <v>63.1</v>
      </c>
      <c r="W81" s="46">
        <v>43.5</v>
      </c>
      <c r="X81" s="46">
        <v>56.9</v>
      </c>
      <c r="Y81" s="46">
        <v>45.9</v>
      </c>
      <c r="Z81" s="46">
        <v>59.2</v>
      </c>
      <c r="AA81" s="46">
        <v>60.3</v>
      </c>
      <c r="AB81" s="46">
        <v>69.5</v>
      </c>
      <c r="AC81" s="46">
        <v>68.599999999999994</v>
      </c>
      <c r="AD81" s="46">
        <v>64.7</v>
      </c>
      <c r="AE81" s="46">
        <v>64.099999999999994</v>
      </c>
      <c r="AF81" s="46">
        <v>62.6</v>
      </c>
      <c r="AG81" s="60"/>
      <c r="AH81" s="48">
        <f t="shared" si="8"/>
        <v>69.5</v>
      </c>
      <c r="AI81" s="49">
        <f t="shared" si="9"/>
        <v>39.299999999999997</v>
      </c>
      <c r="AK81" s="51"/>
      <c r="AY81" s="81"/>
    </row>
    <row r="82" spans="1:64" x14ac:dyDescent="0.25">
      <c r="A82" s="64" t="s">
        <v>105</v>
      </c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65"/>
      <c r="AH82" s="48">
        <f t="shared" ref="AH82:AH123" si="53">MAX(B82:AF82)</f>
        <v>0</v>
      </c>
      <c r="AI82" s="49">
        <f t="shared" ref="AI82:AI123" si="54">MIN(B82:AF82)</f>
        <v>0</v>
      </c>
      <c r="AK82" s="51"/>
      <c r="AY82" s="81"/>
      <c r="BF82" s="81"/>
      <c r="BG82" s="81"/>
      <c r="BH82" s="81"/>
      <c r="BI82" s="81"/>
      <c r="BJ82" s="81"/>
      <c r="BK82" s="81"/>
    </row>
    <row r="83" spans="1:64" x14ac:dyDescent="0.25">
      <c r="A83" s="64" t="s">
        <v>106</v>
      </c>
      <c r="B83" s="75">
        <v>411.9</v>
      </c>
      <c r="C83" s="75">
        <v>427.3</v>
      </c>
      <c r="D83" s="75">
        <v>436.6</v>
      </c>
      <c r="E83" s="75">
        <v>454.5</v>
      </c>
      <c r="F83" s="75">
        <v>461.1</v>
      </c>
      <c r="G83" s="75">
        <v>425</v>
      </c>
      <c r="H83" s="75">
        <v>415</v>
      </c>
      <c r="I83" s="75">
        <v>430</v>
      </c>
      <c r="J83" s="75">
        <v>392.7</v>
      </c>
      <c r="K83" s="75">
        <v>342.5</v>
      </c>
      <c r="L83" s="75">
        <v>375.8</v>
      </c>
      <c r="M83" s="75">
        <v>386</v>
      </c>
      <c r="N83" s="75">
        <v>396</v>
      </c>
      <c r="O83" s="75">
        <v>438</v>
      </c>
      <c r="P83" s="75">
        <v>407</v>
      </c>
      <c r="Q83" s="75">
        <v>500</v>
      </c>
      <c r="R83" s="75">
        <v>462</v>
      </c>
      <c r="S83" s="75">
        <v>506</v>
      </c>
      <c r="T83" s="75">
        <v>491</v>
      </c>
      <c r="U83" s="75">
        <v>498</v>
      </c>
      <c r="V83" s="75">
        <v>471</v>
      </c>
      <c r="W83" s="75">
        <v>438</v>
      </c>
      <c r="X83" s="75">
        <v>391</v>
      </c>
      <c r="Y83" s="75">
        <v>410</v>
      </c>
      <c r="Z83" s="75">
        <v>268</v>
      </c>
      <c r="AA83" s="75">
        <v>235</v>
      </c>
      <c r="AB83" s="75">
        <v>375</v>
      </c>
      <c r="AC83" s="75">
        <v>383.6</v>
      </c>
      <c r="AD83" s="75">
        <v>389.6</v>
      </c>
      <c r="AE83" s="75">
        <v>389</v>
      </c>
      <c r="AF83" s="75">
        <v>368</v>
      </c>
      <c r="AG83" s="87"/>
      <c r="AH83" s="48">
        <f t="shared" si="53"/>
        <v>506</v>
      </c>
      <c r="AI83" s="49">
        <f t="shared" si="54"/>
        <v>235</v>
      </c>
      <c r="AK83" s="51"/>
      <c r="AY83" s="81"/>
      <c r="BF83" s="80"/>
      <c r="BG83" s="80"/>
      <c r="BH83" s="80"/>
      <c r="BI83" s="80"/>
      <c r="BJ83" s="80"/>
      <c r="BK83" s="81"/>
    </row>
    <row r="84" spans="1:64" x14ac:dyDescent="0.25">
      <c r="A84" s="64" t="s">
        <v>107</v>
      </c>
      <c r="B84" s="75">
        <v>47.8</v>
      </c>
      <c r="C84" s="75">
        <v>48</v>
      </c>
      <c r="D84" s="75">
        <v>48.7</v>
      </c>
      <c r="E84" s="88">
        <v>35.6</v>
      </c>
      <c r="F84" s="88">
        <v>5.0999999999999996</v>
      </c>
      <c r="G84" s="88">
        <v>5.8</v>
      </c>
      <c r="H84" s="88">
        <v>6.6</v>
      </c>
      <c r="I84" s="88">
        <v>7.4</v>
      </c>
      <c r="J84" s="88">
        <v>49.5</v>
      </c>
      <c r="K84" s="88">
        <v>44.8</v>
      </c>
      <c r="L84" s="88">
        <v>35.5</v>
      </c>
      <c r="M84" s="88">
        <v>37.299999999999997</v>
      </c>
      <c r="N84" s="88">
        <v>36.5</v>
      </c>
      <c r="O84" s="88">
        <v>34.5</v>
      </c>
      <c r="P84" s="88">
        <v>33</v>
      </c>
      <c r="Q84" s="88">
        <v>33</v>
      </c>
      <c r="R84" s="88">
        <v>18</v>
      </c>
      <c r="S84" s="88">
        <v>31</v>
      </c>
      <c r="T84" s="88">
        <v>38</v>
      </c>
      <c r="U84" s="88">
        <v>35</v>
      </c>
      <c r="V84" s="88">
        <v>28.6</v>
      </c>
      <c r="W84" s="88">
        <v>0</v>
      </c>
      <c r="X84" s="88">
        <v>34</v>
      </c>
      <c r="Y84" s="88">
        <v>41.7</v>
      </c>
      <c r="Z84" s="88">
        <v>45</v>
      </c>
      <c r="AA84" s="88">
        <v>42.2</v>
      </c>
      <c r="AB84" s="88">
        <v>38</v>
      </c>
      <c r="AC84" s="88">
        <v>35</v>
      </c>
      <c r="AD84" s="88">
        <v>34</v>
      </c>
      <c r="AE84" s="88">
        <v>33.200000000000003</v>
      </c>
      <c r="AF84" s="88">
        <v>29.6</v>
      </c>
      <c r="AG84" s="87"/>
      <c r="AH84" s="48">
        <f t="shared" si="53"/>
        <v>49.5</v>
      </c>
      <c r="AI84" s="49">
        <f t="shared" si="54"/>
        <v>0</v>
      </c>
      <c r="AK84" s="51"/>
      <c r="AY84" s="81"/>
      <c r="BF84" s="80"/>
      <c r="BG84" s="81">
        <f t="array" ref="BG84:BL107">TRANSPOSE(AZ68:BW73)</f>
        <v>63</v>
      </c>
      <c r="BH84" s="81">
        <v>0</v>
      </c>
      <c r="BI84" s="81">
        <v>427</v>
      </c>
      <c r="BJ84" s="81">
        <v>48</v>
      </c>
      <c r="BK84" s="81">
        <v>123</v>
      </c>
      <c r="BL84" s="81">
        <v>62</v>
      </c>
    </row>
    <row r="85" spans="1:64" x14ac:dyDescent="0.25">
      <c r="A85" s="64" t="s">
        <v>108</v>
      </c>
      <c r="B85" s="46">
        <v>117.8</v>
      </c>
      <c r="C85" s="46">
        <v>123.4</v>
      </c>
      <c r="D85" s="46">
        <v>113.9</v>
      </c>
      <c r="E85" s="46">
        <v>111.5</v>
      </c>
      <c r="F85" s="46">
        <v>119.6</v>
      </c>
      <c r="G85" s="46">
        <v>103.9</v>
      </c>
      <c r="H85" s="46">
        <v>21.8</v>
      </c>
      <c r="I85" s="46">
        <v>22.9</v>
      </c>
      <c r="J85" s="46">
        <v>24</v>
      </c>
      <c r="K85" s="46">
        <v>25.5</v>
      </c>
      <c r="L85" s="46">
        <v>2.6</v>
      </c>
      <c r="M85" s="46">
        <v>30</v>
      </c>
      <c r="N85" s="46">
        <v>32</v>
      </c>
      <c r="O85" s="46">
        <v>46</v>
      </c>
      <c r="P85" s="46">
        <v>61</v>
      </c>
      <c r="Q85" s="46">
        <v>55</v>
      </c>
      <c r="R85" s="46">
        <v>84</v>
      </c>
      <c r="S85" s="46">
        <v>104.1</v>
      </c>
      <c r="T85" s="46">
        <v>96.4</v>
      </c>
      <c r="U85" s="46">
        <v>85.5</v>
      </c>
      <c r="V85" s="46">
        <v>81</v>
      </c>
      <c r="W85" s="46">
        <v>0</v>
      </c>
      <c r="X85" s="46">
        <v>62</v>
      </c>
      <c r="Y85" s="46">
        <v>91.5</v>
      </c>
      <c r="Z85" s="46">
        <v>93</v>
      </c>
      <c r="AA85" s="46">
        <v>101</v>
      </c>
      <c r="AB85" s="46">
        <v>77.2</v>
      </c>
      <c r="AC85" s="46">
        <v>108</v>
      </c>
      <c r="AD85" s="46">
        <v>131</v>
      </c>
      <c r="AE85" s="46">
        <v>110.5</v>
      </c>
      <c r="AF85" s="46">
        <v>111.2</v>
      </c>
      <c r="AG85" s="87"/>
      <c r="AH85" s="48">
        <f t="shared" si="53"/>
        <v>131</v>
      </c>
      <c r="AI85" s="49">
        <f t="shared" si="54"/>
        <v>0</v>
      </c>
      <c r="AK85" s="51"/>
      <c r="AY85" s="81"/>
      <c r="BF85" s="80"/>
      <c r="BG85" s="81">
        <v>65.5</v>
      </c>
      <c r="BH85" s="81">
        <v>0</v>
      </c>
      <c r="BI85" s="81">
        <v>436.6</v>
      </c>
      <c r="BJ85" s="81">
        <v>48.7</v>
      </c>
      <c r="BK85" s="81">
        <v>113.9</v>
      </c>
      <c r="BL85" s="81">
        <v>69</v>
      </c>
    </row>
    <row r="86" spans="1:64" x14ac:dyDescent="0.25">
      <c r="A86" s="64" t="s">
        <v>109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7"/>
      <c r="AH86" s="48">
        <f t="shared" si="53"/>
        <v>0</v>
      </c>
      <c r="AI86" s="49">
        <f t="shared" si="54"/>
        <v>0</v>
      </c>
      <c r="AK86" s="51"/>
      <c r="AY86" s="81"/>
      <c r="BF86" s="80"/>
      <c r="BG86" s="81">
        <v>55.6</v>
      </c>
      <c r="BH86" s="81">
        <v>0</v>
      </c>
      <c r="BI86" s="81">
        <v>454.5</v>
      </c>
      <c r="BJ86" s="81">
        <v>35.6</v>
      </c>
      <c r="BK86" s="81">
        <v>111.5</v>
      </c>
      <c r="BL86" s="81">
        <v>70</v>
      </c>
    </row>
    <row r="87" spans="1:64" ht="15.75" thickBot="1" x14ac:dyDescent="0.3">
      <c r="A87" s="64" t="s">
        <v>110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7"/>
      <c r="AH87" s="48">
        <f t="shared" si="53"/>
        <v>0</v>
      </c>
      <c r="AI87" s="49">
        <f t="shared" si="54"/>
        <v>0</v>
      </c>
      <c r="AK87" s="51"/>
      <c r="AL87" s="90" t="s">
        <v>111</v>
      </c>
      <c r="AM87" s="90"/>
      <c r="AY87" s="81"/>
      <c r="BF87" s="81"/>
      <c r="BG87" s="81">
        <v>45</v>
      </c>
      <c r="BH87" s="81">
        <v>0</v>
      </c>
      <c r="BI87" s="81">
        <v>461.1</v>
      </c>
      <c r="BJ87" s="81">
        <v>5.0999999999999996</v>
      </c>
      <c r="BK87" s="81">
        <v>119.6</v>
      </c>
      <c r="BL87" s="81">
        <v>65</v>
      </c>
    </row>
    <row r="88" spans="1:64" x14ac:dyDescent="0.25">
      <c r="A88" s="64" t="s">
        <v>112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7"/>
      <c r="AH88" s="48">
        <f t="shared" si="53"/>
        <v>0</v>
      </c>
      <c r="AI88" s="49">
        <f t="shared" si="54"/>
        <v>0</v>
      </c>
      <c r="AK88" s="91"/>
      <c r="AL88" s="92"/>
      <c r="AM88" s="92"/>
      <c r="AN88" s="93"/>
      <c r="AY88" s="81"/>
      <c r="BF88" s="81"/>
      <c r="BG88" s="81">
        <v>46</v>
      </c>
      <c r="BH88" s="81">
        <v>0</v>
      </c>
      <c r="BI88" s="81">
        <v>425</v>
      </c>
      <c r="BJ88" s="81">
        <v>5.8</v>
      </c>
      <c r="BK88" s="81">
        <v>103.9</v>
      </c>
      <c r="BL88" s="81">
        <v>50</v>
      </c>
    </row>
    <row r="89" spans="1:64" x14ac:dyDescent="0.25">
      <c r="A89" s="64" t="s">
        <v>113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7"/>
      <c r="AH89" s="48">
        <f t="shared" si="53"/>
        <v>0</v>
      </c>
      <c r="AI89" s="49">
        <f t="shared" si="54"/>
        <v>0</v>
      </c>
      <c r="AK89" s="94" t="s">
        <v>114</v>
      </c>
      <c r="AL89" s="75"/>
      <c r="AM89" s="88"/>
      <c r="AN89" s="95"/>
      <c r="AY89" s="81"/>
      <c r="BF89" s="81"/>
      <c r="BG89" s="81">
        <v>52.5</v>
      </c>
      <c r="BH89" s="81">
        <v>0</v>
      </c>
      <c r="BI89" s="81">
        <v>430</v>
      </c>
      <c r="BJ89" s="81">
        <v>7.4</v>
      </c>
      <c r="BK89" s="81">
        <v>22.9</v>
      </c>
      <c r="BL89" s="81">
        <v>50</v>
      </c>
    </row>
    <row r="90" spans="1:64" x14ac:dyDescent="0.25">
      <c r="A90" s="96" t="s">
        <v>115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97"/>
      <c r="AH90" s="48">
        <f t="shared" si="53"/>
        <v>0</v>
      </c>
      <c r="AI90" s="49">
        <f t="shared" si="54"/>
        <v>0</v>
      </c>
      <c r="AK90" s="94" t="s">
        <v>116</v>
      </c>
      <c r="AL90" s="88"/>
      <c r="AM90" s="88"/>
      <c r="AN90" s="95"/>
      <c r="AY90" s="81"/>
      <c r="BF90" s="81"/>
      <c r="BG90" s="81">
        <v>54.6</v>
      </c>
      <c r="BH90" s="81">
        <v>0</v>
      </c>
      <c r="BI90" s="81">
        <v>342.5</v>
      </c>
      <c r="BJ90" s="81">
        <v>44.8</v>
      </c>
      <c r="BK90" s="81">
        <v>25.5</v>
      </c>
      <c r="BL90" s="81">
        <v>70</v>
      </c>
    </row>
    <row r="91" spans="1:64" ht="15.75" thickBot="1" x14ac:dyDescent="0.3">
      <c r="A91" s="96" t="s">
        <v>117</v>
      </c>
      <c r="B91" s="89">
        <v>0</v>
      </c>
      <c r="C91" s="89">
        <v>62</v>
      </c>
      <c r="D91" s="89">
        <v>69</v>
      </c>
      <c r="E91" s="89">
        <v>70</v>
      </c>
      <c r="F91" s="89">
        <v>65</v>
      </c>
      <c r="G91" s="89">
        <v>50</v>
      </c>
      <c r="H91" s="89">
        <v>50</v>
      </c>
      <c r="I91" s="89">
        <v>50</v>
      </c>
      <c r="J91" s="89">
        <v>70</v>
      </c>
      <c r="K91" s="89">
        <v>70</v>
      </c>
      <c r="L91" s="89">
        <v>60</v>
      </c>
      <c r="M91" s="89">
        <v>64</v>
      </c>
      <c r="N91" s="89">
        <v>70</v>
      </c>
      <c r="O91" s="89">
        <v>70</v>
      </c>
      <c r="P91" s="89">
        <v>72</v>
      </c>
      <c r="Q91" s="89">
        <v>70</v>
      </c>
      <c r="R91" s="89">
        <v>70</v>
      </c>
      <c r="S91" s="89">
        <v>68</v>
      </c>
      <c r="T91" s="89">
        <v>68</v>
      </c>
      <c r="U91" s="89">
        <v>68</v>
      </c>
      <c r="V91" s="89">
        <v>68</v>
      </c>
      <c r="W91" s="89">
        <v>72</v>
      </c>
      <c r="X91" s="89">
        <v>72</v>
      </c>
      <c r="Y91" s="89">
        <v>60</v>
      </c>
      <c r="Z91" s="89">
        <v>55</v>
      </c>
      <c r="AA91" s="89">
        <v>0</v>
      </c>
      <c r="AB91" s="89">
        <v>0</v>
      </c>
      <c r="AC91" s="89"/>
      <c r="AD91" s="89"/>
      <c r="AE91" s="89"/>
      <c r="AF91" s="89"/>
      <c r="AG91" s="97"/>
      <c r="AH91" s="48">
        <f t="shared" si="53"/>
        <v>72</v>
      </c>
      <c r="AI91" s="49">
        <f t="shared" si="54"/>
        <v>0</v>
      </c>
      <c r="AK91" s="98"/>
      <c r="AL91" s="46"/>
      <c r="AM91" s="46"/>
      <c r="AN91" s="99"/>
      <c r="AY91" s="81"/>
      <c r="BF91" s="81"/>
      <c r="BG91" s="81">
        <v>40</v>
      </c>
      <c r="BH91" s="81">
        <v>0</v>
      </c>
      <c r="BI91" s="81">
        <v>386</v>
      </c>
      <c r="BJ91" s="81">
        <v>37.299999999999997</v>
      </c>
      <c r="BK91" s="81">
        <v>30</v>
      </c>
      <c r="BL91" s="81">
        <v>64</v>
      </c>
    </row>
    <row r="92" spans="1:64" ht="15.75" thickBot="1" x14ac:dyDescent="0.3">
      <c r="A92" s="86" t="s">
        <v>118</v>
      </c>
      <c r="B92" s="70">
        <f t="shared" ref="B92:C92" si="55">SUMIF(B81:B91,"&gt;0")</f>
        <v>627</v>
      </c>
      <c r="C92" s="70">
        <f t="shared" si="55"/>
        <v>723.69999999999993</v>
      </c>
      <c r="D92" s="70">
        <f t="shared" ref="D92" si="56">SUMIF(D81:D91,"&gt;0")</f>
        <v>733.7</v>
      </c>
      <c r="E92" s="70">
        <f>SUMIF(E81:E91,"&gt;0")</f>
        <v>727.2</v>
      </c>
      <c r="F92" s="70">
        <f>SUMIF(F81:F91,"&gt;0")</f>
        <v>695.80000000000007</v>
      </c>
      <c r="G92" s="70">
        <f>SUMIF(G81:G91,"&gt;0")</f>
        <v>630.70000000000005</v>
      </c>
      <c r="H92" s="70">
        <f t="shared" ref="H92:AD92" si="57">SUMIF(H81:H91,"&gt;0")</f>
        <v>552</v>
      </c>
      <c r="I92" s="70">
        <f t="shared" si="57"/>
        <v>562.79999999999995</v>
      </c>
      <c r="J92" s="70">
        <f t="shared" si="57"/>
        <v>593.4</v>
      </c>
      <c r="K92" s="70">
        <f t="shared" si="57"/>
        <v>537.40000000000009</v>
      </c>
      <c r="L92" s="70">
        <f t="shared" si="57"/>
        <v>531</v>
      </c>
      <c r="M92" s="70">
        <f t="shared" si="57"/>
        <v>557.29999999999995</v>
      </c>
      <c r="N92" s="70">
        <f t="shared" si="57"/>
        <v>589</v>
      </c>
      <c r="O92" s="70">
        <f t="shared" si="57"/>
        <v>641.70000000000005</v>
      </c>
      <c r="P92" s="70">
        <f t="shared" si="57"/>
        <v>634</v>
      </c>
      <c r="Q92" s="70">
        <f t="shared" si="57"/>
        <v>710</v>
      </c>
      <c r="R92" s="70">
        <f t="shared" si="57"/>
        <v>677</v>
      </c>
      <c r="S92" s="70">
        <f t="shared" si="57"/>
        <v>748.4</v>
      </c>
      <c r="T92" s="70">
        <f t="shared" si="57"/>
        <v>744.9</v>
      </c>
      <c r="U92" s="70">
        <f t="shared" si="57"/>
        <v>741.5</v>
      </c>
      <c r="V92" s="70">
        <f t="shared" si="57"/>
        <v>711.7</v>
      </c>
      <c r="W92" s="70">
        <f t="shared" si="57"/>
        <v>553.5</v>
      </c>
      <c r="X92" s="70">
        <f t="shared" si="57"/>
        <v>615.9</v>
      </c>
      <c r="Y92" s="70">
        <f>SUMIF(Y81:Y91,"&gt;0")</f>
        <v>649.09999999999991</v>
      </c>
      <c r="Z92" s="70">
        <f>SUMIF(Z81:Z91,"&gt;0")</f>
        <v>520.20000000000005</v>
      </c>
      <c r="AA92" s="70">
        <f t="shared" si="57"/>
        <v>438.5</v>
      </c>
      <c r="AB92" s="70">
        <f t="shared" si="57"/>
        <v>559.70000000000005</v>
      </c>
      <c r="AC92" s="70">
        <f t="shared" si="57"/>
        <v>595.20000000000005</v>
      </c>
      <c r="AD92" s="70">
        <f t="shared" si="57"/>
        <v>619.29999999999995</v>
      </c>
      <c r="AE92" s="70">
        <f t="shared" ref="AE92:AF92" si="58">SUMIF(AE81:AE91,"&gt;0")</f>
        <v>596.79999999999995</v>
      </c>
      <c r="AF92" s="70">
        <f t="shared" si="58"/>
        <v>571.40000000000009</v>
      </c>
      <c r="AG92" s="100">
        <f>SUM(AG81:AG91)</f>
        <v>0</v>
      </c>
      <c r="AH92" s="48">
        <f t="shared" si="53"/>
        <v>748.4</v>
      </c>
      <c r="AI92" s="49">
        <f t="shared" si="54"/>
        <v>438.5</v>
      </c>
      <c r="AK92" s="98"/>
      <c r="AL92" s="89"/>
      <c r="AM92" s="101"/>
      <c r="AN92" s="202"/>
      <c r="AY92" s="81"/>
      <c r="BF92" s="81"/>
      <c r="BG92" s="81">
        <v>54.5</v>
      </c>
      <c r="BH92" s="81">
        <v>0</v>
      </c>
      <c r="BI92" s="81">
        <v>396</v>
      </c>
      <c r="BJ92" s="81">
        <v>36.5</v>
      </c>
      <c r="BK92" s="81">
        <v>32</v>
      </c>
      <c r="BL92" s="81">
        <v>70</v>
      </c>
    </row>
    <row r="93" spans="1:64" x14ac:dyDescent="0.25">
      <c r="A93" s="45" t="s">
        <v>119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53"/>
        <v>0</v>
      </c>
      <c r="AI93" s="49">
        <f t="shared" si="54"/>
        <v>0</v>
      </c>
      <c r="AK93" s="98"/>
      <c r="AL93" s="89"/>
      <c r="AM93" s="89"/>
      <c r="AN93" s="203"/>
      <c r="BF93" s="81"/>
      <c r="BG93" s="81">
        <v>53.2</v>
      </c>
      <c r="BH93" s="81">
        <v>0</v>
      </c>
      <c r="BI93" s="81">
        <v>438</v>
      </c>
      <c r="BJ93" s="81">
        <v>34.5</v>
      </c>
      <c r="BK93" s="81">
        <v>46</v>
      </c>
      <c r="BL93" s="81">
        <v>70</v>
      </c>
    </row>
    <row r="94" spans="1:64" ht="15.75" thickBot="1" x14ac:dyDescent="0.3">
      <c r="A94" s="64" t="s">
        <v>120</v>
      </c>
      <c r="B94" s="89">
        <v>0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53"/>
        <v>0</v>
      </c>
      <c r="AI94" s="49">
        <f t="shared" si="54"/>
        <v>0</v>
      </c>
      <c r="AK94" s="103"/>
      <c r="AL94" s="104"/>
      <c r="AM94" s="104"/>
      <c r="AN94" s="105"/>
      <c r="BF94" s="81"/>
      <c r="BG94" s="81">
        <v>61</v>
      </c>
      <c r="BH94" s="81">
        <v>0</v>
      </c>
      <c r="BI94" s="81">
        <v>407</v>
      </c>
      <c r="BJ94" s="81">
        <v>33</v>
      </c>
      <c r="BK94" s="81">
        <v>61</v>
      </c>
      <c r="BL94" s="81">
        <v>72</v>
      </c>
    </row>
    <row r="95" spans="1:64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0</v>
      </c>
      <c r="Y95" s="106">
        <v>0</v>
      </c>
      <c r="Z95" s="106">
        <v>0</v>
      </c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53"/>
        <v>0</v>
      </c>
      <c r="AI95" s="49">
        <f t="shared" si="54"/>
        <v>0</v>
      </c>
      <c r="BF95" s="81"/>
      <c r="BG95" s="81">
        <v>52</v>
      </c>
      <c r="BH95" s="81">
        <v>0</v>
      </c>
      <c r="BI95" s="81">
        <v>500</v>
      </c>
      <c r="BJ95" s="81">
        <v>33</v>
      </c>
      <c r="BK95" s="81">
        <v>55</v>
      </c>
      <c r="BL95" s="81">
        <v>70</v>
      </c>
    </row>
    <row r="96" spans="1:64" ht="15.75" thickBot="1" x14ac:dyDescent="0.3">
      <c r="A96" s="86" t="s">
        <v>122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>
        <v>0</v>
      </c>
      <c r="Y96" s="70"/>
      <c r="Z96" s="70"/>
      <c r="AA96" s="70"/>
      <c r="AB96" s="70"/>
      <c r="AC96" s="70"/>
      <c r="AD96" s="70"/>
      <c r="AE96" s="70"/>
      <c r="AF96" s="70"/>
      <c r="AG96" s="100">
        <f>SUM(AG93:AG95)</f>
        <v>55.4</v>
      </c>
      <c r="AH96" s="48">
        <f t="shared" si="53"/>
        <v>0</v>
      </c>
      <c r="AI96" s="49">
        <f t="shared" si="54"/>
        <v>0</v>
      </c>
      <c r="BF96" s="81"/>
      <c r="BG96" s="81">
        <v>43</v>
      </c>
      <c r="BH96" s="81">
        <v>0</v>
      </c>
      <c r="BI96" s="81">
        <v>462</v>
      </c>
      <c r="BJ96" s="81">
        <v>18</v>
      </c>
      <c r="BK96" s="81">
        <v>84</v>
      </c>
      <c r="BL96" s="81">
        <v>70</v>
      </c>
    </row>
    <row r="97" spans="1:64" ht="15.75" thickBot="1" x14ac:dyDescent="0.3">
      <c r="A97" s="86" t="s">
        <v>123</v>
      </c>
      <c r="B97" s="107">
        <f t="shared" ref="B97:C97" si="59">B58+B62+B80+B76+B92+B96</f>
        <v>1356.69</v>
      </c>
      <c r="C97" s="107">
        <f t="shared" si="59"/>
        <v>1331.99</v>
      </c>
      <c r="D97" s="107">
        <f t="shared" ref="D97" si="60">D58+D62+D80+D76+D92+D96</f>
        <v>1301.9900000000002</v>
      </c>
      <c r="E97" s="107">
        <f t="shared" ref="E97:AG97" si="61">E58+E62+E80+E76+E92+E96</f>
        <v>1296.3900000000001</v>
      </c>
      <c r="F97" s="107">
        <f t="shared" si="61"/>
        <v>1264.5900000000001</v>
      </c>
      <c r="G97" s="107">
        <f t="shared" si="61"/>
        <v>1214.79</v>
      </c>
      <c r="H97" s="107">
        <f t="shared" si="61"/>
        <v>1176.19</v>
      </c>
      <c r="I97" s="107">
        <f t="shared" si="61"/>
        <v>1260.0900000000001</v>
      </c>
      <c r="J97" s="107">
        <f t="shared" si="61"/>
        <v>1397.29</v>
      </c>
      <c r="K97" s="107">
        <f t="shared" si="61"/>
        <v>1402.4900000000002</v>
      </c>
      <c r="L97" s="107">
        <f t="shared" si="61"/>
        <v>1396.79</v>
      </c>
      <c r="M97" s="107">
        <f t="shared" si="61"/>
        <v>1378.39</v>
      </c>
      <c r="N97" s="107">
        <f t="shared" si="61"/>
        <v>1322.99</v>
      </c>
      <c r="O97" s="107">
        <f t="shared" si="61"/>
        <v>1375.69</v>
      </c>
      <c r="P97" s="107">
        <f t="shared" si="61"/>
        <v>1400.19</v>
      </c>
      <c r="Q97" s="107">
        <f t="shared" si="61"/>
        <v>1393.19</v>
      </c>
      <c r="R97" s="107">
        <f t="shared" si="61"/>
        <v>1387.29</v>
      </c>
      <c r="S97" s="107">
        <f t="shared" si="61"/>
        <v>1387.8899999999999</v>
      </c>
      <c r="T97" s="107">
        <f t="shared" si="61"/>
        <v>1377.99</v>
      </c>
      <c r="U97" s="107">
        <f t="shared" si="61"/>
        <v>1414.79</v>
      </c>
      <c r="V97" s="107">
        <f t="shared" si="61"/>
        <v>1376.5900000000001</v>
      </c>
      <c r="W97" s="107">
        <f t="shared" si="61"/>
        <v>1308.19</v>
      </c>
      <c r="X97" s="107">
        <f t="shared" si="61"/>
        <v>1446.69</v>
      </c>
      <c r="Y97" s="107">
        <f>Y58+Y62+Y80+Y76+Y92+Y96</f>
        <v>1613.85</v>
      </c>
      <c r="Z97" s="107">
        <f>Z58+Z62+Z80+Z76+Z92+Z96</f>
        <v>1628.05</v>
      </c>
      <c r="AA97" s="107">
        <f t="shared" si="61"/>
        <v>1594.0900000000001</v>
      </c>
      <c r="AB97" s="107">
        <f t="shared" si="61"/>
        <v>1506.29</v>
      </c>
      <c r="AC97" s="107">
        <f t="shared" si="61"/>
        <v>1445.39</v>
      </c>
      <c r="AD97" s="107">
        <f t="shared" si="61"/>
        <v>1417.3899999999999</v>
      </c>
      <c r="AE97" s="107">
        <f t="shared" ref="AE97:AF97" si="62">AE58+AE62+AE80+AE76+AE92+AE96</f>
        <v>1256.5899999999999</v>
      </c>
      <c r="AF97" s="107">
        <f t="shared" si="62"/>
        <v>1179.19</v>
      </c>
      <c r="AG97" s="71">
        <f t="shared" si="61"/>
        <v>2231.81</v>
      </c>
      <c r="AH97" s="48">
        <f t="shared" si="53"/>
        <v>1628.05</v>
      </c>
      <c r="AI97" s="49">
        <f t="shared" si="54"/>
        <v>1176.19</v>
      </c>
      <c r="BF97" s="81"/>
      <c r="BG97" s="81">
        <v>39.299999999999997</v>
      </c>
      <c r="BH97" s="81">
        <v>0</v>
      </c>
      <c r="BI97" s="81">
        <v>506</v>
      </c>
      <c r="BJ97" s="81">
        <v>31</v>
      </c>
      <c r="BK97" s="81">
        <v>104.1</v>
      </c>
      <c r="BL97" s="81">
        <v>68</v>
      </c>
    </row>
    <row r="98" spans="1:64" ht="15.75" thickBot="1" x14ac:dyDescent="0.3">
      <c r="A98" s="108" t="s">
        <v>124</v>
      </c>
      <c r="B98" s="109">
        <v>0</v>
      </c>
      <c r="C98" s="109">
        <v>0</v>
      </c>
      <c r="D98" s="109">
        <v>0</v>
      </c>
      <c r="E98" s="109"/>
      <c r="F98" s="109"/>
      <c r="G98" s="109"/>
      <c r="H98" s="109">
        <v>80</v>
      </c>
      <c r="I98" s="109">
        <v>80</v>
      </c>
      <c r="J98" s="109">
        <v>80</v>
      </c>
      <c r="K98" s="109">
        <v>140</v>
      </c>
      <c r="L98" s="109">
        <v>240</v>
      </c>
      <c r="M98" s="109">
        <v>240</v>
      </c>
      <c r="N98" s="109">
        <v>200</v>
      </c>
      <c r="O98" s="109"/>
      <c r="P98" s="109"/>
      <c r="Q98" s="109"/>
      <c r="R98" s="109"/>
      <c r="S98" s="109"/>
      <c r="T98" s="109"/>
      <c r="U98" s="109"/>
      <c r="V98" s="109"/>
      <c r="W98" s="109">
        <v>200</v>
      </c>
      <c r="X98" s="109">
        <v>60</v>
      </c>
      <c r="Y98" s="109">
        <v>60</v>
      </c>
      <c r="Z98" s="109">
        <v>60</v>
      </c>
      <c r="AA98" s="109">
        <v>60</v>
      </c>
      <c r="AB98" s="109">
        <v>60</v>
      </c>
      <c r="AC98" s="109">
        <v>40</v>
      </c>
      <c r="AD98" s="109"/>
      <c r="AE98" s="109"/>
      <c r="AF98" s="109"/>
      <c r="AG98" s="100"/>
      <c r="AH98" s="48">
        <f t="shared" si="53"/>
        <v>240</v>
      </c>
      <c r="AI98" s="49">
        <f t="shared" si="54"/>
        <v>0</v>
      </c>
      <c r="BF98" s="81"/>
      <c r="BG98" s="81">
        <v>51.5</v>
      </c>
      <c r="BH98" s="81">
        <v>0</v>
      </c>
      <c r="BI98" s="81">
        <v>491</v>
      </c>
      <c r="BJ98" s="81">
        <v>38</v>
      </c>
      <c r="BK98" s="81">
        <v>96.4</v>
      </c>
      <c r="BL98" s="81">
        <v>68</v>
      </c>
    </row>
    <row r="99" spans="1:64" ht="15.75" thickBot="1" x14ac:dyDescent="0.3">
      <c r="A99" s="86" t="s">
        <v>125</v>
      </c>
      <c r="B99" s="107">
        <f t="shared" ref="B99:C99" si="63">B97+B98</f>
        <v>1356.69</v>
      </c>
      <c r="C99" s="107">
        <f t="shared" si="63"/>
        <v>1331.99</v>
      </c>
      <c r="D99" s="107">
        <f t="shared" ref="D99" si="64">D97+D98</f>
        <v>1301.9900000000002</v>
      </c>
      <c r="E99" s="107">
        <f t="shared" ref="E99:AD99" si="65">E97+E98</f>
        <v>1296.3900000000001</v>
      </c>
      <c r="F99" s="107">
        <f t="shared" si="65"/>
        <v>1264.5900000000001</v>
      </c>
      <c r="G99" s="107">
        <f t="shared" si="65"/>
        <v>1214.79</v>
      </c>
      <c r="H99" s="107">
        <f t="shared" si="65"/>
        <v>1256.19</v>
      </c>
      <c r="I99" s="107">
        <f t="shared" si="65"/>
        <v>1340.0900000000001</v>
      </c>
      <c r="J99" s="107">
        <f t="shared" si="65"/>
        <v>1477.29</v>
      </c>
      <c r="K99" s="107">
        <f t="shared" si="65"/>
        <v>1542.4900000000002</v>
      </c>
      <c r="L99" s="107">
        <f t="shared" si="65"/>
        <v>1636.79</v>
      </c>
      <c r="M99" s="107">
        <f t="shared" si="65"/>
        <v>1618.39</v>
      </c>
      <c r="N99" s="107">
        <f t="shared" si="65"/>
        <v>1522.99</v>
      </c>
      <c r="O99" s="107">
        <f t="shared" si="65"/>
        <v>1375.69</v>
      </c>
      <c r="P99" s="107">
        <f t="shared" si="65"/>
        <v>1400.19</v>
      </c>
      <c r="Q99" s="107">
        <f t="shared" si="65"/>
        <v>1393.19</v>
      </c>
      <c r="R99" s="107">
        <f t="shared" si="65"/>
        <v>1387.29</v>
      </c>
      <c r="S99" s="107">
        <f t="shared" si="65"/>
        <v>1387.8899999999999</v>
      </c>
      <c r="T99" s="107">
        <f t="shared" si="65"/>
        <v>1377.99</v>
      </c>
      <c r="U99" s="107">
        <f t="shared" si="65"/>
        <v>1414.79</v>
      </c>
      <c r="V99" s="107">
        <f t="shared" si="65"/>
        <v>1376.5900000000001</v>
      </c>
      <c r="W99" s="107">
        <f t="shared" si="65"/>
        <v>1508.19</v>
      </c>
      <c r="X99" s="107">
        <f t="shared" si="65"/>
        <v>1506.69</v>
      </c>
      <c r="Y99" s="107">
        <f>Y97+Y98</f>
        <v>1673.85</v>
      </c>
      <c r="Z99" s="107">
        <f>Z97+Z98</f>
        <v>1688.05</v>
      </c>
      <c r="AA99" s="107">
        <f t="shared" si="65"/>
        <v>1654.0900000000001</v>
      </c>
      <c r="AB99" s="107">
        <f t="shared" si="65"/>
        <v>1566.29</v>
      </c>
      <c r="AC99" s="107">
        <f t="shared" si="65"/>
        <v>1485.39</v>
      </c>
      <c r="AD99" s="107">
        <f t="shared" si="65"/>
        <v>1417.3899999999999</v>
      </c>
      <c r="AE99" s="107">
        <f t="shared" ref="AE99:AF99" si="66">AE97+AE98</f>
        <v>1256.5899999999999</v>
      </c>
      <c r="AF99" s="107">
        <f t="shared" si="66"/>
        <v>1179.19</v>
      </c>
      <c r="AG99" s="100">
        <f>AG96+AG92+AG80+AG76+AG58+AG98</f>
        <v>1693.71</v>
      </c>
      <c r="AH99" s="48">
        <f t="shared" si="53"/>
        <v>1688.05</v>
      </c>
      <c r="AI99" s="49">
        <f t="shared" si="54"/>
        <v>1179.19</v>
      </c>
      <c r="BF99" s="81"/>
      <c r="BG99" s="81">
        <v>55</v>
      </c>
      <c r="BH99" s="81">
        <v>0</v>
      </c>
      <c r="BI99" s="81">
        <v>498</v>
      </c>
      <c r="BJ99" s="81">
        <v>35</v>
      </c>
      <c r="BK99" s="81">
        <v>85.5</v>
      </c>
      <c r="BL99" s="81">
        <v>68</v>
      </c>
    </row>
    <row r="100" spans="1:64" ht="15.75" thickBot="1" x14ac:dyDescent="0.3">
      <c r="A100" s="86" t="s">
        <v>126</v>
      </c>
      <c r="B100" s="107">
        <f t="shared" ref="B100:C100" si="67">B99-(B107)</f>
        <v>1356.69</v>
      </c>
      <c r="C100" s="107">
        <f t="shared" si="67"/>
        <v>1331.99</v>
      </c>
      <c r="D100" s="107">
        <f t="shared" ref="D100" si="68">D99-(D107)</f>
        <v>1301.9900000000002</v>
      </c>
      <c r="E100" s="107">
        <f t="shared" ref="E100:M100" si="69">E99-(E107)</f>
        <v>1296.3900000000001</v>
      </c>
      <c r="F100" s="107">
        <f t="shared" si="69"/>
        <v>1264.5900000000001</v>
      </c>
      <c r="G100" s="107">
        <f t="shared" si="69"/>
        <v>1214.79</v>
      </c>
      <c r="H100" s="107">
        <f t="shared" si="69"/>
        <v>1256.19</v>
      </c>
      <c r="I100" s="107">
        <f t="shared" si="69"/>
        <v>1340.0900000000001</v>
      </c>
      <c r="J100" s="107">
        <f t="shared" si="69"/>
        <v>1477.29</v>
      </c>
      <c r="K100" s="107">
        <f t="shared" si="69"/>
        <v>1542.4900000000002</v>
      </c>
      <c r="L100" s="107">
        <f t="shared" si="69"/>
        <v>1636.79</v>
      </c>
      <c r="M100" s="107">
        <f t="shared" si="69"/>
        <v>1618.39</v>
      </c>
      <c r="N100" s="107">
        <f>N99-(N107)</f>
        <v>1522.99</v>
      </c>
      <c r="O100" s="107">
        <f t="shared" ref="O100:AD100" si="70">O99-(O107)</f>
        <v>1375.69</v>
      </c>
      <c r="P100" s="107">
        <f t="shared" si="70"/>
        <v>1400.19</v>
      </c>
      <c r="Q100" s="107">
        <f t="shared" si="70"/>
        <v>1393.19</v>
      </c>
      <c r="R100" s="107">
        <f t="shared" si="70"/>
        <v>1387.29</v>
      </c>
      <c r="S100" s="107">
        <f t="shared" si="70"/>
        <v>1387.8899999999999</v>
      </c>
      <c r="T100" s="107">
        <f t="shared" si="70"/>
        <v>1377.99</v>
      </c>
      <c r="U100" s="107">
        <f t="shared" si="70"/>
        <v>1414.79</v>
      </c>
      <c r="V100" s="107">
        <f t="shared" si="70"/>
        <v>1376.5900000000001</v>
      </c>
      <c r="W100" s="107">
        <f t="shared" si="70"/>
        <v>1508.19</v>
      </c>
      <c r="X100" s="107">
        <f t="shared" si="70"/>
        <v>1506.69</v>
      </c>
      <c r="Y100" s="107">
        <f t="shared" si="70"/>
        <v>1673.85</v>
      </c>
      <c r="Z100" s="107">
        <f t="shared" si="70"/>
        <v>1688.05</v>
      </c>
      <c r="AA100" s="107">
        <f t="shared" si="70"/>
        <v>1654.0900000000001</v>
      </c>
      <c r="AB100" s="107">
        <f t="shared" si="70"/>
        <v>1566.29</v>
      </c>
      <c r="AC100" s="107">
        <f t="shared" si="70"/>
        <v>1485.39</v>
      </c>
      <c r="AD100" s="107">
        <f t="shared" si="70"/>
        <v>1417.3899999999999</v>
      </c>
      <c r="AE100" s="107">
        <f t="shared" ref="AE100:AF100" si="71">AE99-(AE107)</f>
        <v>1256.5899999999999</v>
      </c>
      <c r="AF100" s="107">
        <f t="shared" si="71"/>
        <v>1179.19</v>
      </c>
      <c r="AG100" s="100"/>
      <c r="AH100" s="48">
        <f t="shared" si="53"/>
        <v>1688.05</v>
      </c>
      <c r="AI100" s="49">
        <f t="shared" si="54"/>
        <v>1179.19</v>
      </c>
      <c r="BF100" s="81"/>
      <c r="BG100" s="81">
        <v>63.1</v>
      </c>
      <c r="BH100" s="81">
        <v>0</v>
      </c>
      <c r="BI100" s="81">
        <v>471</v>
      </c>
      <c r="BJ100" s="81">
        <v>28.6</v>
      </c>
      <c r="BK100" s="81">
        <v>81</v>
      </c>
      <c r="BL100" s="81">
        <v>68</v>
      </c>
    </row>
    <row r="101" spans="1:64" x14ac:dyDescent="0.25">
      <c r="A101" s="45" t="s">
        <v>107</v>
      </c>
      <c r="B101" s="88">
        <f t="shared" ref="B101:C101" si="72">IF(B84&lt;0,B84*-1,0)</f>
        <v>0</v>
      </c>
      <c r="C101" s="88">
        <f t="shared" si="72"/>
        <v>0</v>
      </c>
      <c r="D101" s="88">
        <f t="shared" ref="D101" si="73">IF(D84&lt;0,D84*-1,0)</f>
        <v>0</v>
      </c>
      <c r="E101" s="88">
        <f t="shared" ref="E101:AD101" si="74">IF(E84&lt;0,E84*-1,0)</f>
        <v>0</v>
      </c>
      <c r="F101" s="88">
        <f t="shared" si="74"/>
        <v>0</v>
      </c>
      <c r="G101" s="88">
        <f t="shared" si="74"/>
        <v>0</v>
      </c>
      <c r="H101" s="88">
        <f t="shared" si="74"/>
        <v>0</v>
      </c>
      <c r="I101" s="88">
        <f t="shared" si="74"/>
        <v>0</v>
      </c>
      <c r="J101" s="88">
        <f t="shared" si="74"/>
        <v>0</v>
      </c>
      <c r="K101" s="88">
        <f t="shared" si="74"/>
        <v>0</v>
      </c>
      <c r="L101" s="88">
        <f t="shared" si="74"/>
        <v>0</v>
      </c>
      <c r="M101" s="88">
        <f t="shared" si="74"/>
        <v>0</v>
      </c>
      <c r="N101" s="88">
        <f t="shared" si="74"/>
        <v>0</v>
      </c>
      <c r="O101" s="88">
        <f t="shared" si="74"/>
        <v>0</v>
      </c>
      <c r="P101" s="88">
        <f t="shared" si="74"/>
        <v>0</v>
      </c>
      <c r="Q101" s="88">
        <f t="shared" si="74"/>
        <v>0</v>
      </c>
      <c r="R101" s="88">
        <f t="shared" si="74"/>
        <v>0</v>
      </c>
      <c r="S101" s="88">
        <f t="shared" si="74"/>
        <v>0</v>
      </c>
      <c r="T101" s="88">
        <f t="shared" si="74"/>
        <v>0</v>
      </c>
      <c r="U101" s="88">
        <f t="shared" si="74"/>
        <v>0</v>
      </c>
      <c r="V101" s="88">
        <f t="shared" si="74"/>
        <v>0</v>
      </c>
      <c r="W101" s="88">
        <f t="shared" si="74"/>
        <v>0</v>
      </c>
      <c r="X101" s="88">
        <f t="shared" si="74"/>
        <v>0</v>
      </c>
      <c r="Y101" s="88">
        <f t="shared" si="74"/>
        <v>0</v>
      </c>
      <c r="Z101" s="88">
        <f t="shared" si="74"/>
        <v>0</v>
      </c>
      <c r="AA101" s="88">
        <f t="shared" si="74"/>
        <v>0</v>
      </c>
      <c r="AB101" s="88">
        <f t="shared" si="74"/>
        <v>0</v>
      </c>
      <c r="AC101" s="88">
        <f t="shared" si="74"/>
        <v>0</v>
      </c>
      <c r="AD101" s="88">
        <f t="shared" si="74"/>
        <v>0</v>
      </c>
      <c r="AE101" s="88">
        <f t="shared" ref="AE101:AF101" si="75">IF(AE84&lt;0,AE84*-1,0)</f>
        <v>0</v>
      </c>
      <c r="AF101" s="88">
        <f t="shared" si="75"/>
        <v>0</v>
      </c>
      <c r="AG101" s="60"/>
      <c r="AH101" s="48">
        <f t="shared" si="53"/>
        <v>0</v>
      </c>
      <c r="AI101" s="49">
        <f t="shared" si="54"/>
        <v>0</v>
      </c>
      <c r="BF101" s="80"/>
      <c r="BG101" s="81">
        <v>56.9</v>
      </c>
      <c r="BH101" s="81">
        <v>0</v>
      </c>
      <c r="BI101" s="81">
        <v>391</v>
      </c>
      <c r="BJ101" s="81">
        <v>34</v>
      </c>
      <c r="BK101" s="81">
        <v>62</v>
      </c>
      <c r="BL101" s="81">
        <v>72</v>
      </c>
    </row>
    <row r="102" spans="1:64" x14ac:dyDescent="0.25">
      <c r="A102" s="64" t="s">
        <v>105</v>
      </c>
      <c r="B102" s="88">
        <f t="shared" ref="B102:C102" si="76">IF(B82&lt;0,B82*-1,0)</f>
        <v>0</v>
      </c>
      <c r="C102" s="88">
        <f t="shared" si="76"/>
        <v>0</v>
      </c>
      <c r="D102" s="88">
        <f t="shared" ref="D102" si="77">IF(D82&lt;0,D82*-1,0)</f>
        <v>0</v>
      </c>
      <c r="E102" s="88">
        <f t="shared" ref="E102:AD102" si="78">IF(E82&lt;0,E82*-1,0)</f>
        <v>0</v>
      </c>
      <c r="F102" s="88">
        <f t="shared" si="78"/>
        <v>0</v>
      </c>
      <c r="G102" s="88">
        <f t="shared" si="78"/>
        <v>0</v>
      </c>
      <c r="H102" s="88">
        <f t="shared" si="78"/>
        <v>0</v>
      </c>
      <c r="I102" s="88">
        <f t="shared" si="78"/>
        <v>0</v>
      </c>
      <c r="J102" s="88">
        <f t="shared" si="78"/>
        <v>0</v>
      </c>
      <c r="K102" s="88">
        <f t="shared" si="78"/>
        <v>0</v>
      </c>
      <c r="L102" s="88">
        <f t="shared" si="78"/>
        <v>0</v>
      </c>
      <c r="M102" s="88">
        <f t="shared" si="78"/>
        <v>0</v>
      </c>
      <c r="N102" s="88">
        <f t="shared" si="78"/>
        <v>0</v>
      </c>
      <c r="O102" s="88">
        <f t="shared" si="78"/>
        <v>0</v>
      </c>
      <c r="P102" s="88">
        <f t="shared" si="78"/>
        <v>0</v>
      </c>
      <c r="Q102" s="88">
        <f t="shared" si="78"/>
        <v>0</v>
      </c>
      <c r="R102" s="88">
        <f t="shared" si="78"/>
        <v>0</v>
      </c>
      <c r="S102" s="88">
        <f t="shared" si="78"/>
        <v>0</v>
      </c>
      <c r="T102" s="88">
        <f t="shared" si="78"/>
        <v>0</v>
      </c>
      <c r="U102" s="88">
        <f t="shared" si="78"/>
        <v>0</v>
      </c>
      <c r="V102" s="88">
        <f t="shared" si="78"/>
        <v>0</v>
      </c>
      <c r="W102" s="88">
        <f t="shared" si="78"/>
        <v>0</v>
      </c>
      <c r="X102" s="88">
        <f t="shared" si="78"/>
        <v>0</v>
      </c>
      <c r="Y102" s="88">
        <f t="shared" si="78"/>
        <v>0</v>
      </c>
      <c r="Z102" s="88">
        <f t="shared" si="78"/>
        <v>0</v>
      </c>
      <c r="AA102" s="88">
        <f t="shared" si="78"/>
        <v>0</v>
      </c>
      <c r="AB102" s="88">
        <f t="shared" si="78"/>
        <v>0</v>
      </c>
      <c r="AC102" s="88">
        <f t="shared" si="78"/>
        <v>0</v>
      </c>
      <c r="AD102" s="88">
        <f t="shared" si="78"/>
        <v>0</v>
      </c>
      <c r="AE102" s="88">
        <f t="shared" ref="AE102:AF102" si="79">IF(AE82&lt;0,AE82*-1,0)</f>
        <v>0</v>
      </c>
      <c r="AF102" s="88">
        <f t="shared" si="79"/>
        <v>0</v>
      </c>
      <c r="AG102" s="65"/>
      <c r="AH102" s="48">
        <f t="shared" si="53"/>
        <v>0</v>
      </c>
      <c r="AI102" s="49">
        <f t="shared" si="54"/>
        <v>0</v>
      </c>
      <c r="BF102" s="80"/>
      <c r="BG102" s="81">
        <v>59.2</v>
      </c>
      <c r="BH102" s="81">
        <v>0</v>
      </c>
      <c r="BI102" s="81">
        <v>268</v>
      </c>
      <c r="BJ102" s="81">
        <v>45</v>
      </c>
      <c r="BK102" s="81">
        <v>93</v>
      </c>
      <c r="BL102" s="81">
        <v>55</v>
      </c>
    </row>
    <row r="103" spans="1:64" x14ac:dyDescent="0.25">
      <c r="A103" s="96" t="s">
        <v>127</v>
      </c>
      <c r="B103" s="88">
        <f t="shared" ref="B103:C103" si="80">IF(B85&lt;0,B85*-1,0)</f>
        <v>0</v>
      </c>
      <c r="C103" s="88">
        <f t="shared" si="80"/>
        <v>0</v>
      </c>
      <c r="D103" s="88">
        <f t="shared" ref="D103" si="81">IF(D85&lt;0,D85*-1,0)</f>
        <v>0</v>
      </c>
      <c r="E103" s="88">
        <f t="shared" ref="E103:AD103" si="82">IF(E85&lt;0,E85*-1,0)</f>
        <v>0</v>
      </c>
      <c r="F103" s="88">
        <f t="shared" si="82"/>
        <v>0</v>
      </c>
      <c r="G103" s="88">
        <f t="shared" si="82"/>
        <v>0</v>
      </c>
      <c r="H103" s="88">
        <f t="shared" si="82"/>
        <v>0</v>
      </c>
      <c r="I103" s="88">
        <f t="shared" si="82"/>
        <v>0</v>
      </c>
      <c r="J103" s="88">
        <f t="shared" si="82"/>
        <v>0</v>
      </c>
      <c r="K103" s="88">
        <f t="shared" si="82"/>
        <v>0</v>
      </c>
      <c r="L103" s="88">
        <f t="shared" si="82"/>
        <v>0</v>
      </c>
      <c r="M103" s="88">
        <f t="shared" si="82"/>
        <v>0</v>
      </c>
      <c r="N103" s="88">
        <f t="shared" si="82"/>
        <v>0</v>
      </c>
      <c r="O103" s="88">
        <f t="shared" si="82"/>
        <v>0</v>
      </c>
      <c r="P103" s="88">
        <f t="shared" si="82"/>
        <v>0</v>
      </c>
      <c r="Q103" s="88">
        <f t="shared" si="82"/>
        <v>0</v>
      </c>
      <c r="R103" s="88">
        <f t="shared" si="82"/>
        <v>0</v>
      </c>
      <c r="S103" s="88">
        <f t="shared" si="82"/>
        <v>0</v>
      </c>
      <c r="T103" s="88">
        <f t="shared" si="82"/>
        <v>0</v>
      </c>
      <c r="U103" s="88">
        <f t="shared" si="82"/>
        <v>0</v>
      </c>
      <c r="V103" s="88">
        <f t="shared" si="82"/>
        <v>0</v>
      </c>
      <c r="W103" s="88">
        <f t="shared" si="82"/>
        <v>0</v>
      </c>
      <c r="X103" s="88">
        <f t="shared" si="82"/>
        <v>0</v>
      </c>
      <c r="Y103" s="88">
        <f t="shared" si="82"/>
        <v>0</v>
      </c>
      <c r="Z103" s="88">
        <f t="shared" si="82"/>
        <v>0</v>
      </c>
      <c r="AA103" s="88">
        <f t="shared" si="82"/>
        <v>0</v>
      </c>
      <c r="AB103" s="88">
        <f t="shared" si="82"/>
        <v>0</v>
      </c>
      <c r="AC103" s="88">
        <f t="shared" si="82"/>
        <v>0</v>
      </c>
      <c r="AD103" s="88">
        <f t="shared" si="82"/>
        <v>0</v>
      </c>
      <c r="AE103" s="88">
        <f t="shared" ref="AE103:AF103" si="83">IF(AE85&lt;0,AE85*-1,0)</f>
        <v>0</v>
      </c>
      <c r="AF103" s="88">
        <f t="shared" si="83"/>
        <v>0</v>
      </c>
      <c r="AG103" s="110"/>
      <c r="AH103" s="48">
        <f t="shared" si="53"/>
        <v>0</v>
      </c>
      <c r="AI103" s="49">
        <f t="shared" si="54"/>
        <v>0</v>
      </c>
      <c r="BF103" s="80"/>
      <c r="BG103" s="81">
        <v>69.5</v>
      </c>
      <c r="BH103" s="81">
        <v>0</v>
      </c>
      <c r="BI103" s="81">
        <v>375</v>
      </c>
      <c r="BJ103" s="81">
        <v>38</v>
      </c>
      <c r="BK103" s="81">
        <v>77.2</v>
      </c>
      <c r="BL103" s="81">
        <v>0</v>
      </c>
    </row>
    <row r="104" spans="1:64" x14ac:dyDescent="0.25">
      <c r="A104" s="96" t="s">
        <v>128</v>
      </c>
      <c r="B104" s="88">
        <f t="shared" ref="B104:C104" si="84">IF(B83&lt;0,B83*-1,0)</f>
        <v>0</v>
      </c>
      <c r="C104" s="88">
        <f t="shared" si="84"/>
        <v>0</v>
      </c>
      <c r="D104" s="88">
        <f t="shared" ref="D104" si="85">IF(D83&lt;0,D83*-1,0)</f>
        <v>0</v>
      </c>
      <c r="E104" s="88">
        <f t="shared" ref="E104:AD104" si="86">IF(E83&lt;0,E83*-1,0)</f>
        <v>0</v>
      </c>
      <c r="F104" s="88">
        <f t="shared" si="86"/>
        <v>0</v>
      </c>
      <c r="G104" s="88">
        <f t="shared" si="86"/>
        <v>0</v>
      </c>
      <c r="H104" s="88">
        <f t="shared" si="86"/>
        <v>0</v>
      </c>
      <c r="I104" s="88">
        <f t="shared" si="86"/>
        <v>0</v>
      </c>
      <c r="J104" s="88">
        <f t="shared" si="86"/>
        <v>0</v>
      </c>
      <c r="K104" s="88">
        <f t="shared" si="86"/>
        <v>0</v>
      </c>
      <c r="L104" s="88">
        <f t="shared" si="86"/>
        <v>0</v>
      </c>
      <c r="M104" s="88">
        <f t="shared" si="86"/>
        <v>0</v>
      </c>
      <c r="N104" s="88">
        <f t="shared" si="86"/>
        <v>0</v>
      </c>
      <c r="O104" s="88">
        <f t="shared" si="86"/>
        <v>0</v>
      </c>
      <c r="P104" s="88">
        <f t="shared" si="86"/>
        <v>0</v>
      </c>
      <c r="Q104" s="88">
        <f t="shared" si="86"/>
        <v>0</v>
      </c>
      <c r="R104" s="88">
        <f t="shared" si="86"/>
        <v>0</v>
      </c>
      <c r="S104" s="88">
        <f t="shared" si="86"/>
        <v>0</v>
      </c>
      <c r="T104" s="88">
        <f t="shared" si="86"/>
        <v>0</v>
      </c>
      <c r="U104" s="88">
        <f t="shared" si="86"/>
        <v>0</v>
      </c>
      <c r="V104" s="88">
        <f t="shared" si="86"/>
        <v>0</v>
      </c>
      <c r="W104" s="88">
        <f t="shared" si="86"/>
        <v>0</v>
      </c>
      <c r="X104" s="88">
        <f t="shared" si="86"/>
        <v>0</v>
      </c>
      <c r="Y104" s="88">
        <f t="shared" si="86"/>
        <v>0</v>
      </c>
      <c r="Z104" s="88">
        <f t="shared" si="86"/>
        <v>0</v>
      </c>
      <c r="AA104" s="88">
        <f t="shared" si="86"/>
        <v>0</v>
      </c>
      <c r="AB104" s="88">
        <f t="shared" si="86"/>
        <v>0</v>
      </c>
      <c r="AC104" s="88">
        <f t="shared" si="86"/>
        <v>0</v>
      </c>
      <c r="AD104" s="88">
        <f t="shared" si="86"/>
        <v>0</v>
      </c>
      <c r="AE104" s="88">
        <f t="shared" ref="AE104:AF104" si="87">IF(AE83&lt;0,AE83*-1,0)</f>
        <v>0</v>
      </c>
      <c r="AF104" s="88">
        <f t="shared" si="87"/>
        <v>0</v>
      </c>
      <c r="AG104" s="110"/>
      <c r="AH104" s="48">
        <f t="shared" si="53"/>
        <v>0</v>
      </c>
      <c r="AI104" s="49">
        <f t="shared" si="54"/>
        <v>0</v>
      </c>
      <c r="BF104" s="80"/>
      <c r="BG104" s="81">
        <v>64.7</v>
      </c>
      <c r="BH104" s="81">
        <v>0</v>
      </c>
      <c r="BI104" s="81">
        <v>389.6</v>
      </c>
      <c r="BJ104" s="81">
        <v>34</v>
      </c>
      <c r="BK104" s="81">
        <v>131</v>
      </c>
      <c r="BL104" s="81">
        <v>0</v>
      </c>
    </row>
    <row r="105" spans="1:64" x14ac:dyDescent="0.25">
      <c r="A105" s="96" t="s">
        <v>104</v>
      </c>
      <c r="B105" s="88">
        <f t="shared" ref="B105:C105" si="88">IF(B81&lt;0,B81*-1,0)</f>
        <v>0</v>
      </c>
      <c r="C105" s="88">
        <f t="shared" si="88"/>
        <v>0</v>
      </c>
      <c r="D105" s="88">
        <f t="shared" ref="D105" si="89">IF(D81&lt;0,D81*-1,0)</f>
        <v>0</v>
      </c>
      <c r="E105" s="88">
        <f t="shared" ref="E105:AD105" si="90">IF(E81&lt;0,E81*-1,0)</f>
        <v>0</v>
      </c>
      <c r="F105" s="88">
        <f t="shared" si="90"/>
        <v>0</v>
      </c>
      <c r="G105" s="88">
        <f t="shared" si="90"/>
        <v>0</v>
      </c>
      <c r="H105" s="88">
        <f t="shared" si="90"/>
        <v>0</v>
      </c>
      <c r="I105" s="88">
        <f t="shared" si="90"/>
        <v>0</v>
      </c>
      <c r="J105" s="88">
        <f t="shared" si="90"/>
        <v>0</v>
      </c>
      <c r="K105" s="88">
        <f t="shared" si="90"/>
        <v>0</v>
      </c>
      <c r="L105" s="88">
        <f t="shared" si="90"/>
        <v>0</v>
      </c>
      <c r="M105" s="88">
        <f t="shared" si="90"/>
        <v>0</v>
      </c>
      <c r="N105" s="88">
        <f t="shared" si="90"/>
        <v>0</v>
      </c>
      <c r="O105" s="88">
        <f t="shared" si="90"/>
        <v>0</v>
      </c>
      <c r="P105" s="88">
        <f t="shared" si="90"/>
        <v>0</v>
      </c>
      <c r="Q105" s="88">
        <f t="shared" si="90"/>
        <v>0</v>
      </c>
      <c r="R105" s="88">
        <f t="shared" si="90"/>
        <v>0</v>
      </c>
      <c r="S105" s="88">
        <f t="shared" si="90"/>
        <v>0</v>
      </c>
      <c r="T105" s="88">
        <f t="shared" si="90"/>
        <v>0</v>
      </c>
      <c r="U105" s="88">
        <f t="shared" si="90"/>
        <v>0</v>
      </c>
      <c r="V105" s="88">
        <f t="shared" si="90"/>
        <v>0</v>
      </c>
      <c r="W105" s="88">
        <f t="shared" si="90"/>
        <v>0</v>
      </c>
      <c r="X105" s="88">
        <f t="shared" si="90"/>
        <v>0</v>
      </c>
      <c r="Y105" s="88">
        <f t="shared" si="90"/>
        <v>0</v>
      </c>
      <c r="Z105" s="88">
        <f t="shared" si="90"/>
        <v>0</v>
      </c>
      <c r="AA105" s="88">
        <f t="shared" si="90"/>
        <v>0</v>
      </c>
      <c r="AB105" s="88">
        <f t="shared" si="90"/>
        <v>0</v>
      </c>
      <c r="AC105" s="88">
        <f t="shared" si="90"/>
        <v>0</v>
      </c>
      <c r="AD105" s="88">
        <f t="shared" si="90"/>
        <v>0</v>
      </c>
      <c r="AE105" s="88">
        <f t="shared" ref="AE105:AF105" si="91">IF(AE81&lt;0,AE81*-1,0)</f>
        <v>0</v>
      </c>
      <c r="AF105" s="88">
        <f t="shared" si="91"/>
        <v>0</v>
      </c>
      <c r="AG105" s="110"/>
      <c r="AH105" s="48">
        <f t="shared" si="53"/>
        <v>0</v>
      </c>
      <c r="AI105" s="49">
        <f t="shared" si="54"/>
        <v>0</v>
      </c>
      <c r="BF105" s="80"/>
      <c r="BG105" s="81">
        <v>64.099999999999994</v>
      </c>
      <c r="BH105" s="81">
        <v>0</v>
      </c>
      <c r="BI105" s="81">
        <v>389</v>
      </c>
      <c r="BJ105" s="81">
        <v>33.200000000000003</v>
      </c>
      <c r="BK105" s="81">
        <v>110.5</v>
      </c>
      <c r="BL105" s="81">
        <v>0</v>
      </c>
    </row>
    <row r="106" spans="1:64" ht="15.75" thickBot="1" x14ac:dyDescent="0.3">
      <c r="A106" s="96" t="s">
        <v>129</v>
      </c>
      <c r="B106" s="106">
        <v>0</v>
      </c>
      <c r="C106" s="106">
        <v>0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0</v>
      </c>
      <c r="Y106" s="106">
        <v>0</v>
      </c>
      <c r="Z106" s="106">
        <v>0</v>
      </c>
      <c r="AA106" s="106">
        <v>0</v>
      </c>
      <c r="AB106" s="106">
        <v>0</v>
      </c>
      <c r="AC106" s="106">
        <v>0</v>
      </c>
      <c r="AD106" s="106">
        <v>0</v>
      </c>
      <c r="AE106" s="106">
        <v>0</v>
      </c>
      <c r="AF106" s="106">
        <v>0</v>
      </c>
      <c r="AG106" s="97"/>
      <c r="AH106" s="48">
        <f t="shared" si="53"/>
        <v>0</v>
      </c>
      <c r="AI106" s="49">
        <f t="shared" si="54"/>
        <v>0</v>
      </c>
      <c r="BG106" s="81">
        <v>62.6</v>
      </c>
      <c r="BH106" s="81">
        <v>0</v>
      </c>
      <c r="BI106" s="81">
        <v>368</v>
      </c>
      <c r="BJ106" s="81">
        <v>29.6</v>
      </c>
      <c r="BK106" s="81">
        <v>111.2</v>
      </c>
      <c r="BL106" s="81">
        <v>0</v>
      </c>
    </row>
    <row r="107" spans="1:64" ht="15.75" thickBot="1" x14ac:dyDescent="0.3">
      <c r="A107" s="111" t="s">
        <v>130</v>
      </c>
      <c r="B107" s="70">
        <f t="shared" ref="B107:C107" si="92">SUM(B101:B106)</f>
        <v>0</v>
      </c>
      <c r="C107" s="70">
        <f t="shared" si="92"/>
        <v>0</v>
      </c>
      <c r="D107" s="70">
        <f t="shared" ref="D107" si="93">SUM(D101:D106)</f>
        <v>0</v>
      </c>
      <c r="E107" s="70">
        <f t="shared" ref="E107:AD107" si="94">SUM(E101:E106)</f>
        <v>0</v>
      </c>
      <c r="F107" s="70">
        <f t="shared" si="94"/>
        <v>0</v>
      </c>
      <c r="G107" s="70">
        <f t="shared" si="94"/>
        <v>0</v>
      </c>
      <c r="H107" s="70">
        <f t="shared" si="94"/>
        <v>0</v>
      </c>
      <c r="I107" s="70">
        <f t="shared" si="94"/>
        <v>0</v>
      </c>
      <c r="J107" s="70">
        <f t="shared" si="94"/>
        <v>0</v>
      </c>
      <c r="K107" s="70">
        <f t="shared" si="94"/>
        <v>0</v>
      </c>
      <c r="L107" s="70">
        <f t="shared" si="94"/>
        <v>0</v>
      </c>
      <c r="M107" s="70">
        <f t="shared" si="94"/>
        <v>0</v>
      </c>
      <c r="N107" s="70">
        <f t="shared" si="94"/>
        <v>0</v>
      </c>
      <c r="O107" s="70">
        <f t="shared" si="94"/>
        <v>0</v>
      </c>
      <c r="P107" s="70">
        <f t="shared" si="94"/>
        <v>0</v>
      </c>
      <c r="Q107" s="70">
        <f t="shared" si="94"/>
        <v>0</v>
      </c>
      <c r="R107" s="70">
        <f t="shared" si="94"/>
        <v>0</v>
      </c>
      <c r="S107" s="70">
        <f t="shared" si="94"/>
        <v>0</v>
      </c>
      <c r="T107" s="70">
        <f t="shared" si="94"/>
        <v>0</v>
      </c>
      <c r="U107" s="70">
        <f t="shared" si="94"/>
        <v>0</v>
      </c>
      <c r="V107" s="70">
        <f t="shared" si="94"/>
        <v>0</v>
      </c>
      <c r="W107" s="70">
        <f t="shared" si="94"/>
        <v>0</v>
      </c>
      <c r="X107" s="70">
        <f t="shared" si="94"/>
        <v>0</v>
      </c>
      <c r="Y107" s="70">
        <f t="shared" si="94"/>
        <v>0</v>
      </c>
      <c r="Z107" s="70">
        <f t="shared" si="94"/>
        <v>0</v>
      </c>
      <c r="AA107" s="70">
        <f t="shared" si="94"/>
        <v>0</v>
      </c>
      <c r="AB107" s="70">
        <f t="shared" si="94"/>
        <v>0</v>
      </c>
      <c r="AC107" s="70">
        <f t="shared" si="94"/>
        <v>0</v>
      </c>
      <c r="AD107" s="70">
        <f t="shared" si="94"/>
        <v>0</v>
      </c>
      <c r="AE107" s="70">
        <f t="shared" ref="AE107:AF107" si="95">SUM(AE101:AE106)</f>
        <v>0</v>
      </c>
      <c r="AF107" s="70">
        <f t="shared" si="95"/>
        <v>0</v>
      </c>
      <c r="AG107" s="100"/>
      <c r="AH107" s="48">
        <f t="shared" si="53"/>
        <v>0</v>
      </c>
      <c r="AI107" s="49">
        <f t="shared" si="54"/>
        <v>0</v>
      </c>
      <c r="AK107" s="51"/>
      <c r="BG107" s="81">
        <v>49.5</v>
      </c>
      <c r="BH107" s="81">
        <v>0</v>
      </c>
      <c r="BI107" s="81">
        <v>411.9</v>
      </c>
      <c r="BJ107" s="81">
        <v>47.8</v>
      </c>
      <c r="BK107" s="81">
        <v>117.8</v>
      </c>
      <c r="BL107" s="81">
        <v>0</v>
      </c>
    </row>
    <row r="108" spans="1:64" ht="15.75" thickBot="1" x14ac:dyDescent="0.3">
      <c r="A108" s="86" t="s">
        <v>131</v>
      </c>
      <c r="B108" s="70">
        <f t="shared" ref="B108:C108" si="96">B92-B107</f>
        <v>627</v>
      </c>
      <c r="C108" s="70">
        <f t="shared" si="96"/>
        <v>723.69999999999993</v>
      </c>
      <c r="D108" s="70">
        <f t="shared" ref="D108" si="97">D92-D107</f>
        <v>733.7</v>
      </c>
      <c r="E108" s="70">
        <f t="shared" ref="E108:AD108" si="98">E92-E107</f>
        <v>727.2</v>
      </c>
      <c r="F108" s="70">
        <f t="shared" si="98"/>
        <v>695.80000000000007</v>
      </c>
      <c r="G108" s="70">
        <f t="shared" si="98"/>
        <v>630.70000000000005</v>
      </c>
      <c r="H108" s="70">
        <f t="shared" si="98"/>
        <v>552</v>
      </c>
      <c r="I108" s="70">
        <f t="shared" si="98"/>
        <v>562.79999999999995</v>
      </c>
      <c r="J108" s="70">
        <f t="shared" si="98"/>
        <v>593.4</v>
      </c>
      <c r="K108" s="70">
        <f t="shared" si="98"/>
        <v>537.40000000000009</v>
      </c>
      <c r="L108" s="70">
        <f t="shared" si="98"/>
        <v>531</v>
      </c>
      <c r="M108" s="70">
        <f t="shared" si="98"/>
        <v>557.29999999999995</v>
      </c>
      <c r="N108" s="70">
        <f t="shared" si="98"/>
        <v>589</v>
      </c>
      <c r="O108" s="70">
        <f t="shared" si="98"/>
        <v>641.70000000000005</v>
      </c>
      <c r="P108" s="70">
        <f t="shared" si="98"/>
        <v>634</v>
      </c>
      <c r="Q108" s="70">
        <f t="shared" si="98"/>
        <v>710</v>
      </c>
      <c r="R108" s="70">
        <f t="shared" si="98"/>
        <v>677</v>
      </c>
      <c r="S108" s="70">
        <f t="shared" si="98"/>
        <v>748.4</v>
      </c>
      <c r="T108" s="70">
        <f t="shared" si="98"/>
        <v>744.9</v>
      </c>
      <c r="U108" s="70">
        <f t="shared" si="98"/>
        <v>741.5</v>
      </c>
      <c r="V108" s="70">
        <f t="shared" si="98"/>
        <v>711.7</v>
      </c>
      <c r="W108" s="70">
        <f t="shared" si="98"/>
        <v>553.5</v>
      </c>
      <c r="X108" s="70">
        <f t="shared" si="98"/>
        <v>615.9</v>
      </c>
      <c r="Y108" s="70">
        <f>Y92-Y107</f>
        <v>649.09999999999991</v>
      </c>
      <c r="Z108" s="70">
        <f>Z92-Z107</f>
        <v>520.20000000000005</v>
      </c>
      <c r="AA108" s="70">
        <f t="shared" si="98"/>
        <v>438.5</v>
      </c>
      <c r="AB108" s="70">
        <f t="shared" si="98"/>
        <v>559.70000000000005</v>
      </c>
      <c r="AC108" s="70">
        <f t="shared" si="98"/>
        <v>595.20000000000005</v>
      </c>
      <c r="AD108" s="70">
        <f t="shared" si="98"/>
        <v>619.29999999999995</v>
      </c>
      <c r="AE108" s="70">
        <f t="shared" ref="AE108:AF108" si="99">AE92-AE107</f>
        <v>596.79999999999995</v>
      </c>
      <c r="AF108" s="70">
        <f t="shared" si="99"/>
        <v>571.40000000000009</v>
      </c>
      <c r="AG108" s="100"/>
      <c r="AH108" s="48">
        <f t="shared" si="53"/>
        <v>748.4</v>
      </c>
      <c r="AI108" s="49">
        <f t="shared" si="54"/>
        <v>438.5</v>
      </c>
    </row>
    <row r="109" spans="1:64" x14ac:dyDescent="0.25">
      <c r="A109" s="112" t="s">
        <v>132</v>
      </c>
      <c r="B109" s="113">
        <v>50</v>
      </c>
      <c r="C109" s="113">
        <v>49.99</v>
      </c>
      <c r="D109" s="113">
        <v>50.01</v>
      </c>
      <c r="E109" s="113">
        <v>50.051000000000002</v>
      </c>
      <c r="F109" s="113">
        <v>50.009</v>
      </c>
      <c r="G109" s="113">
        <v>50.02</v>
      </c>
      <c r="H109" s="113">
        <v>50.02</v>
      </c>
      <c r="I109" s="113">
        <v>50.119</v>
      </c>
      <c r="J109" s="113">
        <v>50.021999999999998</v>
      </c>
      <c r="K109" s="113">
        <v>50.064</v>
      </c>
      <c r="L109" s="113">
        <v>50.075000000000003</v>
      </c>
      <c r="M109" s="113">
        <v>50.058</v>
      </c>
      <c r="N109" s="113">
        <v>49.997</v>
      </c>
      <c r="O109" s="113">
        <v>50.021000000000001</v>
      </c>
      <c r="P109" s="113">
        <v>50.067999999999998</v>
      </c>
      <c r="Q109" s="113">
        <v>50.03</v>
      </c>
      <c r="R109" s="113">
        <v>49.996000000000002</v>
      </c>
      <c r="S109" s="113">
        <v>50.008000000000003</v>
      </c>
      <c r="T109" s="113">
        <v>49.987000000000002</v>
      </c>
      <c r="U109" s="113">
        <v>49.997</v>
      </c>
      <c r="V109" s="113">
        <v>49.884</v>
      </c>
      <c r="W109" s="113">
        <v>50.112000000000002</v>
      </c>
      <c r="X109" s="113">
        <v>50</v>
      </c>
      <c r="Y109" s="113">
        <v>50.033000000000001</v>
      </c>
      <c r="Z109" s="113">
        <v>50.036999999999999</v>
      </c>
      <c r="AA109" s="113">
        <v>50.012999999999998</v>
      </c>
      <c r="AB109" s="113">
        <v>49.953000000000003</v>
      </c>
      <c r="AC109" s="113">
        <v>50.042000000000002</v>
      </c>
      <c r="AD109" s="113">
        <v>49.99</v>
      </c>
      <c r="AE109" s="113">
        <v>50.03</v>
      </c>
      <c r="AF109" s="113">
        <v>50.03</v>
      </c>
      <c r="AG109" s="114"/>
      <c r="AH109" s="48">
        <f t="shared" si="53"/>
        <v>50.119</v>
      </c>
      <c r="AI109" s="49">
        <f t="shared" si="54"/>
        <v>49.884</v>
      </c>
    </row>
    <row r="110" spans="1:64" x14ac:dyDescent="0.25">
      <c r="A110" s="115" t="s">
        <v>133</v>
      </c>
      <c r="B110" s="75">
        <v>128.80000000000001</v>
      </c>
      <c r="C110" s="75">
        <v>128.80000000000001</v>
      </c>
      <c r="D110" s="75">
        <v>129.30000000000001</v>
      </c>
      <c r="E110" s="75">
        <v>128.80000000000001</v>
      </c>
      <c r="F110" s="75">
        <v>127.6</v>
      </c>
      <c r="G110" s="75">
        <v>128.19999999999999</v>
      </c>
      <c r="H110" s="75">
        <v>126.7</v>
      </c>
      <c r="I110" s="75">
        <v>125.1</v>
      </c>
      <c r="J110" s="75">
        <v>124.1</v>
      </c>
      <c r="K110" s="75">
        <v>127.4</v>
      </c>
      <c r="L110" s="75">
        <v>125.3</v>
      </c>
      <c r="M110" s="75">
        <v>127.4</v>
      </c>
      <c r="N110" s="75">
        <v>128</v>
      </c>
      <c r="O110" s="75">
        <v>128.4</v>
      </c>
      <c r="P110" s="75">
        <v>127.5</v>
      </c>
      <c r="Q110" s="75">
        <v>125.8</v>
      </c>
      <c r="R110" s="75">
        <v>126.1</v>
      </c>
      <c r="S110" s="75">
        <v>126</v>
      </c>
      <c r="T110" s="75">
        <v>125.3</v>
      </c>
      <c r="U110" s="75">
        <v>125.4</v>
      </c>
      <c r="V110" s="75">
        <v>127.9</v>
      </c>
      <c r="W110" s="75">
        <v>128.19999999999999</v>
      </c>
      <c r="X110" s="75">
        <v>128.30000000000001</v>
      </c>
      <c r="Y110" s="75">
        <v>125.9</v>
      </c>
      <c r="Z110" s="75">
        <v>127.7</v>
      </c>
      <c r="AA110" s="75">
        <v>127.3</v>
      </c>
      <c r="AB110" s="75">
        <v>127.5</v>
      </c>
      <c r="AC110" s="75">
        <v>128.80000000000001</v>
      </c>
      <c r="AD110" s="75">
        <v>128</v>
      </c>
      <c r="AE110" s="75">
        <v>128.9</v>
      </c>
      <c r="AF110" s="75">
        <v>130.1</v>
      </c>
      <c r="AG110" s="116"/>
      <c r="AH110" s="48">
        <f t="shared" si="53"/>
        <v>130.1</v>
      </c>
      <c r="AI110" s="49">
        <f t="shared" si="54"/>
        <v>124.1</v>
      </c>
    </row>
    <row r="111" spans="1:64" x14ac:dyDescent="0.25">
      <c r="A111" s="115" t="s">
        <v>134</v>
      </c>
      <c r="B111" s="75">
        <v>131.5</v>
      </c>
      <c r="C111" s="75">
        <v>131.5</v>
      </c>
      <c r="D111" s="75">
        <v>132.80000000000001</v>
      </c>
      <c r="E111" s="75">
        <v>131.9</v>
      </c>
      <c r="F111" s="75">
        <v>130.69999999999999</v>
      </c>
      <c r="G111" s="75">
        <v>130.69999999999999</v>
      </c>
      <c r="H111" s="75">
        <v>130.19999999999999</v>
      </c>
      <c r="I111" s="75">
        <v>128.69999999999999</v>
      </c>
      <c r="J111" s="75">
        <v>127.3</v>
      </c>
      <c r="K111" s="75">
        <v>129.6</v>
      </c>
      <c r="L111" s="75">
        <v>128.1</v>
      </c>
      <c r="M111" s="75">
        <v>129.4</v>
      </c>
      <c r="N111" s="75">
        <v>129.6</v>
      </c>
      <c r="O111" s="75">
        <v>130.4</v>
      </c>
      <c r="P111" s="75">
        <v>129.5</v>
      </c>
      <c r="Q111" s="75">
        <v>128.6</v>
      </c>
      <c r="R111" s="75">
        <v>128.5</v>
      </c>
      <c r="S111" s="75">
        <v>128.30000000000001</v>
      </c>
      <c r="T111" s="75">
        <v>127.7</v>
      </c>
      <c r="U111" s="75">
        <v>127.7</v>
      </c>
      <c r="V111" s="75">
        <v>129.4</v>
      </c>
      <c r="W111" s="75">
        <v>130.19999999999999</v>
      </c>
      <c r="X111" s="75">
        <v>130</v>
      </c>
      <c r="Y111" s="75">
        <v>127.5</v>
      </c>
      <c r="Z111" s="75">
        <v>129.1</v>
      </c>
      <c r="AA111" s="75">
        <v>128.9</v>
      </c>
      <c r="AB111" s="75">
        <v>129.80000000000001</v>
      </c>
      <c r="AC111" s="75">
        <v>131</v>
      </c>
      <c r="AD111" s="75">
        <v>130.5</v>
      </c>
      <c r="AE111" s="75">
        <v>131.9</v>
      </c>
      <c r="AF111" s="75">
        <v>133</v>
      </c>
      <c r="AG111" s="116"/>
      <c r="AH111" s="48">
        <f t="shared" si="53"/>
        <v>133</v>
      </c>
      <c r="AI111" s="49">
        <f t="shared" si="54"/>
        <v>127.3</v>
      </c>
    </row>
    <row r="112" spans="1:64" x14ac:dyDescent="0.25">
      <c r="A112" s="115" t="s">
        <v>135</v>
      </c>
      <c r="B112" s="75">
        <v>129.1</v>
      </c>
      <c r="C112" s="75">
        <v>129.1</v>
      </c>
      <c r="D112" s="75">
        <v>131.80000000000001</v>
      </c>
      <c r="E112" s="75">
        <v>128.5</v>
      </c>
      <c r="F112" s="75">
        <v>128.6</v>
      </c>
      <c r="G112" s="75">
        <v>131.5</v>
      </c>
      <c r="H112" s="75">
        <v>132.69999999999999</v>
      </c>
      <c r="I112" s="75">
        <v>128.9</v>
      </c>
      <c r="J112" s="75">
        <v>121.4</v>
      </c>
      <c r="K112" s="75">
        <v>130.19999999999999</v>
      </c>
      <c r="L112" s="75">
        <v>124.4</v>
      </c>
      <c r="M112" s="75">
        <v>123.9</v>
      </c>
      <c r="N112" s="75">
        <v>124</v>
      </c>
      <c r="O112" s="75">
        <v>125</v>
      </c>
      <c r="P112" s="75">
        <v>124.9</v>
      </c>
      <c r="Q112" s="75">
        <v>125.9</v>
      </c>
      <c r="R112" s="75">
        <v>125</v>
      </c>
      <c r="S112" s="75">
        <v>124.6</v>
      </c>
      <c r="T112" s="75">
        <v>130</v>
      </c>
      <c r="U112" s="75">
        <v>125.3</v>
      </c>
      <c r="V112" s="75">
        <v>126.1</v>
      </c>
      <c r="W112" s="75">
        <v>127.6</v>
      </c>
      <c r="X112" s="75">
        <v>125</v>
      </c>
      <c r="Y112" s="75">
        <v>126.1</v>
      </c>
      <c r="Z112" s="75">
        <v>131.4</v>
      </c>
      <c r="AA112" s="75">
        <v>127.2</v>
      </c>
      <c r="AB112" s="75">
        <v>130.19999999999999</v>
      </c>
      <c r="AC112" s="75">
        <v>131.9</v>
      </c>
      <c r="AD112" s="75">
        <v>131.19999999999999</v>
      </c>
      <c r="AE112" s="75">
        <v>130.69999999999999</v>
      </c>
      <c r="AF112" s="75">
        <v>130.1</v>
      </c>
      <c r="AG112" s="116"/>
      <c r="AH112" s="48">
        <f t="shared" si="53"/>
        <v>132.69999999999999</v>
      </c>
      <c r="AI112" s="49">
        <f t="shared" si="54"/>
        <v>121.4</v>
      </c>
    </row>
    <row r="113" spans="1:35" x14ac:dyDescent="0.25">
      <c r="A113" s="117" t="s">
        <v>136</v>
      </c>
      <c r="B113" s="75">
        <v>131.4</v>
      </c>
      <c r="C113" s="75">
        <v>131.4</v>
      </c>
      <c r="D113" s="75">
        <v>132.30000000000001</v>
      </c>
      <c r="E113" s="75">
        <v>130.9</v>
      </c>
      <c r="F113" s="75">
        <v>130.5</v>
      </c>
      <c r="G113" s="75">
        <v>132.69999999999999</v>
      </c>
      <c r="H113" s="75">
        <v>133.4</v>
      </c>
      <c r="I113" s="75">
        <v>130</v>
      </c>
      <c r="J113" s="75">
        <v>122.3</v>
      </c>
      <c r="K113" s="75">
        <v>130</v>
      </c>
      <c r="L113" s="75">
        <v>125.5</v>
      </c>
      <c r="M113" s="75">
        <v>123.9</v>
      </c>
      <c r="N113" s="75">
        <v>122.9</v>
      </c>
      <c r="O113" s="75">
        <v>124.1</v>
      </c>
      <c r="P113" s="75">
        <v>123.9</v>
      </c>
      <c r="Q113" s="75">
        <v>124.2</v>
      </c>
      <c r="R113" s="75">
        <v>125.2</v>
      </c>
      <c r="S113" s="75">
        <v>123.1</v>
      </c>
      <c r="T113" s="75">
        <v>129</v>
      </c>
      <c r="U113" s="75">
        <v>125.6</v>
      </c>
      <c r="V113" s="75">
        <v>125.9</v>
      </c>
      <c r="W113" s="75">
        <v>127.8</v>
      </c>
      <c r="X113" s="75">
        <v>124.3</v>
      </c>
      <c r="Y113" s="75">
        <v>126.1</v>
      </c>
      <c r="Z113" s="75">
        <v>131.5</v>
      </c>
      <c r="AA113" s="75">
        <v>127.9</v>
      </c>
      <c r="AB113" s="75">
        <v>130.69999999999999</v>
      </c>
      <c r="AC113" s="75">
        <v>133.9</v>
      </c>
      <c r="AD113" s="75">
        <v>133.9</v>
      </c>
      <c r="AE113" s="75">
        <v>129.9</v>
      </c>
      <c r="AF113" s="75">
        <v>131.9</v>
      </c>
      <c r="AG113" s="116"/>
      <c r="AH113" s="48">
        <f t="shared" si="53"/>
        <v>133.9</v>
      </c>
      <c r="AI113" s="49">
        <f t="shared" si="54"/>
        <v>122.3</v>
      </c>
    </row>
    <row r="114" spans="1:35" x14ac:dyDescent="0.25">
      <c r="A114" s="117" t="s">
        <v>137</v>
      </c>
      <c r="B114" s="118">
        <v>134.69999999999999</v>
      </c>
      <c r="C114" s="118">
        <v>134.69999999999999</v>
      </c>
      <c r="D114" s="118">
        <v>133.5</v>
      </c>
      <c r="E114" s="118">
        <v>131.5</v>
      </c>
      <c r="F114" s="118">
        <v>129.9</v>
      </c>
      <c r="G114" s="118">
        <v>132</v>
      </c>
      <c r="H114" s="118">
        <v>130</v>
      </c>
      <c r="I114" s="118">
        <v>131.1</v>
      </c>
      <c r="J114" s="118">
        <v>134.69999999999999</v>
      </c>
      <c r="K114" s="118">
        <v>137</v>
      </c>
      <c r="L114" s="118">
        <v>135</v>
      </c>
      <c r="M114" s="118">
        <v>134.69999999999999</v>
      </c>
      <c r="N114" s="118">
        <v>134.4</v>
      </c>
      <c r="O114" s="118">
        <v>136</v>
      </c>
      <c r="P114" s="118">
        <v>135.4</v>
      </c>
      <c r="Q114" s="118">
        <v>131.1</v>
      </c>
      <c r="R114" s="118">
        <v>132.19999999999999</v>
      </c>
      <c r="S114" s="118">
        <v>132.5</v>
      </c>
      <c r="T114" s="118">
        <v>131.80000000000001</v>
      </c>
      <c r="U114" s="118">
        <v>134.9</v>
      </c>
      <c r="V114" s="118">
        <v>132.69999999999999</v>
      </c>
      <c r="W114" s="118">
        <v>136.19999999999999</v>
      </c>
      <c r="X114" s="118">
        <v>136.30000000000001</v>
      </c>
      <c r="Y114" s="118">
        <v>132.9</v>
      </c>
      <c r="Z114" s="118">
        <v>134.4</v>
      </c>
      <c r="AA114" s="118">
        <v>132.69999999999999</v>
      </c>
      <c r="AB114" s="118">
        <v>131.69999999999999</v>
      </c>
      <c r="AC114" s="118">
        <v>131.6</v>
      </c>
      <c r="AD114" s="118">
        <v>132.80000000000001</v>
      </c>
      <c r="AE114" s="118">
        <v>132.4</v>
      </c>
      <c r="AF114" s="118">
        <v>133.6</v>
      </c>
      <c r="AG114" s="119"/>
      <c r="AH114" s="48">
        <f t="shared" si="53"/>
        <v>137</v>
      </c>
      <c r="AI114" s="49">
        <f t="shared" si="54"/>
        <v>129.9</v>
      </c>
    </row>
    <row r="115" spans="1:35" x14ac:dyDescent="0.25">
      <c r="A115" s="115" t="s">
        <v>138</v>
      </c>
      <c r="B115" s="75">
        <v>123.8</v>
      </c>
      <c r="C115" s="75">
        <v>123.8</v>
      </c>
      <c r="D115" s="75">
        <v>127.4</v>
      </c>
      <c r="E115" s="75">
        <v>129.4</v>
      </c>
      <c r="F115" s="75">
        <v>132.9</v>
      </c>
      <c r="G115" s="75">
        <v>132.80000000000001</v>
      </c>
      <c r="H115" s="75">
        <v>129.9</v>
      </c>
      <c r="I115" s="75">
        <v>128.30000000000001</v>
      </c>
      <c r="J115" s="75">
        <v>130.30000000000001</v>
      </c>
      <c r="K115" s="75">
        <v>129.4</v>
      </c>
      <c r="L115" s="75">
        <v>132</v>
      </c>
      <c r="M115" s="75">
        <v>129.9</v>
      </c>
      <c r="N115" s="75">
        <v>126.9</v>
      </c>
      <c r="O115" s="75">
        <v>128.9</v>
      </c>
      <c r="P115" s="75">
        <v>125.7</v>
      </c>
      <c r="Q115" s="75">
        <v>133.30000000000001</v>
      </c>
      <c r="R115" s="75">
        <v>130.69999999999999</v>
      </c>
      <c r="S115" s="75">
        <v>135.19999999999999</v>
      </c>
      <c r="T115" s="75">
        <v>129.5</v>
      </c>
      <c r="U115" s="75">
        <v>132.5</v>
      </c>
      <c r="V115" s="75">
        <v>129</v>
      </c>
      <c r="W115" s="75">
        <v>133.80000000000001</v>
      </c>
      <c r="X115" s="75">
        <v>131.4</v>
      </c>
      <c r="Y115" s="75">
        <v>128</v>
      </c>
      <c r="Z115" s="75">
        <v>131.6</v>
      </c>
      <c r="AA115" s="75">
        <v>133.4</v>
      </c>
      <c r="AB115" s="75">
        <v>128.5</v>
      </c>
      <c r="AC115" s="75">
        <v>127.2</v>
      </c>
      <c r="AD115" s="75">
        <v>130.4</v>
      </c>
      <c r="AE115" s="75">
        <v>129.5</v>
      </c>
      <c r="AF115" s="75">
        <v>130.1</v>
      </c>
      <c r="AG115" s="116"/>
      <c r="AH115" s="48">
        <f t="shared" si="53"/>
        <v>135.19999999999999</v>
      </c>
      <c r="AI115" s="49">
        <f t="shared" si="54"/>
        <v>123.8</v>
      </c>
    </row>
    <row r="116" spans="1:35" ht="15.75" thickBot="1" x14ac:dyDescent="0.3">
      <c r="A116" s="115" t="s">
        <v>139</v>
      </c>
      <c r="B116" s="104">
        <v>66.099999999999994</v>
      </c>
      <c r="C116" s="104">
        <v>66.099999999999994</v>
      </c>
      <c r="D116" s="104">
        <v>67</v>
      </c>
      <c r="E116" s="104">
        <v>66.5</v>
      </c>
      <c r="F116" s="104">
        <v>65.8</v>
      </c>
      <c r="G116" s="104">
        <v>66</v>
      </c>
      <c r="H116" s="104">
        <v>66</v>
      </c>
      <c r="I116" s="104">
        <v>64.8</v>
      </c>
      <c r="J116" s="104">
        <v>63.8</v>
      </c>
      <c r="K116" s="104">
        <v>65.2</v>
      </c>
      <c r="L116" s="104">
        <v>64.5</v>
      </c>
      <c r="M116" s="104">
        <v>65.099999999999994</v>
      </c>
      <c r="N116" s="104">
        <v>65.3</v>
      </c>
      <c r="O116" s="104">
        <v>65.900000000000006</v>
      </c>
      <c r="P116" s="104">
        <v>65.2</v>
      </c>
      <c r="Q116" s="104">
        <v>64.7</v>
      </c>
      <c r="R116" s="104">
        <v>65.099999999999994</v>
      </c>
      <c r="S116" s="104">
        <v>64.7</v>
      </c>
      <c r="T116" s="104">
        <v>64.3</v>
      </c>
      <c r="U116" s="104">
        <v>64.599999999999994</v>
      </c>
      <c r="V116" s="104">
        <v>65.599999999999994</v>
      </c>
      <c r="W116" s="104">
        <v>65.8</v>
      </c>
      <c r="X116" s="104">
        <v>65.400000000000006</v>
      </c>
      <c r="Y116" s="104">
        <v>64.2</v>
      </c>
      <c r="Z116" s="104">
        <v>65.2</v>
      </c>
      <c r="AA116" s="104">
        <v>65.099999999999994</v>
      </c>
      <c r="AB116" s="104">
        <v>65.5</v>
      </c>
      <c r="AC116" s="104">
        <v>65.8</v>
      </c>
      <c r="AD116" s="104">
        <v>65.7</v>
      </c>
      <c r="AE116" s="104">
        <v>66.2</v>
      </c>
      <c r="AF116" s="104">
        <v>67</v>
      </c>
      <c r="AG116" s="120"/>
      <c r="AH116" s="48">
        <f t="shared" si="53"/>
        <v>67</v>
      </c>
      <c r="AI116" s="49">
        <f t="shared" si="54"/>
        <v>63.8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 t="s">
        <v>140</v>
      </c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53"/>
        <v>0</v>
      </c>
      <c r="AI117" s="49">
        <f t="shared" si="54"/>
        <v>0</v>
      </c>
    </row>
    <row r="118" spans="1:35" ht="15.75" thickBot="1" x14ac:dyDescent="0.3">
      <c r="A118" s="122" t="s">
        <v>141</v>
      </c>
      <c r="B118" s="123">
        <f t="shared" ref="B118:C118" si="100">SUM(B22,B28,B31:B32,B66,B68:B69,B71,B73,B119:B123,B155,B161,B167,B176,B178,B190,B197,B200:B201,B208,B210,B212,B216:B218,B220:B222,B227,B233:B234,B236:B238,B246,B251)</f>
        <v>149.74</v>
      </c>
      <c r="C118" s="123">
        <f t="shared" si="100"/>
        <v>141.16000000000003</v>
      </c>
      <c r="D118" s="123">
        <f t="shared" ref="D118" si="101">SUM(D22,D28,D31:D32,D66,D68:D69,D71,D73,D119:D123,D155,D161,D167,D176,D178,D190,D197,D200:D201,D208,D210,D212,D216:D218,D220:D222,D227,D233:D234,D236:D238,D246,D251)</f>
        <v>164.5</v>
      </c>
      <c r="E118" s="123">
        <f t="shared" ref="E118:O118" si="102">SUM(E22,E28,E31:E32,E66,E68:E69,E71,E73,E119:E123,E155,E161,E167,E176,E178,E190,E197,E200:E201,E208,E210,E212,E216:E218,E220:E222,E227,E233:E234,E236:E238,E246,E251)</f>
        <v>135.14299999999997</v>
      </c>
      <c r="F118" s="123">
        <f t="shared" si="102"/>
        <v>139.46199999999999</v>
      </c>
      <c r="G118" s="123">
        <f t="shared" si="102"/>
        <v>161.35500000000002</v>
      </c>
      <c r="H118" s="123">
        <f t="shared" si="102"/>
        <v>202.21699999999998</v>
      </c>
      <c r="I118" s="123">
        <f t="shared" si="102"/>
        <v>225.14700000000002</v>
      </c>
      <c r="J118" s="123">
        <f t="shared" si="102"/>
        <v>278.97700000000003</v>
      </c>
      <c r="K118" s="123">
        <f t="shared" si="102"/>
        <v>303.22899999999998</v>
      </c>
      <c r="L118" s="123">
        <f t="shared" si="102"/>
        <v>345.36599999999999</v>
      </c>
      <c r="M118" s="123">
        <f t="shared" si="102"/>
        <v>346.64</v>
      </c>
      <c r="N118" s="123">
        <f t="shared" si="102"/>
        <v>333.66</v>
      </c>
      <c r="O118" s="123">
        <f t="shared" si="102"/>
        <v>321.94</v>
      </c>
      <c r="P118" s="123">
        <v>42</v>
      </c>
      <c r="Q118" s="123">
        <f t="shared" ref="Q118:AD118" si="103">SUM(Q22,Q28,Q31:Q32,Q66,Q68:Q69,Q71,Q73,Q119:Q123,Q155,Q161,Q167,Q176,Q178,Q190,Q197,Q200:Q201,Q208,Q210,Q212,Q216:Q218,Q220:Q222,Q227,Q233:Q234,Q236:Q238,Q246,Q251)</f>
        <v>306.82</v>
      </c>
      <c r="R118" s="123">
        <f t="shared" si="103"/>
        <v>313.94</v>
      </c>
      <c r="S118" s="123">
        <f t="shared" si="103"/>
        <v>307.33999999999997</v>
      </c>
      <c r="T118" s="123">
        <f t="shared" si="103"/>
        <v>311.74</v>
      </c>
      <c r="U118" s="123">
        <f t="shared" si="103"/>
        <v>340.84</v>
      </c>
      <c r="V118" s="123">
        <f t="shared" si="103"/>
        <v>333.14000000000004</v>
      </c>
      <c r="W118" s="123">
        <f t="shared" si="103"/>
        <v>338.74</v>
      </c>
      <c r="X118" s="123">
        <f t="shared" si="103"/>
        <v>369.54</v>
      </c>
      <c r="Y118" s="123">
        <f t="shared" ref="Y118:Z118" si="104">SUM(Y20,Y26,Y37:Y38,Y66,Y68:Y69,Y71,Y73,Y119:Y123,Y148,Y154,Y160,Y169,Y171,Y183,Y190,Y193:Y194,Y201,Y203,Y205,Y209:Y211,Y213:Y215,Y220,Y226:Y227,Y229:Y231,Y239,Y244)</f>
        <v>406.30000000000007</v>
      </c>
      <c r="Z118" s="123">
        <f t="shared" si="104"/>
        <v>415.4</v>
      </c>
      <c r="AA118" s="123">
        <f t="shared" si="103"/>
        <v>394.04</v>
      </c>
      <c r="AB118" s="123">
        <f t="shared" si="103"/>
        <v>354.26</v>
      </c>
      <c r="AC118" s="123">
        <f t="shared" si="103"/>
        <v>317.14000000000004</v>
      </c>
      <c r="AD118" s="123">
        <f t="shared" si="103"/>
        <v>282.86000000000007</v>
      </c>
      <c r="AE118" s="123">
        <f t="shared" ref="AE118:AF118" si="105">SUM(AE22,AE28,AE31:AE32,AE66,AE68:AE69,AE71,AE73,AE119:AE123,AE155,AE161,AE167,AE176,AE178,AE190,AE197,AE200:AE201,AE208,AE210,AE212,AE216:AE218,AE220:AE222,AE227,AE233:AE234,AE236:AE238,AE246,AE251)</f>
        <v>210.2</v>
      </c>
      <c r="AF118" s="123">
        <f t="shared" si="105"/>
        <v>175.7</v>
      </c>
      <c r="AG118" s="124"/>
      <c r="AH118" s="48">
        <f t="shared" si="53"/>
        <v>415.4</v>
      </c>
      <c r="AI118" s="49">
        <f t="shared" si="54"/>
        <v>42</v>
      </c>
    </row>
    <row r="119" spans="1:35" x14ac:dyDescent="0.25">
      <c r="A119" s="125" t="s">
        <v>142</v>
      </c>
      <c r="B119" s="126">
        <v>-18.7</v>
      </c>
      <c r="C119" s="126">
        <v>-14.7</v>
      </c>
      <c r="D119" s="126">
        <v>-13.6</v>
      </c>
      <c r="E119" s="126">
        <v>-18.7</v>
      </c>
      <c r="F119" s="126">
        <v>-26.9</v>
      </c>
      <c r="G119" s="126">
        <v>-19.8</v>
      </c>
      <c r="H119" s="126">
        <v>-6.2</v>
      </c>
      <c r="I119" s="126">
        <v>-6.2</v>
      </c>
      <c r="J119" s="126">
        <v>14</v>
      </c>
      <c r="K119" s="126">
        <v>20.399999999999999</v>
      </c>
      <c r="L119" s="126">
        <v>23.6</v>
      </c>
      <c r="M119" s="126">
        <v>25.1</v>
      </c>
      <c r="N119" s="126">
        <v>17</v>
      </c>
      <c r="O119" s="126">
        <v>18.899999999999999</v>
      </c>
      <c r="P119" s="126">
        <v>21.2</v>
      </c>
      <c r="Q119" s="126">
        <v>11.4</v>
      </c>
      <c r="R119" s="126">
        <v>16</v>
      </c>
      <c r="S119" s="126">
        <v>7.3</v>
      </c>
      <c r="T119" s="126">
        <v>10</v>
      </c>
      <c r="U119" s="126">
        <v>13</v>
      </c>
      <c r="V119" s="126">
        <v>11.3</v>
      </c>
      <c r="W119" s="126">
        <v>24.5</v>
      </c>
      <c r="X119" s="126">
        <v>38.200000000000003</v>
      </c>
      <c r="Y119" s="126">
        <v>34.6</v>
      </c>
      <c r="Z119" s="126">
        <v>48</v>
      </c>
      <c r="AA119" s="126">
        <v>29</v>
      </c>
      <c r="AB119" s="126">
        <v>21.2</v>
      </c>
      <c r="AC119" s="126">
        <v>19.5</v>
      </c>
      <c r="AD119" s="126">
        <v>8.6999999999999993</v>
      </c>
      <c r="AE119" s="126">
        <v>-13.6</v>
      </c>
      <c r="AF119" s="126">
        <v>-19.100000000000001</v>
      </c>
      <c r="AG119" s="127">
        <v>75</v>
      </c>
      <c r="AH119" s="48">
        <f t="shared" si="53"/>
        <v>48</v>
      </c>
      <c r="AI119" s="49">
        <f t="shared" si="54"/>
        <v>-26.9</v>
      </c>
    </row>
    <row r="120" spans="1:35" x14ac:dyDescent="0.25">
      <c r="A120" s="128" t="s">
        <v>143</v>
      </c>
      <c r="B120" s="129">
        <v>-33.200000000000003</v>
      </c>
      <c r="C120" s="129">
        <v>-23.5</v>
      </c>
      <c r="D120" s="129">
        <v>-23.7</v>
      </c>
      <c r="E120" s="129">
        <v>-30.1</v>
      </c>
      <c r="F120" s="129">
        <v>-41.9</v>
      </c>
      <c r="G120" s="129">
        <v>-33.5</v>
      </c>
      <c r="H120" s="129">
        <v>-12.3</v>
      </c>
      <c r="I120" s="129">
        <v>-16.2</v>
      </c>
      <c r="J120" s="129">
        <v>12.2</v>
      </c>
      <c r="K120" s="129">
        <v>30.1</v>
      </c>
      <c r="L120" s="129">
        <v>31.3</v>
      </c>
      <c r="M120" s="129">
        <v>34</v>
      </c>
      <c r="N120" s="129">
        <v>22.7</v>
      </c>
      <c r="O120" s="129">
        <v>26.4</v>
      </c>
      <c r="P120" s="129">
        <v>23.3</v>
      </c>
      <c r="Q120" s="129">
        <v>9.6999999999999993</v>
      </c>
      <c r="R120" s="129">
        <v>16</v>
      </c>
      <c r="S120" s="129">
        <v>7.9</v>
      </c>
      <c r="T120" s="129">
        <v>13</v>
      </c>
      <c r="U120" s="129">
        <v>15</v>
      </c>
      <c r="V120" s="129">
        <v>18</v>
      </c>
      <c r="W120" s="129">
        <v>35</v>
      </c>
      <c r="X120" s="129">
        <v>53.1</v>
      </c>
      <c r="Y120" s="129">
        <v>44.3</v>
      </c>
      <c r="Z120" s="129">
        <v>59</v>
      </c>
      <c r="AA120" s="129">
        <v>31</v>
      </c>
      <c r="AB120" s="129">
        <v>20.8</v>
      </c>
      <c r="AC120" s="129">
        <v>20.6</v>
      </c>
      <c r="AD120" s="129">
        <v>6.4</v>
      </c>
      <c r="AE120" s="129">
        <v>-22.5</v>
      </c>
      <c r="AF120" s="129">
        <v>-32</v>
      </c>
      <c r="AG120" s="127">
        <v>240</v>
      </c>
      <c r="AH120" s="48">
        <f t="shared" si="53"/>
        <v>59</v>
      </c>
      <c r="AI120" s="49">
        <f t="shared" si="54"/>
        <v>-41.9</v>
      </c>
    </row>
    <row r="121" spans="1:35" x14ac:dyDescent="0.25">
      <c r="A121" s="128" t="s">
        <v>144</v>
      </c>
      <c r="B121" s="129">
        <v>0</v>
      </c>
      <c r="C121" s="129">
        <v>-4.5</v>
      </c>
      <c r="D121" s="129">
        <v>6.5</v>
      </c>
      <c r="E121" s="129">
        <v>-3.2</v>
      </c>
      <c r="F121" s="129">
        <v>4.4000000000000004</v>
      </c>
      <c r="G121" s="129">
        <v>10.1</v>
      </c>
      <c r="H121" s="129">
        <v>8.6</v>
      </c>
      <c r="I121" s="129">
        <v>20</v>
      </c>
      <c r="J121" s="129">
        <v>23</v>
      </c>
      <c r="K121" s="129">
        <v>26</v>
      </c>
      <c r="L121" s="129">
        <v>41</v>
      </c>
      <c r="M121" s="129">
        <v>52</v>
      </c>
      <c r="N121" s="129">
        <v>58</v>
      </c>
      <c r="O121" s="129">
        <v>46</v>
      </c>
      <c r="P121" s="129">
        <v>44</v>
      </c>
      <c r="Q121" s="129">
        <v>43</v>
      </c>
      <c r="R121" s="129">
        <v>44</v>
      </c>
      <c r="S121" s="129">
        <v>50</v>
      </c>
      <c r="T121" s="129">
        <v>51</v>
      </c>
      <c r="U121" s="129">
        <v>59</v>
      </c>
      <c r="V121" s="129">
        <v>64</v>
      </c>
      <c r="W121" s="129">
        <v>45</v>
      </c>
      <c r="X121" s="129">
        <v>51</v>
      </c>
      <c r="Y121" s="129">
        <v>58</v>
      </c>
      <c r="Z121" s="129">
        <v>51</v>
      </c>
      <c r="AA121" s="129">
        <v>59</v>
      </c>
      <c r="AB121" s="129">
        <f>23.8+26.3</f>
        <v>50.1</v>
      </c>
      <c r="AC121" s="129">
        <f>19+21</f>
        <v>40</v>
      </c>
      <c r="AD121" s="129">
        <f>17+19</f>
        <v>36</v>
      </c>
      <c r="AE121" s="129">
        <v>26</v>
      </c>
      <c r="AF121" s="129">
        <v>20</v>
      </c>
      <c r="AG121" s="127">
        <v>240</v>
      </c>
      <c r="AH121" s="48">
        <f t="shared" si="53"/>
        <v>64</v>
      </c>
      <c r="AI121" s="49">
        <f t="shared" si="54"/>
        <v>-4.5</v>
      </c>
    </row>
    <row r="122" spans="1:35" ht="15.75" thickBot="1" x14ac:dyDescent="0.3">
      <c r="A122" s="128" t="s">
        <v>145</v>
      </c>
      <c r="B122" s="129">
        <v>-4.5</v>
      </c>
      <c r="C122" s="129">
        <v>-5.8</v>
      </c>
      <c r="D122" s="129">
        <v>9</v>
      </c>
      <c r="E122" s="129">
        <v>-9.4</v>
      </c>
      <c r="F122" s="129">
        <v>-10.6</v>
      </c>
      <c r="G122" s="129">
        <v>-9.9</v>
      </c>
      <c r="H122" s="129">
        <v>1.7</v>
      </c>
      <c r="I122" s="129">
        <v>-0.6</v>
      </c>
      <c r="J122" s="129">
        <v>-1.3</v>
      </c>
      <c r="K122" s="129">
        <v>9.9</v>
      </c>
      <c r="L122" s="129">
        <v>16.100000000000001</v>
      </c>
      <c r="M122" s="129">
        <v>18</v>
      </c>
      <c r="N122" s="129">
        <v>21.7</v>
      </c>
      <c r="O122" s="129">
        <v>13.1</v>
      </c>
      <c r="P122" s="129">
        <v>9</v>
      </c>
      <c r="Q122" s="129">
        <v>16</v>
      </c>
      <c r="R122" s="129">
        <v>14.5</v>
      </c>
      <c r="S122" s="129">
        <v>15</v>
      </c>
      <c r="T122" s="129">
        <v>13.1</v>
      </c>
      <c r="U122" s="129">
        <v>18</v>
      </c>
      <c r="V122" s="129">
        <v>15.4</v>
      </c>
      <c r="W122" s="129">
        <v>24.2</v>
      </c>
      <c r="X122" s="129">
        <v>23.6</v>
      </c>
      <c r="Y122" s="129">
        <v>23.6</v>
      </c>
      <c r="Z122" s="129">
        <v>26</v>
      </c>
      <c r="AA122" s="129">
        <v>25</v>
      </c>
      <c r="AB122" s="129">
        <v>16.2</v>
      </c>
      <c r="AC122" s="129">
        <v>12.4</v>
      </c>
      <c r="AD122" s="129">
        <v>10.4</v>
      </c>
      <c r="AE122" s="129">
        <v>7.1</v>
      </c>
      <c r="AF122" s="129">
        <v>4</v>
      </c>
      <c r="AG122" s="127">
        <v>60</v>
      </c>
      <c r="AH122" s="48">
        <f t="shared" si="53"/>
        <v>26</v>
      </c>
      <c r="AI122" s="49">
        <f t="shared" si="54"/>
        <v>-10.6</v>
      </c>
    </row>
    <row r="123" spans="1:35" x14ac:dyDescent="0.25">
      <c r="A123" s="125" t="s">
        <v>146</v>
      </c>
      <c r="B123" s="130">
        <f>76*1.6</f>
        <v>121.60000000000001</v>
      </c>
      <c r="C123" s="130">
        <f>65.7*1.6</f>
        <v>105.12</v>
      </c>
      <c r="D123" s="130">
        <f>63.6*1.6</f>
        <v>101.76</v>
      </c>
      <c r="E123" s="130">
        <f>68.1*1.63</f>
        <v>111.00299999999999</v>
      </c>
      <c r="F123" s="130">
        <f>79.4*1.63</f>
        <v>129.422</v>
      </c>
      <c r="G123" s="130">
        <f>80.5*1.63</f>
        <v>131.215</v>
      </c>
      <c r="H123" s="130">
        <f>77.9*1.63</f>
        <v>126.977</v>
      </c>
      <c r="I123" s="130">
        <f>88.9*1.63</f>
        <v>144.90700000000001</v>
      </c>
      <c r="J123" s="130">
        <f>89.9*1.63</f>
        <v>146.53700000000001</v>
      </c>
      <c r="K123" s="130">
        <f>80.3*1.63</f>
        <v>130.88899999999998</v>
      </c>
      <c r="L123" s="130">
        <f>90.2*1.63</f>
        <v>147.02599999999998</v>
      </c>
      <c r="M123" s="130">
        <f>80*1.64</f>
        <v>131.19999999999999</v>
      </c>
      <c r="N123" s="130">
        <f>78*1.64</f>
        <v>127.91999999999999</v>
      </c>
      <c r="O123" s="130">
        <f>80*1.64</f>
        <v>131.19999999999999</v>
      </c>
      <c r="P123" s="130">
        <f>86*1.64</f>
        <v>141.04</v>
      </c>
      <c r="Q123" s="130">
        <f>87*1.64</f>
        <v>142.67999999999998</v>
      </c>
      <c r="R123" s="130">
        <f>85*1.64</f>
        <v>139.4</v>
      </c>
      <c r="S123" s="130">
        <f>89*1.6</f>
        <v>142.4</v>
      </c>
      <c r="T123" s="130">
        <f>88*1.6</f>
        <v>140.80000000000001</v>
      </c>
      <c r="U123" s="130">
        <f>95*1.6</f>
        <v>152</v>
      </c>
      <c r="V123" s="130">
        <f>88*1.6</f>
        <v>140.80000000000001</v>
      </c>
      <c r="W123" s="130">
        <f>78*1.6</f>
        <v>124.80000000000001</v>
      </c>
      <c r="X123" s="130">
        <f>74*1.6</f>
        <v>118.4</v>
      </c>
      <c r="Y123" s="130">
        <f>96*1.6</f>
        <v>153.60000000000002</v>
      </c>
      <c r="Z123" s="130">
        <f>87*1.6</f>
        <v>139.20000000000002</v>
      </c>
      <c r="AA123" s="130">
        <f>103*1.6</f>
        <v>164.8</v>
      </c>
      <c r="AB123" s="130">
        <f>98*1.64</f>
        <v>160.72</v>
      </c>
      <c r="AC123" s="130">
        <f>85*1.64</f>
        <v>139.4</v>
      </c>
      <c r="AD123" s="130">
        <f>83*1.64</f>
        <v>136.12</v>
      </c>
      <c r="AE123" s="130">
        <f>81.1*1.6</f>
        <v>129.76</v>
      </c>
      <c r="AF123" s="130">
        <f>74.6*1.6</f>
        <v>119.36</v>
      </c>
      <c r="AG123" s="131">
        <v>120</v>
      </c>
      <c r="AH123" s="48">
        <f t="shared" si="53"/>
        <v>164.8</v>
      </c>
      <c r="AI123" s="49">
        <f t="shared" si="54"/>
        <v>101.76</v>
      </c>
    </row>
    <row r="124" spans="1:35" x14ac:dyDescent="0.25">
      <c r="A124" s="128" t="s">
        <v>147</v>
      </c>
      <c r="B124" s="130">
        <v>82.1</v>
      </c>
      <c r="C124" s="130">
        <v>73.3</v>
      </c>
      <c r="D124" s="130">
        <v>71.7</v>
      </c>
      <c r="E124" s="130">
        <v>76.5</v>
      </c>
      <c r="F124" s="130">
        <v>85.2</v>
      </c>
      <c r="G124" s="130">
        <v>85.3</v>
      </c>
      <c r="H124" s="130">
        <v>83.7</v>
      </c>
      <c r="I124" s="130">
        <v>92</v>
      </c>
      <c r="J124" s="130">
        <v>94.6</v>
      </c>
      <c r="K124" s="130">
        <v>84.3</v>
      </c>
      <c r="L124" s="130">
        <v>93.3</v>
      </c>
      <c r="M124" s="130">
        <v>84.3</v>
      </c>
      <c r="N124" s="130">
        <v>84.5</v>
      </c>
      <c r="O124" s="130">
        <v>81</v>
      </c>
      <c r="P124" s="130">
        <v>92</v>
      </c>
      <c r="Q124" s="130">
        <v>90.9</v>
      </c>
      <c r="R124" s="130">
        <v>90</v>
      </c>
      <c r="S124" s="130">
        <v>94</v>
      </c>
      <c r="T124" s="130">
        <v>93</v>
      </c>
      <c r="U124" s="130">
        <v>100</v>
      </c>
      <c r="V124" s="130">
        <v>92.1</v>
      </c>
      <c r="W124" s="130">
        <v>84</v>
      </c>
      <c r="X124" s="130">
        <v>81</v>
      </c>
      <c r="Y124" s="130">
        <v>98</v>
      </c>
      <c r="Z124" s="130">
        <v>91</v>
      </c>
      <c r="AA124" s="130">
        <v>104</v>
      </c>
      <c r="AB124" s="130">
        <v>99.6</v>
      </c>
      <c r="AC124" s="130">
        <v>89</v>
      </c>
      <c r="AD124" s="130">
        <v>88.7</v>
      </c>
      <c r="AE124" s="130">
        <v>86.6</v>
      </c>
      <c r="AF124" s="130">
        <v>82</v>
      </c>
      <c r="AG124" s="131"/>
      <c r="AH124" s="48"/>
      <c r="AI124" s="49"/>
    </row>
    <row r="125" spans="1:35" x14ac:dyDescent="0.25">
      <c r="A125" s="128" t="s">
        <v>148</v>
      </c>
      <c r="B125" s="130">
        <v>74.900000000000006</v>
      </c>
      <c r="C125" s="130">
        <v>69.400000000000006</v>
      </c>
      <c r="D125" s="130">
        <v>63.9</v>
      </c>
      <c r="E125" s="130">
        <v>70.900000000000006</v>
      </c>
      <c r="F125" s="130">
        <v>77.8</v>
      </c>
      <c r="G125" s="130">
        <v>62.3</v>
      </c>
      <c r="H125" s="130">
        <v>52</v>
      </c>
      <c r="I125" s="130">
        <v>51.1</v>
      </c>
      <c r="J125" s="130">
        <v>23.1</v>
      </c>
      <c r="K125" s="130">
        <v>-10.6</v>
      </c>
      <c r="L125" s="130">
        <v>-14.5</v>
      </c>
      <c r="M125" s="130">
        <v>-30</v>
      </c>
      <c r="N125" s="130">
        <v>-19</v>
      </c>
      <c r="O125" s="130">
        <v>-15</v>
      </c>
      <c r="P125" s="130">
        <v>-0.3</v>
      </c>
      <c r="Q125" s="130">
        <v>32</v>
      </c>
      <c r="R125" s="130">
        <v>27</v>
      </c>
      <c r="S125" s="130">
        <v>37</v>
      </c>
      <c r="T125" s="130">
        <v>31.3</v>
      </c>
      <c r="U125" s="130">
        <v>40</v>
      </c>
      <c r="V125" s="130">
        <v>-5</v>
      </c>
      <c r="W125" s="130">
        <v>-24</v>
      </c>
      <c r="X125" s="130">
        <v>-48.2</v>
      </c>
      <c r="Y125" s="130">
        <v>-35</v>
      </c>
      <c r="Z125" s="130">
        <v>-48</v>
      </c>
      <c r="AA125" s="130">
        <v>-12.6</v>
      </c>
      <c r="AB125" s="130">
        <v>-2.1</v>
      </c>
      <c r="AC125" s="130">
        <v>-1.7</v>
      </c>
      <c r="AD125" s="130">
        <v>-15.4</v>
      </c>
      <c r="AE125" s="130">
        <v>50.4</v>
      </c>
      <c r="AF125" s="130">
        <v>61.2</v>
      </c>
      <c r="AG125" s="131"/>
      <c r="AH125" s="48"/>
      <c r="AI125" s="49"/>
    </row>
    <row r="126" spans="1:35" ht="15.75" thickBot="1" x14ac:dyDescent="0.3">
      <c r="A126" s="128" t="s">
        <v>149</v>
      </c>
      <c r="B126" s="130">
        <v>92.8</v>
      </c>
      <c r="C126" s="130">
        <v>86.3</v>
      </c>
      <c r="D126" s="130">
        <v>78.900000000000006</v>
      </c>
      <c r="E126" s="130">
        <v>89</v>
      </c>
      <c r="F126" s="130">
        <v>102.7</v>
      </c>
      <c r="G126" s="130">
        <v>103.2</v>
      </c>
      <c r="H126" s="130">
        <v>104.9</v>
      </c>
      <c r="I126" s="130">
        <v>112.2</v>
      </c>
      <c r="J126" s="130">
        <v>103.3</v>
      </c>
      <c r="K126" s="130">
        <v>88.8</v>
      </c>
      <c r="L126" s="130">
        <v>96.5</v>
      </c>
      <c r="M126" s="130">
        <v>69</v>
      </c>
      <c r="N126" s="130">
        <v>72</v>
      </c>
      <c r="O126" s="130">
        <v>74</v>
      </c>
      <c r="P126" s="130">
        <v>90</v>
      </c>
      <c r="Q126" s="130">
        <v>89</v>
      </c>
      <c r="R126" s="130">
        <v>92</v>
      </c>
      <c r="S126" s="130">
        <v>94</v>
      </c>
      <c r="T126" s="130">
        <v>96</v>
      </c>
      <c r="U126" s="130">
        <v>95</v>
      </c>
      <c r="V126" s="130">
        <v>84</v>
      </c>
      <c r="W126" s="130">
        <v>78</v>
      </c>
      <c r="X126" s="130">
        <v>68</v>
      </c>
      <c r="Y126" s="130">
        <v>85.3</v>
      </c>
      <c r="Z126" s="130">
        <v>68</v>
      </c>
      <c r="AA126" s="130">
        <v>90.1</v>
      </c>
      <c r="AB126" s="130">
        <v>88.9</v>
      </c>
      <c r="AC126" s="130">
        <v>80.3</v>
      </c>
      <c r="AD126" s="130">
        <v>88.2</v>
      </c>
      <c r="AE126" s="130">
        <v>90</v>
      </c>
      <c r="AF126" s="130">
        <v>91.5</v>
      </c>
      <c r="AG126" s="127"/>
      <c r="AH126" s="48">
        <f>MAX(B126:AF126)</f>
        <v>112.2</v>
      </c>
      <c r="AI126" s="49">
        <f>MIN(B126:AF126)</f>
        <v>68</v>
      </c>
    </row>
    <row r="127" spans="1:35" x14ac:dyDescent="0.25">
      <c r="A127" s="125" t="s">
        <v>305</v>
      </c>
      <c r="B127" s="130">
        <v>-17.399999999999999</v>
      </c>
      <c r="C127" s="130">
        <v>0</v>
      </c>
      <c r="D127" s="130">
        <v>20.399999999999999</v>
      </c>
      <c r="E127" s="130">
        <v>49.3</v>
      </c>
      <c r="F127" s="130">
        <v>67.3</v>
      </c>
      <c r="G127" s="130">
        <v>68</v>
      </c>
      <c r="H127" s="130">
        <v>70</v>
      </c>
      <c r="I127" s="130">
        <v>88.8</v>
      </c>
      <c r="J127" s="130">
        <v>-7.8</v>
      </c>
      <c r="K127" s="130">
        <v>-12</v>
      </c>
      <c r="L127" s="130">
        <v>-31.7</v>
      </c>
      <c r="M127" s="130">
        <v>-10</v>
      </c>
      <c r="N127" s="130">
        <v>20</v>
      </c>
      <c r="O127" s="130">
        <v>20</v>
      </c>
      <c r="P127" s="130">
        <v>15</v>
      </c>
      <c r="Q127" s="130">
        <v>35</v>
      </c>
      <c r="R127" s="130">
        <v>32</v>
      </c>
      <c r="S127" s="130">
        <v>43</v>
      </c>
      <c r="T127" s="130">
        <v>43</v>
      </c>
      <c r="U127" s="130">
        <v>30</v>
      </c>
      <c r="V127" s="130">
        <v>34</v>
      </c>
      <c r="W127" s="130">
        <v>25</v>
      </c>
      <c r="X127" s="130">
        <v>-3</v>
      </c>
      <c r="Y127" s="130">
        <v>-28</v>
      </c>
      <c r="Z127" s="130">
        <v>-76</v>
      </c>
      <c r="AA127" s="130">
        <v>-100</v>
      </c>
      <c r="AB127" s="130">
        <v>-29.6</v>
      </c>
      <c r="AC127" s="130">
        <v>1.1000000000000001</v>
      </c>
      <c r="AD127" s="130">
        <v>10</v>
      </c>
      <c r="AE127" s="130">
        <v>60</v>
      </c>
      <c r="AF127" s="130">
        <f>27.4+26.6</f>
        <v>54</v>
      </c>
      <c r="AG127" s="127"/>
      <c r="AH127" s="48">
        <f>MAX(B127:AF127)</f>
        <v>88.8</v>
      </c>
      <c r="AI127" s="49">
        <f>MIN(B127:AF127)</f>
        <v>-100</v>
      </c>
    </row>
    <row r="128" spans="1:35" x14ac:dyDescent="0.25">
      <c r="A128" s="128" t="s">
        <v>151</v>
      </c>
      <c r="B128" s="118">
        <v>-19.5</v>
      </c>
      <c r="C128" s="118">
        <v>-16.2</v>
      </c>
      <c r="D128" s="118">
        <v>-18.600000000000001</v>
      </c>
      <c r="E128" s="118">
        <v>-14.4</v>
      </c>
      <c r="F128" s="118">
        <v>4.5999999999999996</v>
      </c>
      <c r="G128" s="118">
        <v>4.4000000000000004</v>
      </c>
      <c r="H128" s="118">
        <v>4.4000000000000004</v>
      </c>
      <c r="I128" s="118">
        <v>-2.6</v>
      </c>
      <c r="J128" s="118">
        <v>-19</v>
      </c>
      <c r="K128" s="118">
        <v>-23.2</v>
      </c>
      <c r="L128" s="118">
        <v>-30</v>
      </c>
      <c r="M128" s="118">
        <v>-37</v>
      </c>
      <c r="N128" s="118">
        <v>-39</v>
      </c>
      <c r="O128" s="118">
        <v>-33</v>
      </c>
      <c r="P128" s="118">
        <v>-32</v>
      </c>
      <c r="Q128" s="118">
        <v>-35</v>
      </c>
      <c r="R128" s="118">
        <v>-36</v>
      </c>
      <c r="S128" s="118">
        <v>-34</v>
      </c>
      <c r="T128" s="118">
        <v>-38</v>
      </c>
      <c r="U128" s="118">
        <v>-25</v>
      </c>
      <c r="V128" s="118">
        <v>-35</v>
      </c>
      <c r="W128" s="118">
        <v>-33.299999999999997</v>
      </c>
      <c r="X128" s="118">
        <v>-43.3</v>
      </c>
      <c r="Y128" s="118">
        <v>-46</v>
      </c>
      <c r="Z128" s="118">
        <v>-44.1</v>
      </c>
      <c r="AA128" s="118">
        <v>-37.5</v>
      </c>
      <c r="AB128" s="118">
        <v>107.9</v>
      </c>
      <c r="AC128" s="118">
        <v>-25.3</v>
      </c>
      <c r="AD128" s="118">
        <v>-18</v>
      </c>
      <c r="AE128" s="118">
        <v>-8</v>
      </c>
      <c r="AF128" s="118">
        <v>-3.9</v>
      </c>
      <c r="AG128" s="127"/>
      <c r="AH128" s="48">
        <f>MAX(B128:AF128)</f>
        <v>107.9</v>
      </c>
      <c r="AI128" s="49">
        <f>MIN(B128:AF128)</f>
        <v>-46</v>
      </c>
    </row>
    <row r="129" spans="1:37" x14ac:dyDescent="0.25">
      <c r="A129" s="128" t="s">
        <v>306</v>
      </c>
      <c r="B129" s="118">
        <v>111.5</v>
      </c>
      <c r="C129" s="118">
        <v>104.3</v>
      </c>
      <c r="D129" s="118">
        <v>94.8</v>
      </c>
      <c r="E129" s="118">
        <v>96.1</v>
      </c>
      <c r="F129" s="118">
        <v>75.400000000000006</v>
      </c>
      <c r="G129" s="118">
        <v>60.3</v>
      </c>
      <c r="H129" s="118">
        <v>53.4</v>
      </c>
      <c r="I129" s="118">
        <v>66.7</v>
      </c>
      <c r="J129" s="118">
        <v>93</v>
      </c>
      <c r="K129" s="118">
        <v>99.2</v>
      </c>
      <c r="L129" s="118">
        <v>112</v>
      </c>
      <c r="M129" s="118">
        <v>123</v>
      </c>
      <c r="N129" s="118">
        <v>112</v>
      </c>
      <c r="O129" s="118">
        <v>111</v>
      </c>
      <c r="P129" s="118">
        <v>104</v>
      </c>
      <c r="Q129" s="118">
        <v>109</v>
      </c>
      <c r="R129" s="118">
        <v>111</v>
      </c>
      <c r="S129" s="118">
        <v>114</v>
      </c>
      <c r="T129" s="118">
        <v>100</v>
      </c>
      <c r="U129" s="118">
        <v>117</v>
      </c>
      <c r="V129" s="118">
        <v>102</v>
      </c>
      <c r="W129" s="118">
        <v>103.4</v>
      </c>
      <c r="X129" s="118">
        <v>121</v>
      </c>
      <c r="Y129" s="118">
        <v>127</v>
      </c>
      <c r="Z129" s="118">
        <v>113</v>
      </c>
      <c r="AA129" s="118">
        <v>115</v>
      </c>
      <c r="AB129" s="118">
        <v>108.4</v>
      </c>
      <c r="AC129" s="118">
        <v>93.3</v>
      </c>
      <c r="AD129" s="118">
        <v>87.2</v>
      </c>
      <c r="AE129" s="118">
        <v>76.599999999999994</v>
      </c>
      <c r="AF129" s="118">
        <v>60.4</v>
      </c>
      <c r="AG129" s="127"/>
      <c r="AH129" s="48">
        <f>MAX(B129:AF129)</f>
        <v>127</v>
      </c>
      <c r="AI129" s="49">
        <f>MIN(B129:AF129)</f>
        <v>53.4</v>
      </c>
    </row>
    <row r="130" spans="1:37" ht="15.75" thickBot="1" x14ac:dyDescent="0.3">
      <c r="A130" s="128" t="s">
        <v>153</v>
      </c>
      <c r="B130" s="118">
        <v>110.8</v>
      </c>
      <c r="C130" s="118">
        <v>112.2</v>
      </c>
      <c r="D130" s="118">
        <v>102.4</v>
      </c>
      <c r="E130" s="118">
        <v>101.8</v>
      </c>
      <c r="F130" s="118">
        <v>84.4</v>
      </c>
      <c r="G130" s="118">
        <v>70</v>
      </c>
      <c r="H130" s="118">
        <v>64.5</v>
      </c>
      <c r="I130" s="118">
        <v>74.599999999999994</v>
      </c>
      <c r="J130" s="118">
        <v>96.1</v>
      </c>
      <c r="K130" s="118">
        <v>100.7</v>
      </c>
      <c r="L130" s="118">
        <v>116.5</v>
      </c>
      <c r="M130" s="118">
        <v>122</v>
      </c>
      <c r="N130" s="118">
        <v>112</v>
      </c>
      <c r="O130" s="118">
        <v>116</v>
      </c>
      <c r="P130" s="118">
        <v>111</v>
      </c>
      <c r="Q130" s="118">
        <v>117</v>
      </c>
      <c r="R130" s="118">
        <v>115</v>
      </c>
      <c r="S130" s="118">
        <v>122</v>
      </c>
      <c r="T130" s="118">
        <v>110</v>
      </c>
      <c r="U130" s="118">
        <v>117</v>
      </c>
      <c r="V130" s="118">
        <v>110</v>
      </c>
      <c r="W130" s="118">
        <v>113</v>
      </c>
      <c r="X130" s="118">
        <v>125.3</v>
      </c>
      <c r="Y130" s="118">
        <v>127.1</v>
      </c>
      <c r="Z130" s="118">
        <v>120</v>
      </c>
      <c r="AA130" s="118">
        <v>119</v>
      </c>
      <c r="AB130" s="118">
        <v>111.8</v>
      </c>
      <c r="AC130" s="118">
        <v>101</v>
      </c>
      <c r="AD130" s="118">
        <v>95</v>
      </c>
      <c r="AE130" s="118">
        <v>90</v>
      </c>
      <c r="AF130" s="118">
        <v>73.099999999999994</v>
      </c>
      <c r="AG130" s="127"/>
      <c r="AH130" s="48">
        <f>MAX(B130:AF130)</f>
        <v>127.1</v>
      </c>
      <c r="AI130" s="49">
        <f>MIN(B130:AF130)</f>
        <v>64.5</v>
      </c>
    </row>
    <row r="131" spans="1:37" x14ac:dyDescent="0.25">
      <c r="A131" s="132" t="s">
        <v>154</v>
      </c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44"/>
      <c r="AH131" s="48"/>
      <c r="AI131" s="49"/>
    </row>
    <row r="132" spans="1:37" x14ac:dyDescent="0.25">
      <c r="A132" s="135" t="s">
        <v>155</v>
      </c>
      <c r="B132" s="136">
        <v>1983.55</v>
      </c>
      <c r="C132" s="136">
        <v>1983.6</v>
      </c>
      <c r="D132" s="136">
        <v>1983.79</v>
      </c>
      <c r="E132" s="136">
        <v>1984</v>
      </c>
      <c r="F132" s="136">
        <v>1984.21</v>
      </c>
      <c r="G132" s="136">
        <v>1984.41</v>
      </c>
      <c r="H132" s="136"/>
      <c r="I132" s="136">
        <v>1984.62</v>
      </c>
      <c r="J132" s="136"/>
      <c r="K132" s="136">
        <v>1984.62</v>
      </c>
      <c r="L132" s="136"/>
      <c r="M132" s="136">
        <v>1984.51</v>
      </c>
      <c r="N132" s="136">
        <v>1984.49</v>
      </c>
      <c r="O132" s="136">
        <v>1984.5</v>
      </c>
      <c r="P132" s="136">
        <v>1984.6</v>
      </c>
      <c r="Q132" s="136">
        <v>1984.6</v>
      </c>
      <c r="R132" s="136">
        <v>1984.72</v>
      </c>
      <c r="S132" s="136">
        <v>1984.8</v>
      </c>
      <c r="T132" s="136">
        <v>1985.08</v>
      </c>
      <c r="U132" s="136">
        <v>1985.2</v>
      </c>
      <c r="V132" s="136">
        <v>1985.32</v>
      </c>
      <c r="W132" s="136"/>
      <c r="X132" s="136">
        <v>1985.38</v>
      </c>
      <c r="Y132" s="136"/>
      <c r="Z132" s="136">
        <v>1985.25</v>
      </c>
      <c r="AA132" s="136"/>
      <c r="AB132" s="136">
        <v>1984.72</v>
      </c>
      <c r="AC132" s="136"/>
      <c r="AD132" s="136">
        <v>1984.6</v>
      </c>
      <c r="AE132" s="136">
        <v>1984.71</v>
      </c>
      <c r="AF132" s="136">
        <v>1984.91</v>
      </c>
      <c r="AG132" s="138"/>
      <c r="AH132" s="48"/>
      <c r="AI132" s="49"/>
    </row>
    <row r="133" spans="1:37" x14ac:dyDescent="0.25">
      <c r="A133" s="135" t="s">
        <v>156</v>
      </c>
      <c r="B133" s="139">
        <v>519.70000000000005</v>
      </c>
      <c r="C133" s="139">
        <v>519.96</v>
      </c>
      <c r="D133" s="139">
        <v>520.32000000000005</v>
      </c>
      <c r="E133" s="139">
        <v>520.64</v>
      </c>
      <c r="F133" s="139">
        <v>520.94000000000005</v>
      </c>
      <c r="G133" s="139">
        <v>521.24</v>
      </c>
      <c r="H133" s="139"/>
      <c r="I133" s="139">
        <v>521.46</v>
      </c>
      <c r="J133" s="139"/>
      <c r="K133" s="139">
        <v>521.36</v>
      </c>
      <c r="L133" s="139"/>
      <c r="M133" s="139">
        <v>521.27</v>
      </c>
      <c r="N133" s="139">
        <v>521.16999999999996</v>
      </c>
      <c r="O133" s="139">
        <v>521.11</v>
      </c>
      <c r="P133" s="139">
        <v>521.08000000000004</v>
      </c>
      <c r="Q133" s="139">
        <v>520.91999999999996</v>
      </c>
      <c r="R133" s="139">
        <v>520.83000000000004</v>
      </c>
      <c r="S133" s="139">
        <v>520.74</v>
      </c>
      <c r="T133" s="139">
        <v>520.86</v>
      </c>
      <c r="U133" s="139">
        <v>520.92999999999995</v>
      </c>
      <c r="V133" s="139">
        <v>520.95000000000005</v>
      </c>
      <c r="W133" s="139"/>
      <c r="X133" s="139">
        <v>520.72</v>
      </c>
      <c r="Y133" s="139"/>
      <c r="Z133" s="139">
        <v>520.26</v>
      </c>
      <c r="AA133" s="139"/>
      <c r="AB133" s="139">
        <v>519.64</v>
      </c>
      <c r="AC133" s="139"/>
      <c r="AD133" s="139">
        <v>519.44000000000005</v>
      </c>
      <c r="AE133" s="139">
        <v>519.34</v>
      </c>
      <c r="AF133" s="139">
        <v>519.44000000000005</v>
      </c>
      <c r="AG133" s="138"/>
      <c r="AH133" s="48"/>
      <c r="AI133" s="49"/>
    </row>
    <row r="134" spans="1:37" x14ac:dyDescent="0.25">
      <c r="A134" s="135" t="s">
        <v>158</v>
      </c>
      <c r="B134" s="139">
        <v>623.24</v>
      </c>
      <c r="C134" s="139">
        <v>623.54</v>
      </c>
      <c r="D134" s="139">
        <v>623.86</v>
      </c>
      <c r="E134" s="139">
        <v>624.15</v>
      </c>
      <c r="F134" s="139">
        <v>624.41999999999996</v>
      </c>
      <c r="G134" s="139">
        <v>624.70000000000005</v>
      </c>
      <c r="H134" s="139"/>
      <c r="I134" s="139">
        <v>624.76</v>
      </c>
      <c r="J134" s="139"/>
      <c r="K134" s="139">
        <v>624.52</v>
      </c>
      <c r="L134" s="139"/>
      <c r="M134" s="139">
        <v>624.16999999999996</v>
      </c>
      <c r="N134" s="139">
        <v>624.13</v>
      </c>
      <c r="O134" s="139">
        <v>624.16</v>
      </c>
      <c r="P134" s="139">
        <v>624.20000000000005</v>
      </c>
      <c r="Q134" s="139">
        <v>624.26</v>
      </c>
      <c r="R134" s="139">
        <v>624.16999999999996</v>
      </c>
      <c r="S134" s="139">
        <v>624.27</v>
      </c>
      <c r="T134" s="139">
        <v>624.30999999999995</v>
      </c>
      <c r="U134" s="139">
        <v>624.27</v>
      </c>
      <c r="V134" s="139">
        <v>624.25</v>
      </c>
      <c r="W134" s="139"/>
      <c r="X134" s="139">
        <v>624.25</v>
      </c>
      <c r="Y134" s="139"/>
      <c r="Z134" s="139">
        <v>623.89</v>
      </c>
      <c r="AA134" s="139"/>
      <c r="AB134" s="139">
        <v>623.29</v>
      </c>
      <c r="AC134" s="139"/>
      <c r="AD134" s="139">
        <v>622.79999999999995</v>
      </c>
      <c r="AE134" s="139">
        <v>622.29999999999995</v>
      </c>
      <c r="AF134" s="139"/>
      <c r="AG134" s="138"/>
      <c r="AH134" s="48"/>
      <c r="AI134" s="49"/>
    </row>
    <row r="135" spans="1:37" x14ac:dyDescent="0.25">
      <c r="A135" s="135" t="s">
        <v>159</v>
      </c>
      <c r="B135" s="139">
        <v>335.28</v>
      </c>
      <c r="C135" s="139">
        <v>335.68</v>
      </c>
      <c r="D135" s="139">
        <v>335.96</v>
      </c>
      <c r="E135" s="139">
        <v>336.16</v>
      </c>
      <c r="F135" s="139">
        <v>336.32</v>
      </c>
      <c r="G135" s="139">
        <v>336.42</v>
      </c>
      <c r="H135" s="139"/>
      <c r="I135" s="139">
        <v>336.26</v>
      </c>
      <c r="J135" s="139"/>
      <c r="K135" s="139"/>
      <c r="L135" s="139"/>
      <c r="M135" s="139">
        <v>335.55</v>
      </c>
      <c r="N135" s="139">
        <v>335.15</v>
      </c>
      <c r="O135" s="139">
        <v>334.88</v>
      </c>
      <c r="P135" s="139">
        <v>334.56</v>
      </c>
      <c r="Q135" s="139">
        <v>334.25</v>
      </c>
      <c r="R135" s="139">
        <v>334.12</v>
      </c>
      <c r="S135" s="139">
        <v>334.41</v>
      </c>
      <c r="T135" s="139">
        <v>334.7</v>
      </c>
      <c r="U135" s="139">
        <v>335.03</v>
      </c>
      <c r="V135" s="139">
        <v>335.32</v>
      </c>
      <c r="W135" s="139"/>
      <c r="X135" s="139">
        <v>335.46</v>
      </c>
      <c r="Y135" s="139"/>
      <c r="Z135" s="139">
        <v>335.21</v>
      </c>
      <c r="AA135" s="139"/>
      <c r="AB135" s="139">
        <v>334.88</v>
      </c>
      <c r="AC135" s="139"/>
      <c r="AD135" s="139">
        <v>334.58</v>
      </c>
      <c r="AE135" s="139">
        <v>334.51</v>
      </c>
      <c r="AF135" s="139"/>
      <c r="AG135" s="138"/>
      <c r="AH135" s="48"/>
      <c r="AI135" s="49"/>
    </row>
    <row r="136" spans="1:37" x14ac:dyDescent="0.25">
      <c r="A136" s="135" t="s">
        <v>160</v>
      </c>
      <c r="B136" s="139">
        <v>882</v>
      </c>
      <c r="C136" s="139">
        <v>882.5</v>
      </c>
      <c r="D136" s="139">
        <v>883.4</v>
      </c>
      <c r="E136" s="139">
        <v>884.1</v>
      </c>
      <c r="F136" s="139">
        <v>884.7</v>
      </c>
      <c r="G136" s="139">
        <v>885.2</v>
      </c>
      <c r="H136" s="139"/>
      <c r="I136" s="139"/>
      <c r="J136" s="139"/>
      <c r="K136" s="139">
        <v>885.5</v>
      </c>
      <c r="L136" s="139"/>
      <c r="M136" s="139">
        <v>885.3</v>
      </c>
      <c r="N136" s="139">
        <v>885.3</v>
      </c>
      <c r="O136" s="139">
        <v>885.7</v>
      </c>
      <c r="P136" s="139">
        <v>886.2</v>
      </c>
      <c r="Q136" s="139">
        <v>886.6</v>
      </c>
      <c r="R136" s="139">
        <v>887.2</v>
      </c>
      <c r="S136" s="139">
        <v>887.5</v>
      </c>
      <c r="T136" s="139">
        <v>887.6</v>
      </c>
      <c r="U136" s="139">
        <v>887.2</v>
      </c>
      <c r="V136" s="139">
        <v>886.3</v>
      </c>
      <c r="W136" s="139"/>
      <c r="X136" s="139">
        <v>885.4</v>
      </c>
      <c r="Y136" s="139"/>
      <c r="Z136" s="139">
        <v>884.2</v>
      </c>
      <c r="AA136" s="139"/>
      <c r="AB136" s="139">
        <v>882.6</v>
      </c>
      <c r="AC136" s="139"/>
      <c r="AD136" s="139">
        <v>882.3</v>
      </c>
      <c r="AE136" s="139">
        <v>882.1</v>
      </c>
      <c r="AF136" s="139"/>
      <c r="AG136" s="138"/>
      <c r="AH136" s="48"/>
      <c r="AI136" s="49"/>
    </row>
    <row r="137" spans="1:37" ht="15.75" thickBot="1" x14ac:dyDescent="0.3">
      <c r="A137" s="135" t="s">
        <v>161</v>
      </c>
      <c r="B137" s="141">
        <v>1519.48</v>
      </c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  <c r="AF137" s="142"/>
      <c r="AG137" s="138"/>
      <c r="AH137" s="48"/>
      <c r="AI137" s="49"/>
    </row>
    <row r="138" spans="1:37" ht="15.75" thickBot="1" x14ac:dyDescent="0.3">
      <c r="A138" s="143" t="s">
        <v>162</v>
      </c>
      <c r="B138" s="144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106">SUM(B139:B243)</f>
        <v>0</v>
      </c>
      <c r="C244" s="160">
        <f t="shared" si="106"/>
        <v>0</v>
      </c>
      <c r="D244" s="160">
        <f t="shared" si="106"/>
        <v>0</v>
      </c>
      <c r="E244" s="160">
        <f t="shared" si="106"/>
        <v>0</v>
      </c>
      <c r="F244" s="160">
        <f t="shared" si="106"/>
        <v>0</v>
      </c>
      <c r="G244" s="160">
        <f t="shared" si="106"/>
        <v>0</v>
      </c>
      <c r="H244" s="160">
        <f t="shared" si="106"/>
        <v>0</v>
      </c>
      <c r="I244" s="160">
        <f t="shared" si="106"/>
        <v>0</v>
      </c>
      <c r="J244" s="160">
        <f t="shared" si="106"/>
        <v>0</v>
      </c>
      <c r="K244" s="160">
        <f t="shared" si="106"/>
        <v>0</v>
      </c>
      <c r="L244" s="160">
        <f t="shared" si="106"/>
        <v>0</v>
      </c>
      <c r="M244" s="160">
        <f t="shared" si="106"/>
        <v>0</v>
      </c>
      <c r="N244" s="160">
        <f t="shared" si="106"/>
        <v>0</v>
      </c>
      <c r="O244" s="160">
        <f t="shared" si="106"/>
        <v>0</v>
      </c>
      <c r="P244" s="160">
        <f t="shared" si="106"/>
        <v>0</v>
      </c>
      <c r="Q244" s="160">
        <f t="shared" si="106"/>
        <v>0</v>
      </c>
      <c r="R244" s="160">
        <f t="shared" si="106"/>
        <v>0</v>
      </c>
      <c r="S244" s="160">
        <f t="shared" si="106"/>
        <v>0</v>
      </c>
      <c r="T244" s="160">
        <f t="shared" si="106"/>
        <v>0</v>
      </c>
      <c r="U244" s="160">
        <f t="shared" si="106"/>
        <v>0</v>
      </c>
      <c r="V244" s="160">
        <f t="shared" si="106"/>
        <v>0</v>
      </c>
      <c r="W244" s="160">
        <f t="shared" si="106"/>
        <v>0</v>
      </c>
      <c r="X244" s="160">
        <f t="shared" si="106"/>
        <v>0</v>
      </c>
      <c r="Y244" s="160">
        <f t="shared" si="106"/>
        <v>0</v>
      </c>
      <c r="Z244" s="160">
        <f t="shared" si="106"/>
        <v>0</v>
      </c>
      <c r="AA244" s="160">
        <f t="shared" si="106"/>
        <v>0</v>
      </c>
      <c r="AB244" s="160">
        <f t="shared" si="106"/>
        <v>0</v>
      </c>
      <c r="AC244" s="160">
        <f t="shared" si="106"/>
        <v>0</v>
      </c>
      <c r="AD244" s="160">
        <f t="shared" si="106"/>
        <v>0</v>
      </c>
      <c r="AE244" s="160">
        <f t="shared" si="106"/>
        <v>0</v>
      </c>
      <c r="AF244" s="161">
        <f t="shared" si="106"/>
        <v>0</v>
      </c>
      <c r="AG244" s="162">
        <f t="shared" si="106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107">AF246</f>
        <v>0.3</v>
      </c>
      <c r="C246" s="165">
        <v>0.3</v>
      </c>
      <c r="D246" s="165">
        <f t="shared" ref="D246:S251" si="108">C246</f>
        <v>0.3</v>
      </c>
      <c r="E246" s="165">
        <f t="shared" si="108"/>
        <v>0.3</v>
      </c>
      <c r="F246" s="165">
        <f t="shared" si="108"/>
        <v>0.3</v>
      </c>
      <c r="G246" s="165">
        <f t="shared" si="108"/>
        <v>0.3</v>
      </c>
      <c r="H246" s="165">
        <f t="shared" si="108"/>
        <v>0.3</v>
      </c>
      <c r="I246" s="165">
        <f t="shared" si="108"/>
        <v>0.3</v>
      </c>
      <c r="J246" s="165">
        <f t="shared" si="108"/>
        <v>0.3</v>
      </c>
      <c r="K246" s="165">
        <f t="shared" si="108"/>
        <v>0.3</v>
      </c>
      <c r="L246" s="165">
        <f t="shared" si="108"/>
        <v>0.3</v>
      </c>
      <c r="M246" s="165">
        <f t="shared" si="108"/>
        <v>0.3</v>
      </c>
      <c r="N246" s="165">
        <f t="shared" si="108"/>
        <v>0.3</v>
      </c>
      <c r="O246" s="165">
        <f t="shared" si="108"/>
        <v>0.3</v>
      </c>
      <c r="P246" s="165">
        <f t="shared" si="108"/>
        <v>0.3</v>
      </c>
      <c r="Q246" s="165">
        <f t="shared" si="108"/>
        <v>0.3</v>
      </c>
      <c r="R246" s="165">
        <f t="shared" si="108"/>
        <v>0.3</v>
      </c>
      <c r="S246" s="165">
        <f t="shared" si="108"/>
        <v>0.3</v>
      </c>
      <c r="T246" s="165">
        <f t="shared" ref="T246:AF251" si="109">S246</f>
        <v>0.3</v>
      </c>
      <c r="U246" s="165">
        <f t="shared" si="109"/>
        <v>0.3</v>
      </c>
      <c r="V246" s="165">
        <f t="shared" si="109"/>
        <v>0.3</v>
      </c>
      <c r="W246" s="165">
        <f t="shared" si="109"/>
        <v>0.3</v>
      </c>
      <c r="X246" s="165">
        <f t="shared" si="109"/>
        <v>0.3</v>
      </c>
      <c r="Y246" s="165">
        <f t="shared" si="109"/>
        <v>0.3</v>
      </c>
      <c r="Z246" s="165">
        <f t="shared" si="109"/>
        <v>0.3</v>
      </c>
      <c r="AA246" s="165">
        <f t="shared" si="109"/>
        <v>0.3</v>
      </c>
      <c r="AB246" s="165">
        <f t="shared" si="109"/>
        <v>0.3</v>
      </c>
      <c r="AC246" s="165">
        <f t="shared" si="109"/>
        <v>0.3</v>
      </c>
      <c r="AD246" s="165">
        <f t="shared" si="109"/>
        <v>0.3</v>
      </c>
      <c r="AE246" s="165">
        <f t="shared" si="109"/>
        <v>0.3</v>
      </c>
      <c r="AF246" s="165">
        <f t="shared" si="109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107"/>
        <v>0.4</v>
      </c>
      <c r="C247" s="151">
        <v>0.4</v>
      </c>
      <c r="D247" s="151">
        <f t="shared" si="108"/>
        <v>0.4</v>
      </c>
      <c r="E247" s="151">
        <f t="shared" si="108"/>
        <v>0.4</v>
      </c>
      <c r="F247" s="151">
        <f t="shared" si="108"/>
        <v>0.4</v>
      </c>
      <c r="G247" s="151">
        <f t="shared" si="108"/>
        <v>0.4</v>
      </c>
      <c r="H247" s="151">
        <f t="shared" si="108"/>
        <v>0.4</v>
      </c>
      <c r="I247" s="151">
        <f t="shared" si="108"/>
        <v>0.4</v>
      </c>
      <c r="J247" s="151">
        <f t="shared" si="108"/>
        <v>0.4</v>
      </c>
      <c r="K247" s="151">
        <f t="shared" si="108"/>
        <v>0.4</v>
      </c>
      <c r="L247" s="151">
        <f t="shared" si="108"/>
        <v>0.4</v>
      </c>
      <c r="M247" s="151">
        <f t="shared" si="108"/>
        <v>0.4</v>
      </c>
      <c r="N247" s="151">
        <f t="shared" si="108"/>
        <v>0.4</v>
      </c>
      <c r="O247" s="151">
        <f t="shared" si="108"/>
        <v>0.4</v>
      </c>
      <c r="P247" s="151">
        <f t="shared" si="108"/>
        <v>0.4</v>
      </c>
      <c r="Q247" s="151">
        <f t="shared" si="108"/>
        <v>0.4</v>
      </c>
      <c r="R247" s="151">
        <f t="shared" si="108"/>
        <v>0.4</v>
      </c>
      <c r="S247" s="151">
        <f t="shared" si="108"/>
        <v>0.4</v>
      </c>
      <c r="T247" s="151">
        <f t="shared" si="109"/>
        <v>0.4</v>
      </c>
      <c r="U247" s="151">
        <f t="shared" si="109"/>
        <v>0.4</v>
      </c>
      <c r="V247" s="151">
        <f t="shared" si="109"/>
        <v>0.4</v>
      </c>
      <c r="W247" s="151">
        <f t="shared" si="109"/>
        <v>0.4</v>
      </c>
      <c r="X247" s="151">
        <f t="shared" si="109"/>
        <v>0.4</v>
      </c>
      <c r="Y247" s="151">
        <f t="shared" si="109"/>
        <v>0.4</v>
      </c>
      <c r="Z247" s="151">
        <f t="shared" si="109"/>
        <v>0.4</v>
      </c>
      <c r="AA247" s="151">
        <f t="shared" si="109"/>
        <v>0.4</v>
      </c>
      <c r="AB247" s="151">
        <f t="shared" si="109"/>
        <v>0.4</v>
      </c>
      <c r="AC247" s="151">
        <f t="shared" si="109"/>
        <v>0.4</v>
      </c>
      <c r="AD247" s="151">
        <f t="shared" si="109"/>
        <v>0.4</v>
      </c>
      <c r="AE247" s="151">
        <f t="shared" si="109"/>
        <v>0.4</v>
      </c>
      <c r="AF247" s="151">
        <f t="shared" si="109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107"/>
        <v>1.5</v>
      </c>
      <c r="C248" s="151">
        <v>1.5</v>
      </c>
      <c r="D248" s="151">
        <f t="shared" si="108"/>
        <v>1.5</v>
      </c>
      <c r="E248" s="151">
        <f t="shared" si="108"/>
        <v>1.5</v>
      </c>
      <c r="F248" s="151">
        <f t="shared" si="108"/>
        <v>1.5</v>
      </c>
      <c r="G248" s="151">
        <f t="shared" si="108"/>
        <v>1.5</v>
      </c>
      <c r="H248" s="151">
        <f t="shared" si="108"/>
        <v>1.5</v>
      </c>
      <c r="I248" s="151">
        <f t="shared" si="108"/>
        <v>1.5</v>
      </c>
      <c r="J248" s="151">
        <f t="shared" si="108"/>
        <v>1.5</v>
      </c>
      <c r="K248" s="151">
        <f t="shared" si="108"/>
        <v>1.5</v>
      </c>
      <c r="L248" s="151">
        <f t="shared" si="108"/>
        <v>1.5</v>
      </c>
      <c r="M248" s="151">
        <f t="shared" si="108"/>
        <v>1.5</v>
      </c>
      <c r="N248" s="151">
        <f t="shared" si="108"/>
        <v>1.5</v>
      </c>
      <c r="O248" s="151">
        <f t="shared" si="108"/>
        <v>1.5</v>
      </c>
      <c r="P248" s="151">
        <f t="shared" si="108"/>
        <v>1.5</v>
      </c>
      <c r="Q248" s="151">
        <f t="shared" si="108"/>
        <v>1.5</v>
      </c>
      <c r="R248" s="151">
        <f t="shared" si="108"/>
        <v>1.5</v>
      </c>
      <c r="S248" s="151">
        <f t="shared" si="108"/>
        <v>1.5</v>
      </c>
      <c r="T248" s="151">
        <f t="shared" si="109"/>
        <v>1.5</v>
      </c>
      <c r="U248" s="151">
        <f t="shared" si="109"/>
        <v>1.5</v>
      </c>
      <c r="V248" s="151">
        <f t="shared" si="109"/>
        <v>1.5</v>
      </c>
      <c r="W248" s="151">
        <f t="shared" si="109"/>
        <v>1.5</v>
      </c>
      <c r="X248" s="151">
        <f t="shared" si="109"/>
        <v>1.5</v>
      </c>
      <c r="Y248" s="151">
        <f t="shared" si="109"/>
        <v>1.5</v>
      </c>
      <c r="Z248" s="151">
        <f t="shared" si="109"/>
        <v>1.5</v>
      </c>
      <c r="AA248" s="151">
        <f t="shared" si="109"/>
        <v>1.5</v>
      </c>
      <c r="AB248" s="151">
        <f t="shared" si="109"/>
        <v>1.5</v>
      </c>
      <c r="AC248" s="151">
        <f t="shared" si="109"/>
        <v>1.5</v>
      </c>
      <c r="AD248" s="151">
        <f t="shared" si="109"/>
        <v>1.5</v>
      </c>
      <c r="AE248" s="151">
        <f t="shared" si="109"/>
        <v>1.5</v>
      </c>
      <c r="AF248" s="151">
        <f t="shared" si="109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107"/>
        <v>0.3</v>
      </c>
      <c r="C249" s="151">
        <v>0.3</v>
      </c>
      <c r="D249" s="151">
        <f t="shared" si="108"/>
        <v>0.3</v>
      </c>
      <c r="E249" s="151">
        <f t="shared" si="108"/>
        <v>0.3</v>
      </c>
      <c r="F249" s="151">
        <f t="shared" si="108"/>
        <v>0.3</v>
      </c>
      <c r="G249" s="151">
        <f t="shared" si="108"/>
        <v>0.3</v>
      </c>
      <c r="H249" s="151">
        <f t="shared" si="108"/>
        <v>0.3</v>
      </c>
      <c r="I249" s="151">
        <f t="shared" si="108"/>
        <v>0.3</v>
      </c>
      <c r="J249" s="151">
        <f t="shared" si="108"/>
        <v>0.3</v>
      </c>
      <c r="K249" s="151">
        <f t="shared" si="108"/>
        <v>0.3</v>
      </c>
      <c r="L249" s="151">
        <f t="shared" si="108"/>
        <v>0.3</v>
      </c>
      <c r="M249" s="151">
        <f t="shared" si="108"/>
        <v>0.3</v>
      </c>
      <c r="N249" s="151">
        <f t="shared" si="108"/>
        <v>0.3</v>
      </c>
      <c r="O249" s="151">
        <f t="shared" si="108"/>
        <v>0.3</v>
      </c>
      <c r="P249" s="151">
        <f t="shared" si="108"/>
        <v>0.3</v>
      </c>
      <c r="Q249" s="151">
        <f t="shared" si="108"/>
        <v>0.3</v>
      </c>
      <c r="R249" s="151">
        <f t="shared" si="108"/>
        <v>0.3</v>
      </c>
      <c r="S249" s="151">
        <f t="shared" si="108"/>
        <v>0.3</v>
      </c>
      <c r="T249" s="151">
        <f t="shared" si="109"/>
        <v>0.3</v>
      </c>
      <c r="U249" s="151">
        <f t="shared" si="109"/>
        <v>0.3</v>
      </c>
      <c r="V249" s="151">
        <f t="shared" si="109"/>
        <v>0.3</v>
      </c>
      <c r="W249" s="151">
        <f t="shared" si="109"/>
        <v>0.3</v>
      </c>
      <c r="X249" s="151">
        <f t="shared" si="109"/>
        <v>0.3</v>
      </c>
      <c r="Y249" s="151">
        <f t="shared" si="109"/>
        <v>0.3</v>
      </c>
      <c r="Z249" s="151">
        <f t="shared" si="109"/>
        <v>0.3</v>
      </c>
      <c r="AA249" s="151">
        <f t="shared" si="109"/>
        <v>0.3</v>
      </c>
      <c r="AB249" s="151">
        <f t="shared" si="109"/>
        <v>0.3</v>
      </c>
      <c r="AC249" s="151">
        <f t="shared" si="109"/>
        <v>0.3</v>
      </c>
      <c r="AD249" s="151">
        <f t="shared" si="109"/>
        <v>0.3</v>
      </c>
      <c r="AE249" s="151">
        <f t="shared" si="109"/>
        <v>0.3</v>
      </c>
      <c r="AF249" s="151">
        <f t="shared" si="109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107"/>
        <v>0.4</v>
      </c>
      <c r="C250" s="151">
        <v>0.4</v>
      </c>
      <c r="D250" s="151">
        <f t="shared" si="108"/>
        <v>0.4</v>
      </c>
      <c r="E250" s="151">
        <f t="shared" si="108"/>
        <v>0.4</v>
      </c>
      <c r="F250" s="151">
        <f t="shared" si="108"/>
        <v>0.4</v>
      </c>
      <c r="G250" s="151">
        <f t="shared" si="108"/>
        <v>0.4</v>
      </c>
      <c r="H250" s="151">
        <f t="shared" si="108"/>
        <v>0.4</v>
      </c>
      <c r="I250" s="151">
        <f t="shared" si="108"/>
        <v>0.4</v>
      </c>
      <c r="J250" s="151">
        <f t="shared" si="108"/>
        <v>0.4</v>
      </c>
      <c r="K250" s="151">
        <f t="shared" si="108"/>
        <v>0.4</v>
      </c>
      <c r="L250" s="151">
        <f t="shared" si="108"/>
        <v>0.4</v>
      </c>
      <c r="M250" s="151">
        <f t="shared" si="108"/>
        <v>0.4</v>
      </c>
      <c r="N250" s="151">
        <f t="shared" si="108"/>
        <v>0.4</v>
      </c>
      <c r="O250" s="151">
        <f t="shared" si="108"/>
        <v>0.4</v>
      </c>
      <c r="P250" s="151">
        <f t="shared" si="108"/>
        <v>0.4</v>
      </c>
      <c r="Q250" s="151">
        <f t="shared" si="108"/>
        <v>0.4</v>
      </c>
      <c r="R250" s="151">
        <f t="shared" si="108"/>
        <v>0.4</v>
      </c>
      <c r="S250" s="151">
        <f t="shared" si="108"/>
        <v>0.4</v>
      </c>
      <c r="T250" s="151">
        <f t="shared" si="109"/>
        <v>0.4</v>
      </c>
      <c r="U250" s="151">
        <f t="shared" si="109"/>
        <v>0.4</v>
      </c>
      <c r="V250" s="151">
        <f t="shared" si="109"/>
        <v>0.4</v>
      </c>
      <c r="W250" s="151">
        <f t="shared" si="109"/>
        <v>0.4</v>
      </c>
      <c r="X250" s="151">
        <f t="shared" si="109"/>
        <v>0.4</v>
      </c>
      <c r="Y250" s="151">
        <f t="shared" si="109"/>
        <v>0.4</v>
      </c>
      <c r="Z250" s="151">
        <f t="shared" si="109"/>
        <v>0.4</v>
      </c>
      <c r="AA250" s="151">
        <f t="shared" si="109"/>
        <v>0.4</v>
      </c>
      <c r="AB250" s="151">
        <f t="shared" si="109"/>
        <v>0.4</v>
      </c>
      <c r="AC250" s="151">
        <f t="shared" si="109"/>
        <v>0.4</v>
      </c>
      <c r="AD250" s="151">
        <f t="shared" si="109"/>
        <v>0.4</v>
      </c>
      <c r="AE250" s="151">
        <f t="shared" si="109"/>
        <v>0.4</v>
      </c>
      <c r="AF250" s="151">
        <f t="shared" si="109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107"/>
        <v>0.64</v>
      </c>
      <c r="C251" s="156">
        <v>0.64</v>
      </c>
      <c r="D251" s="156">
        <f t="shared" si="108"/>
        <v>0.64</v>
      </c>
      <c r="E251" s="156">
        <f t="shared" si="108"/>
        <v>0.64</v>
      </c>
      <c r="F251" s="156">
        <f t="shared" si="108"/>
        <v>0.64</v>
      </c>
      <c r="G251" s="156">
        <f t="shared" si="108"/>
        <v>0.64</v>
      </c>
      <c r="H251" s="156">
        <f t="shared" si="108"/>
        <v>0.64</v>
      </c>
      <c r="I251" s="156">
        <f t="shared" si="108"/>
        <v>0.64</v>
      </c>
      <c r="J251" s="156">
        <f t="shared" si="108"/>
        <v>0.64</v>
      </c>
      <c r="K251" s="156">
        <f t="shared" si="108"/>
        <v>0.64</v>
      </c>
      <c r="L251" s="156">
        <f t="shared" si="108"/>
        <v>0.64</v>
      </c>
      <c r="M251" s="156">
        <f t="shared" si="108"/>
        <v>0.64</v>
      </c>
      <c r="N251" s="156">
        <f t="shared" si="108"/>
        <v>0.64</v>
      </c>
      <c r="O251" s="156">
        <f t="shared" si="108"/>
        <v>0.64</v>
      </c>
      <c r="P251" s="156">
        <f t="shared" si="108"/>
        <v>0.64</v>
      </c>
      <c r="Q251" s="156">
        <f t="shared" si="108"/>
        <v>0.64</v>
      </c>
      <c r="R251" s="156">
        <f t="shared" si="108"/>
        <v>0.64</v>
      </c>
      <c r="S251" s="156">
        <f t="shared" si="108"/>
        <v>0.64</v>
      </c>
      <c r="T251" s="156">
        <f t="shared" si="109"/>
        <v>0.64</v>
      </c>
      <c r="U251" s="156">
        <f t="shared" si="109"/>
        <v>0.64</v>
      </c>
      <c r="V251" s="156">
        <f t="shared" si="109"/>
        <v>0.64</v>
      </c>
      <c r="W251" s="156">
        <f t="shared" si="109"/>
        <v>0.64</v>
      </c>
      <c r="X251" s="156">
        <f t="shared" si="109"/>
        <v>0.64</v>
      </c>
      <c r="Y251" s="156">
        <f t="shared" si="109"/>
        <v>0.64</v>
      </c>
      <c r="Z251" s="156">
        <f t="shared" si="109"/>
        <v>0.64</v>
      </c>
      <c r="AA251" s="156">
        <f t="shared" si="109"/>
        <v>0.64</v>
      </c>
      <c r="AB251" s="156">
        <f t="shared" si="109"/>
        <v>0.64</v>
      </c>
      <c r="AC251" s="156">
        <f t="shared" si="109"/>
        <v>0.64</v>
      </c>
      <c r="AD251" s="156">
        <f t="shared" si="109"/>
        <v>0.64</v>
      </c>
      <c r="AE251" s="156">
        <f t="shared" si="109"/>
        <v>0.64</v>
      </c>
      <c r="AF251" s="156">
        <f t="shared" si="109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110">SUM(B246:B251)</f>
        <v>3.54</v>
      </c>
      <c r="C252" s="160">
        <f t="shared" si="110"/>
        <v>3.54</v>
      </c>
      <c r="D252" s="160">
        <f t="shared" si="110"/>
        <v>3.54</v>
      </c>
      <c r="E252" s="160">
        <f t="shared" si="110"/>
        <v>3.54</v>
      </c>
      <c r="F252" s="160">
        <f t="shared" si="110"/>
        <v>3.54</v>
      </c>
      <c r="G252" s="160">
        <f t="shared" si="110"/>
        <v>3.54</v>
      </c>
      <c r="H252" s="160">
        <f t="shared" si="110"/>
        <v>3.54</v>
      </c>
      <c r="I252" s="160">
        <f t="shared" si="110"/>
        <v>3.54</v>
      </c>
      <c r="J252" s="160">
        <f t="shared" si="110"/>
        <v>3.54</v>
      </c>
      <c r="K252" s="160">
        <f t="shared" si="110"/>
        <v>3.54</v>
      </c>
      <c r="L252" s="160">
        <f t="shared" si="110"/>
        <v>3.54</v>
      </c>
      <c r="M252" s="160">
        <f t="shared" si="110"/>
        <v>3.54</v>
      </c>
      <c r="N252" s="160">
        <f t="shared" si="110"/>
        <v>3.54</v>
      </c>
      <c r="O252" s="160">
        <f t="shared" si="110"/>
        <v>3.54</v>
      </c>
      <c r="P252" s="160">
        <f t="shared" si="110"/>
        <v>3.54</v>
      </c>
      <c r="Q252" s="160">
        <f t="shared" si="110"/>
        <v>3.54</v>
      </c>
      <c r="R252" s="160">
        <f t="shared" si="110"/>
        <v>3.54</v>
      </c>
      <c r="S252" s="160">
        <f t="shared" si="110"/>
        <v>3.54</v>
      </c>
      <c r="T252" s="160">
        <f t="shared" si="110"/>
        <v>3.54</v>
      </c>
      <c r="U252" s="160">
        <f t="shared" si="110"/>
        <v>3.54</v>
      </c>
      <c r="V252" s="160">
        <f t="shared" si="110"/>
        <v>3.54</v>
      </c>
      <c r="W252" s="160">
        <f t="shared" si="110"/>
        <v>3.54</v>
      </c>
      <c r="X252" s="160">
        <f t="shared" si="110"/>
        <v>3.54</v>
      </c>
      <c r="Y252" s="160">
        <f t="shared" si="110"/>
        <v>3.54</v>
      </c>
      <c r="Z252" s="160">
        <f t="shared" si="110"/>
        <v>3.54</v>
      </c>
      <c r="AA252" s="160">
        <f t="shared" si="110"/>
        <v>3.54</v>
      </c>
      <c r="AB252" s="160">
        <f t="shared" si="110"/>
        <v>3.54</v>
      </c>
      <c r="AC252" s="160">
        <f t="shared" si="110"/>
        <v>3.54</v>
      </c>
      <c r="AD252" s="160">
        <f t="shared" si="110"/>
        <v>3.54</v>
      </c>
      <c r="AE252" s="160">
        <f t="shared" si="110"/>
        <v>3.54</v>
      </c>
      <c r="AF252" s="160">
        <f t="shared" si="110"/>
        <v>3.54</v>
      </c>
      <c r="AG252" s="170">
        <f t="shared" si="110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1636.79</v>
      </c>
      <c r="C256" s="173">
        <f>INDEX(G9:N9,1,MATCH(MAX(G99:N99),G99:N99,0))</f>
        <v>0.3125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2080/10/7)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3237" priority="90">
      <formula>$AH11=0</formula>
    </cfRule>
  </conditionalFormatting>
  <conditionalFormatting sqref="A132:A253">
    <cfRule type="expression" dxfId="3236" priority="91">
      <formula>$AH132=0</formula>
    </cfRule>
  </conditionalFormatting>
  <conditionalFormatting sqref="B8">
    <cfRule type="expression" dxfId="3235" priority="149">
      <formula>AND(C$9&gt;=14/24,C$9&lt;20/24)</formula>
    </cfRule>
    <cfRule type="expression" dxfId="3234" priority="152">
      <formula>C$9&gt;=20/24</formula>
    </cfRule>
    <cfRule type="expression" dxfId="3233" priority="151">
      <formula>C$9&lt;8/24</formula>
    </cfRule>
    <cfRule type="expression" dxfId="3232" priority="150">
      <formula>AND(C$9&gt;=8/24,C$9&lt;14/24)</formula>
    </cfRule>
  </conditionalFormatting>
  <conditionalFormatting sqref="B11:AA52 AB12:AF52 B59:D74 E68:E74 E69:AF74 B77:AF99 B9:AF10 B101:AF117 B119:AF137 B244:AF244 B246:B252">
    <cfRule type="expression" dxfId="3231" priority="41">
      <formula>B$9&gt;=20/24</formula>
    </cfRule>
  </conditionalFormatting>
  <conditionalFormatting sqref="B53:AA57">
    <cfRule type="expression" dxfId="3230" priority="53">
      <formula>B$9&lt;8/24</formula>
    </cfRule>
  </conditionalFormatting>
  <conditionalFormatting sqref="B9:AF10 B11:AA52 AB12:AF52 B59:D74 E68:E74 E69:AF74 B77:AF99 B101:AF117 B119:AF137 B244:AF244 B246:B252">
    <cfRule type="expression" dxfId="3229" priority="42">
      <formula>AND(B$9&gt;=14/24,B$9&lt;20/24)</formula>
    </cfRule>
    <cfRule type="expression" dxfId="3228" priority="43">
      <formula>AND(B$9&gt;=8/24,B$9&lt;14/24)</formula>
    </cfRule>
  </conditionalFormatting>
  <conditionalFormatting sqref="B9:AF10 B11:AA52 AB12:AF55 B59:D74 E68:E74 E69:AF74 B77:AF99 B101:AF117 B119:AF137 B244:AF244 B246:B252">
    <cfRule type="expression" dxfId="3227" priority="44">
      <formula>B$9&lt;8/24</formula>
    </cfRule>
  </conditionalFormatting>
  <conditionalFormatting sqref="D246:AF252">
    <cfRule type="expression" dxfId="3226" priority="135">
      <formula>AND(D$9&gt;=14/24,D$9&lt;20/24)</formula>
    </cfRule>
    <cfRule type="expression" dxfId="3225" priority="137">
      <formula>D$9&lt;8/24</formula>
    </cfRule>
    <cfRule type="expression" dxfId="3224" priority="136">
      <formula>AND(D$9&gt;=8/24,D$9&lt;14/24)</formula>
    </cfRule>
    <cfRule type="expression" dxfId="3223" priority="134">
      <formula>D$9&gt;=20/24</formula>
    </cfRule>
  </conditionalFormatting>
  <conditionalFormatting sqref="E63:I67 J64:J67 K67">
    <cfRule type="expression" dxfId="3222" priority="56">
      <formula>AND(E$9&gt;=8/24,E$9&lt;14/24)</formula>
    </cfRule>
    <cfRule type="expression" dxfId="3221" priority="57">
      <formula>E$9&lt;8/24</formula>
    </cfRule>
    <cfRule type="expression" dxfId="3220" priority="54">
      <formula>E$9&gt;=20/24</formula>
    </cfRule>
    <cfRule type="expression" dxfId="3219" priority="55">
      <formula>AND(E$9&gt;=14/24,E$9&lt;20/24)</formula>
    </cfRule>
  </conditionalFormatting>
  <conditionalFormatting sqref="E68:K68">
    <cfRule type="expression" dxfId="3218" priority="49">
      <formula>E$9&gt;=20/24</formula>
    </cfRule>
    <cfRule type="expression" dxfId="3217" priority="50">
      <formula>AND(E$9&gt;=14/24,E$9&lt;20/24)</formula>
    </cfRule>
    <cfRule type="expression" dxfId="3216" priority="51">
      <formula>AND(E$9&gt;=8/24,E$9&lt;14/24)</formula>
    </cfRule>
    <cfRule type="expression" dxfId="3215" priority="52">
      <formula>E$9&lt;8/24</formula>
    </cfRule>
  </conditionalFormatting>
  <conditionalFormatting sqref="E11:AA56 B11:D80 AB12:AD57 AE12:AF80 AA57 P57:Z61 E57:O74 AA58:AD61 AG62 P62:AD74 E75:AD80 AG80">
    <cfRule type="expression" dxfId="3214" priority="40">
      <formula>B11&gt;$AG11</formula>
    </cfRule>
  </conditionalFormatting>
  <conditionalFormatting sqref="E53:AF55 B53:D57">
    <cfRule type="expression" dxfId="3213" priority="38">
      <formula>AND(B$9&gt;=14/24,B$9&lt;20/24)</formula>
    </cfRule>
    <cfRule type="expression" dxfId="3212" priority="39">
      <formula>AND(B$9&gt;=8/24,B$9&lt;14/24)</formula>
    </cfRule>
    <cfRule type="expression" dxfId="3211" priority="37">
      <formula>B$9&gt;=20/24</formula>
    </cfRule>
  </conditionalFormatting>
  <conditionalFormatting sqref="E56:AF57">
    <cfRule type="expression" dxfId="3210" priority="48">
      <formula>AND(E$9&gt;=8/24,E$9&lt;14/24)</formula>
    </cfRule>
    <cfRule type="expression" dxfId="3209" priority="47">
      <formula>AND(E$9&gt;=14/24,E$9&lt;20/24)</formula>
    </cfRule>
    <cfRule type="expression" dxfId="3208" priority="46">
      <formula>E$9&gt;=20/24</formula>
    </cfRule>
  </conditionalFormatting>
  <conditionalFormatting sqref="E59:AF62">
    <cfRule type="expression" dxfId="3207" priority="70">
      <formula>AND(E$9&gt;=8/24,E$9&lt;14/24)</formula>
    </cfRule>
    <cfRule type="expression" dxfId="3206" priority="71">
      <formula>E$9&lt;8/24</formula>
    </cfRule>
    <cfRule type="expression" dxfId="3205" priority="68">
      <formula>E$9&gt;=20/24</formula>
    </cfRule>
    <cfRule type="expression" dxfId="3204" priority="69">
      <formula>AND(E$9&gt;=14/24,E$9&lt;20/24)</formula>
    </cfRule>
  </conditionalFormatting>
  <conditionalFormatting sqref="F63:O65 P64:AA65">
    <cfRule type="expression" dxfId="3203" priority="85">
      <formula>F$9&lt;8/24</formula>
    </cfRule>
    <cfRule type="expression" dxfId="3202" priority="84">
      <formula>AND(F$9&gt;=8/24,F$9&lt;14/24)</formula>
    </cfRule>
    <cfRule type="expression" dxfId="3201" priority="83">
      <formula>AND(F$9&gt;=14/24,F$9&lt;20/24)</formula>
    </cfRule>
  </conditionalFormatting>
  <conditionalFormatting sqref="L68:AF68">
    <cfRule type="expression" dxfId="3200" priority="81">
      <formula>L$9&lt;8/24</formula>
    </cfRule>
    <cfRule type="expression" dxfId="3199" priority="78">
      <formula>L$9&gt;=20/24</formula>
    </cfRule>
    <cfRule type="expression" dxfId="3198" priority="79">
      <formula>AND(L$9&gt;=14/24,L$9&lt;20/24)</formula>
    </cfRule>
    <cfRule type="expression" dxfId="3197" priority="80">
      <formula>AND(L$9&gt;=8/24,L$9&lt;14/24)</formula>
    </cfRule>
  </conditionalFormatting>
  <conditionalFormatting sqref="M8 S8 AB8">
    <cfRule type="expression" dxfId="3196" priority="143">
      <formula>N$9&lt;8/24</formula>
    </cfRule>
    <cfRule type="expression" dxfId="3195" priority="142">
      <formula>AND(N$9&gt;=8/24,N$9&lt;14/24)</formula>
    </cfRule>
    <cfRule type="expression" dxfId="3194" priority="141">
      <formula>AND(N$9&gt;=14/24,N$9&lt;20/24)</formula>
    </cfRule>
  </conditionalFormatting>
  <conditionalFormatting sqref="M63:AA67">
    <cfRule type="expression" dxfId="3193" priority="86">
      <formula>M$9&gt;=20/24</formula>
    </cfRule>
    <cfRule type="expression" dxfId="3192" priority="87">
      <formula>AND(M$9&gt;=14/24,M$9&lt;20/24)</formula>
    </cfRule>
    <cfRule type="expression" dxfId="3191" priority="88">
      <formula>AND(M$9&gt;=8/24,M$9&lt;14/24)</formula>
    </cfRule>
    <cfRule type="expression" dxfId="3190" priority="89">
      <formula>M$9&lt;8/24</formula>
    </cfRule>
  </conditionalFormatting>
  <conditionalFormatting sqref="O3:P3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P64:AA65 F63:O65">
    <cfRule type="expression" dxfId="3189" priority="82">
      <formula>F$9&gt;=20/24</formula>
    </cfRule>
  </conditionalFormatting>
  <conditionalFormatting sqref="S8 AB8 M8">
    <cfRule type="expression" dxfId="3188" priority="140">
      <formula>N$9&gt;=20/24</formula>
    </cfRule>
  </conditionalFormatting>
  <conditionalFormatting sqref="S8">
    <cfRule type="expression" dxfId="3187" priority="129">
      <formula>AND(U$9&gt;=8/24,U$9&lt;14/24)</formula>
    </cfRule>
    <cfRule type="expression" dxfId="3186" priority="127">
      <formula>U$9&gt;=20/24</formula>
    </cfRule>
    <cfRule type="expression" dxfId="3185" priority="128">
      <formula>AND(U$9&gt;=14/24,U$9&lt;20/24)</formula>
    </cfRule>
    <cfRule type="expression" dxfId="3184" priority="130">
      <formula>U$9&lt;8/24</formula>
    </cfRule>
  </conditionalFormatting>
  <conditionalFormatting sqref="T63:AF68">
    <cfRule type="expression" dxfId="3183" priority="75">
      <formula>T$9&lt;8/24</formula>
    </cfRule>
    <cfRule type="expression" dxfId="3182" priority="74">
      <formula>AND(T$9&gt;=8/24,T$9&lt;14/24)</formula>
    </cfRule>
    <cfRule type="expression" dxfId="3181" priority="73">
      <formula>AND(T$9&gt;=14/24,T$9&lt;20/24)</formula>
    </cfRule>
    <cfRule type="expression" dxfId="3180" priority="72">
      <formula>T$9&gt;=20/24</formula>
    </cfRule>
  </conditionalFormatting>
  <conditionalFormatting sqref="V3 AB3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179" priority="126">
      <formula>AD$9&lt;8/24</formula>
    </cfRule>
    <cfRule type="expression" dxfId="3178" priority="125">
      <formula>AND(AD$9&gt;=8/24,AD$9&lt;14/24)</formula>
    </cfRule>
    <cfRule type="expression" dxfId="3177" priority="124">
      <formula>AND(AD$9&gt;=14/24,AD$9&lt;20/24)</formula>
    </cfRule>
    <cfRule type="expression" dxfId="3176" priority="123">
      <formula>AD$9&gt;=20/24</formula>
    </cfRule>
  </conditionalFormatting>
  <conditionalFormatting sqref="AB11:AF11">
    <cfRule type="expression" dxfId="3175" priority="62">
      <formula>AB$9&lt;8/24</formula>
    </cfRule>
    <cfRule type="expression" dxfId="3174" priority="58">
      <formula>AB11&gt;$AG11</formula>
    </cfRule>
    <cfRule type="expression" dxfId="3173" priority="59">
      <formula>AB$9&gt;=20/24</formula>
    </cfRule>
    <cfRule type="expression" dxfId="3172" priority="60">
      <formula>AND(AB$9&gt;=14/24,AB$9&lt;20/24)</formula>
    </cfRule>
    <cfRule type="expression" dxfId="3171" priority="61">
      <formula>AND(AB$9&gt;=8/24,AB$9&lt;14/24)</formula>
    </cfRule>
  </conditionalFormatting>
  <conditionalFormatting sqref="AB56:AF57">
    <cfRule type="expression" dxfId="3170" priority="76">
      <formula>AB$9&lt;8/24</formula>
    </cfRule>
  </conditionalFormatting>
  <conditionalFormatting sqref="AG58">
    <cfRule type="expression" dxfId="3169" priority="118">
      <formula>AG58&gt;$AG58</formula>
    </cfRule>
  </conditionalFormatting>
  <conditionalFormatting sqref="AG62">
    <cfRule type="expression" dxfId="3168" priority="103">
      <formula>AND(AG$9&gt;=8/24,AG$9&lt;14/24)</formula>
    </cfRule>
    <cfRule type="expression" dxfId="3167" priority="104">
      <formula>AG$9&lt;8/24</formula>
    </cfRule>
    <cfRule type="expression" dxfId="3166" priority="101">
      <formula>AG$9&gt;=20/24</formula>
    </cfRule>
    <cfRule type="expression" dxfId="3165" priority="102">
      <formula>AND(AG$9&gt;=14/24,AG$9&lt;20/24)</formula>
    </cfRule>
  </conditionalFormatting>
  <conditionalFormatting sqref="AG75:AG76">
    <cfRule type="expression" dxfId="3164" priority="96">
      <formula>AG75&gt;$AG75</formula>
    </cfRule>
  </conditionalFormatting>
  <conditionalFormatting sqref="AG80">
    <cfRule type="expression" dxfId="3163" priority="99">
      <formula>AND(AG$9&gt;=8/24,AG$9&lt;14/24)</formula>
    </cfRule>
    <cfRule type="expression" dxfId="3162" priority="97">
      <formula>AG$9&gt;=20/24</formula>
    </cfRule>
    <cfRule type="expression" dxfId="3161" priority="98">
      <formula>AND(AG$9&gt;=14/24,AG$9&lt;20/24)</formula>
    </cfRule>
    <cfRule type="expression" dxfId="3160" priority="100">
      <formula>AG$9&lt;8/24</formula>
    </cfRule>
  </conditionalFormatting>
  <conditionalFormatting sqref="AG97">
    <cfRule type="expression" dxfId="3159" priority="122">
      <formula>AG$9&lt;8/24</formula>
    </cfRule>
    <cfRule type="expression" dxfId="3158" priority="121">
      <formula>AND(AG$9&gt;=8/24,AG$9&lt;14/24)</formula>
    </cfRule>
    <cfRule type="expression" dxfId="3157" priority="120">
      <formula>AND(AG$9&gt;=14/24,AG$9&lt;20/24)</formula>
    </cfRule>
    <cfRule type="expression" dxfId="3156" priority="119">
      <formula>AG$9&gt;=20/24</formula>
    </cfRule>
  </conditionalFormatting>
  <conditionalFormatting sqref="AL4:AL6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155" priority="144">
      <formula>AJ$9&gt;=20/24</formula>
    </cfRule>
    <cfRule type="expression" dxfId="3154" priority="145">
      <formula>AND(AJ$9&gt;=14/24,AJ$9&lt;20/24)</formula>
    </cfRule>
    <cfRule type="expression" dxfId="3153" priority="146">
      <formula>AND(AJ$9&gt;=8/24,AJ$9&lt;14/24)</formula>
    </cfRule>
    <cfRule type="expression" dxfId="3152" priority="147">
      <formula>AJ$9&lt;8/24</formula>
    </cfRule>
  </conditionalFormatting>
  <conditionalFormatting sqref="AL88:AN88 AL94:AN94">
    <cfRule type="expression" dxfId="3151" priority="112">
      <formula>AND(AL$9&gt;=14/24,AL$9&lt;20/24)</formula>
    </cfRule>
    <cfRule type="expression" dxfId="3150" priority="111">
      <formula>AL$9&gt;=20/24</formula>
    </cfRule>
    <cfRule type="expression" dxfId="3149" priority="113">
      <formula>AND(AL$9&gt;=8/24,AL$9&lt;14/24)</formula>
    </cfRule>
    <cfRule type="expression" dxfId="3148" priority="114">
      <formula>AL$9&lt;8/24</formula>
    </cfRule>
  </conditionalFormatting>
  <conditionalFormatting sqref="AM15:AM21 AN16:AR21">
    <cfRule type="expression" dxfId="3147" priority="16">
      <formula>AX$9&lt;8/24</formula>
    </cfRule>
    <cfRule type="expression" dxfId="3146" priority="15">
      <formula>AND(AX$9&gt;=8/24,AX$9&lt;14/24)</formula>
    </cfRule>
    <cfRule type="expression" dxfId="3145" priority="14">
      <formula>AND(AX$9&gt;=14/24,AX$9&lt;20/24)</formula>
    </cfRule>
    <cfRule type="expression" dxfId="3144" priority="13">
      <formula>AX$9&gt;=20/24</formula>
    </cfRule>
  </conditionalFormatting>
  <conditionalFormatting sqref="AN89:AN92">
    <cfRule type="expression" dxfId="3143" priority="107">
      <formula>AN$9&gt;=20/24</formula>
    </cfRule>
    <cfRule type="expression" dxfId="3142" priority="108">
      <formula>AND(AN$9&gt;=14/24,AN$9&lt;20/24)</formula>
    </cfRule>
    <cfRule type="expression" dxfId="3141" priority="109">
      <formula>AND(AN$9&gt;=8/24,AN$9&lt;14/24)</formula>
    </cfRule>
    <cfRule type="expression" dxfId="3140" priority="110">
      <formula>AN$9&lt;8/24</formula>
    </cfRule>
  </conditionalFormatting>
  <conditionalFormatting sqref="AN15:AR15">
    <cfRule type="expression" dxfId="3139" priority="2">
      <formula>AND(U$9&gt;=14/24,U$9&lt;20/24)</formula>
    </cfRule>
    <cfRule type="expression" dxfId="3138" priority="3">
      <formula>AND(U$9&gt;=8/24,U$9&lt;14/24)</formula>
    </cfRule>
    <cfRule type="expression" dxfId="3137" priority="4">
      <formula>U$9&lt;8/24</formula>
    </cfRule>
    <cfRule type="expression" dxfId="3136" priority="1">
      <formula>U$9&gt;=20/24</formula>
    </cfRule>
  </conditionalFormatting>
  <conditionalFormatting sqref="AS15">
    <cfRule type="expression" dxfId="3135" priority="10">
      <formula>AND(AA$9&gt;=14/24,AA$9&lt;20/24)</formula>
    </cfRule>
    <cfRule type="expression" dxfId="3134" priority="11">
      <formula>AND(AA$9&gt;=8/24,AA$9&lt;14/24)</formula>
    </cfRule>
    <cfRule type="expression" dxfId="3133" priority="12">
      <formula>AA$9&lt;8/24</formula>
    </cfRule>
    <cfRule type="expression" dxfId="3132" priority="9">
      <formula>AA$9&gt;=20/24</formula>
    </cfRule>
  </conditionalFormatting>
  <conditionalFormatting sqref="AS16:AS21">
    <cfRule type="expression" dxfId="3131" priority="20">
      <formula>BE$9&lt;8/24</formula>
    </cfRule>
    <cfRule type="expression" dxfId="3130" priority="19">
      <formula>AND(BE$9&gt;=8/24,BE$9&lt;14/24)</formula>
    </cfRule>
    <cfRule type="expression" dxfId="3129" priority="18">
      <formula>AND(BE$9&gt;=14/24,BE$9&lt;20/24)</formula>
    </cfRule>
    <cfRule type="expression" dxfId="3128" priority="17">
      <formula>BE$9&gt;=20/24</formula>
    </cfRule>
  </conditionalFormatting>
  <conditionalFormatting sqref="AT15 AX15">
    <cfRule type="expression" dxfId="3127" priority="24">
      <formula>AC$9&lt;8/24</formula>
    </cfRule>
    <cfRule type="expression" dxfId="3126" priority="23">
      <formula>AND(AC$9&gt;=8/24,AC$9&lt;14/24)</formula>
    </cfRule>
    <cfRule type="expression" dxfId="3125" priority="21">
      <formula>AC$9&gt;=20/24</formula>
    </cfRule>
    <cfRule type="expression" dxfId="3124" priority="22">
      <formula>AND(AC$9&gt;=14/24,AC$9&lt;20/24)</formula>
    </cfRule>
  </conditionalFormatting>
  <conditionalFormatting sqref="AT16:AT21">
    <cfRule type="expression" dxfId="3123" priority="28">
      <formula>BG$9&lt;8/24</formula>
    </cfRule>
    <cfRule type="expression" dxfId="3122" priority="27">
      <formula>AND(BG$9&gt;=8/24,BG$9&lt;14/24)</formula>
    </cfRule>
    <cfRule type="expression" dxfId="3121" priority="26">
      <formula>AND(BG$9&gt;=14/24,BG$9&lt;20/24)</formula>
    </cfRule>
    <cfRule type="expression" dxfId="3120" priority="25">
      <formula>BG$9&gt;=20/24</formula>
    </cfRule>
  </conditionalFormatting>
  <conditionalFormatting sqref="AU15:AV15">
    <cfRule type="expression" dxfId="3119" priority="32">
      <formula>AE$9&lt;8/24</formula>
    </cfRule>
    <cfRule type="expression" dxfId="3118" priority="31">
      <formula>AND(AE$9&gt;=8/24,AE$9&lt;14/24)</formula>
    </cfRule>
    <cfRule type="expression" dxfId="3117" priority="30">
      <formula>AND(AE$9&gt;=14/24,AE$9&lt;20/24)</formula>
    </cfRule>
    <cfRule type="expression" dxfId="3116" priority="29">
      <formula>AE$9&gt;=20/24</formula>
    </cfRule>
  </conditionalFormatting>
  <conditionalFormatting sqref="AU16:AX21">
    <cfRule type="expression" dxfId="3115" priority="34">
      <formula>AND(BI$9&gt;=14/24,BI$9&lt;20/24)</formula>
    </cfRule>
    <cfRule type="expression" dxfId="3114" priority="33">
      <formula>BI$9&gt;=20/24</formula>
    </cfRule>
    <cfRule type="expression" dxfId="3113" priority="36">
      <formula>BI$9&lt;8/24</formula>
    </cfRule>
    <cfRule type="expression" dxfId="3112" priority="35">
      <formula>AND(BI$9&gt;=8/24,BI$9&lt;14/24)</formula>
    </cfRule>
  </conditionalFormatting>
  <conditionalFormatting sqref="AW15">
    <cfRule type="expression" dxfId="3111" priority="5">
      <formula>B$9&gt;=20/24</formula>
    </cfRule>
    <cfRule type="expression" dxfId="3110" priority="8">
      <formula>B$9&lt;8/24</formula>
    </cfRule>
    <cfRule type="expression" dxfId="3109" priority="7">
      <formula>AND(B$9&gt;=8/24,B$9&lt;14/24)</formula>
    </cfRule>
    <cfRule type="expression" dxfId="3108" priority="6">
      <formula>AND(B$9&gt;=14/24,B$9&lt;20/24)</formula>
    </cfRule>
  </conditionalFormatting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D204-891B-4759-8A01-40B96E0D6532}">
  <sheetPr codeName="Sheet9"/>
  <dimension ref="A1:CJ294"/>
  <sheetViews>
    <sheetView zoomScale="106" workbookViewId="0">
      <pane xSplit="1" ySplit="10" topLeftCell="B68" activePane="bottomRight" state="frozen"/>
      <selection activeCell="Z63" sqref="Z63"/>
      <selection pane="topRight" activeCell="Z63" sqref="Z63"/>
      <selection pane="bottomLeft" activeCell="Z63" sqref="Z63"/>
      <selection pane="bottomRight" activeCell="Z59" sqref="Z59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2080/10/8</v>
      </c>
      <c r="C4" s="214"/>
      <c r="D4" s="214"/>
      <c r="E4" s="215" t="str">
        <f ca="1">"2080/"&amp;"10/"&amp;INT(MID(CELL("filename",G6),FIND("]",CELL("filename",G6))+1,200))</f>
        <v>2080/10/8</v>
      </c>
      <c r="F4" s="215"/>
      <c r="G4" s="215"/>
      <c r="H4" s="215" t="str">
        <f ca="1">TEXT(E4,"dddd")</f>
        <v>Tuesday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554.9</v>
      </c>
      <c r="C5" s="30">
        <f t="shared" ref="C5:AE5" si="0">D92</f>
        <v>532.29999999999995</v>
      </c>
      <c r="D5" s="30">
        <f t="shared" si="0"/>
        <v>516.29999999999995</v>
      </c>
      <c r="E5" s="30">
        <f t="shared" si="0"/>
        <v>516.9</v>
      </c>
      <c r="F5" s="30">
        <f t="shared" si="0"/>
        <v>496.3</v>
      </c>
      <c r="G5" s="30">
        <f t="shared" si="0"/>
        <v>469</v>
      </c>
      <c r="H5" s="30">
        <f t="shared" si="0"/>
        <v>469</v>
      </c>
      <c r="I5" s="30">
        <f t="shared" si="0"/>
        <v>495</v>
      </c>
      <c r="J5" s="30">
        <f t="shared" si="0"/>
        <v>464.1</v>
      </c>
      <c r="K5" s="30">
        <f t="shared" si="0"/>
        <v>504.4</v>
      </c>
      <c r="L5" s="30">
        <f t="shared" si="0"/>
        <v>470.6</v>
      </c>
      <c r="M5" s="30">
        <f t="shared" si="0"/>
        <v>455.70000000000005</v>
      </c>
      <c r="N5" s="30">
        <f t="shared" si="0"/>
        <v>481.1</v>
      </c>
      <c r="O5" s="30">
        <f t="shared" si="0"/>
        <v>592</v>
      </c>
      <c r="P5" s="30">
        <f t="shared" si="0"/>
        <v>562.5</v>
      </c>
      <c r="Q5" s="30">
        <f t="shared" si="0"/>
        <v>544.5</v>
      </c>
      <c r="R5" s="30">
        <f t="shared" si="0"/>
        <v>593.29999999999995</v>
      </c>
      <c r="S5" s="30">
        <f t="shared" si="0"/>
        <v>616.6</v>
      </c>
      <c r="T5" s="30">
        <f t="shared" si="0"/>
        <v>613.9</v>
      </c>
      <c r="U5" s="30">
        <f t="shared" si="0"/>
        <v>567.49999999999989</v>
      </c>
      <c r="V5" s="30">
        <f t="shared" si="0"/>
        <v>567.49999999999989</v>
      </c>
      <c r="W5" s="30">
        <f t="shared" si="0"/>
        <v>692.1</v>
      </c>
      <c r="X5" s="30">
        <f t="shared" si="0"/>
        <v>745.19999999999993</v>
      </c>
      <c r="Y5" s="30">
        <f t="shared" si="0"/>
        <v>547.90000000000009</v>
      </c>
      <c r="Z5" s="30">
        <f t="shared" si="0"/>
        <v>462.30000000000007</v>
      </c>
      <c r="AA5" s="30">
        <f t="shared" si="0"/>
        <v>449.5</v>
      </c>
      <c r="AB5" s="30">
        <f t="shared" si="0"/>
        <v>492.8</v>
      </c>
      <c r="AC5" s="30">
        <f t="shared" si="0"/>
        <v>514</v>
      </c>
      <c r="AD5" s="30">
        <f t="shared" si="0"/>
        <v>508</v>
      </c>
      <c r="AE5" s="30">
        <f t="shared" si="0"/>
        <v>625</v>
      </c>
      <c r="AF5" s="30">
        <f>B92</f>
        <v>519.79999999999995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1497MW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Load=1070</v>
      </c>
      <c r="B7" s="35">
        <f>B100</f>
        <v>1108.79</v>
      </c>
      <c r="C7" s="35">
        <f t="shared" ref="C7:AF7" si="1">C100</f>
        <v>1112.8899999999999</v>
      </c>
      <c r="D7" s="35">
        <f t="shared" si="1"/>
        <v>1089.3899999999999</v>
      </c>
      <c r="E7" s="35">
        <f t="shared" si="1"/>
        <v>1096.99</v>
      </c>
      <c r="F7" s="35">
        <f t="shared" si="1"/>
        <v>1091.19</v>
      </c>
      <c r="G7" s="35">
        <f t="shared" si="1"/>
        <v>1070.49</v>
      </c>
      <c r="H7" s="35">
        <f t="shared" si="1"/>
        <v>1174.29</v>
      </c>
      <c r="I7" s="35">
        <f t="shared" si="1"/>
        <v>1200.69</v>
      </c>
      <c r="J7" s="35">
        <f t="shared" si="1"/>
        <v>1225.5900000000001</v>
      </c>
      <c r="K7" s="35">
        <f t="shared" si="1"/>
        <v>1259.29</v>
      </c>
      <c r="L7" s="35">
        <f t="shared" si="1"/>
        <v>1496.5900000000001</v>
      </c>
      <c r="M7" s="35">
        <f t="shared" si="1"/>
        <v>1482.79</v>
      </c>
      <c r="N7" s="35">
        <f t="shared" si="1"/>
        <v>1363.69</v>
      </c>
      <c r="O7" s="35">
        <f t="shared" si="1"/>
        <v>1393.0900000000001</v>
      </c>
      <c r="P7" s="35">
        <f t="shared" si="1"/>
        <v>1368.59</v>
      </c>
      <c r="Q7" s="35">
        <f t="shared" si="1"/>
        <v>1352.29</v>
      </c>
      <c r="R7" s="35">
        <f t="shared" si="1"/>
        <v>1323.8899999999999</v>
      </c>
      <c r="S7" s="35">
        <f t="shared" si="1"/>
        <v>1382.69</v>
      </c>
      <c r="T7" s="35">
        <f t="shared" si="1"/>
        <v>1444.29</v>
      </c>
      <c r="U7" s="35">
        <f t="shared" si="1"/>
        <v>1468.8899999999999</v>
      </c>
      <c r="V7" s="35">
        <f t="shared" si="1"/>
        <v>1402.3899999999999</v>
      </c>
      <c r="W7" s="35">
        <f t="shared" si="1"/>
        <v>1452.3899999999999</v>
      </c>
      <c r="X7" s="35">
        <f t="shared" si="1"/>
        <v>1553.9900000000002</v>
      </c>
      <c r="Y7" s="35">
        <f t="shared" si="1"/>
        <v>1725.19</v>
      </c>
      <c r="Z7" s="35">
        <f t="shared" si="1"/>
        <v>1751.69</v>
      </c>
      <c r="AA7" s="35">
        <f t="shared" si="1"/>
        <v>1680.4900000000002</v>
      </c>
      <c r="AB7" s="35">
        <f t="shared" si="1"/>
        <v>1514.09</v>
      </c>
      <c r="AC7" s="35">
        <f t="shared" si="1"/>
        <v>1452.29</v>
      </c>
      <c r="AD7" s="35">
        <f t="shared" si="1"/>
        <v>1406.49</v>
      </c>
      <c r="AE7" s="35">
        <f t="shared" si="1"/>
        <v>1339.49</v>
      </c>
      <c r="AF7" s="35">
        <f t="shared" si="1"/>
        <v>1251.49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1482.79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1482.79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7</v>
      </c>
      <c r="C11" s="46">
        <v>7</v>
      </c>
      <c r="D11" s="46">
        <v>7</v>
      </c>
      <c r="E11" s="46">
        <v>28.5</v>
      </c>
      <c r="F11" s="46">
        <v>22.1</v>
      </c>
      <c r="G11" s="46">
        <v>22</v>
      </c>
      <c r="H11" s="46">
        <v>32</v>
      </c>
      <c r="I11" s="46">
        <v>33.5</v>
      </c>
      <c r="J11" s="46">
        <v>33</v>
      </c>
      <c r="K11" s="46">
        <v>33.700000000000003</v>
      </c>
      <c r="L11" s="46">
        <v>35.299999999999997</v>
      </c>
      <c r="M11" s="46">
        <v>35.299999999999997</v>
      </c>
      <c r="N11" s="46">
        <v>35.299999999999997</v>
      </c>
      <c r="O11" s="46">
        <v>35.299999999999997</v>
      </c>
      <c r="P11" s="46">
        <v>35.299999999999997</v>
      </c>
      <c r="Q11" s="46">
        <v>35.299999999999997</v>
      </c>
      <c r="R11" s="46">
        <v>35.299999999999997</v>
      </c>
      <c r="S11" s="46">
        <v>35.299999999999997</v>
      </c>
      <c r="T11" s="46">
        <v>35.299999999999997</v>
      </c>
      <c r="U11" s="46">
        <v>35.299999999999997</v>
      </c>
      <c r="V11" s="46">
        <v>35.299999999999997</v>
      </c>
      <c r="W11" s="46">
        <v>35.299999999999997</v>
      </c>
      <c r="X11" s="46">
        <v>35.299999999999997</v>
      </c>
      <c r="Y11" s="46">
        <v>35.299999999999997</v>
      </c>
      <c r="Z11" s="46">
        <v>35.299999999999997</v>
      </c>
      <c r="AA11" s="46">
        <v>35.299999999999997</v>
      </c>
      <c r="AB11" s="46">
        <v>35.299999999999997</v>
      </c>
      <c r="AC11" s="46">
        <v>35.299999999999997</v>
      </c>
      <c r="AD11" s="46">
        <v>35.299999999999997</v>
      </c>
      <c r="AE11" s="46">
        <v>35.299999999999997</v>
      </c>
      <c r="AF11" s="46">
        <v>35.299999999999997</v>
      </c>
      <c r="AG11" s="47">
        <v>86</v>
      </c>
      <c r="AH11" s="48">
        <f t="shared" ref="AH11:AH16" si="2">MAX(B11:AF11)</f>
        <v>35.299999999999997</v>
      </c>
      <c r="AI11" s="49">
        <f t="shared" ref="AI11:AI16" si="3">MIN(B11:AF11)</f>
        <v>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8</v>
      </c>
      <c r="C12" s="46">
        <v>8</v>
      </c>
      <c r="D12" s="46">
        <v>8</v>
      </c>
      <c r="E12" s="46">
        <v>8</v>
      </c>
      <c r="F12" s="46">
        <v>8</v>
      </c>
      <c r="G12" s="46">
        <v>8</v>
      </c>
      <c r="H12" s="46">
        <v>8</v>
      </c>
      <c r="I12" s="46">
        <v>8</v>
      </c>
      <c r="J12" s="46">
        <v>8</v>
      </c>
      <c r="K12" s="46">
        <v>8</v>
      </c>
      <c r="L12" s="46">
        <v>8</v>
      </c>
      <c r="M12" s="46">
        <v>8</v>
      </c>
      <c r="N12" s="46">
        <v>8</v>
      </c>
      <c r="O12" s="46">
        <v>8</v>
      </c>
      <c r="P12" s="46">
        <v>8</v>
      </c>
      <c r="Q12" s="46">
        <v>8</v>
      </c>
      <c r="R12" s="46">
        <v>8</v>
      </c>
      <c r="S12" s="46">
        <v>8</v>
      </c>
      <c r="T12" s="46">
        <v>8</v>
      </c>
      <c r="U12" s="46">
        <v>8</v>
      </c>
      <c r="V12" s="46">
        <v>8</v>
      </c>
      <c r="W12" s="46">
        <v>8</v>
      </c>
      <c r="X12" s="46">
        <v>8</v>
      </c>
      <c r="Y12" s="46">
        <v>8</v>
      </c>
      <c r="Z12" s="46">
        <v>8</v>
      </c>
      <c r="AA12" s="46">
        <v>8</v>
      </c>
      <c r="AB12" s="46">
        <v>8</v>
      </c>
      <c r="AC12" s="46">
        <v>8</v>
      </c>
      <c r="AD12" s="46">
        <v>8</v>
      </c>
      <c r="AE12" s="46">
        <v>8</v>
      </c>
      <c r="AF12" s="46">
        <v>8</v>
      </c>
      <c r="AG12" s="50">
        <v>54</v>
      </c>
      <c r="AH12" s="48">
        <f t="shared" si="2"/>
        <v>8</v>
      </c>
      <c r="AI12" s="49">
        <f t="shared" si="3"/>
        <v>8</v>
      </c>
      <c r="AK12" s="51"/>
      <c r="AL12" s="52" t="str">
        <f ca="1">MID(CELL("filename",C7),FIND("]",CELL("filename",C7))+1,600)</f>
        <v>8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9.4</v>
      </c>
      <c r="C13" s="46">
        <v>9.4</v>
      </c>
      <c r="D13" s="46">
        <v>9.4</v>
      </c>
      <c r="E13" s="46">
        <v>9.4</v>
      </c>
      <c r="F13" s="46">
        <v>9.4</v>
      </c>
      <c r="G13" s="46">
        <v>9.4</v>
      </c>
      <c r="H13" s="46">
        <v>9.4</v>
      </c>
      <c r="I13" s="46">
        <v>9.4</v>
      </c>
      <c r="J13" s="46">
        <v>9.4</v>
      </c>
      <c r="K13" s="46">
        <v>9.4</v>
      </c>
      <c r="L13" s="46">
        <v>9.4</v>
      </c>
      <c r="M13" s="46">
        <v>9.4</v>
      </c>
      <c r="N13" s="46">
        <v>9.4</v>
      </c>
      <c r="O13" s="46">
        <v>9.4</v>
      </c>
      <c r="P13" s="46">
        <v>9.4</v>
      </c>
      <c r="Q13" s="46">
        <v>9.4</v>
      </c>
      <c r="R13" s="46">
        <v>9.4</v>
      </c>
      <c r="S13" s="46">
        <v>9.4</v>
      </c>
      <c r="T13" s="46">
        <v>9.4</v>
      </c>
      <c r="U13" s="46">
        <v>9.4</v>
      </c>
      <c r="V13" s="46">
        <v>9.4</v>
      </c>
      <c r="W13" s="46">
        <v>9.4</v>
      </c>
      <c r="X13" s="46">
        <v>9.4</v>
      </c>
      <c r="Y13" s="46">
        <v>9.4</v>
      </c>
      <c r="Z13" s="46">
        <v>9.4</v>
      </c>
      <c r="AA13" s="46">
        <v>9.4</v>
      </c>
      <c r="AB13" s="46">
        <v>9.4</v>
      </c>
      <c r="AC13" s="46">
        <v>9.4</v>
      </c>
      <c r="AD13" s="46">
        <v>9.4</v>
      </c>
      <c r="AE13" s="46">
        <v>9.4</v>
      </c>
      <c r="AF13" s="46">
        <v>9.4</v>
      </c>
      <c r="AG13" s="50">
        <v>54</v>
      </c>
      <c r="AH13" s="48">
        <f t="shared" si="2"/>
        <v>9.4</v>
      </c>
      <c r="AI13" s="49">
        <f t="shared" si="3"/>
        <v>9.4</v>
      </c>
      <c r="AK13" s="51"/>
      <c r="AL13" s="52" t="str">
        <f ca="1">"Daily Load Curve(Excluding of Export) of Nepal ("&amp;A4&amp;" "&amp;B4&amp;")"</f>
        <v>Daily Load Curve(Excluding of Export) of Nepal (Nepali Date: 2080/10/8)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15.4</v>
      </c>
      <c r="C14" s="46">
        <v>15.4</v>
      </c>
      <c r="D14" s="46">
        <v>15.4</v>
      </c>
      <c r="E14" s="46">
        <v>15.4</v>
      </c>
      <c r="F14" s="46">
        <v>15.4</v>
      </c>
      <c r="G14" s="46">
        <v>15.4</v>
      </c>
      <c r="H14" s="46">
        <v>15.4</v>
      </c>
      <c r="I14" s="46">
        <v>15.4</v>
      </c>
      <c r="J14" s="46">
        <v>15.4</v>
      </c>
      <c r="K14" s="46">
        <v>15.4</v>
      </c>
      <c r="L14" s="46">
        <v>15.4</v>
      </c>
      <c r="M14" s="46">
        <v>15.4</v>
      </c>
      <c r="N14" s="46">
        <v>15.4</v>
      </c>
      <c r="O14" s="46">
        <v>15.4</v>
      </c>
      <c r="P14" s="46">
        <v>15.4</v>
      </c>
      <c r="Q14" s="46">
        <v>15.4</v>
      </c>
      <c r="R14" s="46">
        <v>15.4</v>
      </c>
      <c r="S14" s="46">
        <v>15.4</v>
      </c>
      <c r="T14" s="46">
        <v>15.4</v>
      </c>
      <c r="U14" s="46">
        <v>15.4</v>
      </c>
      <c r="V14" s="46">
        <v>15.4</v>
      </c>
      <c r="W14" s="46">
        <v>15.4</v>
      </c>
      <c r="X14" s="46">
        <v>15.4</v>
      </c>
      <c r="Y14" s="46">
        <v>15.4</v>
      </c>
      <c r="Z14" s="46">
        <v>15.4</v>
      </c>
      <c r="AA14" s="46">
        <v>15.4</v>
      </c>
      <c r="AB14" s="46">
        <v>15.4</v>
      </c>
      <c r="AC14" s="46">
        <v>15.4</v>
      </c>
      <c r="AD14" s="46">
        <v>15.4</v>
      </c>
      <c r="AE14" s="46">
        <v>15.4</v>
      </c>
      <c r="AF14" s="46">
        <v>15.4</v>
      </c>
      <c r="AG14" s="47">
        <v>52.4</v>
      </c>
      <c r="AH14" s="48">
        <f t="shared" si="2"/>
        <v>15.4</v>
      </c>
      <c r="AI14" s="49">
        <f t="shared" si="3"/>
        <v>15.4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24.9</v>
      </c>
      <c r="C15" s="46">
        <v>24.9</v>
      </c>
      <c r="D15" s="46">
        <v>24.9</v>
      </c>
      <c r="E15" s="46">
        <v>25</v>
      </c>
      <c r="F15" s="46">
        <v>25</v>
      </c>
      <c r="G15" s="46">
        <v>25</v>
      </c>
      <c r="H15" s="46">
        <v>25</v>
      </c>
      <c r="I15" s="46">
        <v>25</v>
      </c>
      <c r="J15" s="46">
        <v>25</v>
      </c>
      <c r="K15" s="46">
        <v>25</v>
      </c>
      <c r="L15" s="46">
        <v>25</v>
      </c>
      <c r="M15" s="46">
        <v>25</v>
      </c>
      <c r="N15" s="46">
        <v>25</v>
      </c>
      <c r="O15" s="46">
        <v>25</v>
      </c>
      <c r="P15" s="46">
        <v>25</v>
      </c>
      <c r="Q15" s="46">
        <v>25</v>
      </c>
      <c r="R15" s="46">
        <v>25</v>
      </c>
      <c r="S15" s="46">
        <v>25</v>
      </c>
      <c r="T15" s="46">
        <v>25</v>
      </c>
      <c r="U15" s="46">
        <v>25</v>
      </c>
      <c r="V15" s="46">
        <v>25</v>
      </c>
      <c r="W15" s="46">
        <v>25</v>
      </c>
      <c r="X15" s="46">
        <v>25</v>
      </c>
      <c r="Y15" s="46">
        <v>25</v>
      </c>
      <c r="Z15" s="53">
        <v>25</v>
      </c>
      <c r="AA15" s="53">
        <v>25</v>
      </c>
      <c r="AB15" s="53">
        <v>25</v>
      </c>
      <c r="AC15" s="53">
        <v>25</v>
      </c>
      <c r="AD15" s="53">
        <v>25</v>
      </c>
      <c r="AE15" s="53">
        <v>25</v>
      </c>
      <c r="AF15" s="53">
        <v>25</v>
      </c>
      <c r="AG15" s="50">
        <v>50</v>
      </c>
      <c r="AH15" s="48">
        <f t="shared" si="2"/>
        <v>25</v>
      </c>
      <c r="AI15" s="49">
        <f t="shared" si="3"/>
        <v>24.9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14.6</v>
      </c>
      <c r="C16" s="46">
        <v>14.6</v>
      </c>
      <c r="D16" s="46">
        <v>14.6</v>
      </c>
      <c r="E16" s="46">
        <v>14.6</v>
      </c>
      <c r="F16" s="46">
        <v>14.6</v>
      </c>
      <c r="G16" s="46">
        <v>14.6</v>
      </c>
      <c r="H16" s="46">
        <v>14.6</v>
      </c>
      <c r="I16" s="46">
        <v>14.6</v>
      </c>
      <c r="J16" s="46">
        <v>14.6</v>
      </c>
      <c r="K16" s="46">
        <v>14.6</v>
      </c>
      <c r="L16" s="46">
        <v>14.6</v>
      </c>
      <c r="M16" s="46">
        <v>14.6</v>
      </c>
      <c r="N16" s="46">
        <v>14.6</v>
      </c>
      <c r="O16" s="46">
        <v>14.6</v>
      </c>
      <c r="P16" s="46">
        <v>14.6</v>
      </c>
      <c r="Q16" s="46">
        <v>14.6</v>
      </c>
      <c r="R16" s="46">
        <v>14.6</v>
      </c>
      <c r="S16" s="46">
        <v>14.6</v>
      </c>
      <c r="T16" s="46">
        <v>14.6</v>
      </c>
      <c r="U16" s="46">
        <v>14.6</v>
      </c>
      <c r="V16" s="46">
        <v>14.6</v>
      </c>
      <c r="W16" s="46">
        <v>14.6</v>
      </c>
      <c r="X16" s="46">
        <v>14.6</v>
      </c>
      <c r="Y16" s="46">
        <v>14.6</v>
      </c>
      <c r="Z16" s="46">
        <v>14.6</v>
      </c>
      <c r="AA16" s="46">
        <v>14.6</v>
      </c>
      <c r="AB16" s="46">
        <v>14.6</v>
      </c>
      <c r="AC16" s="46">
        <v>14.6</v>
      </c>
      <c r="AD16" s="46">
        <v>14.6</v>
      </c>
      <c r="AE16" s="46">
        <v>14.6</v>
      </c>
      <c r="AF16" s="46">
        <v>14.6</v>
      </c>
      <c r="AG16" s="50">
        <v>45</v>
      </c>
      <c r="AH16" s="48">
        <f t="shared" si="2"/>
        <v>14.6</v>
      </c>
      <c r="AI16" s="49">
        <f t="shared" si="3"/>
        <v>14.6</v>
      </c>
      <c r="AK16" s="51"/>
      <c r="AL16" s="54" t="s">
        <v>7</v>
      </c>
      <c r="AM16" s="59">
        <f>B58</f>
        <v>445.15</v>
      </c>
      <c r="AN16" s="59">
        <f t="shared" ref="AN16:AR16" si="4">C58</f>
        <v>445.15</v>
      </c>
      <c r="AO16" s="59">
        <f t="shared" si="4"/>
        <v>445.15</v>
      </c>
      <c r="AP16" s="59">
        <f t="shared" si="4"/>
        <v>466.75</v>
      </c>
      <c r="AQ16" s="59">
        <f t="shared" si="4"/>
        <v>460.35</v>
      </c>
      <c r="AR16" s="59">
        <f t="shared" si="4"/>
        <v>460.25</v>
      </c>
      <c r="AS16" s="59">
        <f>I58</f>
        <v>471.75</v>
      </c>
      <c r="AT16" s="59">
        <f>K58</f>
        <v>471.95</v>
      </c>
      <c r="AU16" s="59">
        <f t="shared" ref="AU16:AX16" si="5">M58</f>
        <v>473.55</v>
      </c>
      <c r="AV16" s="59">
        <f t="shared" si="5"/>
        <v>473.55</v>
      </c>
      <c r="AW16" s="59">
        <f t="shared" si="5"/>
        <v>473.55</v>
      </c>
      <c r="AX16" s="59">
        <f t="shared" si="5"/>
        <v>473.55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14</v>
      </c>
      <c r="C17" s="46">
        <v>14</v>
      </c>
      <c r="D17" s="46">
        <v>14</v>
      </c>
      <c r="E17" s="46">
        <v>14</v>
      </c>
      <c r="F17" s="46">
        <v>14</v>
      </c>
      <c r="G17" s="46">
        <v>14</v>
      </c>
      <c r="H17" s="46">
        <v>14</v>
      </c>
      <c r="I17" s="46">
        <v>14</v>
      </c>
      <c r="J17" s="46">
        <v>14</v>
      </c>
      <c r="K17" s="46">
        <v>14</v>
      </c>
      <c r="L17" s="46">
        <v>14</v>
      </c>
      <c r="M17" s="46">
        <v>14</v>
      </c>
      <c r="N17" s="46">
        <v>14</v>
      </c>
      <c r="O17" s="46">
        <v>14</v>
      </c>
      <c r="P17" s="46">
        <v>14</v>
      </c>
      <c r="Q17" s="46">
        <v>14</v>
      </c>
      <c r="R17" s="46">
        <v>14</v>
      </c>
      <c r="S17" s="46">
        <v>14</v>
      </c>
      <c r="T17" s="46">
        <v>14</v>
      </c>
      <c r="U17" s="46">
        <v>14</v>
      </c>
      <c r="V17" s="46">
        <v>14</v>
      </c>
      <c r="W17" s="46">
        <v>14</v>
      </c>
      <c r="X17" s="46">
        <v>14</v>
      </c>
      <c r="Y17" s="46">
        <v>14</v>
      </c>
      <c r="Z17" s="46">
        <v>14</v>
      </c>
      <c r="AA17" s="46">
        <v>14</v>
      </c>
      <c r="AB17" s="46">
        <v>14</v>
      </c>
      <c r="AC17" s="46">
        <v>14</v>
      </c>
      <c r="AD17" s="46">
        <v>14</v>
      </c>
      <c r="AE17" s="46">
        <v>14</v>
      </c>
      <c r="AF17" s="46">
        <v>14</v>
      </c>
      <c r="AG17" s="50">
        <v>44</v>
      </c>
      <c r="AH17" s="48">
        <f>MAX(B17:AG17)</f>
        <v>44</v>
      </c>
      <c r="AI17" s="49">
        <f>MIN(B17:AG17)</f>
        <v>14</v>
      </c>
      <c r="AK17" s="51"/>
      <c r="AL17" s="54" t="s">
        <v>27</v>
      </c>
      <c r="AM17" s="59">
        <f>B62</f>
        <v>37</v>
      </c>
      <c r="AN17" s="59">
        <f t="shared" ref="AN17:AR17" si="6">C62</f>
        <v>37</v>
      </c>
      <c r="AO17" s="59">
        <f t="shared" si="6"/>
        <v>37</v>
      </c>
      <c r="AP17" s="59">
        <f t="shared" si="6"/>
        <v>37</v>
      </c>
      <c r="AQ17" s="59">
        <f t="shared" si="6"/>
        <v>37</v>
      </c>
      <c r="AR17" s="59">
        <f t="shared" si="6"/>
        <v>37</v>
      </c>
      <c r="AS17" s="59">
        <f>I62</f>
        <v>36</v>
      </c>
      <c r="AT17" s="59">
        <f>K62</f>
        <v>66</v>
      </c>
      <c r="AU17" s="59">
        <f t="shared" ref="AU17:AX17" si="7">M62</f>
        <v>86.3</v>
      </c>
      <c r="AV17" s="59">
        <f t="shared" si="7"/>
        <v>86.399999999999991</v>
      </c>
      <c r="AW17" s="59">
        <f t="shared" si="7"/>
        <v>116.1</v>
      </c>
      <c r="AX17" s="59">
        <f t="shared" si="7"/>
        <v>66.099999999999994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6.5</v>
      </c>
      <c r="C18" s="46">
        <v>6.5</v>
      </c>
      <c r="D18" s="46">
        <v>6.5</v>
      </c>
      <c r="E18" s="46">
        <v>6.5</v>
      </c>
      <c r="F18" s="46">
        <v>6.5</v>
      </c>
      <c r="G18" s="46">
        <v>6.5</v>
      </c>
      <c r="H18" s="46">
        <v>6.5</v>
      </c>
      <c r="I18" s="46">
        <v>6.5</v>
      </c>
      <c r="J18" s="46">
        <v>6.5</v>
      </c>
      <c r="K18" s="46">
        <v>6.5</v>
      </c>
      <c r="L18" s="46">
        <v>6.5</v>
      </c>
      <c r="M18" s="46">
        <v>6.5</v>
      </c>
      <c r="N18" s="46">
        <v>6.5</v>
      </c>
      <c r="O18" s="46">
        <v>6.5</v>
      </c>
      <c r="P18" s="46">
        <v>6.5</v>
      </c>
      <c r="Q18" s="46">
        <v>6.5</v>
      </c>
      <c r="R18" s="46">
        <v>6.5</v>
      </c>
      <c r="S18" s="46">
        <v>6.5</v>
      </c>
      <c r="T18" s="46">
        <v>6.5</v>
      </c>
      <c r="U18" s="46">
        <v>6.5</v>
      </c>
      <c r="V18" s="46">
        <v>6.5</v>
      </c>
      <c r="W18" s="46">
        <v>6.5</v>
      </c>
      <c r="X18" s="46">
        <v>6.5</v>
      </c>
      <c r="Y18" s="46">
        <v>6.5</v>
      </c>
      <c r="Z18" s="46">
        <v>6.5</v>
      </c>
      <c r="AA18" s="46">
        <v>6.5</v>
      </c>
      <c r="AB18" s="46">
        <v>6.5</v>
      </c>
      <c r="AC18" s="46">
        <v>6.5</v>
      </c>
      <c r="AD18" s="46">
        <v>6.5</v>
      </c>
      <c r="AE18" s="46">
        <v>6.5</v>
      </c>
      <c r="AF18" s="46">
        <v>6.5</v>
      </c>
      <c r="AG18" s="50">
        <v>42</v>
      </c>
      <c r="AH18" s="48">
        <f t="shared" ref="AH18:AH81" si="8">MAX(B18:AF18)</f>
        <v>6.5</v>
      </c>
      <c r="AI18" s="49">
        <f t="shared" ref="AI18:AI81" si="9">MIN(B18:AF18)</f>
        <v>6.5</v>
      </c>
      <c r="AK18" s="51"/>
      <c r="AL18" s="54" t="s">
        <v>29</v>
      </c>
      <c r="AM18" s="59">
        <f>B76</f>
        <v>106.84</v>
      </c>
      <c r="AN18" s="59">
        <f t="shared" ref="AN18:AR18" si="10">C76</f>
        <v>76.84</v>
      </c>
      <c r="AO18" s="59">
        <f t="shared" si="10"/>
        <v>76.940000000000012</v>
      </c>
      <c r="AP18" s="59">
        <f t="shared" si="10"/>
        <v>76.940000000000012</v>
      </c>
      <c r="AQ18" s="59">
        <f t="shared" si="10"/>
        <v>76.940000000000012</v>
      </c>
      <c r="AR18" s="59">
        <f t="shared" si="10"/>
        <v>76.940000000000012</v>
      </c>
      <c r="AS18" s="59">
        <f>I76</f>
        <v>223.94</v>
      </c>
      <c r="AT18" s="59">
        <f>K76</f>
        <v>257.24</v>
      </c>
      <c r="AU18" s="59">
        <f t="shared" ref="AU18:AX18" si="11">M76</f>
        <v>272.33999999999997</v>
      </c>
      <c r="AV18" s="59">
        <f t="shared" si="11"/>
        <v>268.03999999999996</v>
      </c>
      <c r="AW18" s="59">
        <f t="shared" si="11"/>
        <v>242.33999999999997</v>
      </c>
      <c r="AX18" s="59">
        <f t="shared" si="11"/>
        <v>236.94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11</v>
      </c>
      <c r="C19" s="46">
        <v>11</v>
      </c>
      <c r="D19" s="46">
        <v>11</v>
      </c>
      <c r="E19" s="46">
        <v>11</v>
      </c>
      <c r="F19" s="46">
        <v>11</v>
      </c>
      <c r="G19" s="46">
        <v>11</v>
      </c>
      <c r="H19" s="46">
        <v>11</v>
      </c>
      <c r="I19" s="46">
        <v>11</v>
      </c>
      <c r="J19" s="46">
        <v>11</v>
      </c>
      <c r="K19" s="46">
        <v>11</v>
      </c>
      <c r="L19" s="46">
        <v>11</v>
      </c>
      <c r="M19" s="46">
        <v>11</v>
      </c>
      <c r="N19" s="46">
        <v>11</v>
      </c>
      <c r="O19" s="46">
        <v>11</v>
      </c>
      <c r="P19" s="46">
        <v>11</v>
      </c>
      <c r="Q19" s="46">
        <v>11</v>
      </c>
      <c r="R19" s="46">
        <v>11</v>
      </c>
      <c r="S19" s="46">
        <v>11</v>
      </c>
      <c r="T19" s="46">
        <v>11</v>
      </c>
      <c r="U19" s="46">
        <v>11</v>
      </c>
      <c r="V19" s="46">
        <v>11</v>
      </c>
      <c r="W19" s="46">
        <v>11</v>
      </c>
      <c r="X19" s="46">
        <v>11</v>
      </c>
      <c r="Y19" s="46">
        <v>11</v>
      </c>
      <c r="Z19" s="46">
        <v>11</v>
      </c>
      <c r="AA19" s="46">
        <v>11</v>
      </c>
      <c r="AB19" s="46">
        <v>11</v>
      </c>
      <c r="AC19" s="46">
        <v>11</v>
      </c>
      <c r="AD19" s="46">
        <v>11</v>
      </c>
      <c r="AE19" s="46">
        <v>11</v>
      </c>
      <c r="AF19" s="46">
        <v>11</v>
      </c>
      <c r="AG19" s="50">
        <v>38.46</v>
      </c>
      <c r="AH19" s="48">
        <f t="shared" si="8"/>
        <v>11</v>
      </c>
      <c r="AI19" s="49">
        <f t="shared" si="9"/>
        <v>11</v>
      </c>
      <c r="AK19" s="51"/>
      <c r="AL19" s="54" t="s">
        <v>31</v>
      </c>
      <c r="AM19" s="59">
        <f>B92</f>
        <v>519.79999999999995</v>
      </c>
      <c r="AN19" s="59">
        <f t="shared" ref="AN19:AR19" si="12">C92</f>
        <v>554.9</v>
      </c>
      <c r="AO19" s="59">
        <f t="shared" si="12"/>
        <v>532.29999999999995</v>
      </c>
      <c r="AP19" s="59">
        <f t="shared" si="12"/>
        <v>516.29999999999995</v>
      </c>
      <c r="AQ19" s="59">
        <f t="shared" si="12"/>
        <v>516.9</v>
      </c>
      <c r="AR19" s="59">
        <f t="shared" si="12"/>
        <v>496.3</v>
      </c>
      <c r="AS19" s="59">
        <f>I92</f>
        <v>469</v>
      </c>
      <c r="AT19" s="59">
        <f>K92</f>
        <v>464.1</v>
      </c>
      <c r="AU19" s="59">
        <f t="shared" ref="AU19:AX19" si="13">M92</f>
        <v>470.6</v>
      </c>
      <c r="AV19" s="59">
        <f t="shared" si="13"/>
        <v>455.70000000000005</v>
      </c>
      <c r="AW19" s="59">
        <f t="shared" si="13"/>
        <v>481.1</v>
      </c>
      <c r="AX19" s="59">
        <f t="shared" si="13"/>
        <v>592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7.8</v>
      </c>
      <c r="C20" s="46">
        <v>7.8</v>
      </c>
      <c r="D20" s="46">
        <v>7.8</v>
      </c>
      <c r="E20" s="46">
        <v>7.8</v>
      </c>
      <c r="F20" s="46">
        <v>7.8</v>
      </c>
      <c r="G20" s="46">
        <v>7.8</v>
      </c>
      <c r="H20" s="46">
        <v>7.8</v>
      </c>
      <c r="I20" s="46">
        <v>7.8</v>
      </c>
      <c r="J20" s="46">
        <v>7.8</v>
      </c>
      <c r="K20" s="46">
        <v>7.8</v>
      </c>
      <c r="L20" s="46">
        <v>7.8</v>
      </c>
      <c r="M20" s="46">
        <v>7.8</v>
      </c>
      <c r="N20" s="46">
        <v>7.8</v>
      </c>
      <c r="O20" s="46">
        <v>7.8</v>
      </c>
      <c r="P20" s="46">
        <v>7.8</v>
      </c>
      <c r="Q20" s="46">
        <v>7.8</v>
      </c>
      <c r="R20" s="46">
        <v>7.8</v>
      </c>
      <c r="S20" s="46">
        <v>7.8</v>
      </c>
      <c r="T20" s="46">
        <v>7.8</v>
      </c>
      <c r="U20" s="46">
        <v>7.8</v>
      </c>
      <c r="V20" s="46">
        <v>7.8</v>
      </c>
      <c r="W20" s="46">
        <v>7.8</v>
      </c>
      <c r="X20" s="46">
        <v>7.8</v>
      </c>
      <c r="Y20" s="46">
        <v>7.8</v>
      </c>
      <c r="Z20" s="46">
        <v>7.8</v>
      </c>
      <c r="AA20" s="46">
        <v>7.8</v>
      </c>
      <c r="AB20" s="46">
        <v>7.8</v>
      </c>
      <c r="AC20" s="46">
        <v>7.8</v>
      </c>
      <c r="AD20" s="46">
        <v>7.8</v>
      </c>
      <c r="AE20" s="46">
        <v>7.8</v>
      </c>
      <c r="AF20" s="46">
        <v>7.8</v>
      </c>
      <c r="AG20" s="50">
        <v>38.46</v>
      </c>
      <c r="AH20" s="48">
        <f t="shared" si="8"/>
        <v>7.8</v>
      </c>
      <c r="AI20" s="49">
        <f t="shared" si="9"/>
        <v>7.8</v>
      </c>
      <c r="AK20" s="51"/>
      <c r="AL20" s="54" t="s">
        <v>33</v>
      </c>
      <c r="AM20" s="59">
        <f>B80</f>
        <v>0</v>
      </c>
      <c r="AN20" s="59">
        <f t="shared" ref="AN20:AR20" si="14">C80</f>
        <v>0</v>
      </c>
      <c r="AO20" s="59">
        <f t="shared" si="14"/>
        <v>0</v>
      </c>
      <c r="AP20" s="59">
        <f t="shared" si="14"/>
        <v>0</v>
      </c>
      <c r="AQ20" s="59">
        <f t="shared" si="14"/>
        <v>0</v>
      </c>
      <c r="AR20" s="59">
        <f t="shared" si="14"/>
        <v>0</v>
      </c>
      <c r="AS20" s="59">
        <f>I80</f>
        <v>0</v>
      </c>
      <c r="AT20" s="59">
        <f>K80</f>
        <v>0</v>
      </c>
      <c r="AU20" s="59">
        <f t="shared" ref="AU20:AX20" si="15">M80</f>
        <v>0</v>
      </c>
      <c r="AV20" s="59">
        <f t="shared" si="15"/>
        <v>0</v>
      </c>
      <c r="AW20" s="59">
        <f t="shared" si="15"/>
        <v>0</v>
      </c>
      <c r="AX20" s="59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13</v>
      </c>
      <c r="C21" s="46">
        <v>13</v>
      </c>
      <c r="D21" s="46">
        <v>13</v>
      </c>
      <c r="E21" s="46">
        <v>13</v>
      </c>
      <c r="F21" s="46">
        <v>13</v>
      </c>
      <c r="G21" s="46">
        <v>13</v>
      </c>
      <c r="H21" s="46">
        <v>13</v>
      </c>
      <c r="I21" s="46">
        <v>13</v>
      </c>
      <c r="J21" s="46">
        <v>13</v>
      </c>
      <c r="K21" s="46">
        <v>13</v>
      </c>
      <c r="L21" s="46">
        <v>13</v>
      </c>
      <c r="M21" s="46">
        <v>13</v>
      </c>
      <c r="N21" s="46">
        <v>13</v>
      </c>
      <c r="O21" s="46">
        <v>13</v>
      </c>
      <c r="P21" s="46">
        <v>13</v>
      </c>
      <c r="Q21" s="46">
        <v>13</v>
      </c>
      <c r="R21" s="46">
        <v>13</v>
      </c>
      <c r="S21" s="46">
        <v>13</v>
      </c>
      <c r="T21" s="46">
        <v>13</v>
      </c>
      <c r="U21" s="46">
        <v>13</v>
      </c>
      <c r="V21" s="46">
        <v>13</v>
      </c>
      <c r="W21" s="46">
        <v>13</v>
      </c>
      <c r="X21" s="46">
        <v>13</v>
      </c>
      <c r="Y21" s="46">
        <v>13</v>
      </c>
      <c r="Z21" s="46">
        <v>13</v>
      </c>
      <c r="AA21" s="46">
        <v>13</v>
      </c>
      <c r="AB21" s="46">
        <v>13</v>
      </c>
      <c r="AC21" s="46">
        <v>13</v>
      </c>
      <c r="AD21" s="46">
        <v>13</v>
      </c>
      <c r="AE21" s="46">
        <v>13</v>
      </c>
      <c r="AF21" s="46">
        <v>13</v>
      </c>
      <c r="AG21" s="50">
        <v>36</v>
      </c>
      <c r="AH21" s="48">
        <f t="shared" si="8"/>
        <v>13</v>
      </c>
      <c r="AI21" s="49">
        <f t="shared" si="9"/>
        <v>13</v>
      </c>
      <c r="AK21" s="51"/>
      <c r="AL21" s="54" t="s">
        <v>35</v>
      </c>
      <c r="AM21" s="59">
        <f>B98</f>
        <v>0</v>
      </c>
      <c r="AN21" s="59">
        <f t="shared" ref="AN21:AR21" si="16">C98</f>
        <v>0</v>
      </c>
      <c r="AO21" s="59">
        <f t="shared" si="16"/>
        <v>0</v>
      </c>
      <c r="AP21" s="59">
        <f t="shared" si="16"/>
        <v>0</v>
      </c>
      <c r="AQ21" s="59">
        <f t="shared" si="16"/>
        <v>0</v>
      </c>
      <c r="AR21" s="59">
        <f t="shared" si="16"/>
        <v>0</v>
      </c>
      <c r="AS21" s="59">
        <f>I98</f>
        <v>0</v>
      </c>
      <c r="AT21" s="59">
        <f>K98</f>
        <v>0</v>
      </c>
      <c r="AU21" s="59">
        <f t="shared" ref="AU21:AX21" si="17">M98</f>
        <v>180</v>
      </c>
      <c r="AV21" s="59">
        <f t="shared" si="17"/>
        <v>80</v>
      </c>
      <c r="AW21" s="59">
        <f t="shared" si="17"/>
        <v>80</v>
      </c>
      <c r="AX21" s="59">
        <f t="shared" si="17"/>
        <v>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6.7</v>
      </c>
      <c r="C22" s="46">
        <v>6.7</v>
      </c>
      <c r="D22" s="46">
        <v>6.7</v>
      </c>
      <c r="E22" s="46">
        <v>6.7</v>
      </c>
      <c r="F22" s="46">
        <v>6.7</v>
      </c>
      <c r="G22" s="46">
        <v>6.7</v>
      </c>
      <c r="H22" s="46">
        <v>6.7</v>
      </c>
      <c r="I22" s="46">
        <v>6.7</v>
      </c>
      <c r="J22" s="46">
        <v>6.7</v>
      </c>
      <c r="K22" s="46">
        <v>6.7</v>
      </c>
      <c r="L22" s="46">
        <v>6.7</v>
      </c>
      <c r="M22" s="46">
        <v>6.7</v>
      </c>
      <c r="N22" s="46">
        <v>6.7</v>
      </c>
      <c r="O22" s="46">
        <v>6.7</v>
      </c>
      <c r="P22" s="46">
        <v>6.7</v>
      </c>
      <c r="Q22" s="46">
        <v>6.7</v>
      </c>
      <c r="R22" s="46">
        <v>6.7</v>
      </c>
      <c r="S22" s="46">
        <v>6.7</v>
      </c>
      <c r="T22" s="46">
        <v>6.7</v>
      </c>
      <c r="U22" s="46">
        <v>6.7</v>
      </c>
      <c r="V22" s="46">
        <v>6.7</v>
      </c>
      <c r="W22" s="46">
        <v>6.7</v>
      </c>
      <c r="X22" s="46">
        <v>6.7</v>
      </c>
      <c r="Y22" s="46">
        <v>6.7</v>
      </c>
      <c r="Z22" s="46">
        <v>6.7</v>
      </c>
      <c r="AA22" s="46">
        <v>6.7</v>
      </c>
      <c r="AB22" s="46">
        <v>6.7</v>
      </c>
      <c r="AC22" s="46">
        <v>6.7</v>
      </c>
      <c r="AD22" s="46">
        <v>6.7</v>
      </c>
      <c r="AE22" s="46">
        <v>6.7</v>
      </c>
      <c r="AF22" s="46">
        <v>6.7</v>
      </c>
      <c r="AG22" s="60">
        <v>30</v>
      </c>
      <c r="AH22" s="48">
        <f t="shared" si="8"/>
        <v>6.7</v>
      </c>
      <c r="AI22" s="49">
        <f t="shared" si="9"/>
        <v>6.7</v>
      </c>
      <c r="AK22" s="51"/>
      <c r="AL22" s="61" t="s">
        <v>37</v>
      </c>
      <c r="AM22" s="62">
        <f>SUM(AM16:AM21)</f>
        <v>1108.79</v>
      </c>
      <c r="AN22" s="62">
        <f t="shared" ref="AN22:AX22" si="18">SUM(AN16:AN21)</f>
        <v>1113.8899999999999</v>
      </c>
      <c r="AO22" s="62">
        <f t="shared" si="18"/>
        <v>1091.3899999999999</v>
      </c>
      <c r="AP22" s="62">
        <f t="shared" si="18"/>
        <v>1096.99</v>
      </c>
      <c r="AQ22" s="62">
        <f t="shared" si="18"/>
        <v>1091.19</v>
      </c>
      <c r="AR22" s="62">
        <f t="shared" si="18"/>
        <v>1070.49</v>
      </c>
      <c r="AS22" s="62">
        <f t="shared" si="18"/>
        <v>1200.69</v>
      </c>
      <c r="AT22" s="62">
        <f t="shared" si="18"/>
        <v>1259.29</v>
      </c>
      <c r="AU22" s="62">
        <f t="shared" si="18"/>
        <v>1482.79</v>
      </c>
      <c r="AV22" s="62">
        <f t="shared" si="18"/>
        <v>1363.69</v>
      </c>
      <c r="AW22" s="62">
        <f t="shared" si="18"/>
        <v>1393.0900000000001</v>
      </c>
      <c r="AX22" s="62">
        <f t="shared" si="18"/>
        <v>1368.59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5.5</v>
      </c>
      <c r="C23" s="46">
        <v>5.5</v>
      </c>
      <c r="D23" s="46">
        <v>5.5</v>
      </c>
      <c r="E23" s="46">
        <v>5.5</v>
      </c>
      <c r="F23" s="46">
        <v>5.5</v>
      </c>
      <c r="G23" s="46">
        <v>5.5</v>
      </c>
      <c r="H23" s="46">
        <v>5.5</v>
      </c>
      <c r="I23" s="46">
        <v>5.5</v>
      </c>
      <c r="J23" s="46">
        <v>5.5</v>
      </c>
      <c r="K23" s="46">
        <v>5.5</v>
      </c>
      <c r="L23" s="46">
        <v>5.5</v>
      </c>
      <c r="M23" s="46">
        <v>5.5</v>
      </c>
      <c r="N23" s="46">
        <v>5.5</v>
      </c>
      <c r="O23" s="46">
        <v>5.5</v>
      </c>
      <c r="P23" s="46">
        <v>5.5</v>
      </c>
      <c r="Q23" s="46">
        <v>5.5</v>
      </c>
      <c r="R23" s="46">
        <v>5.5</v>
      </c>
      <c r="S23" s="46">
        <v>5.5</v>
      </c>
      <c r="T23" s="46">
        <v>5.5</v>
      </c>
      <c r="U23" s="46">
        <v>5.5</v>
      </c>
      <c r="V23" s="46">
        <v>5.5</v>
      </c>
      <c r="W23" s="46">
        <v>5.5</v>
      </c>
      <c r="X23" s="46">
        <v>5.5</v>
      </c>
      <c r="Y23" s="46">
        <v>5.5</v>
      </c>
      <c r="Z23" s="46">
        <v>5.5</v>
      </c>
      <c r="AA23" s="46">
        <v>5.5</v>
      </c>
      <c r="AB23" s="46">
        <v>5.5</v>
      </c>
      <c r="AC23" s="46">
        <v>5.5</v>
      </c>
      <c r="AD23" s="46">
        <v>5.5</v>
      </c>
      <c r="AE23" s="46">
        <v>5.5</v>
      </c>
      <c r="AF23" s="46">
        <v>5.5</v>
      </c>
      <c r="AG23" s="50">
        <v>24.2</v>
      </c>
      <c r="AH23" s="48">
        <f t="shared" si="8"/>
        <v>5.5</v>
      </c>
      <c r="AI23" s="49">
        <f t="shared" si="9"/>
        <v>5.5</v>
      </c>
      <c r="AK23" s="51"/>
      <c r="AL23" s="61" t="s">
        <v>39</v>
      </c>
      <c r="AM23" s="62">
        <f>B107*-1</f>
        <v>0</v>
      </c>
      <c r="AN23" s="62">
        <f t="shared" ref="AN23:AR23" si="19">C107*-1</f>
        <v>-1</v>
      </c>
      <c r="AO23" s="62">
        <f t="shared" si="19"/>
        <v>-2</v>
      </c>
      <c r="AP23" s="62">
        <f t="shared" si="19"/>
        <v>0</v>
      </c>
      <c r="AQ23" s="62">
        <f t="shared" si="19"/>
        <v>0</v>
      </c>
      <c r="AR23" s="62">
        <f t="shared" si="19"/>
        <v>0</v>
      </c>
      <c r="AS23" s="62">
        <f>I107*-1</f>
        <v>0</v>
      </c>
      <c r="AT23" s="62">
        <f>K107*-1</f>
        <v>0</v>
      </c>
      <c r="AU23" s="62">
        <f t="shared" ref="AU23:AX23" si="20">M107*-1</f>
        <v>0</v>
      </c>
      <c r="AV23" s="62">
        <f t="shared" si="20"/>
        <v>0</v>
      </c>
      <c r="AW23" s="62">
        <f t="shared" si="20"/>
        <v>0</v>
      </c>
      <c r="AX23" s="62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7.4</v>
      </c>
      <c r="C24" s="46">
        <v>7.4</v>
      </c>
      <c r="D24" s="46">
        <v>7.4</v>
      </c>
      <c r="E24" s="46">
        <v>7.4</v>
      </c>
      <c r="F24" s="46">
        <v>7.4</v>
      </c>
      <c r="G24" s="46">
        <v>7.4</v>
      </c>
      <c r="H24" s="46">
        <v>7.4</v>
      </c>
      <c r="I24" s="46">
        <v>7.4</v>
      </c>
      <c r="J24" s="46">
        <v>7.4</v>
      </c>
      <c r="K24" s="46">
        <v>7.4</v>
      </c>
      <c r="L24" s="46">
        <v>7.4</v>
      </c>
      <c r="M24" s="46">
        <v>7.4</v>
      </c>
      <c r="N24" s="46">
        <v>7.4</v>
      </c>
      <c r="O24" s="46">
        <v>7.4</v>
      </c>
      <c r="P24" s="46">
        <v>7.4</v>
      </c>
      <c r="Q24" s="46">
        <v>7.4</v>
      </c>
      <c r="R24" s="46">
        <v>7.4</v>
      </c>
      <c r="S24" s="46">
        <v>7.4</v>
      </c>
      <c r="T24" s="46">
        <v>7.4</v>
      </c>
      <c r="U24" s="46">
        <v>7.4</v>
      </c>
      <c r="V24" s="46">
        <v>7.4</v>
      </c>
      <c r="W24" s="46">
        <v>7.4</v>
      </c>
      <c r="X24" s="46">
        <v>7.4</v>
      </c>
      <c r="Y24" s="46">
        <v>7.4</v>
      </c>
      <c r="Z24" s="46">
        <v>7.4</v>
      </c>
      <c r="AA24" s="46">
        <v>7.4</v>
      </c>
      <c r="AB24" s="46">
        <v>7.4</v>
      </c>
      <c r="AC24" s="46">
        <v>7.4</v>
      </c>
      <c r="AD24" s="46">
        <v>7.4</v>
      </c>
      <c r="AE24" s="46">
        <v>7.4</v>
      </c>
      <c r="AF24" s="46">
        <v>7.4</v>
      </c>
      <c r="AG24" s="50">
        <v>28</v>
      </c>
      <c r="AH24" s="48">
        <f t="shared" si="8"/>
        <v>7.4</v>
      </c>
      <c r="AI24" s="49">
        <f t="shared" si="9"/>
        <v>7.4</v>
      </c>
      <c r="AK24" s="51"/>
      <c r="AL24" s="61" t="s">
        <v>41</v>
      </c>
      <c r="AM24" s="62">
        <f>AM22+AM23</f>
        <v>1108.79</v>
      </c>
      <c r="AN24" s="62">
        <f t="shared" ref="AN24:AX24" si="21">AN22+AN23</f>
        <v>1112.8899999999999</v>
      </c>
      <c r="AO24" s="62">
        <f t="shared" si="21"/>
        <v>1089.3899999999999</v>
      </c>
      <c r="AP24" s="62">
        <f t="shared" si="21"/>
        <v>1096.99</v>
      </c>
      <c r="AQ24" s="62">
        <f t="shared" si="21"/>
        <v>1091.19</v>
      </c>
      <c r="AR24" s="62">
        <f t="shared" si="21"/>
        <v>1070.49</v>
      </c>
      <c r="AS24" s="62">
        <f t="shared" si="21"/>
        <v>1200.69</v>
      </c>
      <c r="AT24" s="62">
        <f t="shared" si="21"/>
        <v>1259.29</v>
      </c>
      <c r="AU24" s="62">
        <f t="shared" si="21"/>
        <v>1482.79</v>
      </c>
      <c r="AV24" s="62">
        <f t="shared" si="21"/>
        <v>1363.69</v>
      </c>
      <c r="AW24" s="62">
        <f t="shared" si="21"/>
        <v>1393.0900000000001</v>
      </c>
      <c r="AX24" s="62">
        <f t="shared" si="21"/>
        <v>1368.59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6.4</v>
      </c>
      <c r="C25" s="46">
        <v>6.4</v>
      </c>
      <c r="D25" s="46">
        <v>6.4</v>
      </c>
      <c r="E25" s="46">
        <v>6.4</v>
      </c>
      <c r="F25" s="46">
        <v>6.4</v>
      </c>
      <c r="G25" s="46">
        <v>6.4</v>
      </c>
      <c r="H25" s="46">
        <v>6.4</v>
      </c>
      <c r="I25" s="46">
        <v>6.4</v>
      </c>
      <c r="J25" s="46">
        <v>6.4</v>
      </c>
      <c r="K25" s="46">
        <v>6.4</v>
      </c>
      <c r="L25" s="46">
        <v>6.4</v>
      </c>
      <c r="M25" s="46">
        <v>6.4</v>
      </c>
      <c r="N25" s="46">
        <v>6.4</v>
      </c>
      <c r="O25" s="46">
        <v>6.4</v>
      </c>
      <c r="P25" s="46">
        <v>6.4</v>
      </c>
      <c r="Q25" s="46">
        <v>6.4</v>
      </c>
      <c r="R25" s="46">
        <v>6.4</v>
      </c>
      <c r="S25" s="46">
        <v>6.4</v>
      </c>
      <c r="T25" s="46">
        <v>6.4</v>
      </c>
      <c r="U25" s="46">
        <v>6.4</v>
      </c>
      <c r="V25" s="46">
        <v>6.4</v>
      </c>
      <c r="W25" s="46">
        <v>6.4</v>
      </c>
      <c r="X25" s="46">
        <v>6.4</v>
      </c>
      <c r="Y25" s="46">
        <v>6.4</v>
      </c>
      <c r="Z25" s="46">
        <v>6.4</v>
      </c>
      <c r="AA25" s="46">
        <v>6.4</v>
      </c>
      <c r="AB25" s="46">
        <v>6.4</v>
      </c>
      <c r="AC25" s="46">
        <v>6.4</v>
      </c>
      <c r="AD25" s="46">
        <v>6.4</v>
      </c>
      <c r="AE25" s="46">
        <v>6.4</v>
      </c>
      <c r="AF25" s="46">
        <v>6.4</v>
      </c>
      <c r="AG25" s="60">
        <v>30</v>
      </c>
      <c r="AH25" s="48">
        <f t="shared" si="8"/>
        <v>6.4</v>
      </c>
      <c r="AI25" s="49">
        <f t="shared" si="9"/>
        <v>6.4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6.5</v>
      </c>
      <c r="C26" s="46">
        <v>6.5</v>
      </c>
      <c r="D26" s="46">
        <v>6.5</v>
      </c>
      <c r="E26" s="46">
        <v>6.5</v>
      </c>
      <c r="F26" s="46">
        <v>6.5</v>
      </c>
      <c r="G26" s="46">
        <v>6.5</v>
      </c>
      <c r="H26" s="46">
        <v>6.5</v>
      </c>
      <c r="I26" s="46">
        <v>6.5</v>
      </c>
      <c r="J26" s="46">
        <v>6.5</v>
      </c>
      <c r="K26" s="46">
        <v>6.5</v>
      </c>
      <c r="L26" s="46">
        <v>6.5</v>
      </c>
      <c r="M26" s="46">
        <v>6.5</v>
      </c>
      <c r="N26" s="46">
        <v>6.5</v>
      </c>
      <c r="O26" s="46">
        <v>6.5</v>
      </c>
      <c r="P26" s="46">
        <v>6.5</v>
      </c>
      <c r="Q26" s="46">
        <v>6.5</v>
      </c>
      <c r="R26" s="46">
        <v>6.5</v>
      </c>
      <c r="S26" s="46">
        <v>6.5</v>
      </c>
      <c r="T26" s="46">
        <v>6.5</v>
      </c>
      <c r="U26" s="46">
        <v>6.5</v>
      </c>
      <c r="V26" s="46">
        <v>6.5</v>
      </c>
      <c r="W26" s="46">
        <v>6.5</v>
      </c>
      <c r="X26" s="46">
        <v>6.5</v>
      </c>
      <c r="Y26" s="46">
        <v>6.5</v>
      </c>
      <c r="Z26" s="46">
        <v>6.5</v>
      </c>
      <c r="AA26" s="46">
        <v>6.5</v>
      </c>
      <c r="AB26" s="46">
        <v>6.5</v>
      </c>
      <c r="AC26" s="46">
        <v>6.5</v>
      </c>
      <c r="AD26" s="46">
        <v>6.5</v>
      </c>
      <c r="AE26" s="46">
        <v>6.5</v>
      </c>
      <c r="AF26" s="46">
        <v>6.5</v>
      </c>
      <c r="AG26" s="50">
        <v>25</v>
      </c>
      <c r="AH26" s="48">
        <f t="shared" si="8"/>
        <v>6.5</v>
      </c>
      <c r="AI26" s="49">
        <f t="shared" si="9"/>
        <v>6.5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5</v>
      </c>
      <c r="N27" s="46">
        <v>5</v>
      </c>
      <c r="O27" s="46">
        <v>5</v>
      </c>
      <c r="P27" s="46">
        <v>5</v>
      </c>
      <c r="Q27" s="46">
        <v>5</v>
      </c>
      <c r="R27" s="46">
        <v>5</v>
      </c>
      <c r="S27" s="46">
        <v>5</v>
      </c>
      <c r="T27" s="46">
        <v>5</v>
      </c>
      <c r="U27" s="46">
        <v>5</v>
      </c>
      <c r="V27" s="46">
        <v>5</v>
      </c>
      <c r="W27" s="46">
        <v>5</v>
      </c>
      <c r="X27" s="46">
        <v>5</v>
      </c>
      <c r="Y27" s="46">
        <v>5</v>
      </c>
      <c r="Z27" s="46">
        <v>5</v>
      </c>
      <c r="AA27" s="46">
        <v>5</v>
      </c>
      <c r="AB27" s="46">
        <v>5</v>
      </c>
      <c r="AC27" s="46">
        <v>5</v>
      </c>
      <c r="AD27" s="46">
        <v>5</v>
      </c>
      <c r="AE27" s="46">
        <v>5</v>
      </c>
      <c r="AF27" s="46">
        <v>5</v>
      </c>
      <c r="AG27" s="50">
        <v>25</v>
      </c>
      <c r="AH27" s="48">
        <f t="shared" si="8"/>
        <v>5</v>
      </c>
      <c r="AI27" s="49">
        <f t="shared" si="9"/>
        <v>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6</v>
      </c>
      <c r="C28" s="46">
        <v>6</v>
      </c>
      <c r="D28" s="46">
        <v>6</v>
      </c>
      <c r="E28" s="46">
        <v>6</v>
      </c>
      <c r="F28" s="46">
        <v>6</v>
      </c>
      <c r="G28" s="46">
        <v>6</v>
      </c>
      <c r="H28" s="46">
        <v>6</v>
      </c>
      <c r="I28" s="46">
        <v>6</v>
      </c>
      <c r="J28" s="46">
        <v>6</v>
      </c>
      <c r="K28" s="46">
        <v>6</v>
      </c>
      <c r="L28" s="46">
        <v>6</v>
      </c>
      <c r="M28" s="46">
        <v>6</v>
      </c>
      <c r="N28" s="46">
        <v>6</v>
      </c>
      <c r="O28" s="46">
        <v>6</v>
      </c>
      <c r="P28" s="46">
        <v>6</v>
      </c>
      <c r="Q28" s="46">
        <v>6</v>
      </c>
      <c r="R28" s="46">
        <v>6</v>
      </c>
      <c r="S28" s="46">
        <v>6</v>
      </c>
      <c r="T28" s="46">
        <v>6</v>
      </c>
      <c r="U28" s="46">
        <v>6</v>
      </c>
      <c r="V28" s="46">
        <v>6</v>
      </c>
      <c r="W28" s="46">
        <v>6</v>
      </c>
      <c r="X28" s="46">
        <v>6</v>
      </c>
      <c r="Y28" s="46">
        <v>6</v>
      </c>
      <c r="Z28" s="46">
        <v>6</v>
      </c>
      <c r="AA28" s="46">
        <v>6</v>
      </c>
      <c r="AB28" s="46">
        <v>6</v>
      </c>
      <c r="AC28" s="46">
        <v>6</v>
      </c>
      <c r="AD28" s="46">
        <v>6</v>
      </c>
      <c r="AE28" s="46">
        <v>6</v>
      </c>
      <c r="AF28" s="46">
        <v>6</v>
      </c>
      <c r="AG28" s="50">
        <v>25</v>
      </c>
      <c r="AH28" s="48">
        <f t="shared" si="8"/>
        <v>6</v>
      </c>
      <c r="AI28" s="49">
        <f t="shared" si="9"/>
        <v>6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6.3</v>
      </c>
      <c r="C29" s="46">
        <v>6.3</v>
      </c>
      <c r="D29" s="46">
        <v>6.3</v>
      </c>
      <c r="E29" s="46">
        <v>6.3</v>
      </c>
      <c r="F29" s="46">
        <v>6.3</v>
      </c>
      <c r="G29" s="46">
        <v>6.3</v>
      </c>
      <c r="H29" s="46">
        <v>6.3</v>
      </c>
      <c r="I29" s="46">
        <v>6.3</v>
      </c>
      <c r="J29" s="46">
        <v>6.3</v>
      </c>
      <c r="K29" s="46">
        <v>6.3</v>
      </c>
      <c r="L29" s="46">
        <v>6.3</v>
      </c>
      <c r="M29" s="46">
        <v>6.3</v>
      </c>
      <c r="N29" s="46">
        <v>6.3</v>
      </c>
      <c r="O29" s="46">
        <v>6.3</v>
      </c>
      <c r="P29" s="46">
        <v>6.3</v>
      </c>
      <c r="Q29" s="46">
        <v>6.3</v>
      </c>
      <c r="R29" s="46">
        <v>6.3</v>
      </c>
      <c r="S29" s="46">
        <v>6.3</v>
      </c>
      <c r="T29" s="46">
        <v>6.3</v>
      </c>
      <c r="U29" s="46">
        <v>6.3</v>
      </c>
      <c r="V29" s="46">
        <v>6.3</v>
      </c>
      <c r="W29" s="46">
        <v>6.3</v>
      </c>
      <c r="X29" s="46">
        <v>6.3</v>
      </c>
      <c r="Y29" s="46">
        <v>6.3</v>
      </c>
      <c r="Z29" s="46">
        <v>6.3</v>
      </c>
      <c r="AA29" s="46">
        <v>6.3</v>
      </c>
      <c r="AB29" s="46">
        <v>6.3</v>
      </c>
      <c r="AC29" s="46">
        <v>6.3</v>
      </c>
      <c r="AD29" s="46">
        <v>6.3</v>
      </c>
      <c r="AE29" s="46">
        <v>6.3</v>
      </c>
      <c r="AF29" s="46">
        <v>6.3</v>
      </c>
      <c r="AG29" s="50">
        <v>25</v>
      </c>
      <c r="AH29" s="48">
        <f t="shared" si="8"/>
        <v>6.3</v>
      </c>
      <c r="AI29" s="49">
        <f t="shared" si="9"/>
        <v>6.3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6.8</v>
      </c>
      <c r="C30" s="46">
        <v>6.8</v>
      </c>
      <c r="D30" s="46">
        <v>6.8</v>
      </c>
      <c r="E30" s="46">
        <v>6.8</v>
      </c>
      <c r="F30" s="46">
        <v>6.8</v>
      </c>
      <c r="G30" s="46">
        <v>6.8</v>
      </c>
      <c r="H30" s="46">
        <v>6.8</v>
      </c>
      <c r="I30" s="46">
        <v>6.8</v>
      </c>
      <c r="J30" s="46">
        <v>6.8</v>
      </c>
      <c r="K30" s="46">
        <v>6.8</v>
      </c>
      <c r="L30" s="46">
        <v>6.8</v>
      </c>
      <c r="M30" s="46">
        <v>6.8</v>
      </c>
      <c r="N30" s="46">
        <v>6.8</v>
      </c>
      <c r="O30" s="46">
        <v>6.8</v>
      </c>
      <c r="P30" s="46">
        <v>6.8</v>
      </c>
      <c r="Q30" s="46">
        <v>6.8</v>
      </c>
      <c r="R30" s="46">
        <v>6.8</v>
      </c>
      <c r="S30" s="46">
        <v>6.8</v>
      </c>
      <c r="T30" s="46">
        <v>6.8</v>
      </c>
      <c r="U30" s="46">
        <v>6.8</v>
      </c>
      <c r="V30" s="46">
        <v>6.8</v>
      </c>
      <c r="W30" s="46">
        <v>6.8</v>
      </c>
      <c r="X30" s="46">
        <v>6.8</v>
      </c>
      <c r="Y30" s="46">
        <v>6.8</v>
      </c>
      <c r="Z30" s="46">
        <v>6.8</v>
      </c>
      <c r="AA30" s="46">
        <v>6.8</v>
      </c>
      <c r="AB30" s="46">
        <v>6.8</v>
      </c>
      <c r="AC30" s="46">
        <v>6.8</v>
      </c>
      <c r="AD30" s="46">
        <v>6.8</v>
      </c>
      <c r="AE30" s="46">
        <v>6.8</v>
      </c>
      <c r="AF30" s="46">
        <v>6.8</v>
      </c>
      <c r="AG30" s="50">
        <v>23.5</v>
      </c>
      <c r="AH30" s="48">
        <f t="shared" si="8"/>
        <v>6.8</v>
      </c>
      <c r="AI30" s="49">
        <f t="shared" si="9"/>
        <v>6.8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>
        <v>3</v>
      </c>
      <c r="V31" s="46">
        <v>3</v>
      </c>
      <c r="W31" s="46">
        <v>3</v>
      </c>
      <c r="X31" s="46">
        <v>3</v>
      </c>
      <c r="Y31" s="46">
        <v>3</v>
      </c>
      <c r="Z31" s="46">
        <v>3</v>
      </c>
      <c r="AA31" s="46">
        <v>3</v>
      </c>
      <c r="AB31" s="46">
        <v>3</v>
      </c>
      <c r="AC31" s="46">
        <v>3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8"/>
        <v>3</v>
      </c>
      <c r="AI31" s="49">
        <f t="shared" si="9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5.5</v>
      </c>
      <c r="Q32" s="46">
        <v>5.5</v>
      </c>
      <c r="R32" s="46">
        <v>5.5</v>
      </c>
      <c r="S32" s="46">
        <v>5.5</v>
      </c>
      <c r="T32" s="46">
        <v>5.5</v>
      </c>
      <c r="U32" s="46">
        <v>5.5</v>
      </c>
      <c r="V32" s="46">
        <v>5.5</v>
      </c>
      <c r="W32" s="46">
        <v>5.5</v>
      </c>
      <c r="X32" s="46">
        <v>5.5</v>
      </c>
      <c r="Y32" s="46">
        <v>5.5</v>
      </c>
      <c r="Z32" s="46">
        <v>5.5</v>
      </c>
      <c r="AA32" s="46">
        <v>5.5</v>
      </c>
      <c r="AB32" s="46">
        <v>5.5</v>
      </c>
      <c r="AC32" s="46">
        <v>5.5</v>
      </c>
      <c r="AD32" s="46">
        <v>5.5</v>
      </c>
      <c r="AE32" s="46">
        <v>5.5</v>
      </c>
      <c r="AF32" s="46">
        <v>5.5</v>
      </c>
      <c r="AG32" s="50">
        <v>22.1</v>
      </c>
      <c r="AH32" s="48">
        <f t="shared" si="8"/>
        <v>5.5</v>
      </c>
      <c r="AI32" s="49">
        <f t="shared" si="9"/>
        <v>5.5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6</v>
      </c>
      <c r="C33" s="46">
        <v>6</v>
      </c>
      <c r="D33" s="46">
        <v>6</v>
      </c>
      <c r="E33" s="46">
        <v>6</v>
      </c>
      <c r="F33" s="46">
        <v>6</v>
      </c>
      <c r="G33" s="46">
        <v>6</v>
      </c>
      <c r="H33" s="46">
        <v>6</v>
      </c>
      <c r="I33" s="46">
        <v>6</v>
      </c>
      <c r="J33" s="46">
        <v>6</v>
      </c>
      <c r="K33" s="46">
        <v>6</v>
      </c>
      <c r="L33" s="46">
        <v>6</v>
      </c>
      <c r="M33" s="46">
        <v>6</v>
      </c>
      <c r="N33" s="46">
        <v>6</v>
      </c>
      <c r="O33" s="46">
        <v>6</v>
      </c>
      <c r="P33" s="46">
        <v>6</v>
      </c>
      <c r="Q33" s="46">
        <v>6</v>
      </c>
      <c r="R33" s="46">
        <v>6</v>
      </c>
      <c r="S33" s="46">
        <v>6</v>
      </c>
      <c r="T33" s="46">
        <v>6</v>
      </c>
      <c r="U33" s="46">
        <v>6</v>
      </c>
      <c r="V33" s="46">
        <v>6</v>
      </c>
      <c r="W33" s="46">
        <v>6</v>
      </c>
      <c r="X33" s="46">
        <v>6</v>
      </c>
      <c r="Y33" s="46">
        <v>6</v>
      </c>
      <c r="Z33" s="46">
        <v>6</v>
      </c>
      <c r="AA33" s="46">
        <v>6</v>
      </c>
      <c r="AB33" s="46">
        <v>6</v>
      </c>
      <c r="AC33" s="46">
        <v>6</v>
      </c>
      <c r="AD33" s="46">
        <v>6</v>
      </c>
      <c r="AE33" s="46">
        <v>6</v>
      </c>
      <c r="AF33" s="46">
        <v>6</v>
      </c>
      <c r="AG33" s="50">
        <v>22</v>
      </c>
      <c r="AH33" s="48">
        <f t="shared" si="8"/>
        <v>6</v>
      </c>
      <c r="AI33" s="49">
        <f t="shared" si="9"/>
        <v>6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22</v>
      </c>
      <c r="C34" s="46">
        <v>22</v>
      </c>
      <c r="D34" s="46">
        <v>22</v>
      </c>
      <c r="E34" s="46">
        <v>22</v>
      </c>
      <c r="F34" s="46">
        <v>22</v>
      </c>
      <c r="G34" s="46">
        <v>22</v>
      </c>
      <c r="H34" s="46">
        <v>22</v>
      </c>
      <c r="I34" s="46">
        <v>22</v>
      </c>
      <c r="J34" s="46">
        <v>22</v>
      </c>
      <c r="K34" s="46">
        <v>22</v>
      </c>
      <c r="L34" s="46">
        <v>22</v>
      </c>
      <c r="M34" s="46">
        <v>22</v>
      </c>
      <c r="N34" s="46">
        <v>22</v>
      </c>
      <c r="O34" s="46">
        <v>22</v>
      </c>
      <c r="P34" s="46">
        <v>22</v>
      </c>
      <c r="Q34" s="46">
        <v>22</v>
      </c>
      <c r="R34" s="46">
        <v>22</v>
      </c>
      <c r="S34" s="46">
        <v>22</v>
      </c>
      <c r="T34" s="46">
        <v>22</v>
      </c>
      <c r="U34" s="46">
        <v>22</v>
      </c>
      <c r="V34" s="46">
        <v>22</v>
      </c>
      <c r="W34" s="46">
        <v>22</v>
      </c>
      <c r="X34" s="46">
        <v>22</v>
      </c>
      <c r="Y34" s="46">
        <v>22</v>
      </c>
      <c r="Z34" s="46">
        <v>22</v>
      </c>
      <c r="AA34" s="46">
        <v>22</v>
      </c>
      <c r="AB34" s="46">
        <v>22</v>
      </c>
      <c r="AC34" s="46">
        <v>22</v>
      </c>
      <c r="AD34" s="46">
        <v>22</v>
      </c>
      <c r="AE34" s="46">
        <v>22</v>
      </c>
      <c r="AF34" s="46">
        <v>22</v>
      </c>
      <c r="AG34" s="50">
        <v>22</v>
      </c>
      <c r="AH34" s="48">
        <f t="shared" si="8"/>
        <v>22</v>
      </c>
      <c r="AI34" s="49">
        <f t="shared" si="9"/>
        <v>22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8"/>
        <v>4</v>
      </c>
      <c r="AI35" s="49">
        <f t="shared" si="9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>
        <v>4</v>
      </c>
      <c r="V36" s="46">
        <v>4</v>
      </c>
      <c r="W36" s="46">
        <v>4</v>
      </c>
      <c r="X36" s="46">
        <v>4</v>
      </c>
      <c r="Y36" s="46">
        <v>4</v>
      </c>
      <c r="Z36" s="46">
        <v>4</v>
      </c>
      <c r="AA36" s="46">
        <v>4</v>
      </c>
      <c r="AB36" s="46">
        <v>4</v>
      </c>
      <c r="AC36" s="46">
        <v>4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8"/>
        <v>4</v>
      </c>
      <c r="AI36" s="49">
        <f t="shared" si="9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>
        <v>5.7</v>
      </c>
      <c r="V37" s="46">
        <v>5.7</v>
      </c>
      <c r="W37" s="46">
        <v>5.7</v>
      </c>
      <c r="X37" s="46">
        <v>5.7</v>
      </c>
      <c r="Y37" s="46">
        <v>5.7</v>
      </c>
      <c r="Z37" s="46">
        <v>5.7</v>
      </c>
      <c r="AA37" s="46">
        <v>5.7</v>
      </c>
      <c r="AB37" s="46">
        <v>5.7</v>
      </c>
      <c r="AC37" s="46">
        <v>5.7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8"/>
        <v>5.7</v>
      </c>
      <c r="AI37" s="49">
        <f t="shared" si="9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7.2</v>
      </c>
      <c r="Q38" s="46">
        <v>7.2</v>
      </c>
      <c r="R38" s="46">
        <v>7.2</v>
      </c>
      <c r="S38" s="46">
        <v>7.2</v>
      </c>
      <c r="T38" s="46">
        <v>7.2</v>
      </c>
      <c r="U38" s="46">
        <v>7.2</v>
      </c>
      <c r="V38" s="46">
        <v>7.2</v>
      </c>
      <c r="W38" s="46">
        <v>7.2</v>
      </c>
      <c r="X38" s="46">
        <v>7.2</v>
      </c>
      <c r="Y38" s="46">
        <v>7.2</v>
      </c>
      <c r="Z38" s="46">
        <v>7.2</v>
      </c>
      <c r="AA38" s="46">
        <v>7.2</v>
      </c>
      <c r="AB38" s="46">
        <v>7.2</v>
      </c>
      <c r="AC38" s="46">
        <v>7.2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8"/>
        <v>7.2</v>
      </c>
      <c r="AI38" s="49">
        <f t="shared" si="9"/>
        <v>7.2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0</v>
      </c>
      <c r="C40" s="46">
        <v>0</v>
      </c>
      <c r="D40" s="46">
        <v>0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46">
        <v>0</v>
      </c>
      <c r="P40" s="46">
        <v>0</v>
      </c>
      <c r="Q40" s="46">
        <v>0</v>
      </c>
      <c r="R40" s="46">
        <v>0</v>
      </c>
      <c r="S40" s="46">
        <v>0</v>
      </c>
      <c r="T40" s="46">
        <v>0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6">
        <v>0</v>
      </c>
      <c r="AD40" s="46">
        <v>0</v>
      </c>
      <c r="AE40" s="46">
        <v>0</v>
      </c>
      <c r="AF40" s="46">
        <v>0</v>
      </c>
      <c r="AG40" s="50">
        <v>14.9</v>
      </c>
      <c r="AH40" s="48">
        <f t="shared" si="8"/>
        <v>0</v>
      </c>
      <c r="AI40" s="49">
        <f t="shared" si="9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8"/>
        <v>4</v>
      </c>
      <c r="AI41" s="49">
        <f t="shared" si="9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>
        <v>1.8</v>
      </c>
      <c r="V42" s="46">
        <v>1.8</v>
      </c>
      <c r="W42" s="46">
        <v>1.8</v>
      </c>
      <c r="X42" s="46">
        <v>1.8</v>
      </c>
      <c r="Y42" s="46">
        <v>1.8</v>
      </c>
      <c r="Z42" s="46">
        <v>1.8</v>
      </c>
      <c r="AA42" s="46">
        <v>1.8</v>
      </c>
      <c r="AB42" s="46">
        <v>1.8</v>
      </c>
      <c r="AC42" s="46">
        <v>1.8</v>
      </c>
      <c r="AD42" s="46">
        <v>1.8</v>
      </c>
      <c r="AE42" s="46">
        <v>1.8</v>
      </c>
      <c r="AF42" s="46">
        <v>1.8</v>
      </c>
      <c r="AG42" s="50">
        <v>13.6</v>
      </c>
      <c r="AH42" s="48">
        <f t="shared" si="8"/>
        <v>1.8</v>
      </c>
      <c r="AI42" s="49">
        <f t="shared" si="9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>
        <v>3.8</v>
      </c>
      <c r="V43" s="46">
        <v>3.8</v>
      </c>
      <c r="W43" s="46">
        <v>3.8</v>
      </c>
      <c r="X43" s="46">
        <v>3.8</v>
      </c>
      <c r="Y43" s="46">
        <v>3.8</v>
      </c>
      <c r="Z43" s="46">
        <v>3.8</v>
      </c>
      <c r="AA43" s="46">
        <v>3.8</v>
      </c>
      <c r="AB43" s="46">
        <v>3.8</v>
      </c>
      <c r="AC43" s="46">
        <v>3.8</v>
      </c>
      <c r="AD43" s="46">
        <v>3.8</v>
      </c>
      <c r="AE43" s="46">
        <v>3.8</v>
      </c>
      <c r="AF43" s="46">
        <v>3.8</v>
      </c>
      <c r="AG43" s="50">
        <v>13</v>
      </c>
      <c r="AH43" s="48">
        <f t="shared" si="8"/>
        <v>3.8</v>
      </c>
      <c r="AI43" s="49">
        <f t="shared" si="9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2.5</v>
      </c>
      <c r="C44" s="46">
        <v>2.5</v>
      </c>
      <c r="D44" s="46">
        <v>2.5</v>
      </c>
      <c r="E44" s="46">
        <v>2.5</v>
      </c>
      <c r="F44" s="46">
        <v>2.5</v>
      </c>
      <c r="G44" s="46">
        <v>2.5</v>
      </c>
      <c r="H44" s="46">
        <v>2.5</v>
      </c>
      <c r="I44" s="46">
        <v>2.5</v>
      </c>
      <c r="J44" s="46">
        <v>2.5</v>
      </c>
      <c r="K44" s="46">
        <v>2.5</v>
      </c>
      <c r="L44" s="46">
        <v>2.5</v>
      </c>
      <c r="M44" s="46">
        <v>2.5</v>
      </c>
      <c r="N44" s="46">
        <v>2.5</v>
      </c>
      <c r="O44" s="46">
        <v>2.5</v>
      </c>
      <c r="P44" s="46">
        <v>2.5</v>
      </c>
      <c r="Q44" s="46">
        <v>2.5</v>
      </c>
      <c r="R44" s="46">
        <v>2.5</v>
      </c>
      <c r="S44" s="46">
        <v>2.5</v>
      </c>
      <c r="T44" s="46">
        <v>2.5</v>
      </c>
      <c r="U44" s="46">
        <v>2.5</v>
      </c>
      <c r="V44" s="46">
        <v>2.5</v>
      </c>
      <c r="W44" s="46">
        <v>2.5</v>
      </c>
      <c r="X44" s="46">
        <v>2.5</v>
      </c>
      <c r="Y44" s="46">
        <v>2.5</v>
      </c>
      <c r="Z44" s="46">
        <v>2.5</v>
      </c>
      <c r="AA44" s="46">
        <v>2.5</v>
      </c>
      <c r="AB44" s="46">
        <v>2.5</v>
      </c>
      <c r="AC44" s="46">
        <v>2.5</v>
      </c>
      <c r="AD44" s="46">
        <v>2.5</v>
      </c>
      <c r="AE44" s="46">
        <v>2.5</v>
      </c>
      <c r="AF44" s="46">
        <v>2.5</v>
      </c>
      <c r="AG44" s="50">
        <v>12</v>
      </c>
      <c r="AH44" s="48">
        <f t="shared" si="8"/>
        <v>2.5</v>
      </c>
      <c r="AI44" s="49">
        <f t="shared" si="9"/>
        <v>2.5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>
        <v>9</v>
      </c>
      <c r="V45" s="46">
        <v>9</v>
      </c>
      <c r="W45" s="46">
        <v>9</v>
      </c>
      <c r="X45" s="46">
        <v>9</v>
      </c>
      <c r="Y45" s="46">
        <v>9</v>
      </c>
      <c r="Z45" s="46">
        <v>9</v>
      </c>
      <c r="AA45" s="46">
        <v>9</v>
      </c>
      <c r="AB45" s="46">
        <v>9</v>
      </c>
      <c r="AC45" s="46">
        <v>9</v>
      </c>
      <c r="AD45" s="46">
        <v>9</v>
      </c>
      <c r="AE45" s="46">
        <v>9</v>
      </c>
      <c r="AF45" s="46">
        <v>9</v>
      </c>
      <c r="AG45" s="50">
        <v>12</v>
      </c>
      <c r="AH45" s="48">
        <f t="shared" si="8"/>
        <v>9</v>
      </c>
      <c r="AI45" s="49">
        <f t="shared" si="9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>
        <v>3.5</v>
      </c>
      <c r="V47" s="46">
        <v>3.5</v>
      </c>
      <c r="W47" s="46">
        <v>3.5</v>
      </c>
      <c r="X47" s="46">
        <v>3.5</v>
      </c>
      <c r="Y47" s="46">
        <v>3.5</v>
      </c>
      <c r="Z47" s="46">
        <v>3.5</v>
      </c>
      <c r="AA47" s="46">
        <v>3.5</v>
      </c>
      <c r="AB47" s="46">
        <v>3.5</v>
      </c>
      <c r="AC47" s="46">
        <v>3.5</v>
      </c>
      <c r="AD47" s="46">
        <v>3.5</v>
      </c>
      <c r="AE47" s="46">
        <v>3.5</v>
      </c>
      <c r="AF47" s="46">
        <v>3.5</v>
      </c>
      <c r="AG47" s="63">
        <v>22</v>
      </c>
      <c r="AH47" s="48">
        <f t="shared" si="8"/>
        <v>3.5</v>
      </c>
      <c r="AI47" s="49">
        <f t="shared" si="9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>
        <v>5</v>
      </c>
      <c r="V48" s="46">
        <v>5</v>
      </c>
      <c r="W48" s="46">
        <v>5</v>
      </c>
      <c r="X48" s="46">
        <v>5</v>
      </c>
      <c r="Y48" s="46">
        <v>5</v>
      </c>
      <c r="Z48" s="46">
        <v>5</v>
      </c>
      <c r="AA48" s="46">
        <v>5</v>
      </c>
      <c r="AB48" s="46">
        <v>5</v>
      </c>
      <c r="AC48" s="46">
        <v>5</v>
      </c>
      <c r="AD48" s="46">
        <v>5</v>
      </c>
      <c r="AE48" s="46">
        <v>5</v>
      </c>
      <c r="AF48" s="46">
        <v>5</v>
      </c>
      <c r="AG48" s="60">
        <v>11.88</v>
      </c>
      <c r="AH48" s="48">
        <f t="shared" si="8"/>
        <v>5</v>
      </c>
      <c r="AI48" s="49">
        <f t="shared" si="9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5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4" t="s">
        <v>67</v>
      </c>
      <c r="B50" s="46">
        <v>2.4500000000000002</v>
      </c>
      <c r="C50" s="46">
        <v>2.4500000000000002</v>
      </c>
      <c r="D50" s="46">
        <v>2.4500000000000002</v>
      </c>
      <c r="E50" s="46">
        <v>2.4500000000000002</v>
      </c>
      <c r="F50" s="46">
        <v>2.4500000000000002</v>
      </c>
      <c r="G50" s="46">
        <v>2.4500000000000002</v>
      </c>
      <c r="H50" s="46">
        <v>2.4500000000000002</v>
      </c>
      <c r="I50" s="46">
        <v>2.4500000000000002</v>
      </c>
      <c r="J50" s="46">
        <v>2.4500000000000002</v>
      </c>
      <c r="K50" s="46">
        <v>2.4500000000000002</v>
      </c>
      <c r="L50" s="46">
        <v>2.4500000000000002</v>
      </c>
      <c r="M50" s="46">
        <v>2.4500000000000002</v>
      </c>
      <c r="N50" s="46">
        <v>2.4500000000000002</v>
      </c>
      <c r="O50" s="46">
        <v>2.4500000000000002</v>
      </c>
      <c r="P50" s="46">
        <v>2.4500000000000002</v>
      </c>
      <c r="Q50" s="46">
        <v>2.4500000000000002</v>
      </c>
      <c r="R50" s="46">
        <v>2.4500000000000002</v>
      </c>
      <c r="S50" s="46">
        <v>2.4500000000000002</v>
      </c>
      <c r="T50" s="46">
        <v>2.4500000000000002</v>
      </c>
      <c r="U50" s="46">
        <v>2.4500000000000002</v>
      </c>
      <c r="V50" s="46">
        <v>2.4500000000000002</v>
      </c>
      <c r="W50" s="46">
        <v>2.4500000000000002</v>
      </c>
      <c r="X50" s="46">
        <v>2.4500000000000002</v>
      </c>
      <c r="Y50" s="46">
        <v>2.4500000000000002</v>
      </c>
      <c r="Z50" s="46">
        <v>2.4500000000000002</v>
      </c>
      <c r="AA50" s="46">
        <v>2.4500000000000002</v>
      </c>
      <c r="AB50" s="46">
        <v>2.4500000000000002</v>
      </c>
      <c r="AC50" s="46">
        <v>2.4500000000000002</v>
      </c>
      <c r="AD50" s="46">
        <v>2.4500000000000002</v>
      </c>
      <c r="AE50" s="46">
        <v>2.4500000000000002</v>
      </c>
      <c r="AF50" s="46">
        <v>2.4500000000000002</v>
      </c>
      <c r="AG50" s="65">
        <v>11</v>
      </c>
      <c r="AH50" s="48">
        <f t="shared" si="8"/>
        <v>2.4500000000000002</v>
      </c>
      <c r="AI50" s="49">
        <f t="shared" si="9"/>
        <v>2.4500000000000002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65">
        <v>11</v>
      </c>
      <c r="AH51" s="48">
        <f t="shared" si="8"/>
        <v>3</v>
      </c>
      <c r="AI51" s="49">
        <f t="shared" si="9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5">
        <v>10</v>
      </c>
      <c r="AH52" s="48">
        <f t="shared" si="8"/>
        <v>4</v>
      </c>
      <c r="AI52" s="49">
        <f t="shared" si="9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>
        <v>4.5</v>
      </c>
      <c r="V53" s="46">
        <v>4.5</v>
      </c>
      <c r="W53" s="46">
        <v>4.5</v>
      </c>
      <c r="X53" s="46">
        <v>4.5</v>
      </c>
      <c r="Y53" s="46">
        <v>4.5</v>
      </c>
      <c r="Z53" s="46">
        <v>4.5</v>
      </c>
      <c r="AA53" s="46">
        <v>4.5</v>
      </c>
      <c r="AB53" s="46">
        <v>4.5</v>
      </c>
      <c r="AC53" s="46">
        <v>4.5</v>
      </c>
      <c r="AD53" s="46">
        <v>4.5</v>
      </c>
      <c r="AE53" s="46">
        <v>4.5</v>
      </c>
      <c r="AF53" s="46">
        <v>4.5</v>
      </c>
      <c r="AG53" s="65">
        <v>10</v>
      </c>
      <c r="AH53" s="48">
        <f t="shared" si="8"/>
        <v>4.5</v>
      </c>
      <c r="AI53" s="49">
        <f t="shared" si="9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5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5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>
        <v>150</v>
      </c>
      <c r="W56" s="67">
        <v>150</v>
      </c>
      <c r="X56" s="67">
        <v>150</v>
      </c>
      <c r="Y56" s="67">
        <v>150</v>
      </c>
      <c r="Z56" s="67">
        <v>150</v>
      </c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8" t="s">
        <v>74</v>
      </c>
      <c r="B57" s="67">
        <f>8.6+19.2</f>
        <v>27.799999999999997</v>
      </c>
      <c r="C57" s="67">
        <f t="shared" ref="C57" si="22">8.6+19.2</f>
        <v>27.799999999999997</v>
      </c>
      <c r="D57" s="67">
        <f>9.8+21.1</f>
        <v>30.900000000000002</v>
      </c>
      <c r="E57" s="67">
        <f>25.8+11.6</f>
        <v>37.4</v>
      </c>
      <c r="F57" s="67">
        <f>29.8+12.1</f>
        <v>41.9</v>
      </c>
      <c r="G57" s="67">
        <f>33.9+14.7</f>
        <v>48.599999999999994</v>
      </c>
      <c r="H57" s="67">
        <f>35.1+18.6</f>
        <v>53.7</v>
      </c>
      <c r="I57" s="67">
        <f>33.6+18</f>
        <v>51.6</v>
      </c>
      <c r="J57" s="67">
        <v>52</v>
      </c>
      <c r="K57" s="53">
        <f>37.6+19.7</f>
        <v>57.3</v>
      </c>
      <c r="L57" s="53">
        <f>41.2+20.9</f>
        <v>62.1</v>
      </c>
      <c r="M57" s="53">
        <f>21.2+43.6</f>
        <v>64.8</v>
      </c>
      <c r="N57" s="53">
        <f>25.3+50.5</f>
        <v>75.8</v>
      </c>
      <c r="O57" s="53">
        <f>25.3+50.5</f>
        <v>75.8</v>
      </c>
      <c r="P57" s="53">
        <f>25.3+50.5</f>
        <v>75.8</v>
      </c>
      <c r="Q57" s="53">
        <f>31.7+66.2</f>
        <v>97.9</v>
      </c>
      <c r="R57" s="53">
        <f>34+74</f>
        <v>108</v>
      </c>
      <c r="S57" s="53">
        <f>34+74</f>
        <v>108</v>
      </c>
      <c r="T57" s="53">
        <v>107.9</v>
      </c>
      <c r="U57" s="53">
        <v>103.8</v>
      </c>
      <c r="V57" s="53">
        <v>104.5</v>
      </c>
      <c r="W57" s="53">
        <v>103.8</v>
      </c>
      <c r="X57" s="53">
        <v>103.4</v>
      </c>
      <c r="Y57" s="53">
        <v>108.9</v>
      </c>
      <c r="Z57" s="67">
        <v>108.9</v>
      </c>
      <c r="AA57" s="67">
        <v>108.9</v>
      </c>
      <c r="AB57" s="67">
        <v>108.9</v>
      </c>
      <c r="AC57" s="67">
        <v>108.9</v>
      </c>
      <c r="AD57" s="67">
        <v>108.9</v>
      </c>
      <c r="AE57" s="67">
        <v>108.9</v>
      </c>
      <c r="AF57" s="67">
        <v>108.9</v>
      </c>
      <c r="AG57" s="65">
        <v>240</v>
      </c>
      <c r="AH57" s="48">
        <f t="shared" si="8"/>
        <v>108.9</v>
      </c>
      <c r="AI57" s="49">
        <f t="shared" si="9"/>
        <v>27.799999999999997</v>
      </c>
      <c r="AK57" s="51"/>
    </row>
    <row r="58" spans="1:88" ht="15.75" thickBot="1" x14ac:dyDescent="0.3">
      <c r="A58" s="69" t="s">
        <v>75</v>
      </c>
      <c r="B58" s="70">
        <f t="shared" ref="B58:D58" si="23">SUM(B11:B56)</f>
        <v>445.15</v>
      </c>
      <c r="C58" s="70">
        <f t="shared" si="23"/>
        <v>445.15</v>
      </c>
      <c r="D58" s="70">
        <f t="shared" si="23"/>
        <v>445.15</v>
      </c>
      <c r="E58" s="70">
        <f t="shared" ref="E58:V58" si="24">SUM(E11:E56)</f>
        <v>466.75</v>
      </c>
      <c r="F58" s="70">
        <f t="shared" ref="F58" si="25">SUM(F11:F56)</f>
        <v>460.35</v>
      </c>
      <c r="G58" s="70">
        <f t="shared" si="24"/>
        <v>460.25</v>
      </c>
      <c r="H58" s="70">
        <f t="shared" si="24"/>
        <v>470.25</v>
      </c>
      <c r="I58" s="70">
        <f t="shared" si="24"/>
        <v>471.75</v>
      </c>
      <c r="J58" s="70">
        <f t="shared" si="24"/>
        <v>471.25</v>
      </c>
      <c r="K58" s="70">
        <f t="shared" si="24"/>
        <v>471.95</v>
      </c>
      <c r="L58" s="70">
        <f t="shared" si="24"/>
        <v>473.55</v>
      </c>
      <c r="M58" s="70">
        <f t="shared" si="24"/>
        <v>473.55</v>
      </c>
      <c r="N58" s="70">
        <f t="shared" si="24"/>
        <v>473.55</v>
      </c>
      <c r="O58" s="70">
        <f t="shared" si="24"/>
        <v>473.55</v>
      </c>
      <c r="P58" s="70">
        <f t="shared" si="24"/>
        <v>473.55</v>
      </c>
      <c r="Q58" s="70">
        <f t="shared" si="24"/>
        <v>473.55</v>
      </c>
      <c r="R58" s="70">
        <f t="shared" si="24"/>
        <v>473.55</v>
      </c>
      <c r="S58" s="70">
        <f t="shared" ref="S58:T58" si="26">SUM(S11:S56)</f>
        <v>473.55</v>
      </c>
      <c r="T58" s="70">
        <f t="shared" si="26"/>
        <v>473.55</v>
      </c>
      <c r="U58" s="70">
        <f t="shared" ref="U58" si="27">SUM(U11:U56)</f>
        <v>473.55</v>
      </c>
      <c r="V58" s="70">
        <f t="shared" si="24"/>
        <v>473.55</v>
      </c>
      <c r="W58" s="70">
        <f t="shared" ref="W58:X58" si="28">SUM(W11:W56)</f>
        <v>473.55</v>
      </c>
      <c r="X58" s="70">
        <f t="shared" si="28"/>
        <v>473.55</v>
      </c>
      <c r="Y58" s="70">
        <f t="shared" ref="Y58:Z58" si="29">SUM(Y11:Y56)</f>
        <v>473.55</v>
      </c>
      <c r="Z58" s="70">
        <f t="shared" si="29"/>
        <v>473.55</v>
      </c>
      <c r="AA58" s="70">
        <f t="shared" ref="AA58:AB58" si="30">SUM(AA11:AA56)</f>
        <v>473.55</v>
      </c>
      <c r="AB58" s="70">
        <f t="shared" si="30"/>
        <v>473.55</v>
      </c>
      <c r="AC58" s="70">
        <f t="shared" ref="AC58:AD58" si="31">SUM(AC11:AC56)</f>
        <v>473.55</v>
      </c>
      <c r="AD58" s="70">
        <f t="shared" si="31"/>
        <v>473.55</v>
      </c>
      <c r="AE58" s="70">
        <f t="shared" ref="AE58:AF58" si="32">SUM(AE11:AE56)</f>
        <v>473.55</v>
      </c>
      <c r="AF58" s="70">
        <f t="shared" si="32"/>
        <v>473.55</v>
      </c>
      <c r="AG58" s="71">
        <f>SUM(AG14:AG56)</f>
        <v>1042.4000000000001</v>
      </c>
      <c r="AH58" s="48">
        <f t="shared" si="8"/>
        <v>473.55</v>
      </c>
      <c r="AI58" s="49">
        <f t="shared" si="9"/>
        <v>445.15</v>
      </c>
      <c r="AK58" s="51"/>
    </row>
    <row r="59" spans="1:88" x14ac:dyDescent="0.25">
      <c r="A59" s="72" t="s">
        <v>76</v>
      </c>
      <c r="B59" s="46">
        <v>0</v>
      </c>
      <c r="C59" s="46">
        <v>0</v>
      </c>
      <c r="D59" s="46">
        <v>0</v>
      </c>
      <c r="E59" s="46">
        <v>0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46">
        <v>30</v>
      </c>
      <c r="L59" s="46">
        <v>30.2</v>
      </c>
      <c r="M59" s="46">
        <v>50.2</v>
      </c>
      <c r="N59" s="73">
        <v>50.3</v>
      </c>
      <c r="O59" s="73">
        <v>80</v>
      </c>
      <c r="P59" s="73">
        <v>30</v>
      </c>
      <c r="Q59" s="73">
        <v>67.599999999999994</v>
      </c>
      <c r="R59" s="73">
        <f>65.3</f>
        <v>65.3</v>
      </c>
      <c r="S59" s="73">
        <v>75.3</v>
      </c>
      <c r="T59" s="73">
        <v>100</v>
      </c>
      <c r="U59" s="73">
        <v>110</v>
      </c>
      <c r="V59" s="73">
        <v>97</v>
      </c>
      <c r="W59" s="73">
        <v>97</v>
      </c>
      <c r="X59" s="73">
        <v>45.3</v>
      </c>
      <c r="Y59" s="73">
        <v>60</v>
      </c>
      <c r="Z59" s="46">
        <v>200</v>
      </c>
      <c r="AA59" s="46">
        <v>193.1</v>
      </c>
      <c r="AB59" s="46">
        <v>193.1</v>
      </c>
      <c r="AC59" s="46">
        <v>175</v>
      </c>
      <c r="AD59" s="46">
        <v>160</v>
      </c>
      <c r="AE59" s="46">
        <v>120</v>
      </c>
      <c r="AF59" s="46">
        <v>0</v>
      </c>
      <c r="AG59" s="60">
        <v>456</v>
      </c>
      <c r="AH59" s="48">
        <f t="shared" si="8"/>
        <v>200</v>
      </c>
      <c r="AI59" s="49">
        <f t="shared" si="9"/>
        <v>0</v>
      </c>
      <c r="AK59" s="51"/>
    </row>
    <row r="60" spans="1:88" x14ac:dyDescent="0.25">
      <c r="A60" s="74" t="s">
        <v>77</v>
      </c>
      <c r="B60" s="75">
        <v>27</v>
      </c>
      <c r="C60" s="75">
        <v>27</v>
      </c>
      <c r="D60" s="75">
        <v>27</v>
      </c>
      <c r="E60" s="75">
        <v>27</v>
      </c>
      <c r="F60" s="75">
        <v>27</v>
      </c>
      <c r="G60" s="75">
        <v>27</v>
      </c>
      <c r="H60" s="75">
        <v>27</v>
      </c>
      <c r="I60" s="75">
        <v>27</v>
      </c>
      <c r="J60" s="75">
        <v>27</v>
      </c>
      <c r="K60" s="75">
        <v>27</v>
      </c>
      <c r="L60" s="75">
        <v>27</v>
      </c>
      <c r="M60" s="75">
        <v>27</v>
      </c>
      <c r="N60" s="75">
        <v>27</v>
      </c>
      <c r="O60" s="75">
        <v>27</v>
      </c>
      <c r="P60" s="75">
        <v>27</v>
      </c>
      <c r="Q60" s="75">
        <v>27</v>
      </c>
      <c r="R60" s="75">
        <v>27</v>
      </c>
      <c r="S60" s="75">
        <v>27</v>
      </c>
      <c r="T60" s="75">
        <v>27</v>
      </c>
      <c r="U60" s="75">
        <v>27</v>
      </c>
      <c r="V60" s="75">
        <v>27</v>
      </c>
      <c r="W60" s="75">
        <v>27</v>
      </c>
      <c r="X60" s="75">
        <v>27</v>
      </c>
      <c r="Y60" s="75">
        <v>27</v>
      </c>
      <c r="Z60" s="75">
        <v>27</v>
      </c>
      <c r="AA60" s="75">
        <v>27</v>
      </c>
      <c r="AB60" s="75">
        <v>27</v>
      </c>
      <c r="AC60" s="75">
        <v>27</v>
      </c>
      <c r="AD60" s="75">
        <v>27</v>
      </c>
      <c r="AE60" s="75">
        <v>27</v>
      </c>
      <c r="AF60" s="75">
        <v>27</v>
      </c>
      <c r="AG60" s="65">
        <v>60</v>
      </c>
      <c r="AH60" s="48">
        <f t="shared" si="8"/>
        <v>27</v>
      </c>
      <c r="AI60" s="49">
        <f t="shared" si="9"/>
        <v>27</v>
      </c>
      <c r="AK60" s="51"/>
    </row>
    <row r="61" spans="1:88" ht="15.75" thickBot="1" x14ac:dyDescent="0.3">
      <c r="A61" s="76" t="s">
        <v>78</v>
      </c>
      <c r="B61" s="77">
        <v>10</v>
      </c>
      <c r="C61" s="77">
        <v>10</v>
      </c>
      <c r="D61" s="77">
        <v>10</v>
      </c>
      <c r="E61" s="77">
        <v>10</v>
      </c>
      <c r="F61" s="77">
        <v>10</v>
      </c>
      <c r="G61" s="77">
        <v>10</v>
      </c>
      <c r="H61" s="77">
        <v>9.1</v>
      </c>
      <c r="I61" s="77">
        <v>9</v>
      </c>
      <c r="J61" s="77">
        <v>9</v>
      </c>
      <c r="K61" s="77">
        <v>9</v>
      </c>
      <c r="L61" s="77">
        <v>9.1</v>
      </c>
      <c r="M61" s="77">
        <v>9.1</v>
      </c>
      <c r="N61" s="77">
        <v>9.1</v>
      </c>
      <c r="O61" s="77">
        <v>9.1</v>
      </c>
      <c r="P61" s="77">
        <v>9.1</v>
      </c>
      <c r="Q61" s="77">
        <v>8.6</v>
      </c>
      <c r="R61" s="77">
        <v>8.6</v>
      </c>
      <c r="S61" s="77">
        <v>8.6</v>
      </c>
      <c r="T61" s="77">
        <v>8.6</v>
      </c>
      <c r="U61" s="77">
        <v>8.6</v>
      </c>
      <c r="V61" s="77">
        <v>8.6</v>
      </c>
      <c r="W61" s="77">
        <v>8.6</v>
      </c>
      <c r="X61" s="77">
        <v>8.6</v>
      </c>
      <c r="Y61" s="77">
        <v>8.6</v>
      </c>
      <c r="Z61" s="77">
        <v>8.6</v>
      </c>
      <c r="AA61" s="77">
        <v>8.6</v>
      </c>
      <c r="AB61" s="77">
        <v>8.6</v>
      </c>
      <c r="AC61" s="77">
        <v>8.6</v>
      </c>
      <c r="AD61" s="77">
        <v>8.6</v>
      </c>
      <c r="AE61" s="77">
        <v>8.6</v>
      </c>
      <c r="AF61" s="77">
        <v>8.6</v>
      </c>
      <c r="AG61" s="78">
        <v>22.1</v>
      </c>
      <c r="AH61" s="48">
        <f t="shared" si="8"/>
        <v>10</v>
      </c>
      <c r="AI61" s="49">
        <f t="shared" si="9"/>
        <v>8.6</v>
      </c>
      <c r="AK61" s="51"/>
    </row>
    <row r="62" spans="1:88" ht="15.75" thickBot="1" x14ac:dyDescent="0.3">
      <c r="A62" s="79" t="s">
        <v>79</v>
      </c>
      <c r="B62" s="70">
        <f t="shared" ref="B62:D62" si="33">SUM(B59:B61)</f>
        <v>37</v>
      </c>
      <c r="C62" s="70">
        <f t="shared" si="33"/>
        <v>37</v>
      </c>
      <c r="D62" s="70">
        <f t="shared" si="33"/>
        <v>37</v>
      </c>
      <c r="E62" s="70">
        <f t="shared" ref="E62:AG62" si="34">SUM(E59:E61)</f>
        <v>37</v>
      </c>
      <c r="F62" s="70">
        <f t="shared" ref="F62" si="35">SUM(F59:F61)</f>
        <v>37</v>
      </c>
      <c r="G62" s="70">
        <f t="shared" si="34"/>
        <v>37</v>
      </c>
      <c r="H62" s="70">
        <f t="shared" si="34"/>
        <v>36.1</v>
      </c>
      <c r="I62" s="70">
        <f t="shared" si="34"/>
        <v>36</v>
      </c>
      <c r="J62" s="70">
        <f t="shared" si="34"/>
        <v>36</v>
      </c>
      <c r="K62" s="70">
        <f t="shared" si="34"/>
        <v>66</v>
      </c>
      <c r="L62" s="70">
        <f t="shared" si="34"/>
        <v>66.3</v>
      </c>
      <c r="M62" s="70">
        <f t="shared" si="34"/>
        <v>86.3</v>
      </c>
      <c r="N62" s="70">
        <f t="shared" si="34"/>
        <v>86.399999999999991</v>
      </c>
      <c r="O62" s="70">
        <f t="shared" si="34"/>
        <v>116.1</v>
      </c>
      <c r="P62" s="70">
        <f t="shared" si="34"/>
        <v>66.099999999999994</v>
      </c>
      <c r="Q62" s="70">
        <f t="shared" si="34"/>
        <v>103.19999999999999</v>
      </c>
      <c r="R62" s="70">
        <f t="shared" si="34"/>
        <v>100.89999999999999</v>
      </c>
      <c r="S62" s="70">
        <f t="shared" ref="S62:T62" si="36">SUM(S59:S61)</f>
        <v>110.89999999999999</v>
      </c>
      <c r="T62" s="70">
        <f t="shared" si="36"/>
        <v>135.6</v>
      </c>
      <c r="U62" s="70">
        <f t="shared" ref="U62" si="37">SUM(U59:U61)</f>
        <v>145.6</v>
      </c>
      <c r="V62" s="70">
        <f t="shared" si="34"/>
        <v>132.6</v>
      </c>
      <c r="W62" s="70">
        <f t="shared" ref="W62:X62" si="38">SUM(W59:W61)</f>
        <v>132.6</v>
      </c>
      <c r="X62" s="70">
        <f t="shared" si="38"/>
        <v>80.899999999999991</v>
      </c>
      <c r="Y62" s="70">
        <f t="shared" ref="Y62:Z62" si="39">SUM(Y59:Y61)</f>
        <v>95.6</v>
      </c>
      <c r="Z62" s="70">
        <f t="shared" si="39"/>
        <v>235.6</v>
      </c>
      <c r="AA62" s="70">
        <f t="shared" ref="AA62:AB62" si="40">SUM(AA59:AA61)</f>
        <v>228.7</v>
      </c>
      <c r="AB62" s="70">
        <f t="shared" si="40"/>
        <v>228.7</v>
      </c>
      <c r="AC62" s="70">
        <f t="shared" ref="AC62:AD62" si="41">SUM(AC59:AC61)</f>
        <v>210.6</v>
      </c>
      <c r="AD62" s="70">
        <f t="shared" si="41"/>
        <v>195.6</v>
      </c>
      <c r="AE62" s="70">
        <f t="shared" ref="AE62:AF62" si="42">SUM(AE59:AE61)</f>
        <v>155.6</v>
      </c>
      <c r="AF62" s="70">
        <f t="shared" si="42"/>
        <v>35.6</v>
      </c>
      <c r="AG62" s="71">
        <f t="shared" si="34"/>
        <v>538.1</v>
      </c>
      <c r="AH62" s="48">
        <f t="shared" si="8"/>
        <v>235.6</v>
      </c>
      <c r="AI62" s="49">
        <f t="shared" si="9"/>
        <v>35.6</v>
      </c>
      <c r="AK62" s="51"/>
    </row>
    <row r="63" spans="1:88" x14ac:dyDescent="0.25">
      <c r="A63" s="45" t="s">
        <v>80</v>
      </c>
      <c r="B63" s="46">
        <v>30</v>
      </c>
      <c r="C63" s="46">
        <v>0</v>
      </c>
      <c r="D63" s="46">
        <v>0</v>
      </c>
      <c r="E63" s="46">
        <v>0</v>
      </c>
      <c r="F63" s="46">
        <v>0</v>
      </c>
      <c r="G63" s="46">
        <v>0</v>
      </c>
      <c r="H63" s="46">
        <v>42</v>
      </c>
      <c r="I63" s="46">
        <v>60</v>
      </c>
      <c r="J63" s="46">
        <v>60</v>
      </c>
      <c r="K63" s="46">
        <v>91.4</v>
      </c>
      <c r="L63" s="46">
        <v>60.7</v>
      </c>
      <c r="M63" s="46">
        <v>61.3</v>
      </c>
      <c r="N63" s="46">
        <v>61.4</v>
      </c>
      <c r="O63" s="46">
        <v>61.4</v>
      </c>
      <c r="P63" s="46">
        <v>69</v>
      </c>
      <c r="Q63" s="46">
        <v>62.9</v>
      </c>
      <c r="R63" s="46">
        <v>63.2</v>
      </c>
      <c r="S63" s="46">
        <v>63.2</v>
      </c>
      <c r="T63" s="46">
        <v>71.3</v>
      </c>
      <c r="U63" s="46">
        <v>90.9</v>
      </c>
      <c r="V63" s="46">
        <v>61.7</v>
      </c>
      <c r="W63" s="46">
        <v>61.7</v>
      </c>
      <c r="X63" s="46">
        <v>61.7</v>
      </c>
      <c r="Y63" s="46">
        <v>61.1</v>
      </c>
      <c r="Z63" s="46">
        <v>101.9</v>
      </c>
      <c r="AA63" s="46">
        <v>135.6</v>
      </c>
      <c r="AB63" s="46">
        <v>60</v>
      </c>
      <c r="AC63" s="46">
        <v>60</v>
      </c>
      <c r="AD63" s="46">
        <v>45</v>
      </c>
      <c r="AE63" s="46">
        <v>45</v>
      </c>
      <c r="AF63" s="46">
        <v>30</v>
      </c>
      <c r="AG63" s="60">
        <v>144</v>
      </c>
      <c r="AH63" s="48">
        <f t="shared" si="8"/>
        <v>135.6</v>
      </c>
      <c r="AI63" s="49">
        <f t="shared" si="9"/>
        <v>0</v>
      </c>
      <c r="AK63" s="51"/>
    </row>
    <row r="64" spans="1:88" x14ac:dyDescent="0.25">
      <c r="A64" s="64" t="s">
        <v>81</v>
      </c>
      <c r="B64" s="46">
        <v>0</v>
      </c>
      <c r="C64" s="46">
        <v>0</v>
      </c>
      <c r="D64" s="46">
        <v>0</v>
      </c>
      <c r="E64" s="75">
        <v>0</v>
      </c>
      <c r="F64" s="75">
        <v>0</v>
      </c>
      <c r="G64" s="75">
        <v>0</v>
      </c>
      <c r="H64" s="75">
        <v>35</v>
      </c>
      <c r="I64" s="75">
        <v>43</v>
      </c>
      <c r="J64" s="75">
        <v>43</v>
      </c>
      <c r="K64" s="75">
        <v>44.5</v>
      </c>
      <c r="L64" s="75">
        <v>53.8</v>
      </c>
      <c r="M64" s="75">
        <v>54.2</v>
      </c>
      <c r="N64" s="75">
        <v>54.9</v>
      </c>
      <c r="O64" s="75">
        <v>48</v>
      </c>
      <c r="P64" s="75">
        <v>32</v>
      </c>
      <c r="Q64" s="75">
        <v>24.6</v>
      </c>
      <c r="R64" s="75">
        <v>25.6</v>
      </c>
      <c r="S64" s="75">
        <v>25.6</v>
      </c>
      <c r="T64" s="75">
        <v>35.299999999999997</v>
      </c>
      <c r="U64" s="75">
        <v>35.4</v>
      </c>
      <c r="V64" s="75">
        <v>24.5</v>
      </c>
      <c r="W64" s="75">
        <v>24.5</v>
      </c>
      <c r="X64" s="75">
        <v>24.5</v>
      </c>
      <c r="Y64" s="75">
        <v>46.2</v>
      </c>
      <c r="Z64" s="46">
        <v>68.8</v>
      </c>
      <c r="AA64" s="46">
        <v>66.599999999999994</v>
      </c>
      <c r="AB64" s="46">
        <v>60</v>
      </c>
      <c r="AC64" s="46">
        <v>26</v>
      </c>
      <c r="AD64" s="46">
        <v>30</v>
      </c>
      <c r="AE64" s="46">
        <v>30</v>
      </c>
      <c r="AF64" s="46">
        <v>0</v>
      </c>
      <c r="AG64" s="65">
        <v>70</v>
      </c>
      <c r="AH64" s="48">
        <f t="shared" si="8"/>
        <v>68.8</v>
      </c>
      <c r="AI64" s="49">
        <f t="shared" si="9"/>
        <v>0</v>
      </c>
      <c r="AK64" s="51"/>
    </row>
    <row r="65" spans="1:75" x14ac:dyDescent="0.25">
      <c r="A65" s="64" t="s">
        <v>82</v>
      </c>
      <c r="B65" s="46">
        <v>0</v>
      </c>
      <c r="C65" s="46">
        <v>0</v>
      </c>
      <c r="D65" s="46">
        <v>0</v>
      </c>
      <c r="E65" s="75">
        <v>0</v>
      </c>
      <c r="F65" s="75">
        <v>0</v>
      </c>
      <c r="G65" s="75">
        <v>0</v>
      </c>
      <c r="H65" s="75">
        <v>45</v>
      </c>
      <c r="I65" s="75">
        <v>34</v>
      </c>
      <c r="J65" s="75">
        <v>33</v>
      </c>
      <c r="K65" s="75">
        <v>35.200000000000003</v>
      </c>
      <c r="L65" s="75">
        <v>68.099999999999994</v>
      </c>
      <c r="M65" s="75">
        <v>62.2</v>
      </c>
      <c r="N65" s="75">
        <v>62.8</v>
      </c>
      <c r="O65" s="75">
        <v>44</v>
      </c>
      <c r="P65" s="75">
        <v>47</v>
      </c>
      <c r="Q65" s="75">
        <v>34.9</v>
      </c>
      <c r="R65" s="75">
        <v>23.2</v>
      </c>
      <c r="S65" s="75">
        <v>23.2</v>
      </c>
      <c r="T65" s="75">
        <v>23.2</v>
      </c>
      <c r="U65" s="75">
        <v>23.3</v>
      </c>
      <c r="V65" s="75">
        <v>33.6</v>
      </c>
      <c r="W65" s="75">
        <v>33.6</v>
      </c>
      <c r="X65" s="75">
        <v>33.6</v>
      </c>
      <c r="Y65" s="75">
        <v>48.5</v>
      </c>
      <c r="Z65" s="46">
        <v>68.900000000000006</v>
      </c>
      <c r="AA65" s="46">
        <v>63</v>
      </c>
      <c r="AB65" s="46">
        <v>50</v>
      </c>
      <c r="AC65" s="46">
        <v>50</v>
      </c>
      <c r="AD65" s="46">
        <v>61</v>
      </c>
      <c r="AE65" s="46">
        <v>40</v>
      </c>
      <c r="AF65" s="46">
        <v>0</v>
      </c>
      <c r="AG65" s="65">
        <v>69</v>
      </c>
      <c r="AH65" s="48">
        <f t="shared" si="8"/>
        <v>68.900000000000006</v>
      </c>
      <c r="AI65" s="49">
        <f t="shared" si="9"/>
        <v>0</v>
      </c>
      <c r="AK65" s="51"/>
    </row>
    <row r="66" spans="1:75" x14ac:dyDescent="0.25">
      <c r="A66" s="64" t="s">
        <v>83</v>
      </c>
      <c r="B66" s="46">
        <v>34.299999999999997</v>
      </c>
      <c r="C66" s="46">
        <v>34.299999999999997</v>
      </c>
      <c r="D66" s="46">
        <v>34.299999999999997</v>
      </c>
      <c r="E66" s="75">
        <v>34.299999999999997</v>
      </c>
      <c r="F66" s="75">
        <v>34.299999999999997</v>
      </c>
      <c r="G66" s="75">
        <v>34.299999999999997</v>
      </c>
      <c r="H66" s="75">
        <v>34.299999999999997</v>
      </c>
      <c r="I66" s="75">
        <v>34.299999999999997</v>
      </c>
      <c r="J66" s="75">
        <v>34.299999999999997</v>
      </c>
      <c r="K66" s="67">
        <v>33</v>
      </c>
      <c r="L66" s="67">
        <v>35.299999999999997</v>
      </c>
      <c r="M66" s="75">
        <v>35.299999999999997</v>
      </c>
      <c r="N66" s="75">
        <v>35.299999999999997</v>
      </c>
      <c r="O66" s="75">
        <v>35.299999999999997</v>
      </c>
      <c r="P66" s="75">
        <v>35.299999999999997</v>
      </c>
      <c r="Q66" s="75">
        <v>32</v>
      </c>
      <c r="R66" s="75">
        <v>32</v>
      </c>
      <c r="S66" s="75">
        <v>32</v>
      </c>
      <c r="T66" s="75">
        <v>32</v>
      </c>
      <c r="U66" s="75">
        <v>32</v>
      </c>
      <c r="V66" s="75">
        <v>34</v>
      </c>
      <c r="W66" s="75">
        <v>34</v>
      </c>
      <c r="X66" s="75">
        <v>34</v>
      </c>
      <c r="Y66" s="75">
        <v>34</v>
      </c>
      <c r="Z66" s="46">
        <v>34</v>
      </c>
      <c r="AA66" s="46">
        <v>34</v>
      </c>
      <c r="AB66" s="46">
        <v>34</v>
      </c>
      <c r="AC66" s="46">
        <v>34</v>
      </c>
      <c r="AD66" s="46">
        <v>34</v>
      </c>
      <c r="AE66" s="46">
        <v>34</v>
      </c>
      <c r="AF66" s="46">
        <v>34</v>
      </c>
      <c r="AG66" s="65">
        <v>60</v>
      </c>
      <c r="AH66" s="48">
        <f t="shared" si="8"/>
        <v>35.299999999999997</v>
      </c>
      <c r="AI66" s="49">
        <f t="shared" si="9"/>
        <v>32</v>
      </c>
      <c r="AK66" s="51"/>
    </row>
    <row r="67" spans="1:75" x14ac:dyDescent="0.25">
      <c r="A67" s="64" t="s">
        <v>84</v>
      </c>
      <c r="B67" s="46">
        <v>0</v>
      </c>
      <c r="C67" s="46">
        <v>0</v>
      </c>
      <c r="D67" s="46">
        <v>0</v>
      </c>
      <c r="E67" s="46">
        <v>0</v>
      </c>
      <c r="F67" s="46">
        <v>0</v>
      </c>
      <c r="G67" s="46">
        <v>0</v>
      </c>
      <c r="H67" s="46">
        <v>0</v>
      </c>
      <c r="I67" s="46">
        <v>10</v>
      </c>
      <c r="J67" s="46">
        <v>10</v>
      </c>
      <c r="K67" s="75">
        <v>10</v>
      </c>
      <c r="L67" s="67">
        <v>10.5</v>
      </c>
      <c r="M67" s="75">
        <v>15</v>
      </c>
      <c r="N67" s="75">
        <v>9.3000000000000007</v>
      </c>
      <c r="O67" s="75">
        <v>9.3000000000000007</v>
      </c>
      <c r="P67" s="75">
        <v>9.3000000000000007</v>
      </c>
      <c r="Q67" s="75">
        <v>14.3</v>
      </c>
      <c r="R67" s="75">
        <v>10.9</v>
      </c>
      <c r="S67" s="75">
        <v>14.9</v>
      </c>
      <c r="T67" s="75">
        <v>10.3</v>
      </c>
      <c r="U67" s="75">
        <v>10.3</v>
      </c>
      <c r="V67" s="75">
        <v>10.3</v>
      </c>
      <c r="W67" s="75">
        <v>10.3</v>
      </c>
      <c r="X67" s="75">
        <v>10.3</v>
      </c>
      <c r="Y67" s="75">
        <v>27.7</v>
      </c>
      <c r="Z67" s="46">
        <v>27.7</v>
      </c>
      <c r="AA67" s="46">
        <v>22.4</v>
      </c>
      <c r="AB67" s="46">
        <v>15</v>
      </c>
      <c r="AC67" s="46">
        <v>12</v>
      </c>
      <c r="AD67" s="46">
        <v>10</v>
      </c>
      <c r="AE67" s="46">
        <v>10</v>
      </c>
      <c r="AF67" s="46">
        <v>10</v>
      </c>
      <c r="AG67" s="65">
        <v>30</v>
      </c>
      <c r="AH67" s="48">
        <f t="shared" si="8"/>
        <v>27.7</v>
      </c>
      <c r="AI67" s="49">
        <f t="shared" si="9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</row>
    <row r="68" spans="1:75" x14ac:dyDescent="0.25">
      <c r="A68" s="64" t="s">
        <v>85</v>
      </c>
      <c r="B68" s="75">
        <v>0</v>
      </c>
      <c r="C68" s="75">
        <v>0</v>
      </c>
      <c r="D68" s="75">
        <v>0</v>
      </c>
      <c r="E68" s="75">
        <v>0</v>
      </c>
      <c r="F68" s="75">
        <v>0</v>
      </c>
      <c r="G68" s="75">
        <v>0</v>
      </c>
      <c r="H68" s="75">
        <v>0</v>
      </c>
      <c r="I68" s="75">
        <v>0</v>
      </c>
      <c r="J68" s="75">
        <v>0.4</v>
      </c>
      <c r="K68" s="46">
        <v>0.5</v>
      </c>
      <c r="L68" s="46">
        <v>1.3</v>
      </c>
      <c r="M68" s="75">
        <v>1.7</v>
      </c>
      <c r="N68" s="75">
        <v>1.7</v>
      </c>
      <c r="O68" s="75">
        <v>1.7</v>
      </c>
      <c r="P68" s="75">
        <v>1.7</v>
      </c>
      <c r="Q68" s="75">
        <v>1.7</v>
      </c>
      <c r="R68" s="75">
        <v>6.7</v>
      </c>
      <c r="S68" s="75">
        <v>2.7</v>
      </c>
      <c r="T68" s="75">
        <v>3.1</v>
      </c>
      <c r="U68" s="75">
        <v>0.6</v>
      </c>
      <c r="V68" s="75">
        <v>0.6</v>
      </c>
      <c r="W68" s="75">
        <v>0.6</v>
      </c>
      <c r="X68" s="75">
        <v>0</v>
      </c>
      <c r="Y68" s="75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5">
        <v>25</v>
      </c>
      <c r="AH68" s="48">
        <f t="shared" si="8"/>
        <v>6.7</v>
      </c>
      <c r="AI68" s="49">
        <f t="shared" si="9"/>
        <v>0</v>
      </c>
      <c r="AK68" s="51"/>
      <c r="AY68" s="1" t="s">
        <v>86</v>
      </c>
      <c r="AZ68" s="81">
        <f>ROUND(C81,0)</f>
        <v>52</v>
      </c>
      <c r="BA68" s="80">
        <f t="shared" ref="BA68:BD72" si="43">D81</f>
        <v>55</v>
      </c>
      <c r="BB68" s="80">
        <f t="shared" si="43"/>
        <v>50.3</v>
      </c>
      <c r="BC68" s="80">
        <f t="shared" si="43"/>
        <v>52.4</v>
      </c>
      <c r="BD68" s="80">
        <f t="shared" si="43"/>
        <v>51</v>
      </c>
      <c r="BE68" s="81">
        <f>I81</f>
        <v>54</v>
      </c>
      <c r="BF68" s="81">
        <f>K81</f>
        <v>56</v>
      </c>
      <c r="BG68" s="81">
        <f t="shared" ref="BG68:BP72" si="44">M81</f>
        <v>45</v>
      </c>
      <c r="BH68" s="81">
        <f t="shared" si="44"/>
        <v>46</v>
      </c>
      <c r="BI68" s="81">
        <f t="shared" si="44"/>
        <v>53</v>
      </c>
      <c r="BJ68" s="81">
        <f t="shared" si="44"/>
        <v>50</v>
      </c>
      <c r="BK68" s="81">
        <f t="shared" si="44"/>
        <v>52</v>
      </c>
      <c r="BL68" s="81">
        <f t="shared" si="44"/>
        <v>50.1</v>
      </c>
      <c r="BM68" s="81">
        <f t="shared" si="44"/>
        <v>50</v>
      </c>
      <c r="BN68" s="81">
        <f t="shared" si="44"/>
        <v>50.1</v>
      </c>
      <c r="BO68" s="81">
        <f t="shared" si="44"/>
        <v>58.5</v>
      </c>
      <c r="BP68" s="81">
        <f t="shared" si="44"/>
        <v>45.2</v>
      </c>
      <c r="BQ68" s="81">
        <f>X81</f>
        <v>53.3</v>
      </c>
      <c r="BR68" s="81">
        <f>Z81</f>
        <v>62.3</v>
      </c>
      <c r="BS68" s="80">
        <f>AB81</f>
        <v>64.5</v>
      </c>
      <c r="BT68" s="80">
        <f>AD81</f>
        <v>63</v>
      </c>
      <c r="BU68" s="80">
        <f>AE81</f>
        <v>63</v>
      </c>
      <c r="BV68" s="80">
        <f>AF81</f>
        <v>52</v>
      </c>
      <c r="BW68" s="80">
        <f>B81</f>
        <v>52.3</v>
      </c>
    </row>
    <row r="69" spans="1:75" x14ac:dyDescent="0.25">
      <c r="A69" s="64" t="s">
        <v>87</v>
      </c>
      <c r="B69" s="75">
        <v>15</v>
      </c>
      <c r="C69" s="75">
        <v>15</v>
      </c>
      <c r="D69" s="75">
        <v>15</v>
      </c>
      <c r="E69" s="75">
        <v>15</v>
      </c>
      <c r="F69" s="75">
        <v>15</v>
      </c>
      <c r="G69" s="75">
        <v>15</v>
      </c>
      <c r="H69" s="75">
        <v>15</v>
      </c>
      <c r="I69" s="75">
        <v>15</v>
      </c>
      <c r="J69" s="75">
        <v>15</v>
      </c>
      <c r="K69" s="75">
        <v>15</v>
      </c>
      <c r="L69" s="75">
        <v>15</v>
      </c>
      <c r="M69" s="75">
        <v>15</v>
      </c>
      <c r="N69" s="75">
        <v>15</v>
      </c>
      <c r="O69" s="75">
        <v>15</v>
      </c>
      <c r="P69" s="75">
        <v>15</v>
      </c>
      <c r="Q69" s="75">
        <v>15</v>
      </c>
      <c r="R69" s="75">
        <v>16.5</v>
      </c>
      <c r="S69" s="75">
        <v>16.5</v>
      </c>
      <c r="T69" s="75">
        <v>16.5</v>
      </c>
      <c r="U69" s="75">
        <v>16.5</v>
      </c>
      <c r="V69" s="75">
        <v>16.5</v>
      </c>
      <c r="W69" s="75">
        <v>16.5</v>
      </c>
      <c r="X69" s="75">
        <v>16.5</v>
      </c>
      <c r="Y69" s="75">
        <v>16.5</v>
      </c>
      <c r="Z69" s="75">
        <v>16.5</v>
      </c>
      <c r="AA69" s="75">
        <v>16.5</v>
      </c>
      <c r="AB69" s="75">
        <v>16.5</v>
      </c>
      <c r="AC69" s="75">
        <v>16.5</v>
      </c>
      <c r="AD69" s="75">
        <v>16.5</v>
      </c>
      <c r="AE69" s="75">
        <v>16.5</v>
      </c>
      <c r="AF69" s="75">
        <v>16.5</v>
      </c>
      <c r="AG69" s="65">
        <v>24</v>
      </c>
      <c r="AH69" s="48">
        <f t="shared" si="8"/>
        <v>16.5</v>
      </c>
      <c r="AI69" s="49">
        <f t="shared" si="9"/>
        <v>15</v>
      </c>
      <c r="AK69" s="51"/>
      <c r="AY69" s="1" t="s">
        <v>88</v>
      </c>
      <c r="AZ69" s="81">
        <f>ROUND(C82,0)</f>
        <v>0</v>
      </c>
      <c r="BA69" s="80">
        <f t="shared" si="43"/>
        <v>0</v>
      </c>
      <c r="BB69" s="80">
        <f t="shared" si="43"/>
        <v>0</v>
      </c>
      <c r="BC69" s="80">
        <f t="shared" si="43"/>
        <v>0</v>
      </c>
      <c r="BD69" s="80">
        <f t="shared" si="43"/>
        <v>0</v>
      </c>
      <c r="BE69" s="81">
        <f t="shared" ref="BE69:BE72" si="45">I82</f>
        <v>0</v>
      </c>
      <c r="BF69" s="81">
        <f t="shared" ref="BF69:BF72" si="46">K82</f>
        <v>0</v>
      </c>
      <c r="BG69" s="81">
        <f t="shared" si="44"/>
        <v>0</v>
      </c>
      <c r="BH69" s="81">
        <f t="shared" si="44"/>
        <v>0</v>
      </c>
      <c r="BI69" s="81">
        <f t="shared" si="44"/>
        <v>0</v>
      </c>
      <c r="BJ69" s="81">
        <f t="shared" si="44"/>
        <v>0</v>
      </c>
      <c r="BK69" s="81">
        <f t="shared" si="44"/>
        <v>0</v>
      </c>
      <c r="BL69" s="81">
        <f t="shared" si="44"/>
        <v>0</v>
      </c>
      <c r="BM69" s="81">
        <f t="shared" si="44"/>
        <v>0</v>
      </c>
      <c r="BN69" s="81">
        <f t="shared" si="44"/>
        <v>0</v>
      </c>
      <c r="BO69" s="81">
        <f t="shared" si="44"/>
        <v>0</v>
      </c>
      <c r="BP69" s="81">
        <f t="shared" si="44"/>
        <v>0</v>
      </c>
      <c r="BQ69" s="81">
        <f t="shared" ref="BQ69:BQ72" si="47">X82</f>
        <v>0</v>
      </c>
      <c r="BR69" s="81">
        <f t="shared" ref="BR69:BR72" si="48">Z82</f>
        <v>0</v>
      </c>
      <c r="BS69" s="80">
        <f t="shared" ref="BS69:BS72" si="49">AB82</f>
        <v>0</v>
      </c>
      <c r="BT69" s="80">
        <f t="shared" ref="BT69:BV72" si="50">AD82</f>
        <v>0</v>
      </c>
      <c r="BU69" s="80">
        <f t="shared" si="50"/>
        <v>0</v>
      </c>
      <c r="BV69" s="80">
        <f t="shared" si="50"/>
        <v>0</v>
      </c>
      <c r="BW69" s="80">
        <f t="shared" ref="BW69:BW72" si="51">B82</f>
        <v>0</v>
      </c>
    </row>
    <row r="70" spans="1:75" x14ac:dyDescent="0.25">
      <c r="A70" s="64" t="s">
        <v>89</v>
      </c>
      <c r="B70" s="75">
        <v>4</v>
      </c>
      <c r="C70" s="75">
        <v>4</v>
      </c>
      <c r="D70" s="75">
        <v>4</v>
      </c>
      <c r="E70" s="75">
        <v>4</v>
      </c>
      <c r="F70" s="75">
        <v>4</v>
      </c>
      <c r="G70" s="75">
        <v>4</v>
      </c>
      <c r="H70" s="75">
        <v>4</v>
      </c>
      <c r="I70" s="75">
        <v>4</v>
      </c>
      <c r="J70" s="75">
        <v>4</v>
      </c>
      <c r="K70" s="75">
        <v>4</v>
      </c>
      <c r="L70" s="75">
        <v>4</v>
      </c>
      <c r="M70" s="75">
        <v>4</v>
      </c>
      <c r="N70" s="75">
        <v>4</v>
      </c>
      <c r="O70" s="75">
        <v>4</v>
      </c>
      <c r="P70" s="75">
        <v>4</v>
      </c>
      <c r="Q70" s="75">
        <v>4</v>
      </c>
      <c r="R70" s="75">
        <v>3.2</v>
      </c>
      <c r="S70" s="75">
        <v>3.2</v>
      </c>
      <c r="T70" s="75">
        <v>3.2</v>
      </c>
      <c r="U70" s="75">
        <v>3.2</v>
      </c>
      <c r="V70" s="75">
        <v>3.2</v>
      </c>
      <c r="W70" s="75">
        <v>3.2</v>
      </c>
      <c r="X70" s="75">
        <v>3.2</v>
      </c>
      <c r="Y70" s="75">
        <v>3.2</v>
      </c>
      <c r="Z70" s="75">
        <v>3.2</v>
      </c>
      <c r="AA70" s="75">
        <v>3.2</v>
      </c>
      <c r="AB70" s="75">
        <v>3.2</v>
      </c>
      <c r="AC70" s="75">
        <v>3.2</v>
      </c>
      <c r="AD70" s="75">
        <v>3.2</v>
      </c>
      <c r="AE70" s="75">
        <v>3.2</v>
      </c>
      <c r="AF70" s="75">
        <v>3.2</v>
      </c>
      <c r="AG70" s="65">
        <v>15</v>
      </c>
      <c r="AH70" s="48">
        <f t="shared" si="8"/>
        <v>4</v>
      </c>
      <c r="AI70" s="49">
        <f t="shared" si="9"/>
        <v>3.2</v>
      </c>
      <c r="AK70" s="51"/>
      <c r="AL70" s="82"/>
      <c r="AO70" s="82"/>
      <c r="AY70" s="1" t="s">
        <v>90</v>
      </c>
      <c r="AZ70" s="81">
        <f>ROUND(C83,0)</f>
        <v>335</v>
      </c>
      <c r="BA70" s="80">
        <f t="shared" si="43"/>
        <v>306</v>
      </c>
      <c r="BB70" s="80">
        <f t="shared" si="43"/>
        <v>302</v>
      </c>
      <c r="BC70" s="80">
        <f t="shared" si="43"/>
        <v>315.8</v>
      </c>
      <c r="BD70" s="80">
        <f t="shared" si="43"/>
        <v>318</v>
      </c>
      <c r="BE70" s="81">
        <f t="shared" si="45"/>
        <v>340</v>
      </c>
      <c r="BF70" s="81">
        <f t="shared" si="46"/>
        <v>318</v>
      </c>
      <c r="BG70" s="81">
        <f t="shared" si="44"/>
        <v>335</v>
      </c>
      <c r="BH70" s="81">
        <f t="shared" si="44"/>
        <v>316</v>
      </c>
      <c r="BI70" s="81">
        <f t="shared" si="44"/>
        <v>329</v>
      </c>
      <c r="BJ70" s="81">
        <f t="shared" si="44"/>
        <v>347</v>
      </c>
      <c r="BK70" s="81">
        <f t="shared" si="44"/>
        <v>293</v>
      </c>
      <c r="BL70" s="81">
        <f t="shared" si="44"/>
        <v>292</v>
      </c>
      <c r="BM70" s="81">
        <f t="shared" si="44"/>
        <v>332</v>
      </c>
      <c r="BN70" s="81">
        <f t="shared" si="44"/>
        <v>334.2</v>
      </c>
      <c r="BO70" s="81">
        <f t="shared" si="44"/>
        <v>330.8</v>
      </c>
      <c r="BP70" s="81">
        <f t="shared" si="44"/>
        <v>315</v>
      </c>
      <c r="BQ70" s="81">
        <f t="shared" si="47"/>
        <v>402.8</v>
      </c>
      <c r="BR70" s="81">
        <f t="shared" si="48"/>
        <v>247.8</v>
      </c>
      <c r="BS70" s="80">
        <f t="shared" si="49"/>
        <v>240</v>
      </c>
      <c r="BT70" s="80">
        <f t="shared" si="50"/>
        <v>280</v>
      </c>
      <c r="BU70" s="80">
        <f t="shared" si="50"/>
        <v>290</v>
      </c>
      <c r="BV70" s="80">
        <f t="shared" si="50"/>
        <v>423</v>
      </c>
      <c r="BW70" s="80">
        <f t="shared" si="51"/>
        <v>325</v>
      </c>
    </row>
    <row r="71" spans="1:75" s="82" customFormat="1" x14ac:dyDescent="0.25">
      <c r="A71" s="64" t="s">
        <v>91</v>
      </c>
      <c r="B71" s="75">
        <v>10.1</v>
      </c>
      <c r="C71" s="75">
        <v>10.1</v>
      </c>
      <c r="D71" s="75">
        <v>10.199999999999999</v>
      </c>
      <c r="E71" s="75">
        <v>10.199999999999999</v>
      </c>
      <c r="F71" s="75">
        <v>10.199999999999999</v>
      </c>
      <c r="G71" s="75">
        <v>10.199999999999999</v>
      </c>
      <c r="H71" s="75">
        <v>10.199999999999999</v>
      </c>
      <c r="I71" s="75">
        <v>10.199999999999999</v>
      </c>
      <c r="J71" s="75">
        <v>10.199999999999999</v>
      </c>
      <c r="K71" s="75">
        <v>10.199999999999999</v>
      </c>
      <c r="L71" s="75">
        <v>10.199999999999999</v>
      </c>
      <c r="M71" s="75">
        <v>10.199999999999999</v>
      </c>
      <c r="N71" s="75">
        <v>10.199999999999999</v>
      </c>
      <c r="O71" s="75">
        <v>10.199999999999999</v>
      </c>
      <c r="P71" s="75">
        <v>10.199999999999999</v>
      </c>
      <c r="Q71" s="75">
        <v>10.199999999999999</v>
      </c>
      <c r="R71" s="75">
        <v>10.199999999999999</v>
      </c>
      <c r="S71" s="75">
        <v>10.199999999999999</v>
      </c>
      <c r="T71" s="75">
        <v>10.199999999999999</v>
      </c>
      <c r="U71" s="75">
        <v>10.199999999999999</v>
      </c>
      <c r="V71" s="75">
        <v>10.199999999999999</v>
      </c>
      <c r="W71" s="75">
        <v>10.199999999999999</v>
      </c>
      <c r="X71" s="75">
        <v>10.199999999999999</v>
      </c>
      <c r="Y71" s="75">
        <v>10.199999999999999</v>
      </c>
      <c r="Z71" s="75">
        <v>10.199999999999999</v>
      </c>
      <c r="AA71" s="75">
        <v>10.199999999999999</v>
      </c>
      <c r="AB71" s="75">
        <v>10.199999999999999</v>
      </c>
      <c r="AC71" s="75">
        <v>10.199999999999999</v>
      </c>
      <c r="AD71" s="75">
        <v>10.199999999999999</v>
      </c>
      <c r="AE71" s="75">
        <v>10.199999999999999</v>
      </c>
      <c r="AF71" s="75">
        <v>10.199999999999999</v>
      </c>
      <c r="AG71" s="65">
        <v>14.1</v>
      </c>
      <c r="AH71" s="48">
        <f t="shared" si="8"/>
        <v>10.199999999999999</v>
      </c>
      <c r="AI71" s="49">
        <f t="shared" si="9"/>
        <v>10.1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3</v>
      </c>
      <c r="BA71" s="80">
        <f t="shared" si="43"/>
        <v>3.3</v>
      </c>
      <c r="BB71" s="80">
        <f t="shared" si="43"/>
        <v>3</v>
      </c>
      <c r="BC71" s="80">
        <f t="shared" si="43"/>
        <v>3.7</v>
      </c>
      <c r="BD71" s="80">
        <f t="shared" si="43"/>
        <v>4.3</v>
      </c>
      <c r="BE71" s="81">
        <f t="shared" si="45"/>
        <v>6</v>
      </c>
      <c r="BF71" s="81">
        <f t="shared" si="46"/>
        <v>7</v>
      </c>
      <c r="BG71" s="81">
        <f t="shared" si="44"/>
        <v>7.8</v>
      </c>
      <c r="BH71" s="81">
        <f t="shared" si="44"/>
        <v>8.1</v>
      </c>
      <c r="BI71" s="81">
        <f t="shared" si="44"/>
        <v>5.0999999999999996</v>
      </c>
      <c r="BJ71" s="81">
        <f t="shared" si="44"/>
        <v>39</v>
      </c>
      <c r="BK71" s="81">
        <f t="shared" si="44"/>
        <v>30.5</v>
      </c>
      <c r="BL71" s="81">
        <f t="shared" si="44"/>
        <v>25.4</v>
      </c>
      <c r="BM71" s="81">
        <f t="shared" si="44"/>
        <v>40.200000000000003</v>
      </c>
      <c r="BN71" s="81">
        <f t="shared" si="44"/>
        <v>38.1</v>
      </c>
      <c r="BO71" s="81">
        <f t="shared" si="44"/>
        <v>29.5</v>
      </c>
      <c r="BP71" s="81">
        <f t="shared" si="44"/>
        <v>24.9</v>
      </c>
      <c r="BQ71" s="81">
        <f t="shared" si="47"/>
        <v>47.3</v>
      </c>
      <c r="BR71" s="81">
        <f t="shared" si="48"/>
        <v>45</v>
      </c>
      <c r="BS71" s="80">
        <f t="shared" si="49"/>
        <v>39</v>
      </c>
      <c r="BT71" s="80">
        <f t="shared" si="50"/>
        <v>48</v>
      </c>
      <c r="BU71" s="80">
        <f t="shared" si="50"/>
        <v>40</v>
      </c>
      <c r="BV71" s="80">
        <f t="shared" si="50"/>
        <v>47</v>
      </c>
      <c r="BW71" s="80">
        <f t="shared" si="51"/>
        <v>32.5</v>
      </c>
    </row>
    <row r="72" spans="1:75" x14ac:dyDescent="0.25">
      <c r="A72" s="83" t="s">
        <v>93</v>
      </c>
      <c r="B72" s="75">
        <v>3.4</v>
      </c>
      <c r="C72" s="75">
        <v>3.4</v>
      </c>
      <c r="D72" s="75">
        <v>3.4</v>
      </c>
      <c r="E72" s="75">
        <v>3.4</v>
      </c>
      <c r="F72" s="75">
        <v>3.4</v>
      </c>
      <c r="G72" s="75">
        <v>3.4</v>
      </c>
      <c r="H72" s="75">
        <v>3.4</v>
      </c>
      <c r="I72" s="75">
        <v>3.4</v>
      </c>
      <c r="J72" s="75">
        <v>3.4</v>
      </c>
      <c r="K72" s="75">
        <v>3.4</v>
      </c>
      <c r="L72" s="75">
        <v>3.4</v>
      </c>
      <c r="M72" s="75">
        <v>3.4</v>
      </c>
      <c r="N72" s="75">
        <v>3.4</v>
      </c>
      <c r="O72" s="75">
        <v>3.4</v>
      </c>
      <c r="P72" s="75">
        <v>3.4</v>
      </c>
      <c r="Q72" s="75">
        <v>3.4</v>
      </c>
      <c r="R72" s="75">
        <v>3.4</v>
      </c>
      <c r="S72" s="75">
        <v>3.4</v>
      </c>
      <c r="T72" s="75">
        <v>3.4</v>
      </c>
      <c r="U72" s="75">
        <v>3.4</v>
      </c>
      <c r="V72" s="75">
        <v>3.4</v>
      </c>
      <c r="W72" s="75">
        <v>3.4</v>
      </c>
      <c r="X72" s="75">
        <v>3.4</v>
      </c>
      <c r="Y72" s="75">
        <v>3.4</v>
      </c>
      <c r="Z72" s="75">
        <v>3.4</v>
      </c>
      <c r="AA72" s="75">
        <v>3.4</v>
      </c>
      <c r="AB72" s="75">
        <v>3.4</v>
      </c>
      <c r="AC72" s="75">
        <v>3.4</v>
      </c>
      <c r="AD72" s="75">
        <v>3.4</v>
      </c>
      <c r="AE72" s="75">
        <v>3.4</v>
      </c>
      <c r="AF72" s="75">
        <v>3.4</v>
      </c>
      <c r="AG72" s="65">
        <v>14</v>
      </c>
      <c r="AH72" s="48">
        <f t="shared" si="8"/>
        <v>3.4</v>
      </c>
      <c r="AI72" s="49">
        <f t="shared" si="9"/>
        <v>3.4</v>
      </c>
      <c r="AK72" s="51"/>
      <c r="AY72" s="1" t="s">
        <v>94</v>
      </c>
      <c r="AZ72" s="81">
        <f>ROUND(C85,0)</f>
        <v>111</v>
      </c>
      <c r="BA72" s="80">
        <f t="shared" si="43"/>
        <v>114</v>
      </c>
      <c r="BB72" s="80">
        <f t="shared" si="43"/>
        <v>109</v>
      </c>
      <c r="BC72" s="80">
        <f t="shared" si="43"/>
        <v>95</v>
      </c>
      <c r="BD72" s="80">
        <f t="shared" si="43"/>
        <v>69</v>
      </c>
      <c r="BE72" s="81">
        <f t="shared" si="45"/>
        <v>15</v>
      </c>
      <c r="BF72" s="81">
        <f t="shared" si="46"/>
        <v>12.1</v>
      </c>
      <c r="BG72" s="81">
        <f t="shared" si="44"/>
        <v>11.8</v>
      </c>
      <c r="BH72" s="81">
        <f t="shared" si="44"/>
        <v>15.6</v>
      </c>
      <c r="BI72" s="81">
        <f t="shared" si="44"/>
        <v>24</v>
      </c>
      <c r="BJ72" s="81">
        <f t="shared" si="44"/>
        <v>93</v>
      </c>
      <c r="BK72" s="81">
        <f t="shared" si="44"/>
        <v>111</v>
      </c>
      <c r="BL72" s="81">
        <f t="shared" si="44"/>
        <v>101</v>
      </c>
      <c r="BM72" s="81">
        <f t="shared" si="44"/>
        <v>95.1</v>
      </c>
      <c r="BN72" s="81">
        <f t="shared" si="44"/>
        <v>122.9</v>
      </c>
      <c r="BO72" s="81">
        <f t="shared" si="44"/>
        <v>121.3</v>
      </c>
      <c r="BP72" s="81">
        <f t="shared" si="44"/>
        <v>103.1</v>
      </c>
      <c r="BQ72" s="81">
        <f t="shared" si="47"/>
        <v>109.4</v>
      </c>
      <c r="BR72" s="81">
        <f t="shared" si="48"/>
        <v>120.8</v>
      </c>
      <c r="BS72" s="80">
        <f t="shared" si="49"/>
        <v>106</v>
      </c>
      <c r="BT72" s="80">
        <f t="shared" si="50"/>
        <v>123</v>
      </c>
      <c r="BU72" s="80">
        <f t="shared" si="50"/>
        <v>115</v>
      </c>
      <c r="BV72" s="80">
        <f t="shared" si="50"/>
        <v>103</v>
      </c>
      <c r="BW72" s="80">
        <f t="shared" si="51"/>
        <v>110</v>
      </c>
    </row>
    <row r="73" spans="1:75" x14ac:dyDescent="0.25">
      <c r="A73" s="64" t="s">
        <v>95</v>
      </c>
      <c r="B73" s="75">
        <v>4.5</v>
      </c>
      <c r="C73" s="75">
        <v>4.5</v>
      </c>
      <c r="D73" s="75">
        <v>4.5</v>
      </c>
      <c r="E73" s="75">
        <v>4.5</v>
      </c>
      <c r="F73" s="75">
        <v>4.5</v>
      </c>
      <c r="G73" s="75">
        <v>4.5</v>
      </c>
      <c r="H73" s="75">
        <v>4.5</v>
      </c>
      <c r="I73" s="75">
        <v>4.5</v>
      </c>
      <c r="J73" s="75">
        <v>4.5</v>
      </c>
      <c r="K73" s="75">
        <v>4.5</v>
      </c>
      <c r="L73" s="75">
        <v>4.5</v>
      </c>
      <c r="M73" s="75">
        <v>4.5</v>
      </c>
      <c r="N73" s="75">
        <v>4.5</v>
      </c>
      <c r="O73" s="75">
        <v>4.5</v>
      </c>
      <c r="P73" s="75">
        <v>4.5</v>
      </c>
      <c r="Q73" s="75">
        <v>4.5</v>
      </c>
      <c r="R73" s="75">
        <v>4.5</v>
      </c>
      <c r="S73" s="75">
        <v>4.5</v>
      </c>
      <c r="T73" s="75">
        <v>4.5</v>
      </c>
      <c r="U73" s="75">
        <v>4.5</v>
      </c>
      <c r="V73" s="75">
        <v>4.5</v>
      </c>
      <c r="W73" s="75">
        <v>4.5</v>
      </c>
      <c r="X73" s="75">
        <v>4.5</v>
      </c>
      <c r="Y73" s="75">
        <v>4.5</v>
      </c>
      <c r="Z73" s="75">
        <v>4.5</v>
      </c>
      <c r="AA73" s="75">
        <v>4.5</v>
      </c>
      <c r="AB73" s="75">
        <v>4.5</v>
      </c>
      <c r="AC73" s="75">
        <v>4.5</v>
      </c>
      <c r="AD73" s="75">
        <v>4.5</v>
      </c>
      <c r="AE73" s="75">
        <v>4.5</v>
      </c>
      <c r="AF73" s="75">
        <v>4.5</v>
      </c>
      <c r="AG73" s="65">
        <v>10.050000000000001</v>
      </c>
      <c r="AH73" s="48">
        <f t="shared" si="8"/>
        <v>4.5</v>
      </c>
      <c r="AI73" s="49">
        <f t="shared" si="9"/>
        <v>4.5</v>
      </c>
      <c r="AK73" s="51"/>
      <c r="AY73" s="1" t="s">
        <v>96</v>
      </c>
      <c r="AZ73" s="81">
        <f>ROUND(C91,0)</f>
        <v>54</v>
      </c>
      <c r="BA73" s="81">
        <f>D91</f>
        <v>54</v>
      </c>
      <c r="BB73" s="81">
        <f>E91</f>
        <v>52</v>
      </c>
      <c r="BC73" s="81">
        <f>F91</f>
        <v>50</v>
      </c>
      <c r="BD73" s="81">
        <f>G91</f>
        <v>54</v>
      </c>
      <c r="BE73" s="81">
        <f>I91</f>
        <v>54</v>
      </c>
      <c r="BF73" s="81">
        <f>K91</f>
        <v>71</v>
      </c>
      <c r="BG73" s="81">
        <f t="shared" ref="BG73:BP73" si="52">M91</f>
        <v>71</v>
      </c>
      <c r="BH73" s="81">
        <f t="shared" si="52"/>
        <v>70</v>
      </c>
      <c r="BI73" s="81">
        <f t="shared" si="52"/>
        <v>70</v>
      </c>
      <c r="BJ73" s="81">
        <f t="shared" si="52"/>
        <v>63</v>
      </c>
      <c r="BK73" s="81">
        <f t="shared" si="52"/>
        <v>76</v>
      </c>
      <c r="BL73" s="81">
        <f t="shared" si="52"/>
        <v>76</v>
      </c>
      <c r="BM73" s="81">
        <f t="shared" si="52"/>
        <v>76</v>
      </c>
      <c r="BN73" s="81">
        <f t="shared" si="52"/>
        <v>71.3</v>
      </c>
      <c r="BO73" s="81">
        <f t="shared" si="52"/>
        <v>73.8</v>
      </c>
      <c r="BP73" s="81">
        <f t="shared" si="52"/>
        <v>79.3</v>
      </c>
      <c r="BQ73" s="81">
        <f>X91</f>
        <v>79.3</v>
      </c>
      <c r="BR73" s="81">
        <f>Z91</f>
        <v>72</v>
      </c>
      <c r="BS73" s="81">
        <f>AB91</f>
        <v>0</v>
      </c>
      <c r="BT73" s="81">
        <f>AD91</f>
        <v>0</v>
      </c>
      <c r="BU73" s="81">
        <f>AE91</f>
        <v>0</v>
      </c>
      <c r="BV73" s="81">
        <f>AF91</f>
        <v>0</v>
      </c>
      <c r="BW73" s="81">
        <f>B91</f>
        <v>0</v>
      </c>
    </row>
    <row r="74" spans="1:75" x14ac:dyDescent="0.25">
      <c r="A74" s="64" t="s">
        <v>97</v>
      </c>
      <c r="B74" s="75">
        <v>2</v>
      </c>
      <c r="C74" s="75">
        <v>2</v>
      </c>
      <c r="D74" s="75">
        <v>2</v>
      </c>
      <c r="E74" s="75">
        <v>2</v>
      </c>
      <c r="F74" s="75">
        <v>2</v>
      </c>
      <c r="G74" s="75">
        <v>2</v>
      </c>
      <c r="H74" s="75">
        <v>2</v>
      </c>
      <c r="I74" s="75">
        <v>2</v>
      </c>
      <c r="J74" s="75">
        <v>2</v>
      </c>
      <c r="K74" s="75">
        <v>2</v>
      </c>
      <c r="L74" s="75">
        <v>2</v>
      </c>
      <c r="M74" s="75">
        <v>2</v>
      </c>
      <c r="N74" s="75">
        <v>2</v>
      </c>
      <c r="O74" s="75">
        <v>2</v>
      </c>
      <c r="P74" s="75">
        <v>2</v>
      </c>
      <c r="Q74" s="75">
        <v>2</v>
      </c>
      <c r="R74" s="75">
        <v>2</v>
      </c>
      <c r="S74" s="75">
        <v>2</v>
      </c>
      <c r="T74" s="75">
        <v>2</v>
      </c>
      <c r="U74" s="75">
        <v>2</v>
      </c>
      <c r="V74" s="75">
        <v>2</v>
      </c>
      <c r="W74" s="75">
        <v>2</v>
      </c>
      <c r="X74" s="75">
        <v>2</v>
      </c>
      <c r="Y74" s="75">
        <v>2</v>
      </c>
      <c r="Z74" s="75">
        <v>2</v>
      </c>
      <c r="AA74" s="75">
        <v>2</v>
      </c>
      <c r="AB74" s="75">
        <v>2</v>
      </c>
      <c r="AC74" s="75">
        <v>2</v>
      </c>
      <c r="AD74" s="75">
        <v>2</v>
      </c>
      <c r="AE74" s="75">
        <v>2</v>
      </c>
      <c r="AF74" s="75">
        <v>2</v>
      </c>
      <c r="AG74" s="65">
        <v>6.2</v>
      </c>
      <c r="AH74" s="48">
        <f t="shared" si="8"/>
        <v>2</v>
      </c>
      <c r="AI74" s="49">
        <f t="shared" si="9"/>
        <v>2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</row>
    <row r="75" spans="1:75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>
        <v>3.54</v>
      </c>
      <c r="W75" s="84">
        <v>3.54</v>
      </c>
      <c r="X75" s="84">
        <v>3.54</v>
      </c>
      <c r="Y75" s="84">
        <v>3.54</v>
      </c>
      <c r="Z75" s="84">
        <v>3.54</v>
      </c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8"/>
        <v>3.54</v>
      </c>
      <c r="AI75" s="49">
        <f t="shared" si="9"/>
        <v>3.54</v>
      </c>
      <c r="AK75" s="51"/>
      <c r="AZ75" s="81">
        <f>VALUE(AZ68)</f>
        <v>52</v>
      </c>
      <c r="BA75" s="81">
        <f t="shared" ref="BA75:BW75" si="53">VALUE(BA68)</f>
        <v>55</v>
      </c>
      <c r="BB75" s="81">
        <f t="shared" si="53"/>
        <v>50.3</v>
      </c>
      <c r="BC75" s="81">
        <f t="shared" si="53"/>
        <v>52.4</v>
      </c>
      <c r="BD75" s="81">
        <f t="shared" si="53"/>
        <v>51</v>
      </c>
      <c r="BE75" s="81">
        <f t="shared" si="53"/>
        <v>54</v>
      </c>
      <c r="BF75" s="81">
        <f t="shared" si="53"/>
        <v>56</v>
      </c>
      <c r="BG75" s="81">
        <f t="shared" si="53"/>
        <v>45</v>
      </c>
      <c r="BH75" s="81">
        <f t="shared" si="53"/>
        <v>46</v>
      </c>
      <c r="BI75" s="81">
        <f t="shared" si="53"/>
        <v>53</v>
      </c>
      <c r="BJ75" s="81">
        <f t="shared" si="53"/>
        <v>50</v>
      </c>
      <c r="BK75" s="81">
        <f t="shared" si="53"/>
        <v>52</v>
      </c>
      <c r="BL75" s="81">
        <f t="shared" si="53"/>
        <v>50.1</v>
      </c>
      <c r="BM75" s="81">
        <f t="shared" si="53"/>
        <v>50</v>
      </c>
      <c r="BN75" s="81">
        <f t="shared" si="53"/>
        <v>50.1</v>
      </c>
      <c r="BO75" s="81">
        <f t="shared" si="53"/>
        <v>58.5</v>
      </c>
      <c r="BP75" s="81">
        <f t="shared" si="53"/>
        <v>45.2</v>
      </c>
      <c r="BQ75" s="81">
        <f t="shared" si="53"/>
        <v>53.3</v>
      </c>
      <c r="BR75" s="81">
        <f t="shared" si="53"/>
        <v>62.3</v>
      </c>
      <c r="BS75" s="81">
        <f t="shared" si="53"/>
        <v>64.5</v>
      </c>
      <c r="BT75" s="81">
        <f t="shared" si="53"/>
        <v>63</v>
      </c>
      <c r="BU75" s="81">
        <f t="shared" si="53"/>
        <v>63</v>
      </c>
      <c r="BV75" s="81">
        <f t="shared" si="53"/>
        <v>52</v>
      </c>
      <c r="BW75" s="81">
        <f t="shared" si="53"/>
        <v>52.3</v>
      </c>
    </row>
    <row r="76" spans="1:75" ht="15.75" thickBot="1" x14ac:dyDescent="0.3">
      <c r="A76" s="86" t="s">
        <v>99</v>
      </c>
      <c r="B76" s="70">
        <f t="shared" ref="B76:D76" si="54">SUM(B63:B75)</f>
        <v>106.84</v>
      </c>
      <c r="C76" s="70">
        <f t="shared" si="54"/>
        <v>76.84</v>
      </c>
      <c r="D76" s="70">
        <f t="shared" si="54"/>
        <v>76.940000000000012</v>
      </c>
      <c r="E76" s="70">
        <f t="shared" ref="E76:AG76" si="55">SUM(E63:E75)</f>
        <v>76.940000000000012</v>
      </c>
      <c r="F76" s="70">
        <f t="shared" si="55"/>
        <v>76.940000000000012</v>
      </c>
      <c r="G76" s="70">
        <f t="shared" si="55"/>
        <v>76.940000000000012</v>
      </c>
      <c r="H76" s="70">
        <f t="shared" si="55"/>
        <v>198.94</v>
      </c>
      <c r="I76" s="70">
        <f t="shared" si="55"/>
        <v>223.94</v>
      </c>
      <c r="J76" s="70">
        <f t="shared" si="55"/>
        <v>223.34</v>
      </c>
      <c r="K76" s="70">
        <f t="shared" si="55"/>
        <v>257.24</v>
      </c>
      <c r="L76" s="70">
        <f t="shared" si="55"/>
        <v>272.33999999999997</v>
      </c>
      <c r="M76" s="70">
        <f t="shared" si="55"/>
        <v>272.33999999999997</v>
      </c>
      <c r="N76" s="70">
        <f t="shared" si="55"/>
        <v>268.03999999999996</v>
      </c>
      <c r="O76" s="70">
        <f t="shared" si="55"/>
        <v>242.33999999999997</v>
      </c>
      <c r="P76" s="70">
        <f t="shared" si="55"/>
        <v>236.94</v>
      </c>
      <c r="Q76" s="70">
        <f t="shared" si="55"/>
        <v>213.04</v>
      </c>
      <c r="R76" s="70">
        <f t="shared" si="55"/>
        <v>204.93999999999997</v>
      </c>
      <c r="S76" s="70">
        <f t="shared" ref="S76:T76" si="56">SUM(S63:S75)</f>
        <v>204.93999999999997</v>
      </c>
      <c r="T76" s="70">
        <f t="shared" si="56"/>
        <v>218.53999999999996</v>
      </c>
      <c r="U76" s="70">
        <f t="shared" ref="U76" si="57">SUM(U63:U75)</f>
        <v>235.84</v>
      </c>
      <c r="V76" s="70">
        <f t="shared" si="55"/>
        <v>208.04</v>
      </c>
      <c r="W76" s="70">
        <f t="shared" ref="W76:X76" si="58">SUM(W63:W75)</f>
        <v>208.04</v>
      </c>
      <c r="X76" s="70">
        <f t="shared" si="58"/>
        <v>207.44</v>
      </c>
      <c r="Y76" s="70">
        <f t="shared" ref="Y76:Z76" si="59">SUM(Y63:Y75)</f>
        <v>260.83999999999997</v>
      </c>
      <c r="Z76" s="70">
        <f t="shared" si="59"/>
        <v>344.64</v>
      </c>
      <c r="AA76" s="70">
        <f t="shared" ref="AA76:AB76" si="60">SUM(AA63:AA75)</f>
        <v>364.93999999999994</v>
      </c>
      <c r="AB76" s="70">
        <f t="shared" si="60"/>
        <v>262.33999999999997</v>
      </c>
      <c r="AC76" s="70">
        <f t="shared" ref="AC76:AD76" si="61">SUM(AC63:AC75)</f>
        <v>225.33999999999997</v>
      </c>
      <c r="AD76" s="70">
        <f t="shared" si="61"/>
        <v>223.33999999999997</v>
      </c>
      <c r="AE76" s="70">
        <f t="shared" ref="AE76:AF76" si="62">SUM(AE63:AE75)</f>
        <v>202.33999999999997</v>
      </c>
      <c r="AF76" s="70">
        <f t="shared" si="62"/>
        <v>117.34000000000002</v>
      </c>
      <c r="AG76" s="71">
        <f t="shared" si="55"/>
        <v>489.91</v>
      </c>
      <c r="AH76" s="48">
        <f t="shared" si="8"/>
        <v>364.93999999999994</v>
      </c>
      <c r="AI76" s="49">
        <f t="shared" si="9"/>
        <v>76.84</v>
      </c>
      <c r="AK76" s="51"/>
      <c r="AZ76" s="81">
        <f t="shared" ref="AZ76:BW80" si="63">VALUE(AZ69)</f>
        <v>0</v>
      </c>
      <c r="BA76" s="81">
        <f t="shared" si="63"/>
        <v>0</v>
      </c>
      <c r="BB76" s="81">
        <f t="shared" si="63"/>
        <v>0</v>
      </c>
      <c r="BC76" s="81">
        <f t="shared" si="63"/>
        <v>0</v>
      </c>
      <c r="BD76" s="81">
        <f t="shared" si="63"/>
        <v>0</v>
      </c>
      <c r="BE76" s="81">
        <f t="shared" si="63"/>
        <v>0</v>
      </c>
      <c r="BF76" s="81">
        <f t="shared" si="63"/>
        <v>0</v>
      </c>
      <c r="BG76" s="81">
        <f t="shared" si="63"/>
        <v>0</v>
      </c>
      <c r="BH76" s="81">
        <f t="shared" si="63"/>
        <v>0</v>
      </c>
      <c r="BI76" s="81">
        <f t="shared" si="63"/>
        <v>0</v>
      </c>
      <c r="BJ76" s="81">
        <f t="shared" si="63"/>
        <v>0</v>
      </c>
      <c r="BK76" s="81">
        <f t="shared" si="63"/>
        <v>0</v>
      </c>
      <c r="BL76" s="81">
        <f t="shared" si="63"/>
        <v>0</v>
      </c>
      <c r="BM76" s="81">
        <f t="shared" si="63"/>
        <v>0</v>
      </c>
      <c r="BN76" s="81">
        <f t="shared" si="63"/>
        <v>0</v>
      </c>
      <c r="BO76" s="81">
        <f t="shared" si="63"/>
        <v>0</v>
      </c>
      <c r="BP76" s="81">
        <f t="shared" si="63"/>
        <v>0</v>
      </c>
      <c r="BQ76" s="81">
        <f t="shared" si="63"/>
        <v>0</v>
      </c>
      <c r="BR76" s="81">
        <f t="shared" si="63"/>
        <v>0</v>
      </c>
      <c r="BS76" s="81">
        <f t="shared" si="63"/>
        <v>0</v>
      </c>
      <c r="BT76" s="81">
        <f t="shared" si="63"/>
        <v>0</v>
      </c>
      <c r="BU76" s="81">
        <f t="shared" si="63"/>
        <v>0</v>
      </c>
      <c r="BV76" s="81">
        <f t="shared" si="63"/>
        <v>0</v>
      </c>
      <c r="BW76" s="81">
        <f t="shared" si="63"/>
        <v>0</v>
      </c>
    </row>
    <row r="77" spans="1:75" x14ac:dyDescent="0.25">
      <c r="A77" s="45" t="s">
        <v>100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>
        <v>14</v>
      </c>
      <c r="W77" s="46">
        <v>14</v>
      </c>
      <c r="X77" s="46">
        <v>0</v>
      </c>
      <c r="Y77" s="46">
        <v>0</v>
      </c>
      <c r="Z77" s="46">
        <v>0</v>
      </c>
      <c r="AA77" s="46">
        <v>0</v>
      </c>
      <c r="AB77" s="46">
        <v>0</v>
      </c>
      <c r="AC77" s="46">
        <v>0</v>
      </c>
      <c r="AD77" s="46">
        <v>0</v>
      </c>
      <c r="AE77" s="46">
        <v>0</v>
      </c>
      <c r="AF77" s="46">
        <v>0</v>
      </c>
      <c r="AG77" s="60">
        <v>60</v>
      </c>
      <c r="AH77" s="48">
        <f t="shared" si="8"/>
        <v>14</v>
      </c>
      <c r="AI77" s="49">
        <f t="shared" si="9"/>
        <v>0</v>
      </c>
      <c r="AK77" s="51"/>
      <c r="AZ77" s="81">
        <f t="shared" si="63"/>
        <v>335</v>
      </c>
      <c r="BA77" s="81">
        <f t="shared" si="63"/>
        <v>306</v>
      </c>
      <c r="BB77" s="81">
        <f t="shared" si="63"/>
        <v>302</v>
      </c>
      <c r="BC77" s="81">
        <f t="shared" si="63"/>
        <v>315.8</v>
      </c>
      <c r="BD77" s="81">
        <f t="shared" si="63"/>
        <v>318</v>
      </c>
      <c r="BE77" s="81">
        <f t="shared" si="63"/>
        <v>340</v>
      </c>
      <c r="BF77" s="81">
        <f t="shared" si="63"/>
        <v>318</v>
      </c>
      <c r="BG77" s="81">
        <f t="shared" si="63"/>
        <v>335</v>
      </c>
      <c r="BH77" s="81">
        <f t="shared" si="63"/>
        <v>316</v>
      </c>
      <c r="BI77" s="81">
        <f t="shared" si="63"/>
        <v>329</v>
      </c>
      <c r="BJ77" s="81">
        <f t="shared" si="63"/>
        <v>347</v>
      </c>
      <c r="BK77" s="81">
        <f t="shared" si="63"/>
        <v>293</v>
      </c>
      <c r="BL77" s="81">
        <f t="shared" si="63"/>
        <v>292</v>
      </c>
      <c r="BM77" s="81">
        <f t="shared" si="63"/>
        <v>332</v>
      </c>
      <c r="BN77" s="81">
        <f t="shared" si="63"/>
        <v>334.2</v>
      </c>
      <c r="BO77" s="81">
        <f t="shared" si="63"/>
        <v>330.8</v>
      </c>
      <c r="BP77" s="81">
        <f t="shared" si="63"/>
        <v>315</v>
      </c>
      <c r="BQ77" s="81">
        <f t="shared" si="63"/>
        <v>402.8</v>
      </c>
      <c r="BR77" s="81">
        <f t="shared" si="63"/>
        <v>247.8</v>
      </c>
      <c r="BS77" s="81">
        <f t="shared" si="63"/>
        <v>240</v>
      </c>
      <c r="BT77" s="81">
        <f t="shared" si="63"/>
        <v>280</v>
      </c>
      <c r="BU77" s="81">
        <f t="shared" si="63"/>
        <v>290</v>
      </c>
      <c r="BV77" s="81">
        <f t="shared" si="63"/>
        <v>423</v>
      </c>
      <c r="BW77" s="81">
        <f t="shared" si="63"/>
        <v>325</v>
      </c>
    </row>
    <row r="78" spans="1:75" x14ac:dyDescent="0.25">
      <c r="A78" s="64" t="s">
        <v>101</v>
      </c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>
        <v>4.9000000000000004</v>
      </c>
      <c r="W78" s="75">
        <v>4.9000000000000004</v>
      </c>
      <c r="X78" s="75">
        <v>0</v>
      </c>
      <c r="Y78" s="75">
        <v>0</v>
      </c>
      <c r="Z78" s="75">
        <v>0</v>
      </c>
      <c r="AA78" s="75">
        <v>0</v>
      </c>
      <c r="AB78" s="75">
        <v>0</v>
      </c>
      <c r="AC78" s="75">
        <v>0</v>
      </c>
      <c r="AD78" s="75">
        <v>0</v>
      </c>
      <c r="AE78" s="75">
        <v>0</v>
      </c>
      <c r="AF78" s="75">
        <v>0</v>
      </c>
      <c r="AG78" s="65">
        <v>32</v>
      </c>
      <c r="AH78" s="48">
        <f t="shared" si="8"/>
        <v>4.9000000000000004</v>
      </c>
      <c r="AI78" s="49">
        <f t="shared" si="9"/>
        <v>0</v>
      </c>
      <c r="AK78" s="51"/>
      <c r="AZ78" s="81">
        <f t="shared" si="63"/>
        <v>3</v>
      </c>
      <c r="BA78" s="81">
        <f t="shared" si="63"/>
        <v>3.3</v>
      </c>
      <c r="BB78" s="81">
        <f t="shared" si="63"/>
        <v>3</v>
      </c>
      <c r="BC78" s="81">
        <f t="shared" si="63"/>
        <v>3.7</v>
      </c>
      <c r="BD78" s="81">
        <f t="shared" si="63"/>
        <v>4.3</v>
      </c>
      <c r="BE78" s="81">
        <f t="shared" si="63"/>
        <v>6</v>
      </c>
      <c r="BF78" s="81">
        <f t="shared" si="63"/>
        <v>7</v>
      </c>
      <c r="BG78" s="81">
        <f t="shared" si="63"/>
        <v>7.8</v>
      </c>
      <c r="BH78" s="81">
        <f t="shared" si="63"/>
        <v>8.1</v>
      </c>
      <c r="BI78" s="81">
        <f t="shared" si="63"/>
        <v>5.0999999999999996</v>
      </c>
      <c r="BJ78" s="81">
        <f t="shared" si="63"/>
        <v>39</v>
      </c>
      <c r="BK78" s="81">
        <f t="shared" si="63"/>
        <v>30.5</v>
      </c>
      <c r="BL78" s="81">
        <f t="shared" si="63"/>
        <v>25.4</v>
      </c>
      <c r="BM78" s="81">
        <f t="shared" si="63"/>
        <v>40.200000000000003</v>
      </c>
      <c r="BN78" s="81">
        <f t="shared" si="63"/>
        <v>38.1</v>
      </c>
      <c r="BO78" s="81">
        <f t="shared" si="63"/>
        <v>29.5</v>
      </c>
      <c r="BP78" s="81">
        <f t="shared" si="63"/>
        <v>24.9</v>
      </c>
      <c r="BQ78" s="81">
        <f t="shared" si="63"/>
        <v>47.3</v>
      </c>
      <c r="BR78" s="81">
        <f t="shared" si="63"/>
        <v>45</v>
      </c>
      <c r="BS78" s="81">
        <f t="shared" si="63"/>
        <v>39</v>
      </c>
      <c r="BT78" s="81">
        <f t="shared" si="63"/>
        <v>48</v>
      </c>
      <c r="BU78" s="81">
        <f t="shared" si="63"/>
        <v>40</v>
      </c>
      <c r="BV78" s="81">
        <f t="shared" si="63"/>
        <v>47</v>
      </c>
      <c r="BW78" s="81">
        <f t="shared" si="63"/>
        <v>32.5</v>
      </c>
    </row>
    <row r="79" spans="1:75" ht="15.75" thickBot="1" x14ac:dyDescent="0.3">
      <c r="A79" s="83" t="s">
        <v>102</v>
      </c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>
        <v>1.8</v>
      </c>
      <c r="W79" s="77">
        <v>1.8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8">
        <v>14</v>
      </c>
      <c r="AH79" s="48">
        <f t="shared" si="8"/>
        <v>1.8</v>
      </c>
      <c r="AI79" s="49">
        <f t="shared" si="9"/>
        <v>0</v>
      </c>
      <c r="AK79" s="51"/>
      <c r="AZ79" s="81">
        <f t="shared" si="63"/>
        <v>111</v>
      </c>
      <c r="BA79" s="81">
        <f t="shared" si="63"/>
        <v>114</v>
      </c>
      <c r="BB79" s="81">
        <f t="shared" si="63"/>
        <v>109</v>
      </c>
      <c r="BC79" s="81">
        <f t="shared" si="63"/>
        <v>95</v>
      </c>
      <c r="BD79" s="81">
        <f t="shared" si="63"/>
        <v>69</v>
      </c>
      <c r="BE79" s="81">
        <f t="shared" si="63"/>
        <v>15</v>
      </c>
      <c r="BF79" s="81">
        <f t="shared" si="63"/>
        <v>12.1</v>
      </c>
      <c r="BG79" s="81">
        <f t="shared" si="63"/>
        <v>11.8</v>
      </c>
      <c r="BH79" s="81">
        <f t="shared" si="63"/>
        <v>15.6</v>
      </c>
      <c r="BI79" s="81">
        <f t="shared" si="63"/>
        <v>24</v>
      </c>
      <c r="BJ79" s="81">
        <f t="shared" si="63"/>
        <v>93</v>
      </c>
      <c r="BK79" s="81">
        <f t="shared" si="63"/>
        <v>111</v>
      </c>
      <c r="BL79" s="81">
        <f t="shared" si="63"/>
        <v>101</v>
      </c>
      <c r="BM79" s="81">
        <f t="shared" si="63"/>
        <v>95.1</v>
      </c>
      <c r="BN79" s="81">
        <f t="shared" si="63"/>
        <v>122.9</v>
      </c>
      <c r="BO79" s="81">
        <f t="shared" si="63"/>
        <v>121.3</v>
      </c>
      <c r="BP79" s="81">
        <f t="shared" si="63"/>
        <v>103.1</v>
      </c>
      <c r="BQ79" s="81">
        <f t="shared" si="63"/>
        <v>109.4</v>
      </c>
      <c r="BR79" s="81">
        <f t="shared" si="63"/>
        <v>120.8</v>
      </c>
      <c r="BS79" s="81">
        <f t="shared" si="63"/>
        <v>106</v>
      </c>
      <c r="BT79" s="81">
        <f t="shared" si="63"/>
        <v>123</v>
      </c>
      <c r="BU79" s="81">
        <f t="shared" si="63"/>
        <v>115</v>
      </c>
      <c r="BV79" s="81">
        <f t="shared" si="63"/>
        <v>103</v>
      </c>
      <c r="BW79" s="81">
        <f t="shared" si="63"/>
        <v>110</v>
      </c>
    </row>
    <row r="80" spans="1:75" ht="15.75" thickBot="1" x14ac:dyDescent="0.3">
      <c r="A80" s="86" t="s">
        <v>103</v>
      </c>
      <c r="B80" s="70">
        <f t="shared" ref="B80:D80" si="64">B77+B78+B79</f>
        <v>0</v>
      </c>
      <c r="C80" s="70">
        <f t="shared" si="64"/>
        <v>0</v>
      </c>
      <c r="D80" s="70">
        <f t="shared" si="64"/>
        <v>0</v>
      </c>
      <c r="E80" s="70">
        <f t="shared" ref="E80:V80" si="65">E77+E78+E79</f>
        <v>0</v>
      </c>
      <c r="F80" s="70">
        <f t="shared" si="65"/>
        <v>0</v>
      </c>
      <c r="G80" s="70">
        <f t="shared" si="65"/>
        <v>0</v>
      </c>
      <c r="H80" s="70">
        <f t="shared" si="65"/>
        <v>0</v>
      </c>
      <c r="I80" s="70">
        <f t="shared" si="65"/>
        <v>0</v>
      </c>
      <c r="J80" s="70">
        <f t="shared" si="65"/>
        <v>0</v>
      </c>
      <c r="K80" s="70">
        <f t="shared" si="65"/>
        <v>0</v>
      </c>
      <c r="L80" s="70">
        <f t="shared" si="65"/>
        <v>0</v>
      </c>
      <c r="M80" s="70">
        <f t="shared" si="65"/>
        <v>0</v>
      </c>
      <c r="N80" s="70">
        <f t="shared" si="65"/>
        <v>0</v>
      </c>
      <c r="O80" s="70">
        <f t="shared" si="65"/>
        <v>0</v>
      </c>
      <c r="P80" s="70">
        <f t="shared" si="65"/>
        <v>0</v>
      </c>
      <c r="Q80" s="70">
        <f t="shared" si="65"/>
        <v>0</v>
      </c>
      <c r="R80" s="70">
        <f t="shared" si="65"/>
        <v>0</v>
      </c>
      <c r="S80" s="70">
        <f t="shared" ref="S80:T80" si="66">S77+S78+S79</f>
        <v>0</v>
      </c>
      <c r="T80" s="70">
        <f t="shared" si="66"/>
        <v>0</v>
      </c>
      <c r="U80" s="70">
        <f t="shared" ref="U80" si="67">U77+U78+U79</f>
        <v>0</v>
      </c>
      <c r="V80" s="70">
        <f t="shared" si="65"/>
        <v>20.7</v>
      </c>
      <c r="W80" s="70">
        <f t="shared" ref="W80:X80" si="68">W77+W78+W79</f>
        <v>20.7</v>
      </c>
      <c r="X80" s="70">
        <f t="shared" si="68"/>
        <v>0</v>
      </c>
      <c r="Y80" s="70">
        <f t="shared" ref="Y80:Z80" si="69">Y77+Y78+Y79</f>
        <v>0</v>
      </c>
      <c r="Z80" s="70">
        <f t="shared" si="69"/>
        <v>0</v>
      </c>
      <c r="AA80" s="70">
        <f t="shared" ref="AA80:AB80" si="70">AA77+AA78+AA79</f>
        <v>0</v>
      </c>
      <c r="AB80" s="70">
        <f t="shared" si="70"/>
        <v>0</v>
      </c>
      <c r="AC80" s="70">
        <f t="shared" ref="AC80:AD80" si="71">AC77+AC78+AC79</f>
        <v>0</v>
      </c>
      <c r="AD80" s="70">
        <f t="shared" si="71"/>
        <v>0</v>
      </c>
      <c r="AE80" s="70">
        <f t="shared" ref="AE80:AF80" si="72">AE77+AE78+AE79</f>
        <v>0</v>
      </c>
      <c r="AF80" s="70">
        <f t="shared" si="72"/>
        <v>0</v>
      </c>
      <c r="AG80" s="71">
        <f>SUM(AG77:AG79)</f>
        <v>106</v>
      </c>
      <c r="AH80" s="48">
        <f t="shared" si="8"/>
        <v>20.7</v>
      </c>
      <c r="AI80" s="49">
        <f t="shared" si="9"/>
        <v>0</v>
      </c>
      <c r="AK80" s="51"/>
      <c r="AZ80" s="81">
        <f t="shared" si="63"/>
        <v>54</v>
      </c>
      <c r="BA80" s="81">
        <f t="shared" si="63"/>
        <v>54</v>
      </c>
      <c r="BB80" s="81">
        <f t="shared" si="63"/>
        <v>52</v>
      </c>
      <c r="BC80" s="81">
        <f t="shared" si="63"/>
        <v>50</v>
      </c>
      <c r="BD80" s="81">
        <f t="shared" si="63"/>
        <v>54</v>
      </c>
      <c r="BE80" s="81">
        <f t="shared" si="63"/>
        <v>54</v>
      </c>
      <c r="BF80" s="81">
        <f t="shared" si="63"/>
        <v>71</v>
      </c>
      <c r="BG80" s="81">
        <f t="shared" si="63"/>
        <v>71</v>
      </c>
      <c r="BH80" s="81">
        <f t="shared" si="63"/>
        <v>70</v>
      </c>
      <c r="BI80" s="81">
        <f t="shared" si="63"/>
        <v>70</v>
      </c>
      <c r="BJ80" s="81">
        <f t="shared" si="63"/>
        <v>63</v>
      </c>
      <c r="BK80" s="81">
        <f t="shared" si="63"/>
        <v>76</v>
      </c>
      <c r="BL80" s="81">
        <f t="shared" si="63"/>
        <v>76</v>
      </c>
      <c r="BM80" s="81">
        <f t="shared" si="63"/>
        <v>76</v>
      </c>
      <c r="BN80" s="81">
        <f t="shared" si="63"/>
        <v>71.3</v>
      </c>
      <c r="BO80" s="81">
        <f t="shared" si="63"/>
        <v>73.8</v>
      </c>
      <c r="BP80" s="81">
        <f t="shared" si="63"/>
        <v>79.3</v>
      </c>
      <c r="BQ80" s="81">
        <f t="shared" si="63"/>
        <v>79.3</v>
      </c>
      <c r="BR80" s="81">
        <f t="shared" si="63"/>
        <v>72</v>
      </c>
      <c r="BS80" s="81">
        <f t="shared" si="63"/>
        <v>0</v>
      </c>
      <c r="BT80" s="81">
        <f t="shared" si="63"/>
        <v>0</v>
      </c>
      <c r="BU80" s="81">
        <f t="shared" si="63"/>
        <v>0</v>
      </c>
      <c r="BV80" s="81">
        <f t="shared" si="63"/>
        <v>0</v>
      </c>
      <c r="BW80" s="81">
        <f t="shared" si="63"/>
        <v>0</v>
      </c>
    </row>
    <row r="81" spans="1:64" x14ac:dyDescent="0.25">
      <c r="A81" s="45" t="s">
        <v>104</v>
      </c>
      <c r="B81" s="46">
        <v>52.3</v>
      </c>
      <c r="C81" s="46">
        <v>51.5</v>
      </c>
      <c r="D81" s="46">
        <v>55</v>
      </c>
      <c r="E81" s="46">
        <v>50.3</v>
      </c>
      <c r="F81" s="46">
        <v>52.4</v>
      </c>
      <c r="G81" s="46">
        <v>51</v>
      </c>
      <c r="H81" s="46">
        <v>54</v>
      </c>
      <c r="I81" s="46">
        <v>54</v>
      </c>
      <c r="J81" s="46">
        <v>55</v>
      </c>
      <c r="K81" s="46">
        <v>56</v>
      </c>
      <c r="L81" s="46">
        <v>62.8</v>
      </c>
      <c r="M81" s="46">
        <v>45</v>
      </c>
      <c r="N81" s="46">
        <v>46</v>
      </c>
      <c r="O81" s="46">
        <v>53</v>
      </c>
      <c r="P81" s="46">
        <v>50</v>
      </c>
      <c r="Q81" s="46">
        <v>52</v>
      </c>
      <c r="R81" s="46">
        <v>50.1</v>
      </c>
      <c r="S81" s="46">
        <v>50</v>
      </c>
      <c r="T81" s="46">
        <v>50.1</v>
      </c>
      <c r="U81" s="46">
        <v>58.5</v>
      </c>
      <c r="V81" s="46">
        <v>45.2</v>
      </c>
      <c r="W81" s="46">
        <v>45.2</v>
      </c>
      <c r="X81" s="46">
        <v>53.3</v>
      </c>
      <c r="Y81" s="46">
        <v>50.2</v>
      </c>
      <c r="Z81" s="46">
        <v>62.3</v>
      </c>
      <c r="AA81" s="46">
        <v>64.5</v>
      </c>
      <c r="AB81" s="46">
        <v>64.5</v>
      </c>
      <c r="AC81" s="46">
        <v>64.8</v>
      </c>
      <c r="AD81" s="46">
        <v>63</v>
      </c>
      <c r="AE81" s="46">
        <v>63</v>
      </c>
      <c r="AF81" s="46">
        <v>52</v>
      </c>
      <c r="AG81" s="60"/>
      <c r="AH81" s="48">
        <f t="shared" si="8"/>
        <v>64.8</v>
      </c>
      <c r="AI81" s="49">
        <f t="shared" si="9"/>
        <v>45</v>
      </c>
      <c r="AK81" s="51"/>
      <c r="AY81" s="81"/>
    </row>
    <row r="82" spans="1:64" x14ac:dyDescent="0.25">
      <c r="A82" s="64" t="s">
        <v>105</v>
      </c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65"/>
      <c r="AH82" s="48">
        <f t="shared" ref="AH82:AH123" si="73">MAX(B82:AF82)</f>
        <v>0</v>
      </c>
      <c r="AI82" s="49">
        <f t="shared" ref="AI82:AI123" si="74">MIN(B82:AF82)</f>
        <v>0</v>
      </c>
      <c r="AK82" s="51"/>
      <c r="AY82" s="81"/>
      <c r="BF82" s="81"/>
      <c r="BG82" s="81"/>
      <c r="BH82" s="81"/>
      <c r="BI82" s="81"/>
      <c r="BJ82" s="81"/>
      <c r="BK82" s="81"/>
    </row>
    <row r="83" spans="1:64" x14ac:dyDescent="0.25">
      <c r="A83" s="64" t="s">
        <v>106</v>
      </c>
      <c r="B83" s="75">
        <v>325</v>
      </c>
      <c r="C83" s="75">
        <v>335</v>
      </c>
      <c r="D83" s="75">
        <v>306</v>
      </c>
      <c r="E83" s="75">
        <v>302</v>
      </c>
      <c r="F83" s="75">
        <v>315.8</v>
      </c>
      <c r="G83" s="75">
        <v>318</v>
      </c>
      <c r="H83" s="75">
        <v>330</v>
      </c>
      <c r="I83" s="75">
        <v>340</v>
      </c>
      <c r="J83" s="75">
        <v>350</v>
      </c>
      <c r="K83" s="75">
        <v>318</v>
      </c>
      <c r="L83" s="75">
        <v>350.9</v>
      </c>
      <c r="M83" s="75">
        <v>335</v>
      </c>
      <c r="N83" s="75">
        <v>316</v>
      </c>
      <c r="O83" s="75">
        <v>329</v>
      </c>
      <c r="P83" s="75">
        <v>347</v>
      </c>
      <c r="Q83" s="75">
        <v>293</v>
      </c>
      <c r="R83" s="75">
        <v>292</v>
      </c>
      <c r="S83" s="75">
        <v>332</v>
      </c>
      <c r="T83" s="75">
        <v>334.2</v>
      </c>
      <c r="U83" s="75">
        <v>330.8</v>
      </c>
      <c r="V83" s="75">
        <v>315</v>
      </c>
      <c r="W83" s="75">
        <v>315</v>
      </c>
      <c r="X83" s="75">
        <v>402.8</v>
      </c>
      <c r="Y83" s="75">
        <v>458.2</v>
      </c>
      <c r="Z83" s="75">
        <v>247.8</v>
      </c>
      <c r="AA83" s="75">
        <v>242.6</v>
      </c>
      <c r="AB83" s="75">
        <v>240</v>
      </c>
      <c r="AC83" s="75">
        <v>275</v>
      </c>
      <c r="AD83" s="75">
        <v>280</v>
      </c>
      <c r="AE83" s="75">
        <v>290</v>
      </c>
      <c r="AF83" s="75">
        <v>423</v>
      </c>
      <c r="AG83" s="87"/>
      <c r="AH83" s="48">
        <f t="shared" si="73"/>
        <v>458.2</v>
      </c>
      <c r="AI83" s="49">
        <f t="shared" si="74"/>
        <v>240</v>
      </c>
      <c r="AK83" s="51"/>
      <c r="AY83" s="81"/>
      <c r="BF83" s="80"/>
      <c r="BG83" s="80"/>
      <c r="BH83" s="80"/>
      <c r="BI83" s="80"/>
      <c r="BJ83" s="80"/>
      <c r="BK83" s="81"/>
    </row>
    <row r="84" spans="1:64" x14ac:dyDescent="0.25">
      <c r="A84" s="64" t="s">
        <v>107</v>
      </c>
      <c r="B84" s="88">
        <v>32.5</v>
      </c>
      <c r="C84" s="88">
        <v>3.2</v>
      </c>
      <c r="D84" s="88">
        <v>3.3</v>
      </c>
      <c r="E84" s="88">
        <v>3</v>
      </c>
      <c r="F84" s="88">
        <v>3.7</v>
      </c>
      <c r="G84" s="88">
        <v>4.3</v>
      </c>
      <c r="H84" s="88">
        <v>5</v>
      </c>
      <c r="I84" s="88">
        <v>6</v>
      </c>
      <c r="J84" s="88">
        <v>7</v>
      </c>
      <c r="K84" s="88">
        <v>7</v>
      </c>
      <c r="L84" s="88">
        <v>7</v>
      </c>
      <c r="M84" s="88">
        <v>7.8</v>
      </c>
      <c r="N84" s="88">
        <v>8.1</v>
      </c>
      <c r="O84" s="88">
        <v>5.0999999999999996</v>
      </c>
      <c r="P84" s="88">
        <v>39</v>
      </c>
      <c r="Q84" s="88">
        <v>30.5</v>
      </c>
      <c r="R84" s="88">
        <v>25.4</v>
      </c>
      <c r="S84" s="88">
        <v>40.200000000000003</v>
      </c>
      <c r="T84" s="88">
        <v>38.1</v>
      </c>
      <c r="U84" s="88">
        <v>29.5</v>
      </c>
      <c r="V84" s="88">
        <v>24.9</v>
      </c>
      <c r="W84" s="88">
        <v>24.9</v>
      </c>
      <c r="X84" s="88">
        <v>47.3</v>
      </c>
      <c r="Y84" s="88">
        <v>41.7</v>
      </c>
      <c r="Z84" s="88">
        <v>45</v>
      </c>
      <c r="AA84" s="88">
        <v>41.1</v>
      </c>
      <c r="AB84" s="88">
        <v>39</v>
      </c>
      <c r="AC84" s="88">
        <v>40</v>
      </c>
      <c r="AD84" s="88">
        <v>48</v>
      </c>
      <c r="AE84" s="88">
        <v>40</v>
      </c>
      <c r="AF84" s="88">
        <v>47</v>
      </c>
      <c r="AG84" s="87"/>
      <c r="AH84" s="48">
        <f t="shared" si="73"/>
        <v>48</v>
      </c>
      <c r="AI84" s="49">
        <f t="shared" si="74"/>
        <v>3</v>
      </c>
      <c r="AK84" s="51"/>
      <c r="AY84" s="81"/>
      <c r="BF84" s="80"/>
      <c r="BG84" s="81">
        <f t="array" ref="BG84:BL107">TRANSPOSE(AZ68:BW73)</f>
        <v>52</v>
      </c>
      <c r="BH84" s="81">
        <v>0</v>
      </c>
      <c r="BI84" s="81">
        <v>335</v>
      </c>
      <c r="BJ84" s="81">
        <v>3</v>
      </c>
      <c r="BK84" s="81">
        <v>111</v>
      </c>
      <c r="BL84" s="81">
        <v>54</v>
      </c>
    </row>
    <row r="85" spans="1:64" x14ac:dyDescent="0.25">
      <c r="A85" s="64" t="s">
        <v>108</v>
      </c>
      <c r="B85" s="46">
        <v>110</v>
      </c>
      <c r="C85" s="46">
        <v>111.2</v>
      </c>
      <c r="D85" s="46">
        <v>114</v>
      </c>
      <c r="E85" s="46">
        <v>109</v>
      </c>
      <c r="F85" s="46">
        <v>95</v>
      </c>
      <c r="G85" s="46">
        <v>69</v>
      </c>
      <c r="H85" s="46">
        <v>28</v>
      </c>
      <c r="I85" s="46">
        <v>15</v>
      </c>
      <c r="J85" s="46">
        <v>14</v>
      </c>
      <c r="K85" s="46">
        <v>12.1</v>
      </c>
      <c r="L85" s="46">
        <v>12.7</v>
      </c>
      <c r="M85" s="46">
        <v>11.8</v>
      </c>
      <c r="N85" s="46">
        <v>15.6</v>
      </c>
      <c r="O85" s="46">
        <v>24</v>
      </c>
      <c r="P85" s="46">
        <v>93</v>
      </c>
      <c r="Q85" s="46">
        <v>111</v>
      </c>
      <c r="R85" s="46">
        <v>101</v>
      </c>
      <c r="S85" s="46">
        <v>95.1</v>
      </c>
      <c r="T85" s="46">
        <v>122.9</v>
      </c>
      <c r="U85" s="46">
        <v>121.3</v>
      </c>
      <c r="V85" s="46">
        <v>103.1</v>
      </c>
      <c r="W85" s="46">
        <v>103.1</v>
      </c>
      <c r="X85" s="46">
        <v>109.4</v>
      </c>
      <c r="Y85" s="46">
        <v>115.8</v>
      </c>
      <c r="Z85" s="46">
        <v>120.8</v>
      </c>
      <c r="AA85" s="46">
        <v>114.1</v>
      </c>
      <c r="AB85" s="46">
        <v>106</v>
      </c>
      <c r="AC85" s="46">
        <v>113</v>
      </c>
      <c r="AD85" s="46">
        <v>123</v>
      </c>
      <c r="AE85" s="46">
        <v>115</v>
      </c>
      <c r="AF85" s="46">
        <v>103</v>
      </c>
      <c r="AG85" s="87"/>
      <c r="AH85" s="48">
        <f t="shared" si="73"/>
        <v>123</v>
      </c>
      <c r="AI85" s="49">
        <f t="shared" si="74"/>
        <v>11.8</v>
      </c>
      <c r="AK85" s="51"/>
      <c r="AY85" s="81"/>
      <c r="BF85" s="80"/>
      <c r="BG85" s="81">
        <v>55</v>
      </c>
      <c r="BH85" s="81">
        <v>0</v>
      </c>
      <c r="BI85" s="81">
        <v>306</v>
      </c>
      <c r="BJ85" s="81">
        <v>3.3</v>
      </c>
      <c r="BK85" s="81">
        <v>114</v>
      </c>
      <c r="BL85" s="81">
        <v>54</v>
      </c>
    </row>
    <row r="86" spans="1:64" x14ac:dyDescent="0.25">
      <c r="A86" s="64" t="s">
        <v>109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7"/>
      <c r="AH86" s="48">
        <f t="shared" si="73"/>
        <v>0</v>
      </c>
      <c r="AI86" s="49">
        <f t="shared" si="74"/>
        <v>0</v>
      </c>
      <c r="AK86" s="51"/>
      <c r="AY86" s="81"/>
      <c r="BF86" s="80"/>
      <c r="BG86" s="81">
        <v>50.3</v>
      </c>
      <c r="BH86" s="81">
        <v>0</v>
      </c>
      <c r="BI86" s="81">
        <v>302</v>
      </c>
      <c r="BJ86" s="81">
        <v>3</v>
      </c>
      <c r="BK86" s="81">
        <v>109</v>
      </c>
      <c r="BL86" s="81">
        <v>52</v>
      </c>
    </row>
    <row r="87" spans="1:64" ht="15.75" thickBot="1" x14ac:dyDescent="0.3">
      <c r="A87" s="64" t="s">
        <v>110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7"/>
      <c r="AH87" s="48">
        <f t="shared" si="73"/>
        <v>0</v>
      </c>
      <c r="AI87" s="49">
        <f t="shared" si="74"/>
        <v>0</v>
      </c>
      <c r="AK87" s="51"/>
      <c r="AL87" s="90" t="s">
        <v>111</v>
      </c>
      <c r="AM87" s="90"/>
      <c r="AY87" s="81"/>
      <c r="BF87" s="81"/>
      <c r="BG87" s="81">
        <v>52.4</v>
      </c>
      <c r="BH87" s="81">
        <v>0</v>
      </c>
      <c r="BI87" s="81">
        <v>315.8</v>
      </c>
      <c r="BJ87" s="81">
        <v>3.7</v>
      </c>
      <c r="BK87" s="81">
        <v>95</v>
      </c>
      <c r="BL87" s="81">
        <v>50</v>
      </c>
    </row>
    <row r="88" spans="1:64" x14ac:dyDescent="0.25">
      <c r="A88" s="64" t="s">
        <v>112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7"/>
      <c r="AH88" s="48">
        <f t="shared" si="73"/>
        <v>0</v>
      </c>
      <c r="AI88" s="49">
        <f t="shared" si="74"/>
        <v>0</v>
      </c>
      <c r="AK88" s="91"/>
      <c r="AL88" s="92"/>
      <c r="AM88" s="92"/>
      <c r="AN88" s="93"/>
      <c r="AY88" s="81"/>
      <c r="BF88" s="81"/>
      <c r="BG88" s="81">
        <v>51</v>
      </c>
      <c r="BH88" s="81">
        <v>0</v>
      </c>
      <c r="BI88" s="81">
        <v>318</v>
      </c>
      <c r="BJ88" s="81">
        <v>4.3</v>
      </c>
      <c r="BK88" s="81">
        <v>69</v>
      </c>
      <c r="BL88" s="81">
        <v>54</v>
      </c>
    </row>
    <row r="89" spans="1:64" x14ac:dyDescent="0.25">
      <c r="A89" s="64" t="s">
        <v>113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7"/>
      <c r="AH89" s="48">
        <f t="shared" si="73"/>
        <v>0</v>
      </c>
      <c r="AI89" s="49">
        <f t="shared" si="74"/>
        <v>0</v>
      </c>
      <c r="AK89" s="94" t="s">
        <v>114</v>
      </c>
      <c r="AL89" s="75"/>
      <c r="AM89" s="88"/>
      <c r="AN89" s="95"/>
      <c r="AY89" s="81"/>
      <c r="BF89" s="81"/>
      <c r="BG89" s="81">
        <v>54</v>
      </c>
      <c r="BH89" s="81">
        <v>0</v>
      </c>
      <c r="BI89" s="81">
        <v>340</v>
      </c>
      <c r="BJ89" s="81">
        <v>6</v>
      </c>
      <c r="BK89" s="81">
        <v>15</v>
      </c>
      <c r="BL89" s="81">
        <v>54</v>
      </c>
    </row>
    <row r="90" spans="1:64" x14ac:dyDescent="0.25">
      <c r="A90" s="96" t="s">
        <v>115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97"/>
      <c r="AH90" s="48">
        <f t="shared" si="73"/>
        <v>0</v>
      </c>
      <c r="AI90" s="49">
        <f t="shared" si="74"/>
        <v>0</v>
      </c>
      <c r="AK90" s="94" t="s">
        <v>116</v>
      </c>
      <c r="AL90" s="88"/>
      <c r="AM90" s="88"/>
      <c r="AN90" s="95"/>
      <c r="AY90" s="81"/>
      <c r="BF90" s="81"/>
      <c r="BG90" s="81">
        <v>56</v>
      </c>
      <c r="BH90" s="81">
        <v>0</v>
      </c>
      <c r="BI90" s="81">
        <v>318</v>
      </c>
      <c r="BJ90" s="81">
        <v>7</v>
      </c>
      <c r="BK90" s="81">
        <v>12.1</v>
      </c>
      <c r="BL90" s="81">
        <v>71</v>
      </c>
    </row>
    <row r="91" spans="1:64" ht="15.75" thickBot="1" x14ac:dyDescent="0.3">
      <c r="A91" s="96" t="s">
        <v>117</v>
      </c>
      <c r="B91" s="89"/>
      <c r="C91" s="89">
        <v>54</v>
      </c>
      <c r="D91" s="89">
        <v>54</v>
      </c>
      <c r="E91" s="89">
        <v>52</v>
      </c>
      <c r="F91" s="89">
        <v>50</v>
      </c>
      <c r="G91" s="89">
        <v>54</v>
      </c>
      <c r="H91" s="89">
        <v>52</v>
      </c>
      <c r="I91" s="89">
        <v>54</v>
      </c>
      <c r="J91" s="89">
        <v>69</v>
      </c>
      <c r="K91" s="89">
        <v>71</v>
      </c>
      <c r="L91" s="89">
        <v>71</v>
      </c>
      <c r="M91" s="89">
        <v>71</v>
      </c>
      <c r="N91" s="89">
        <v>70</v>
      </c>
      <c r="O91" s="89">
        <v>70</v>
      </c>
      <c r="P91" s="89">
        <v>63</v>
      </c>
      <c r="Q91" s="89">
        <v>76</v>
      </c>
      <c r="R91" s="89">
        <v>76</v>
      </c>
      <c r="S91" s="89">
        <v>76</v>
      </c>
      <c r="T91" s="89">
        <v>71.3</v>
      </c>
      <c r="U91" s="89">
        <v>73.8</v>
      </c>
      <c r="V91" s="89">
        <v>79.3</v>
      </c>
      <c r="W91" s="89">
        <v>79.3</v>
      </c>
      <c r="X91" s="89">
        <v>79.3</v>
      </c>
      <c r="Y91" s="89">
        <v>79.3</v>
      </c>
      <c r="Z91" s="89">
        <v>72</v>
      </c>
      <c r="AA91" s="89">
        <v>0</v>
      </c>
      <c r="AB91" s="89">
        <v>0</v>
      </c>
      <c r="AC91" s="89">
        <v>0</v>
      </c>
      <c r="AD91" s="89">
        <v>0</v>
      </c>
      <c r="AE91" s="89">
        <v>0</v>
      </c>
      <c r="AF91" s="89">
        <v>0</v>
      </c>
      <c r="AG91" s="97"/>
      <c r="AH91" s="48">
        <f t="shared" si="73"/>
        <v>79.3</v>
      </c>
      <c r="AI91" s="49">
        <f t="shared" si="74"/>
        <v>0</v>
      </c>
      <c r="AK91" s="98"/>
      <c r="AL91" s="46"/>
      <c r="AM91" s="46"/>
      <c r="AN91" s="99"/>
      <c r="AY91" s="81"/>
      <c r="BF91" s="81"/>
      <c r="BG91" s="81">
        <v>45</v>
      </c>
      <c r="BH91" s="81">
        <v>0</v>
      </c>
      <c r="BI91" s="81">
        <v>335</v>
      </c>
      <c r="BJ91" s="81">
        <v>7.8</v>
      </c>
      <c r="BK91" s="81">
        <v>11.8</v>
      </c>
      <c r="BL91" s="81">
        <v>71</v>
      </c>
    </row>
    <row r="92" spans="1:64" ht="15.75" thickBot="1" x14ac:dyDescent="0.3">
      <c r="A92" s="86" t="s">
        <v>118</v>
      </c>
      <c r="B92" s="70">
        <f t="shared" ref="B92:D92" si="75">SUMIF(B81:B91,"&gt;0")</f>
        <v>519.79999999999995</v>
      </c>
      <c r="C92" s="70">
        <f t="shared" si="75"/>
        <v>554.9</v>
      </c>
      <c r="D92" s="70">
        <f t="shared" si="75"/>
        <v>532.29999999999995</v>
      </c>
      <c r="E92" s="70">
        <f t="shared" ref="E92:V92" si="76">SUMIF(E81:E91,"&gt;0")</f>
        <v>516.29999999999995</v>
      </c>
      <c r="F92" s="70">
        <f t="shared" si="76"/>
        <v>516.9</v>
      </c>
      <c r="G92" s="70">
        <f t="shared" si="76"/>
        <v>496.3</v>
      </c>
      <c r="H92" s="70">
        <f t="shared" si="76"/>
        <v>469</v>
      </c>
      <c r="I92" s="70">
        <f t="shared" si="76"/>
        <v>469</v>
      </c>
      <c r="J92" s="70">
        <f t="shared" si="76"/>
        <v>495</v>
      </c>
      <c r="K92" s="70">
        <f t="shared" si="76"/>
        <v>464.1</v>
      </c>
      <c r="L92" s="70">
        <f t="shared" si="76"/>
        <v>504.4</v>
      </c>
      <c r="M92" s="70">
        <f t="shared" si="76"/>
        <v>470.6</v>
      </c>
      <c r="N92" s="70">
        <f t="shared" si="76"/>
        <v>455.70000000000005</v>
      </c>
      <c r="O92" s="70">
        <f t="shared" si="76"/>
        <v>481.1</v>
      </c>
      <c r="P92" s="70">
        <f t="shared" si="76"/>
        <v>592</v>
      </c>
      <c r="Q92" s="70">
        <f t="shared" si="76"/>
        <v>562.5</v>
      </c>
      <c r="R92" s="70">
        <f t="shared" si="76"/>
        <v>544.5</v>
      </c>
      <c r="S92" s="70">
        <f t="shared" ref="S92:T92" si="77">SUMIF(S81:S91,"&gt;0")</f>
        <v>593.29999999999995</v>
      </c>
      <c r="T92" s="70">
        <f t="shared" si="77"/>
        <v>616.6</v>
      </c>
      <c r="U92" s="70">
        <f t="shared" ref="U92" si="78">SUMIF(U81:U91,"&gt;0")</f>
        <v>613.9</v>
      </c>
      <c r="V92" s="70">
        <f t="shared" si="76"/>
        <v>567.49999999999989</v>
      </c>
      <c r="W92" s="70">
        <f t="shared" ref="W92:X92" si="79">SUMIF(W81:W91,"&gt;0")</f>
        <v>567.49999999999989</v>
      </c>
      <c r="X92" s="70">
        <f t="shared" si="79"/>
        <v>692.1</v>
      </c>
      <c r="Y92" s="70">
        <f t="shared" ref="Y92:Z92" si="80">SUMIF(Y81:Y91,"&gt;0")</f>
        <v>745.19999999999993</v>
      </c>
      <c r="Z92" s="70">
        <f t="shared" si="80"/>
        <v>547.90000000000009</v>
      </c>
      <c r="AA92" s="70">
        <f t="shared" ref="AA92:AB92" si="81">SUMIF(AA81:AA91,"&gt;0")</f>
        <v>462.30000000000007</v>
      </c>
      <c r="AB92" s="70">
        <f t="shared" si="81"/>
        <v>449.5</v>
      </c>
      <c r="AC92" s="70">
        <f t="shared" ref="AC92:AD92" si="82">SUMIF(AC81:AC91,"&gt;0")</f>
        <v>492.8</v>
      </c>
      <c r="AD92" s="70">
        <f t="shared" si="82"/>
        <v>514</v>
      </c>
      <c r="AE92" s="70">
        <f t="shared" ref="AE92:AF92" si="83">SUMIF(AE81:AE91,"&gt;0")</f>
        <v>508</v>
      </c>
      <c r="AF92" s="70">
        <f t="shared" si="83"/>
        <v>625</v>
      </c>
      <c r="AG92" s="100">
        <f>SUM(AG81:AG91)</f>
        <v>0</v>
      </c>
      <c r="AH92" s="48">
        <f t="shared" si="73"/>
        <v>745.19999999999993</v>
      </c>
      <c r="AI92" s="49">
        <f t="shared" si="74"/>
        <v>449.5</v>
      </c>
      <c r="AK92" s="98"/>
      <c r="AL92" s="89"/>
      <c r="AM92" s="101"/>
      <c r="AN92" s="202"/>
      <c r="AY92" s="81"/>
      <c r="BF92" s="81"/>
      <c r="BG92" s="81">
        <v>46</v>
      </c>
      <c r="BH92" s="81">
        <v>0</v>
      </c>
      <c r="BI92" s="81">
        <v>316</v>
      </c>
      <c r="BJ92" s="81">
        <v>8.1</v>
      </c>
      <c r="BK92" s="81">
        <v>15.6</v>
      </c>
      <c r="BL92" s="81">
        <v>70</v>
      </c>
    </row>
    <row r="93" spans="1:64" x14ac:dyDescent="0.25">
      <c r="A93" s="45" t="s">
        <v>119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73"/>
        <v>0</v>
      </c>
      <c r="AI93" s="49">
        <f t="shared" si="74"/>
        <v>0</v>
      </c>
      <c r="AK93" s="98"/>
      <c r="AL93" s="89"/>
      <c r="AM93" s="89"/>
      <c r="AN93" s="203"/>
      <c r="BF93" s="81"/>
      <c r="BG93" s="81">
        <v>53</v>
      </c>
      <c r="BH93" s="81">
        <v>0</v>
      </c>
      <c r="BI93" s="81">
        <v>329</v>
      </c>
      <c r="BJ93" s="81">
        <v>5.0999999999999996</v>
      </c>
      <c r="BK93" s="81">
        <v>24</v>
      </c>
      <c r="BL93" s="81">
        <v>70</v>
      </c>
    </row>
    <row r="94" spans="1:64" ht="15.75" thickBot="1" x14ac:dyDescent="0.3">
      <c r="A94" s="64" t="s">
        <v>120</v>
      </c>
      <c r="B94" s="89">
        <v>0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73"/>
        <v>0</v>
      </c>
      <c r="AI94" s="49">
        <f t="shared" si="74"/>
        <v>0</v>
      </c>
      <c r="AK94" s="103"/>
      <c r="AL94" s="104"/>
      <c r="AM94" s="104"/>
      <c r="AN94" s="105"/>
      <c r="BF94" s="81"/>
      <c r="BG94" s="81">
        <v>50</v>
      </c>
      <c r="BH94" s="81">
        <v>0</v>
      </c>
      <c r="BI94" s="81">
        <v>347</v>
      </c>
      <c r="BJ94" s="81">
        <v>39</v>
      </c>
      <c r="BK94" s="81">
        <v>93</v>
      </c>
      <c r="BL94" s="81">
        <v>63</v>
      </c>
    </row>
    <row r="95" spans="1:64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0</v>
      </c>
      <c r="Y95" s="106">
        <v>0</v>
      </c>
      <c r="Z95" s="106">
        <v>0</v>
      </c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73"/>
        <v>0</v>
      </c>
      <c r="AI95" s="49">
        <f t="shared" si="74"/>
        <v>0</v>
      </c>
      <c r="BF95" s="81"/>
      <c r="BG95" s="81">
        <v>52</v>
      </c>
      <c r="BH95" s="81">
        <v>0</v>
      </c>
      <c r="BI95" s="81">
        <v>293</v>
      </c>
      <c r="BJ95" s="81">
        <v>30.5</v>
      </c>
      <c r="BK95" s="81">
        <v>111</v>
      </c>
      <c r="BL95" s="81">
        <v>76</v>
      </c>
    </row>
    <row r="96" spans="1:64" ht="15.75" thickBot="1" x14ac:dyDescent="0.3">
      <c r="A96" s="86" t="s">
        <v>122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100">
        <f>SUM(AG93:AG95)</f>
        <v>55.4</v>
      </c>
      <c r="AH96" s="48">
        <f t="shared" si="73"/>
        <v>0</v>
      </c>
      <c r="AI96" s="49">
        <f t="shared" si="74"/>
        <v>0</v>
      </c>
      <c r="BF96" s="81"/>
      <c r="BG96" s="81">
        <v>50.1</v>
      </c>
      <c r="BH96" s="81">
        <v>0</v>
      </c>
      <c r="BI96" s="81">
        <v>292</v>
      </c>
      <c r="BJ96" s="81">
        <v>25.4</v>
      </c>
      <c r="BK96" s="81">
        <v>101</v>
      </c>
      <c r="BL96" s="81">
        <v>76</v>
      </c>
    </row>
    <row r="97" spans="1:64" ht="15.75" thickBot="1" x14ac:dyDescent="0.3">
      <c r="A97" s="86" t="s">
        <v>123</v>
      </c>
      <c r="B97" s="107">
        <f t="shared" ref="B97:D97" si="84">B58+B62+B80+B76+B92+B96</f>
        <v>1108.79</v>
      </c>
      <c r="C97" s="107">
        <f t="shared" si="84"/>
        <v>1113.8899999999999</v>
      </c>
      <c r="D97" s="107">
        <f t="shared" si="84"/>
        <v>1091.3899999999999</v>
      </c>
      <c r="E97" s="107">
        <f t="shared" ref="E97:AG97" si="85">E58+E62+E80+E76+E92+E96</f>
        <v>1096.99</v>
      </c>
      <c r="F97" s="107">
        <f t="shared" si="85"/>
        <v>1091.19</v>
      </c>
      <c r="G97" s="107">
        <f t="shared" si="85"/>
        <v>1070.49</v>
      </c>
      <c r="H97" s="107">
        <f t="shared" si="85"/>
        <v>1174.29</v>
      </c>
      <c r="I97" s="107">
        <f t="shared" si="85"/>
        <v>1200.69</v>
      </c>
      <c r="J97" s="107">
        <f t="shared" si="85"/>
        <v>1225.5900000000001</v>
      </c>
      <c r="K97" s="107">
        <f t="shared" si="85"/>
        <v>1259.29</v>
      </c>
      <c r="L97" s="107">
        <f t="shared" si="85"/>
        <v>1316.5900000000001</v>
      </c>
      <c r="M97" s="107">
        <f t="shared" si="85"/>
        <v>1302.79</v>
      </c>
      <c r="N97" s="107">
        <f t="shared" si="85"/>
        <v>1283.69</v>
      </c>
      <c r="O97" s="107">
        <f t="shared" si="85"/>
        <v>1313.0900000000001</v>
      </c>
      <c r="P97" s="107">
        <f t="shared" si="85"/>
        <v>1368.59</v>
      </c>
      <c r="Q97" s="107">
        <f t="shared" si="85"/>
        <v>1352.29</v>
      </c>
      <c r="R97" s="107">
        <f t="shared" si="85"/>
        <v>1323.8899999999999</v>
      </c>
      <c r="S97" s="107">
        <f t="shared" ref="S97:T97" si="86">S58+S62+S80+S76+S92+S96</f>
        <v>1382.69</v>
      </c>
      <c r="T97" s="107">
        <f t="shared" si="86"/>
        <v>1444.29</v>
      </c>
      <c r="U97" s="107">
        <f t="shared" ref="U97" si="87">U58+U62+U80+U76+U92+U96</f>
        <v>1468.8899999999999</v>
      </c>
      <c r="V97" s="107">
        <f t="shared" si="85"/>
        <v>1402.3899999999999</v>
      </c>
      <c r="W97" s="107">
        <f t="shared" ref="W97:X97" si="88">W58+W62+W80+W76+W92+W96</f>
        <v>1402.3899999999999</v>
      </c>
      <c r="X97" s="107">
        <f t="shared" si="88"/>
        <v>1453.9900000000002</v>
      </c>
      <c r="Y97" s="107">
        <f t="shared" ref="Y97:Z97" si="89">Y58+Y62+Y80+Y76+Y92+Y96</f>
        <v>1575.19</v>
      </c>
      <c r="Z97" s="107">
        <f t="shared" si="89"/>
        <v>1601.69</v>
      </c>
      <c r="AA97" s="107">
        <f t="shared" ref="AA97:AB97" si="90">AA58+AA62+AA80+AA76+AA92+AA96</f>
        <v>1529.4900000000002</v>
      </c>
      <c r="AB97" s="107">
        <f t="shared" si="90"/>
        <v>1414.09</v>
      </c>
      <c r="AC97" s="107">
        <f t="shared" ref="AC97:AD97" si="91">AC58+AC62+AC80+AC76+AC92+AC96</f>
        <v>1402.29</v>
      </c>
      <c r="AD97" s="107">
        <f t="shared" si="91"/>
        <v>1406.49</v>
      </c>
      <c r="AE97" s="107">
        <f t="shared" ref="AE97:AF97" si="92">AE58+AE62+AE80+AE76+AE92+AE96</f>
        <v>1339.49</v>
      </c>
      <c r="AF97" s="107">
        <f t="shared" si="92"/>
        <v>1251.49</v>
      </c>
      <c r="AG97" s="71">
        <f t="shared" si="85"/>
        <v>2231.81</v>
      </c>
      <c r="AH97" s="48">
        <f t="shared" si="73"/>
        <v>1601.69</v>
      </c>
      <c r="AI97" s="49">
        <f t="shared" si="74"/>
        <v>1070.49</v>
      </c>
      <c r="BF97" s="81"/>
      <c r="BG97" s="81">
        <v>50</v>
      </c>
      <c r="BH97" s="81">
        <v>0</v>
      </c>
      <c r="BI97" s="81">
        <v>332</v>
      </c>
      <c r="BJ97" s="81">
        <v>40.200000000000003</v>
      </c>
      <c r="BK97" s="81">
        <v>95.1</v>
      </c>
      <c r="BL97" s="81">
        <v>76</v>
      </c>
    </row>
    <row r="98" spans="1:64" ht="15.75" thickBot="1" x14ac:dyDescent="0.3">
      <c r="A98" s="108" t="s">
        <v>124</v>
      </c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>
        <v>180</v>
      </c>
      <c r="M98" s="109">
        <v>180</v>
      </c>
      <c r="N98" s="109">
        <v>80</v>
      </c>
      <c r="O98" s="109">
        <v>80</v>
      </c>
      <c r="P98" s="109"/>
      <c r="Q98" s="109"/>
      <c r="R98" s="109"/>
      <c r="S98" s="109"/>
      <c r="T98" s="109"/>
      <c r="U98" s="109"/>
      <c r="V98" s="109"/>
      <c r="W98" s="109">
        <v>50</v>
      </c>
      <c r="X98" s="109">
        <v>100</v>
      </c>
      <c r="Y98" s="109">
        <v>150</v>
      </c>
      <c r="Z98" s="109">
        <v>150</v>
      </c>
      <c r="AA98" s="109">
        <v>151</v>
      </c>
      <c r="AB98" s="109">
        <v>100</v>
      </c>
      <c r="AC98" s="109">
        <v>50</v>
      </c>
      <c r="AD98" s="109">
        <v>0</v>
      </c>
      <c r="AE98" s="109">
        <v>0</v>
      </c>
      <c r="AF98" s="109">
        <v>0</v>
      </c>
      <c r="AG98" s="100"/>
      <c r="AH98" s="48">
        <f t="shared" si="73"/>
        <v>180</v>
      </c>
      <c r="AI98" s="49">
        <f t="shared" si="74"/>
        <v>0</v>
      </c>
      <c r="BF98" s="81"/>
      <c r="BG98" s="81">
        <v>50.1</v>
      </c>
      <c r="BH98" s="81">
        <v>0</v>
      </c>
      <c r="BI98" s="81">
        <v>334.2</v>
      </c>
      <c r="BJ98" s="81">
        <v>38.1</v>
      </c>
      <c r="BK98" s="81">
        <v>122.9</v>
      </c>
      <c r="BL98" s="81">
        <v>71.3</v>
      </c>
    </row>
    <row r="99" spans="1:64" ht="15.75" thickBot="1" x14ac:dyDescent="0.3">
      <c r="A99" s="86" t="s">
        <v>125</v>
      </c>
      <c r="B99" s="107">
        <f t="shared" ref="B99:D99" si="93">B97+B98</f>
        <v>1108.79</v>
      </c>
      <c r="C99" s="107">
        <f t="shared" si="93"/>
        <v>1113.8899999999999</v>
      </c>
      <c r="D99" s="107">
        <f t="shared" si="93"/>
        <v>1091.3899999999999</v>
      </c>
      <c r="E99" s="107">
        <f t="shared" ref="E99:V99" si="94">E97+E98</f>
        <v>1096.99</v>
      </c>
      <c r="F99" s="107">
        <f t="shared" si="94"/>
        <v>1091.19</v>
      </c>
      <c r="G99" s="107">
        <f t="shared" si="94"/>
        <v>1070.49</v>
      </c>
      <c r="H99" s="107">
        <f t="shared" si="94"/>
        <v>1174.29</v>
      </c>
      <c r="I99" s="107">
        <f t="shared" si="94"/>
        <v>1200.69</v>
      </c>
      <c r="J99" s="107">
        <f t="shared" si="94"/>
        <v>1225.5900000000001</v>
      </c>
      <c r="K99" s="107">
        <f t="shared" si="94"/>
        <v>1259.29</v>
      </c>
      <c r="L99" s="107">
        <f t="shared" si="94"/>
        <v>1496.5900000000001</v>
      </c>
      <c r="M99" s="107">
        <f t="shared" si="94"/>
        <v>1482.79</v>
      </c>
      <c r="N99" s="107">
        <f t="shared" si="94"/>
        <v>1363.69</v>
      </c>
      <c r="O99" s="107">
        <f t="shared" si="94"/>
        <v>1393.0900000000001</v>
      </c>
      <c r="P99" s="107">
        <f t="shared" si="94"/>
        <v>1368.59</v>
      </c>
      <c r="Q99" s="107">
        <f t="shared" si="94"/>
        <v>1352.29</v>
      </c>
      <c r="R99" s="107">
        <f t="shared" si="94"/>
        <v>1323.8899999999999</v>
      </c>
      <c r="S99" s="107">
        <f t="shared" ref="S99:T99" si="95">S97+S98</f>
        <v>1382.69</v>
      </c>
      <c r="T99" s="107">
        <f t="shared" si="95"/>
        <v>1444.29</v>
      </c>
      <c r="U99" s="107">
        <f t="shared" ref="U99" si="96">U97+U98</f>
        <v>1468.8899999999999</v>
      </c>
      <c r="V99" s="107">
        <f t="shared" si="94"/>
        <v>1402.3899999999999</v>
      </c>
      <c r="W99" s="107">
        <f t="shared" ref="W99:X99" si="97">W97+W98</f>
        <v>1452.3899999999999</v>
      </c>
      <c r="X99" s="107">
        <f t="shared" si="97"/>
        <v>1553.9900000000002</v>
      </c>
      <c r="Y99" s="107">
        <f t="shared" ref="Y99:Z99" si="98">Y97+Y98</f>
        <v>1725.19</v>
      </c>
      <c r="Z99" s="107">
        <f t="shared" si="98"/>
        <v>1751.69</v>
      </c>
      <c r="AA99" s="107">
        <f t="shared" ref="AA99:AB99" si="99">AA97+AA98</f>
        <v>1680.4900000000002</v>
      </c>
      <c r="AB99" s="107">
        <f t="shared" si="99"/>
        <v>1514.09</v>
      </c>
      <c r="AC99" s="107">
        <f t="shared" ref="AC99:AD99" si="100">AC97+AC98</f>
        <v>1452.29</v>
      </c>
      <c r="AD99" s="107">
        <f t="shared" si="100"/>
        <v>1406.49</v>
      </c>
      <c r="AE99" s="107">
        <f t="shared" ref="AE99:AF99" si="101">AE97+AE98</f>
        <v>1339.49</v>
      </c>
      <c r="AF99" s="107">
        <f t="shared" si="101"/>
        <v>1251.49</v>
      </c>
      <c r="AG99" s="100">
        <f>AG96+AG92+AG80+AG76+AG58+AG98</f>
        <v>1693.71</v>
      </c>
      <c r="AH99" s="48">
        <f t="shared" si="73"/>
        <v>1751.69</v>
      </c>
      <c r="AI99" s="49">
        <f t="shared" si="74"/>
        <v>1070.49</v>
      </c>
      <c r="BF99" s="81"/>
      <c r="BG99" s="81">
        <v>58.5</v>
      </c>
      <c r="BH99" s="81">
        <v>0</v>
      </c>
      <c r="BI99" s="81">
        <v>330.8</v>
      </c>
      <c r="BJ99" s="81">
        <v>29.5</v>
      </c>
      <c r="BK99" s="81">
        <v>121.3</v>
      </c>
      <c r="BL99" s="81">
        <v>73.8</v>
      </c>
    </row>
    <row r="100" spans="1:64" ht="15.75" thickBot="1" x14ac:dyDescent="0.3">
      <c r="A100" s="86" t="s">
        <v>126</v>
      </c>
      <c r="B100" s="107">
        <f t="shared" ref="B100:D100" si="102">B99-(B107)</f>
        <v>1108.79</v>
      </c>
      <c r="C100" s="107">
        <f t="shared" si="102"/>
        <v>1112.8899999999999</v>
      </c>
      <c r="D100" s="107">
        <f t="shared" si="102"/>
        <v>1089.3899999999999</v>
      </c>
      <c r="E100" s="107">
        <f t="shared" ref="E100:M100" si="103">E99-(E107)</f>
        <v>1096.99</v>
      </c>
      <c r="F100" s="107">
        <f t="shared" si="103"/>
        <v>1091.19</v>
      </c>
      <c r="G100" s="107">
        <f t="shared" si="103"/>
        <v>1070.49</v>
      </c>
      <c r="H100" s="107">
        <f t="shared" si="103"/>
        <v>1174.29</v>
      </c>
      <c r="I100" s="107">
        <f t="shared" si="103"/>
        <v>1200.69</v>
      </c>
      <c r="J100" s="107">
        <f t="shared" si="103"/>
        <v>1225.5900000000001</v>
      </c>
      <c r="K100" s="107">
        <f t="shared" si="103"/>
        <v>1259.29</v>
      </c>
      <c r="L100" s="107">
        <f t="shared" si="103"/>
        <v>1496.5900000000001</v>
      </c>
      <c r="M100" s="107">
        <f t="shared" si="103"/>
        <v>1482.79</v>
      </c>
      <c r="N100" s="107">
        <f>N99-(N107)</f>
        <v>1363.69</v>
      </c>
      <c r="O100" s="107">
        <f t="shared" ref="O100:V100" si="104">O99-(O107)</f>
        <v>1393.0900000000001</v>
      </c>
      <c r="P100" s="107">
        <f t="shared" si="104"/>
        <v>1368.59</v>
      </c>
      <c r="Q100" s="107">
        <f t="shared" si="104"/>
        <v>1352.29</v>
      </c>
      <c r="R100" s="107">
        <f t="shared" si="104"/>
        <v>1323.8899999999999</v>
      </c>
      <c r="S100" s="107">
        <f t="shared" ref="S100:T100" si="105">S99-(S107)</f>
        <v>1382.69</v>
      </c>
      <c r="T100" s="107">
        <f t="shared" si="105"/>
        <v>1444.29</v>
      </c>
      <c r="U100" s="107">
        <f t="shared" ref="U100" si="106">U99-(U107)</f>
        <v>1468.8899999999999</v>
      </c>
      <c r="V100" s="107">
        <f t="shared" si="104"/>
        <v>1402.3899999999999</v>
      </c>
      <c r="W100" s="107">
        <f t="shared" ref="W100:X100" si="107">W99-(W107)</f>
        <v>1452.3899999999999</v>
      </c>
      <c r="X100" s="107">
        <f t="shared" si="107"/>
        <v>1553.9900000000002</v>
      </c>
      <c r="Y100" s="107">
        <f t="shared" ref="Y100:Z100" si="108">Y99-(Y107)</f>
        <v>1725.19</v>
      </c>
      <c r="Z100" s="107">
        <f t="shared" si="108"/>
        <v>1751.69</v>
      </c>
      <c r="AA100" s="107">
        <f t="shared" ref="AA100:AB100" si="109">AA99-(AA107)</f>
        <v>1680.4900000000002</v>
      </c>
      <c r="AB100" s="107">
        <f t="shared" si="109"/>
        <v>1514.09</v>
      </c>
      <c r="AC100" s="107">
        <f t="shared" ref="AC100:AD100" si="110">AC99-(AC107)</f>
        <v>1452.29</v>
      </c>
      <c r="AD100" s="107">
        <f t="shared" si="110"/>
        <v>1406.49</v>
      </c>
      <c r="AE100" s="107">
        <f t="shared" ref="AE100:AF100" si="111">AE99-(AE107)</f>
        <v>1339.49</v>
      </c>
      <c r="AF100" s="107">
        <f t="shared" si="111"/>
        <v>1251.49</v>
      </c>
      <c r="AG100" s="100"/>
      <c r="AH100" s="48">
        <f t="shared" si="73"/>
        <v>1751.69</v>
      </c>
      <c r="AI100" s="49">
        <f t="shared" si="74"/>
        <v>1070.49</v>
      </c>
      <c r="BF100" s="81"/>
      <c r="BG100" s="81">
        <v>45.2</v>
      </c>
      <c r="BH100" s="81">
        <v>0</v>
      </c>
      <c r="BI100" s="81">
        <v>315</v>
      </c>
      <c r="BJ100" s="81">
        <v>24.9</v>
      </c>
      <c r="BK100" s="81">
        <v>103.1</v>
      </c>
      <c r="BL100" s="81">
        <v>79.3</v>
      </c>
    </row>
    <row r="101" spans="1:64" x14ac:dyDescent="0.25">
      <c r="A101" s="45" t="s">
        <v>107</v>
      </c>
      <c r="B101" s="88">
        <f t="shared" ref="B101:D101" si="112">IF(B84&lt;0,B84*-1,0)</f>
        <v>0</v>
      </c>
      <c r="C101" s="88">
        <f t="shared" si="112"/>
        <v>0</v>
      </c>
      <c r="D101" s="88">
        <f t="shared" si="112"/>
        <v>0</v>
      </c>
      <c r="E101" s="88">
        <f t="shared" ref="E101:V101" si="113">IF(E84&lt;0,E84*-1,0)</f>
        <v>0</v>
      </c>
      <c r="F101" s="88">
        <f t="shared" si="113"/>
        <v>0</v>
      </c>
      <c r="G101" s="88">
        <f t="shared" si="113"/>
        <v>0</v>
      </c>
      <c r="H101" s="88">
        <f t="shared" si="113"/>
        <v>0</v>
      </c>
      <c r="I101" s="88">
        <f t="shared" si="113"/>
        <v>0</v>
      </c>
      <c r="J101" s="88">
        <f t="shared" si="113"/>
        <v>0</v>
      </c>
      <c r="K101" s="88">
        <f t="shared" si="113"/>
        <v>0</v>
      </c>
      <c r="L101" s="88">
        <f t="shared" si="113"/>
        <v>0</v>
      </c>
      <c r="M101" s="88">
        <f t="shared" si="113"/>
        <v>0</v>
      </c>
      <c r="N101" s="88">
        <f t="shared" si="113"/>
        <v>0</v>
      </c>
      <c r="O101" s="88">
        <f t="shared" si="113"/>
        <v>0</v>
      </c>
      <c r="P101" s="88">
        <f t="shared" si="113"/>
        <v>0</v>
      </c>
      <c r="Q101" s="88">
        <f t="shared" si="113"/>
        <v>0</v>
      </c>
      <c r="R101" s="88">
        <f t="shared" si="113"/>
        <v>0</v>
      </c>
      <c r="S101" s="88">
        <f t="shared" ref="S101:T101" si="114">IF(S84&lt;0,S84*-1,0)</f>
        <v>0</v>
      </c>
      <c r="T101" s="88">
        <f t="shared" si="114"/>
        <v>0</v>
      </c>
      <c r="U101" s="88">
        <f t="shared" ref="U101" si="115">IF(U84&lt;0,U84*-1,0)</f>
        <v>0</v>
      </c>
      <c r="V101" s="88">
        <f t="shared" si="113"/>
        <v>0</v>
      </c>
      <c r="W101" s="88">
        <f t="shared" ref="W101:X101" si="116">IF(W84&lt;0,W84*-1,0)</f>
        <v>0</v>
      </c>
      <c r="X101" s="88">
        <f t="shared" si="116"/>
        <v>0</v>
      </c>
      <c r="Y101" s="88">
        <f t="shared" ref="Y101:Z101" si="117">IF(Y84&lt;0,Y84*-1,0)</f>
        <v>0</v>
      </c>
      <c r="Z101" s="88">
        <f t="shared" si="117"/>
        <v>0</v>
      </c>
      <c r="AA101" s="88">
        <f t="shared" ref="AA101:AB101" si="118">IF(AA84&lt;0,AA84*-1,0)</f>
        <v>0</v>
      </c>
      <c r="AB101" s="88">
        <f t="shared" si="118"/>
        <v>0</v>
      </c>
      <c r="AC101" s="88">
        <f t="shared" ref="AC101:AD101" si="119">IF(AC84&lt;0,AC84*-1,0)</f>
        <v>0</v>
      </c>
      <c r="AD101" s="88">
        <f t="shared" si="119"/>
        <v>0</v>
      </c>
      <c r="AE101" s="88">
        <f t="shared" ref="AE101:AF101" si="120">IF(AE84&lt;0,AE84*-1,0)</f>
        <v>0</v>
      </c>
      <c r="AF101" s="88">
        <f t="shared" si="120"/>
        <v>0</v>
      </c>
      <c r="AG101" s="60"/>
      <c r="AH101" s="48">
        <f t="shared" si="73"/>
        <v>0</v>
      </c>
      <c r="AI101" s="49">
        <f t="shared" si="74"/>
        <v>0</v>
      </c>
      <c r="BF101" s="80"/>
      <c r="BG101" s="81">
        <v>53.3</v>
      </c>
      <c r="BH101" s="81">
        <v>0</v>
      </c>
      <c r="BI101" s="81">
        <v>402.8</v>
      </c>
      <c r="BJ101" s="81">
        <v>47.3</v>
      </c>
      <c r="BK101" s="81">
        <v>109.4</v>
      </c>
      <c r="BL101" s="81">
        <v>79.3</v>
      </c>
    </row>
    <row r="102" spans="1:64" x14ac:dyDescent="0.25">
      <c r="A102" s="64" t="s">
        <v>105</v>
      </c>
      <c r="B102" s="88">
        <f t="shared" ref="B102:D102" si="121">IF(B82&lt;0,B82*-1,0)</f>
        <v>0</v>
      </c>
      <c r="C102" s="88">
        <f t="shared" si="121"/>
        <v>0</v>
      </c>
      <c r="D102" s="88">
        <f t="shared" si="121"/>
        <v>0</v>
      </c>
      <c r="E102" s="88">
        <f t="shared" ref="E102:V102" si="122">IF(E82&lt;0,E82*-1,0)</f>
        <v>0</v>
      </c>
      <c r="F102" s="88">
        <f t="shared" si="122"/>
        <v>0</v>
      </c>
      <c r="G102" s="88">
        <f t="shared" si="122"/>
        <v>0</v>
      </c>
      <c r="H102" s="88">
        <f t="shared" si="122"/>
        <v>0</v>
      </c>
      <c r="I102" s="88">
        <f t="shared" si="122"/>
        <v>0</v>
      </c>
      <c r="J102" s="88">
        <f t="shared" si="122"/>
        <v>0</v>
      </c>
      <c r="K102" s="88">
        <f t="shared" si="122"/>
        <v>0</v>
      </c>
      <c r="L102" s="88">
        <f t="shared" si="122"/>
        <v>0</v>
      </c>
      <c r="M102" s="88">
        <f t="shared" si="122"/>
        <v>0</v>
      </c>
      <c r="N102" s="88">
        <f t="shared" si="122"/>
        <v>0</v>
      </c>
      <c r="O102" s="88">
        <f t="shared" si="122"/>
        <v>0</v>
      </c>
      <c r="P102" s="88">
        <f t="shared" si="122"/>
        <v>0</v>
      </c>
      <c r="Q102" s="88">
        <f t="shared" si="122"/>
        <v>0</v>
      </c>
      <c r="R102" s="88">
        <f t="shared" si="122"/>
        <v>0</v>
      </c>
      <c r="S102" s="88">
        <f t="shared" ref="S102:T102" si="123">IF(S82&lt;0,S82*-1,0)</f>
        <v>0</v>
      </c>
      <c r="T102" s="88">
        <f t="shared" si="123"/>
        <v>0</v>
      </c>
      <c r="U102" s="88">
        <f t="shared" ref="U102" si="124">IF(U82&lt;0,U82*-1,0)</f>
        <v>0</v>
      </c>
      <c r="V102" s="88">
        <f t="shared" si="122"/>
        <v>0</v>
      </c>
      <c r="W102" s="88">
        <f t="shared" ref="W102:X102" si="125">IF(W82&lt;0,W82*-1,0)</f>
        <v>0</v>
      </c>
      <c r="X102" s="88">
        <f t="shared" si="125"/>
        <v>0</v>
      </c>
      <c r="Y102" s="88">
        <f t="shared" ref="Y102:Z102" si="126">IF(Y82&lt;0,Y82*-1,0)</f>
        <v>0</v>
      </c>
      <c r="Z102" s="88">
        <f t="shared" si="126"/>
        <v>0</v>
      </c>
      <c r="AA102" s="88">
        <f t="shared" ref="AA102:AB102" si="127">IF(AA82&lt;0,AA82*-1,0)</f>
        <v>0</v>
      </c>
      <c r="AB102" s="88">
        <f t="shared" si="127"/>
        <v>0</v>
      </c>
      <c r="AC102" s="88">
        <f t="shared" ref="AC102:AD102" si="128">IF(AC82&lt;0,AC82*-1,0)</f>
        <v>0</v>
      </c>
      <c r="AD102" s="88">
        <f t="shared" si="128"/>
        <v>0</v>
      </c>
      <c r="AE102" s="88">
        <f t="shared" ref="AE102:AF102" si="129">IF(AE82&lt;0,AE82*-1,0)</f>
        <v>0</v>
      </c>
      <c r="AF102" s="88">
        <f t="shared" si="129"/>
        <v>0</v>
      </c>
      <c r="AG102" s="65"/>
      <c r="AH102" s="48">
        <f t="shared" si="73"/>
        <v>0</v>
      </c>
      <c r="AI102" s="49">
        <f t="shared" si="74"/>
        <v>0</v>
      </c>
      <c r="BF102" s="80"/>
      <c r="BG102" s="81">
        <v>62.3</v>
      </c>
      <c r="BH102" s="81">
        <v>0</v>
      </c>
      <c r="BI102" s="81">
        <v>247.8</v>
      </c>
      <c r="BJ102" s="81">
        <v>45</v>
      </c>
      <c r="BK102" s="81">
        <v>120.8</v>
      </c>
      <c r="BL102" s="81">
        <v>72</v>
      </c>
    </row>
    <row r="103" spans="1:64" x14ac:dyDescent="0.25">
      <c r="A103" s="96" t="s">
        <v>127</v>
      </c>
      <c r="B103" s="88">
        <f t="shared" ref="B103:D103" si="130">IF(B85&lt;0,B85*-1,0)</f>
        <v>0</v>
      </c>
      <c r="C103" s="88">
        <f t="shared" si="130"/>
        <v>0</v>
      </c>
      <c r="D103" s="88">
        <f t="shared" si="130"/>
        <v>0</v>
      </c>
      <c r="E103" s="88">
        <f t="shared" ref="E103:V103" si="131">IF(E85&lt;0,E85*-1,0)</f>
        <v>0</v>
      </c>
      <c r="F103" s="88">
        <f t="shared" si="131"/>
        <v>0</v>
      </c>
      <c r="G103" s="88">
        <f t="shared" si="131"/>
        <v>0</v>
      </c>
      <c r="H103" s="88">
        <f t="shared" si="131"/>
        <v>0</v>
      </c>
      <c r="I103" s="88">
        <f t="shared" si="131"/>
        <v>0</v>
      </c>
      <c r="J103" s="88">
        <f t="shared" si="131"/>
        <v>0</v>
      </c>
      <c r="K103" s="88">
        <f t="shared" si="131"/>
        <v>0</v>
      </c>
      <c r="L103" s="88">
        <f t="shared" si="131"/>
        <v>0</v>
      </c>
      <c r="M103" s="88">
        <f t="shared" si="131"/>
        <v>0</v>
      </c>
      <c r="N103" s="88">
        <f t="shared" si="131"/>
        <v>0</v>
      </c>
      <c r="O103" s="88">
        <f t="shared" si="131"/>
        <v>0</v>
      </c>
      <c r="P103" s="88">
        <f t="shared" si="131"/>
        <v>0</v>
      </c>
      <c r="Q103" s="88">
        <f t="shared" si="131"/>
        <v>0</v>
      </c>
      <c r="R103" s="88">
        <f t="shared" si="131"/>
        <v>0</v>
      </c>
      <c r="S103" s="88">
        <f t="shared" ref="S103:T103" si="132">IF(S85&lt;0,S85*-1,0)</f>
        <v>0</v>
      </c>
      <c r="T103" s="88">
        <f t="shared" si="132"/>
        <v>0</v>
      </c>
      <c r="U103" s="88">
        <f t="shared" ref="U103" si="133">IF(U85&lt;0,U85*-1,0)</f>
        <v>0</v>
      </c>
      <c r="V103" s="88">
        <f t="shared" si="131"/>
        <v>0</v>
      </c>
      <c r="W103" s="88">
        <f t="shared" ref="W103:X103" si="134">IF(W85&lt;0,W85*-1,0)</f>
        <v>0</v>
      </c>
      <c r="X103" s="88">
        <f t="shared" si="134"/>
        <v>0</v>
      </c>
      <c r="Y103" s="88">
        <f t="shared" ref="Y103:Z103" si="135">IF(Y85&lt;0,Y85*-1,0)</f>
        <v>0</v>
      </c>
      <c r="Z103" s="88">
        <f t="shared" si="135"/>
        <v>0</v>
      </c>
      <c r="AA103" s="88">
        <f t="shared" ref="AA103:AB103" si="136">IF(AA85&lt;0,AA85*-1,0)</f>
        <v>0</v>
      </c>
      <c r="AB103" s="88">
        <f t="shared" si="136"/>
        <v>0</v>
      </c>
      <c r="AC103" s="88">
        <f t="shared" ref="AC103:AD103" si="137">IF(AC85&lt;0,AC85*-1,0)</f>
        <v>0</v>
      </c>
      <c r="AD103" s="88">
        <f t="shared" si="137"/>
        <v>0</v>
      </c>
      <c r="AE103" s="88">
        <f t="shared" ref="AE103:AF103" si="138">IF(AE85&lt;0,AE85*-1,0)</f>
        <v>0</v>
      </c>
      <c r="AF103" s="88">
        <f t="shared" si="138"/>
        <v>0</v>
      </c>
      <c r="AG103" s="110"/>
      <c r="AH103" s="48">
        <f t="shared" si="73"/>
        <v>0</v>
      </c>
      <c r="AI103" s="49">
        <f t="shared" si="74"/>
        <v>0</v>
      </c>
      <c r="BF103" s="80"/>
      <c r="BG103" s="81">
        <v>64.5</v>
      </c>
      <c r="BH103" s="81">
        <v>0</v>
      </c>
      <c r="BI103" s="81">
        <v>240</v>
      </c>
      <c r="BJ103" s="81">
        <v>39</v>
      </c>
      <c r="BK103" s="81">
        <v>106</v>
      </c>
      <c r="BL103" s="81">
        <v>0</v>
      </c>
    </row>
    <row r="104" spans="1:64" x14ac:dyDescent="0.25">
      <c r="A104" s="96" t="s">
        <v>128</v>
      </c>
      <c r="B104" s="88">
        <f t="shared" ref="B104:D104" si="139">IF(B83&lt;0,B83*-1,0)</f>
        <v>0</v>
      </c>
      <c r="C104" s="88">
        <f t="shared" si="139"/>
        <v>0</v>
      </c>
      <c r="D104" s="88">
        <f t="shared" si="139"/>
        <v>0</v>
      </c>
      <c r="E104" s="88">
        <f t="shared" ref="E104:V104" si="140">IF(E83&lt;0,E83*-1,0)</f>
        <v>0</v>
      </c>
      <c r="F104" s="88">
        <f t="shared" si="140"/>
        <v>0</v>
      </c>
      <c r="G104" s="88">
        <f t="shared" si="140"/>
        <v>0</v>
      </c>
      <c r="H104" s="88">
        <f t="shared" si="140"/>
        <v>0</v>
      </c>
      <c r="I104" s="88">
        <f t="shared" si="140"/>
        <v>0</v>
      </c>
      <c r="J104" s="88">
        <f t="shared" si="140"/>
        <v>0</v>
      </c>
      <c r="K104" s="88">
        <f t="shared" si="140"/>
        <v>0</v>
      </c>
      <c r="L104" s="88">
        <f t="shared" si="140"/>
        <v>0</v>
      </c>
      <c r="M104" s="88">
        <f t="shared" si="140"/>
        <v>0</v>
      </c>
      <c r="N104" s="88">
        <f t="shared" si="140"/>
        <v>0</v>
      </c>
      <c r="O104" s="88">
        <f t="shared" si="140"/>
        <v>0</v>
      </c>
      <c r="P104" s="88">
        <f t="shared" si="140"/>
        <v>0</v>
      </c>
      <c r="Q104" s="88">
        <f t="shared" si="140"/>
        <v>0</v>
      </c>
      <c r="R104" s="88">
        <f t="shared" si="140"/>
        <v>0</v>
      </c>
      <c r="S104" s="88">
        <f t="shared" ref="S104:T104" si="141">IF(S83&lt;0,S83*-1,0)</f>
        <v>0</v>
      </c>
      <c r="T104" s="88">
        <f t="shared" si="141"/>
        <v>0</v>
      </c>
      <c r="U104" s="88">
        <f t="shared" ref="U104" si="142">IF(U83&lt;0,U83*-1,0)</f>
        <v>0</v>
      </c>
      <c r="V104" s="88">
        <f t="shared" si="140"/>
        <v>0</v>
      </c>
      <c r="W104" s="88">
        <f t="shared" ref="W104:X104" si="143">IF(W83&lt;0,W83*-1,0)</f>
        <v>0</v>
      </c>
      <c r="X104" s="88">
        <f t="shared" si="143"/>
        <v>0</v>
      </c>
      <c r="Y104" s="88">
        <f t="shared" ref="Y104:Z104" si="144">IF(Y83&lt;0,Y83*-1,0)</f>
        <v>0</v>
      </c>
      <c r="Z104" s="88">
        <f t="shared" si="144"/>
        <v>0</v>
      </c>
      <c r="AA104" s="88">
        <f t="shared" ref="AA104:AB104" si="145">IF(AA83&lt;0,AA83*-1,0)</f>
        <v>0</v>
      </c>
      <c r="AB104" s="88">
        <f t="shared" si="145"/>
        <v>0</v>
      </c>
      <c r="AC104" s="88">
        <f t="shared" ref="AC104:AD104" si="146">IF(AC83&lt;0,AC83*-1,0)</f>
        <v>0</v>
      </c>
      <c r="AD104" s="88">
        <f t="shared" si="146"/>
        <v>0</v>
      </c>
      <c r="AE104" s="88">
        <f t="shared" ref="AE104:AF104" si="147">IF(AE83&lt;0,AE83*-1,0)</f>
        <v>0</v>
      </c>
      <c r="AF104" s="88">
        <f t="shared" si="147"/>
        <v>0</v>
      </c>
      <c r="AG104" s="110"/>
      <c r="AH104" s="48">
        <f t="shared" si="73"/>
        <v>0</v>
      </c>
      <c r="AI104" s="49">
        <f t="shared" si="74"/>
        <v>0</v>
      </c>
      <c r="BF104" s="80"/>
      <c r="BG104" s="81">
        <v>63</v>
      </c>
      <c r="BH104" s="81">
        <v>0</v>
      </c>
      <c r="BI104" s="81">
        <v>280</v>
      </c>
      <c r="BJ104" s="81">
        <v>48</v>
      </c>
      <c r="BK104" s="81">
        <v>123</v>
      </c>
      <c r="BL104" s="81">
        <v>0</v>
      </c>
    </row>
    <row r="105" spans="1:64" x14ac:dyDescent="0.25">
      <c r="A105" s="96" t="s">
        <v>104</v>
      </c>
      <c r="B105" s="88">
        <f t="shared" ref="B105:D105" si="148">IF(B81&lt;0,B81*-1,0)</f>
        <v>0</v>
      </c>
      <c r="C105" s="88">
        <f t="shared" si="148"/>
        <v>0</v>
      </c>
      <c r="D105" s="88">
        <f t="shared" si="148"/>
        <v>0</v>
      </c>
      <c r="E105" s="88">
        <f t="shared" ref="E105:V105" si="149">IF(E81&lt;0,E81*-1,0)</f>
        <v>0</v>
      </c>
      <c r="F105" s="88">
        <f t="shared" si="149"/>
        <v>0</v>
      </c>
      <c r="G105" s="88">
        <f t="shared" si="149"/>
        <v>0</v>
      </c>
      <c r="H105" s="88">
        <f t="shared" si="149"/>
        <v>0</v>
      </c>
      <c r="I105" s="88">
        <f t="shared" si="149"/>
        <v>0</v>
      </c>
      <c r="J105" s="88">
        <f t="shared" si="149"/>
        <v>0</v>
      </c>
      <c r="K105" s="88">
        <f t="shared" si="149"/>
        <v>0</v>
      </c>
      <c r="L105" s="88">
        <f t="shared" si="149"/>
        <v>0</v>
      </c>
      <c r="M105" s="88">
        <f t="shared" si="149"/>
        <v>0</v>
      </c>
      <c r="N105" s="88">
        <f t="shared" si="149"/>
        <v>0</v>
      </c>
      <c r="O105" s="88">
        <f t="shared" si="149"/>
        <v>0</v>
      </c>
      <c r="P105" s="88">
        <f t="shared" si="149"/>
        <v>0</v>
      </c>
      <c r="Q105" s="88">
        <f t="shared" si="149"/>
        <v>0</v>
      </c>
      <c r="R105" s="88">
        <f t="shared" si="149"/>
        <v>0</v>
      </c>
      <c r="S105" s="88">
        <f t="shared" ref="S105:T105" si="150">IF(S81&lt;0,S81*-1,0)</f>
        <v>0</v>
      </c>
      <c r="T105" s="88">
        <f t="shared" si="150"/>
        <v>0</v>
      </c>
      <c r="U105" s="88">
        <f t="shared" ref="U105" si="151">IF(U81&lt;0,U81*-1,0)</f>
        <v>0</v>
      </c>
      <c r="V105" s="88">
        <f t="shared" si="149"/>
        <v>0</v>
      </c>
      <c r="W105" s="88">
        <f t="shared" ref="W105:X105" si="152">IF(W81&lt;0,W81*-1,0)</f>
        <v>0</v>
      </c>
      <c r="X105" s="88">
        <f t="shared" si="152"/>
        <v>0</v>
      </c>
      <c r="Y105" s="88">
        <f t="shared" ref="Y105:Z105" si="153">IF(Y81&lt;0,Y81*-1,0)</f>
        <v>0</v>
      </c>
      <c r="Z105" s="88">
        <f t="shared" si="153"/>
        <v>0</v>
      </c>
      <c r="AA105" s="88">
        <f t="shared" ref="AA105:AB105" si="154">IF(AA81&lt;0,AA81*-1,0)</f>
        <v>0</v>
      </c>
      <c r="AB105" s="88">
        <f t="shared" si="154"/>
        <v>0</v>
      </c>
      <c r="AC105" s="88">
        <f t="shared" ref="AC105:AD105" si="155">IF(AC81&lt;0,AC81*-1,0)</f>
        <v>0</v>
      </c>
      <c r="AD105" s="88">
        <f t="shared" si="155"/>
        <v>0</v>
      </c>
      <c r="AE105" s="88">
        <f t="shared" ref="AE105:AF105" si="156">IF(AE81&lt;0,AE81*-1,0)</f>
        <v>0</v>
      </c>
      <c r="AF105" s="88">
        <f t="shared" si="156"/>
        <v>0</v>
      </c>
      <c r="AG105" s="110"/>
      <c r="AH105" s="48">
        <f t="shared" si="73"/>
        <v>0</v>
      </c>
      <c r="AI105" s="49">
        <f t="shared" si="74"/>
        <v>0</v>
      </c>
      <c r="BF105" s="80"/>
      <c r="BG105" s="81">
        <v>63</v>
      </c>
      <c r="BH105" s="81">
        <v>0</v>
      </c>
      <c r="BI105" s="81">
        <v>290</v>
      </c>
      <c r="BJ105" s="81">
        <v>40</v>
      </c>
      <c r="BK105" s="81">
        <v>115</v>
      </c>
      <c r="BL105" s="81">
        <v>0</v>
      </c>
    </row>
    <row r="106" spans="1:64" ht="15.75" thickBot="1" x14ac:dyDescent="0.3">
      <c r="A106" s="96" t="s">
        <v>129</v>
      </c>
      <c r="B106" s="106">
        <v>0</v>
      </c>
      <c r="C106" s="106">
        <v>1</v>
      </c>
      <c r="D106" s="106">
        <v>2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0</v>
      </c>
      <c r="Y106" s="106">
        <v>0</v>
      </c>
      <c r="Z106" s="106">
        <v>0</v>
      </c>
      <c r="AA106" s="106">
        <v>0</v>
      </c>
      <c r="AB106" s="106">
        <v>0</v>
      </c>
      <c r="AC106" s="106">
        <v>0</v>
      </c>
      <c r="AD106" s="106">
        <v>0</v>
      </c>
      <c r="AE106" s="106">
        <v>0</v>
      </c>
      <c r="AF106" s="106">
        <v>0</v>
      </c>
      <c r="AG106" s="97"/>
      <c r="AH106" s="48">
        <f t="shared" si="73"/>
        <v>2</v>
      </c>
      <c r="AI106" s="49">
        <f t="shared" si="74"/>
        <v>0</v>
      </c>
      <c r="BG106" s="81">
        <v>52</v>
      </c>
      <c r="BH106" s="81">
        <v>0</v>
      </c>
      <c r="BI106" s="81">
        <v>423</v>
      </c>
      <c r="BJ106" s="81">
        <v>47</v>
      </c>
      <c r="BK106" s="81">
        <v>103</v>
      </c>
      <c r="BL106" s="81">
        <v>0</v>
      </c>
    </row>
    <row r="107" spans="1:64" ht="15.75" thickBot="1" x14ac:dyDescent="0.3">
      <c r="A107" s="111" t="s">
        <v>130</v>
      </c>
      <c r="B107" s="70">
        <f t="shared" ref="B107:D107" si="157">SUM(B101:B106)</f>
        <v>0</v>
      </c>
      <c r="C107" s="70">
        <f t="shared" si="157"/>
        <v>1</v>
      </c>
      <c r="D107" s="70">
        <f t="shared" si="157"/>
        <v>2</v>
      </c>
      <c r="E107" s="70">
        <f t="shared" ref="E107:V107" si="158">SUM(E101:E106)</f>
        <v>0</v>
      </c>
      <c r="F107" s="70">
        <f t="shared" si="158"/>
        <v>0</v>
      </c>
      <c r="G107" s="70">
        <f t="shared" si="158"/>
        <v>0</v>
      </c>
      <c r="H107" s="70">
        <f t="shared" si="158"/>
        <v>0</v>
      </c>
      <c r="I107" s="70">
        <f t="shared" si="158"/>
        <v>0</v>
      </c>
      <c r="J107" s="70">
        <f t="shared" si="158"/>
        <v>0</v>
      </c>
      <c r="K107" s="70">
        <f t="shared" si="158"/>
        <v>0</v>
      </c>
      <c r="L107" s="70">
        <f t="shared" si="158"/>
        <v>0</v>
      </c>
      <c r="M107" s="70">
        <f t="shared" si="158"/>
        <v>0</v>
      </c>
      <c r="N107" s="70">
        <f t="shared" si="158"/>
        <v>0</v>
      </c>
      <c r="O107" s="70">
        <f t="shared" si="158"/>
        <v>0</v>
      </c>
      <c r="P107" s="70">
        <f t="shared" si="158"/>
        <v>0</v>
      </c>
      <c r="Q107" s="70">
        <f t="shared" si="158"/>
        <v>0</v>
      </c>
      <c r="R107" s="70">
        <f t="shared" si="158"/>
        <v>0</v>
      </c>
      <c r="S107" s="70">
        <f t="shared" ref="S107:T107" si="159">SUM(S101:S106)</f>
        <v>0</v>
      </c>
      <c r="T107" s="70">
        <f t="shared" si="159"/>
        <v>0</v>
      </c>
      <c r="U107" s="70">
        <f t="shared" ref="U107" si="160">SUM(U101:U106)</f>
        <v>0</v>
      </c>
      <c r="V107" s="70">
        <f t="shared" si="158"/>
        <v>0</v>
      </c>
      <c r="W107" s="70">
        <f t="shared" ref="W107:X107" si="161">SUM(W101:W106)</f>
        <v>0</v>
      </c>
      <c r="X107" s="70">
        <f t="shared" si="161"/>
        <v>0</v>
      </c>
      <c r="Y107" s="70">
        <f t="shared" ref="Y107:Z107" si="162">SUM(Y101:Y106)</f>
        <v>0</v>
      </c>
      <c r="Z107" s="70">
        <f t="shared" si="162"/>
        <v>0</v>
      </c>
      <c r="AA107" s="70">
        <f t="shared" ref="AA107:AB107" si="163">SUM(AA101:AA106)</f>
        <v>0</v>
      </c>
      <c r="AB107" s="70">
        <f t="shared" si="163"/>
        <v>0</v>
      </c>
      <c r="AC107" s="70">
        <f t="shared" ref="AC107:AD107" si="164">SUM(AC101:AC106)</f>
        <v>0</v>
      </c>
      <c r="AD107" s="70">
        <f t="shared" si="164"/>
        <v>0</v>
      </c>
      <c r="AE107" s="70">
        <v>0</v>
      </c>
      <c r="AF107" s="70">
        <v>0</v>
      </c>
      <c r="AG107" s="100"/>
      <c r="AH107" s="48">
        <f t="shared" si="73"/>
        <v>2</v>
      </c>
      <c r="AI107" s="49">
        <f t="shared" si="74"/>
        <v>0</v>
      </c>
      <c r="AK107" s="51"/>
      <c r="BG107" s="81">
        <v>52.3</v>
      </c>
      <c r="BH107" s="81">
        <v>0</v>
      </c>
      <c r="BI107" s="81">
        <v>325</v>
      </c>
      <c r="BJ107" s="81">
        <v>32.5</v>
      </c>
      <c r="BK107" s="81">
        <v>110</v>
      </c>
      <c r="BL107" s="81">
        <v>0</v>
      </c>
    </row>
    <row r="108" spans="1:64" ht="15.75" thickBot="1" x14ac:dyDescent="0.3">
      <c r="A108" s="86" t="s">
        <v>131</v>
      </c>
      <c r="B108" s="70">
        <f t="shared" ref="B108:D108" si="165">B92-B107</f>
        <v>519.79999999999995</v>
      </c>
      <c r="C108" s="70">
        <f t="shared" si="165"/>
        <v>553.9</v>
      </c>
      <c r="D108" s="70">
        <f t="shared" si="165"/>
        <v>530.29999999999995</v>
      </c>
      <c r="E108" s="70">
        <f t="shared" ref="E108:V108" si="166">E92-E107</f>
        <v>516.29999999999995</v>
      </c>
      <c r="F108" s="70">
        <f t="shared" si="166"/>
        <v>516.9</v>
      </c>
      <c r="G108" s="70">
        <f t="shared" si="166"/>
        <v>496.3</v>
      </c>
      <c r="H108" s="70">
        <f t="shared" si="166"/>
        <v>469</v>
      </c>
      <c r="I108" s="70">
        <f t="shared" si="166"/>
        <v>469</v>
      </c>
      <c r="J108" s="70">
        <f t="shared" si="166"/>
        <v>495</v>
      </c>
      <c r="K108" s="70">
        <f t="shared" si="166"/>
        <v>464.1</v>
      </c>
      <c r="L108" s="70">
        <f t="shared" si="166"/>
        <v>504.4</v>
      </c>
      <c r="M108" s="70">
        <f t="shared" si="166"/>
        <v>470.6</v>
      </c>
      <c r="N108" s="70">
        <f t="shared" si="166"/>
        <v>455.70000000000005</v>
      </c>
      <c r="O108" s="70">
        <f t="shared" si="166"/>
        <v>481.1</v>
      </c>
      <c r="P108" s="70">
        <f t="shared" si="166"/>
        <v>592</v>
      </c>
      <c r="Q108" s="70">
        <f t="shared" si="166"/>
        <v>562.5</v>
      </c>
      <c r="R108" s="70">
        <f t="shared" si="166"/>
        <v>544.5</v>
      </c>
      <c r="S108" s="70">
        <f t="shared" ref="S108:T108" si="167">S92-S107</f>
        <v>593.29999999999995</v>
      </c>
      <c r="T108" s="70">
        <f t="shared" si="167"/>
        <v>616.6</v>
      </c>
      <c r="U108" s="70">
        <f t="shared" ref="U108" si="168">U92-U107</f>
        <v>613.9</v>
      </c>
      <c r="V108" s="70">
        <f t="shared" si="166"/>
        <v>567.49999999999989</v>
      </c>
      <c r="W108" s="70">
        <f t="shared" ref="W108:X108" si="169">W92-W107</f>
        <v>567.49999999999989</v>
      </c>
      <c r="X108" s="70">
        <f t="shared" si="169"/>
        <v>692.1</v>
      </c>
      <c r="Y108" s="70">
        <f t="shared" ref="Y108:Z108" si="170">Y92-Y107</f>
        <v>745.19999999999993</v>
      </c>
      <c r="Z108" s="70">
        <f t="shared" si="170"/>
        <v>547.90000000000009</v>
      </c>
      <c r="AA108" s="70">
        <f t="shared" ref="AA108:AB108" si="171">AA92-AA107</f>
        <v>462.30000000000007</v>
      </c>
      <c r="AB108" s="70">
        <f t="shared" si="171"/>
        <v>449.5</v>
      </c>
      <c r="AC108" s="70">
        <f t="shared" ref="AC108:AD108" si="172">AC92-AC107</f>
        <v>492.8</v>
      </c>
      <c r="AD108" s="70">
        <f t="shared" si="172"/>
        <v>514</v>
      </c>
      <c r="AE108" s="70">
        <f t="shared" ref="AE108:AF108" si="173">AE92-AE107</f>
        <v>508</v>
      </c>
      <c r="AF108" s="70">
        <f t="shared" si="173"/>
        <v>625</v>
      </c>
      <c r="AG108" s="100"/>
      <c r="AH108" s="48">
        <f t="shared" si="73"/>
        <v>745.19999999999993</v>
      </c>
      <c r="AI108" s="49">
        <f t="shared" si="74"/>
        <v>449.5</v>
      </c>
    </row>
    <row r="109" spans="1:64" x14ac:dyDescent="0.25">
      <c r="A109" s="112" t="s">
        <v>132</v>
      </c>
      <c r="B109" s="113">
        <v>50.02</v>
      </c>
      <c r="C109" s="113">
        <v>50.02</v>
      </c>
      <c r="D109" s="113">
        <v>49.95</v>
      </c>
      <c r="E109" s="113">
        <v>49.92</v>
      </c>
      <c r="F109" s="113">
        <v>49.966000000000001</v>
      </c>
      <c r="G109" s="113">
        <v>50.01</v>
      </c>
      <c r="H109" s="113">
        <v>49.98</v>
      </c>
      <c r="I109" s="113">
        <v>50.003999999999998</v>
      </c>
      <c r="J109" s="113">
        <v>50.037999999999997</v>
      </c>
      <c r="K109" s="113">
        <v>49.988</v>
      </c>
      <c r="L109" s="113">
        <v>50.027999999999999</v>
      </c>
      <c r="M109" s="113">
        <v>50.091000000000001</v>
      </c>
      <c r="N109" s="113">
        <v>50.091000000000001</v>
      </c>
      <c r="O109" s="113">
        <v>50.149000000000001</v>
      </c>
      <c r="P109" s="113">
        <v>49.994</v>
      </c>
      <c r="Q109" s="113">
        <v>50.015999999999998</v>
      </c>
      <c r="R109" s="113">
        <v>49.939</v>
      </c>
      <c r="S109" s="113">
        <v>49.97</v>
      </c>
      <c r="T109" s="113">
        <v>49.97</v>
      </c>
      <c r="U109" s="113">
        <v>49.95</v>
      </c>
      <c r="V109" s="113">
        <v>50.02</v>
      </c>
      <c r="W109" s="113">
        <v>50.02</v>
      </c>
      <c r="X109" s="113">
        <v>50.01</v>
      </c>
      <c r="Y109" s="113">
        <v>49.99</v>
      </c>
      <c r="Z109" s="113">
        <v>49.96</v>
      </c>
      <c r="AA109" s="113">
        <v>49.85</v>
      </c>
      <c r="AB109" s="113">
        <v>50.05</v>
      </c>
      <c r="AC109" s="113">
        <v>50</v>
      </c>
      <c r="AD109" s="113">
        <v>49.93</v>
      </c>
      <c r="AE109" s="113">
        <v>50</v>
      </c>
      <c r="AF109" s="113">
        <v>49.98</v>
      </c>
      <c r="AG109" s="114"/>
      <c r="AH109" s="48">
        <f t="shared" si="73"/>
        <v>50.149000000000001</v>
      </c>
      <c r="AI109" s="49">
        <f t="shared" si="74"/>
        <v>49.85</v>
      </c>
    </row>
    <row r="110" spans="1:64" x14ac:dyDescent="0.25">
      <c r="A110" s="115" t="s">
        <v>133</v>
      </c>
      <c r="B110" s="75">
        <v>129.30000000000001</v>
      </c>
      <c r="C110" s="75">
        <v>129.30000000000001</v>
      </c>
      <c r="D110" s="75">
        <v>130.5</v>
      </c>
      <c r="E110" s="75">
        <v>129</v>
      </c>
      <c r="F110" s="75">
        <v>129.1</v>
      </c>
      <c r="G110" s="75">
        <v>129.19999999999999</v>
      </c>
      <c r="H110" s="75">
        <v>129.19999999999999</v>
      </c>
      <c r="I110" s="75">
        <v>127.7</v>
      </c>
      <c r="J110" s="75">
        <v>128.30000000000001</v>
      </c>
      <c r="K110" s="75">
        <v>126.1</v>
      </c>
      <c r="L110" s="75">
        <v>125.6</v>
      </c>
      <c r="M110" s="75">
        <v>125.6</v>
      </c>
      <c r="N110" s="75">
        <v>125.6</v>
      </c>
      <c r="O110" s="75">
        <v>124.7</v>
      </c>
      <c r="P110" s="75">
        <v>124.1</v>
      </c>
      <c r="Q110" s="75">
        <v>124</v>
      </c>
      <c r="R110" s="75">
        <v>124.1</v>
      </c>
      <c r="S110" s="75">
        <v>124</v>
      </c>
      <c r="T110" s="75">
        <v>124</v>
      </c>
      <c r="U110" s="75">
        <v>122.3</v>
      </c>
      <c r="V110" s="75">
        <v>128.1</v>
      </c>
      <c r="W110" s="75">
        <v>128.1</v>
      </c>
      <c r="X110" s="75">
        <v>125.7</v>
      </c>
      <c r="Y110" s="75">
        <v>124.9</v>
      </c>
      <c r="Z110" s="75">
        <v>124.9</v>
      </c>
      <c r="AA110" s="75">
        <v>126.7</v>
      </c>
      <c r="AB110" s="75">
        <v>126.9</v>
      </c>
      <c r="AC110" s="75">
        <v>126.9</v>
      </c>
      <c r="AD110" s="75">
        <v>127</v>
      </c>
      <c r="AE110" s="75">
        <v>127</v>
      </c>
      <c r="AF110" s="75">
        <v>127</v>
      </c>
      <c r="AG110" s="116"/>
      <c r="AH110" s="48">
        <f t="shared" si="73"/>
        <v>130.5</v>
      </c>
      <c r="AI110" s="49">
        <f t="shared" si="74"/>
        <v>122.3</v>
      </c>
    </row>
    <row r="111" spans="1:64" x14ac:dyDescent="0.25">
      <c r="A111" s="115" t="s">
        <v>134</v>
      </c>
      <c r="B111" s="75">
        <v>132.19999999999999</v>
      </c>
      <c r="C111" s="75">
        <v>132.19999999999999</v>
      </c>
      <c r="D111" s="75">
        <v>133.5</v>
      </c>
      <c r="E111" s="75">
        <v>132</v>
      </c>
      <c r="F111" s="75">
        <v>132.30000000000001</v>
      </c>
      <c r="G111" s="75">
        <v>131.9</v>
      </c>
      <c r="H111" s="75">
        <v>131.9</v>
      </c>
      <c r="I111" s="75">
        <v>130.5</v>
      </c>
      <c r="J111" s="75">
        <v>130.1</v>
      </c>
      <c r="K111" s="75">
        <v>127.8</v>
      </c>
      <c r="L111" s="75">
        <v>127.6</v>
      </c>
      <c r="M111" s="75">
        <v>127.6</v>
      </c>
      <c r="N111" s="75">
        <v>127.6</v>
      </c>
      <c r="O111" s="75">
        <v>128.1</v>
      </c>
      <c r="P111" s="75">
        <v>126.9</v>
      </c>
      <c r="Q111" s="75">
        <v>127</v>
      </c>
      <c r="R111" s="75">
        <v>126.8</v>
      </c>
      <c r="S111" s="75">
        <v>127</v>
      </c>
      <c r="T111" s="75">
        <v>127</v>
      </c>
      <c r="U111" s="75">
        <v>125.8</v>
      </c>
      <c r="V111" s="75">
        <v>130.6</v>
      </c>
      <c r="W111" s="75">
        <v>130.6</v>
      </c>
      <c r="X111" s="75">
        <v>128.30000000000001</v>
      </c>
      <c r="Y111" s="75">
        <v>127.6</v>
      </c>
      <c r="Z111" s="75">
        <v>127.6</v>
      </c>
      <c r="AA111" s="75">
        <v>128.9</v>
      </c>
      <c r="AB111" s="75">
        <v>129.4</v>
      </c>
      <c r="AC111" s="75">
        <v>129.4</v>
      </c>
      <c r="AD111" s="75">
        <v>130</v>
      </c>
      <c r="AE111" s="75">
        <v>131</v>
      </c>
      <c r="AF111" s="75">
        <v>130</v>
      </c>
      <c r="AG111" s="116"/>
      <c r="AH111" s="48">
        <f t="shared" si="73"/>
        <v>133.5</v>
      </c>
      <c r="AI111" s="49">
        <f t="shared" si="74"/>
        <v>125.8</v>
      </c>
    </row>
    <row r="112" spans="1:64" x14ac:dyDescent="0.25">
      <c r="A112" s="115" t="s">
        <v>135</v>
      </c>
      <c r="B112" s="75">
        <v>128.4</v>
      </c>
      <c r="C112" s="75">
        <v>128.4</v>
      </c>
      <c r="D112" s="75">
        <v>132.19999999999999</v>
      </c>
      <c r="E112" s="75">
        <v>130.4</v>
      </c>
      <c r="F112" s="75">
        <v>129.69999999999999</v>
      </c>
      <c r="G112" s="75">
        <v>128.9</v>
      </c>
      <c r="H112" s="75">
        <v>128.9</v>
      </c>
      <c r="I112" s="75">
        <v>128.30000000000001</v>
      </c>
      <c r="J112" s="75">
        <v>135.19999999999999</v>
      </c>
      <c r="K112" s="75">
        <v>127.6</v>
      </c>
      <c r="L112" s="75">
        <v>126.3</v>
      </c>
      <c r="M112" s="75">
        <v>125.4</v>
      </c>
      <c r="N112" s="75">
        <v>125.4</v>
      </c>
      <c r="O112" s="75">
        <v>128.1</v>
      </c>
      <c r="P112" s="75">
        <v>129.5</v>
      </c>
      <c r="Q112" s="75">
        <v>127.3</v>
      </c>
      <c r="R112" s="75">
        <v>126.2</v>
      </c>
      <c r="S112" s="75">
        <v>128.4</v>
      </c>
      <c r="T112" s="75">
        <v>128.4</v>
      </c>
      <c r="U112" s="75">
        <v>126.4</v>
      </c>
      <c r="V112" s="75">
        <v>130.80000000000001</v>
      </c>
      <c r="W112" s="75">
        <v>130.80000000000001</v>
      </c>
      <c r="X112" s="75">
        <v>127.7</v>
      </c>
      <c r="Y112" s="75">
        <v>126.1</v>
      </c>
      <c r="Z112" s="75">
        <v>126.1</v>
      </c>
      <c r="AA112" s="75">
        <v>130.6</v>
      </c>
      <c r="AB112" s="75">
        <v>131</v>
      </c>
      <c r="AC112" s="75">
        <v>131</v>
      </c>
      <c r="AD112" s="75">
        <v>130</v>
      </c>
      <c r="AE112" s="75">
        <v>130</v>
      </c>
      <c r="AF112" s="75">
        <v>127</v>
      </c>
      <c r="AG112" s="116"/>
      <c r="AH112" s="48">
        <f t="shared" si="73"/>
        <v>135.19999999999999</v>
      </c>
      <c r="AI112" s="49">
        <f t="shared" si="74"/>
        <v>125.4</v>
      </c>
    </row>
    <row r="113" spans="1:35" x14ac:dyDescent="0.25">
      <c r="A113" s="117" t="s">
        <v>136</v>
      </c>
      <c r="B113" s="75">
        <v>131.1</v>
      </c>
      <c r="C113" s="75">
        <v>131.1</v>
      </c>
      <c r="D113" s="75">
        <v>134.30000000000001</v>
      </c>
      <c r="E113" s="75">
        <v>133.19999999999999</v>
      </c>
      <c r="F113" s="75">
        <v>131</v>
      </c>
      <c r="G113" s="75">
        <v>130.30000000000001</v>
      </c>
      <c r="H113" s="75">
        <v>130.30000000000001</v>
      </c>
      <c r="I113" s="75">
        <v>130.19999999999999</v>
      </c>
      <c r="J113" s="75">
        <v>134.80000000000001</v>
      </c>
      <c r="K113" s="75">
        <v>126.6</v>
      </c>
      <c r="L113" s="75">
        <v>125.1</v>
      </c>
      <c r="M113" s="75">
        <v>125.6</v>
      </c>
      <c r="N113" s="75">
        <v>125.6</v>
      </c>
      <c r="O113" s="75">
        <v>128.19999999999999</v>
      </c>
      <c r="P113" s="75">
        <v>130.1</v>
      </c>
      <c r="Q113" s="75">
        <v>129.19999999999999</v>
      </c>
      <c r="R113" s="75">
        <v>128.9</v>
      </c>
      <c r="S113" s="75">
        <v>130</v>
      </c>
      <c r="T113" s="75">
        <v>130</v>
      </c>
      <c r="U113" s="75">
        <v>128.5</v>
      </c>
      <c r="V113" s="75">
        <v>132.19999999999999</v>
      </c>
      <c r="W113" s="75">
        <v>132.19999999999999</v>
      </c>
      <c r="X113" s="75">
        <v>129.5</v>
      </c>
      <c r="Y113" s="75">
        <v>127.7</v>
      </c>
      <c r="Z113" s="75">
        <v>127.7</v>
      </c>
      <c r="AA113" s="75">
        <v>127.7</v>
      </c>
      <c r="AB113" s="75">
        <v>133</v>
      </c>
      <c r="AC113" s="75">
        <v>133</v>
      </c>
      <c r="AD113" s="75">
        <v>133</v>
      </c>
      <c r="AE113" s="75">
        <v>131</v>
      </c>
      <c r="AF113" s="75">
        <v>130</v>
      </c>
      <c r="AG113" s="116"/>
      <c r="AH113" s="48">
        <f t="shared" si="73"/>
        <v>134.80000000000001</v>
      </c>
      <c r="AI113" s="49">
        <f t="shared" si="74"/>
        <v>125.1</v>
      </c>
    </row>
    <row r="114" spans="1:35" x14ac:dyDescent="0.25">
      <c r="A114" s="117" t="s">
        <v>137</v>
      </c>
      <c r="B114" s="118">
        <v>130</v>
      </c>
      <c r="C114" s="118">
        <v>130</v>
      </c>
      <c r="D114" s="118">
        <v>131.6</v>
      </c>
      <c r="E114" s="118">
        <v>130</v>
      </c>
      <c r="F114" s="118">
        <v>131.9</v>
      </c>
      <c r="G114" s="118">
        <v>132.80000000000001</v>
      </c>
      <c r="H114" s="118">
        <v>132.80000000000001</v>
      </c>
      <c r="I114" s="118">
        <v>133.5</v>
      </c>
      <c r="J114" s="118">
        <v>135.69999999999999</v>
      </c>
      <c r="K114" s="118">
        <v>133.5</v>
      </c>
      <c r="L114" s="118">
        <v>132.1</v>
      </c>
      <c r="M114" s="118">
        <v>131.4</v>
      </c>
      <c r="N114" s="118">
        <v>131.4</v>
      </c>
      <c r="O114" s="118">
        <v>133.1</v>
      </c>
      <c r="P114" s="118">
        <v>131.19999999999999</v>
      </c>
      <c r="Q114" s="118">
        <v>131.5</v>
      </c>
      <c r="R114" s="118">
        <v>131.4</v>
      </c>
      <c r="S114" s="118">
        <v>132.80000000000001</v>
      </c>
      <c r="T114" s="118">
        <v>132.80000000000001</v>
      </c>
      <c r="U114" s="118">
        <v>134.4</v>
      </c>
      <c r="V114" s="118">
        <v>136.9</v>
      </c>
      <c r="W114" s="118">
        <v>136.9</v>
      </c>
      <c r="X114" s="118">
        <v>133.30000000000001</v>
      </c>
      <c r="Y114" s="118">
        <v>132.69999999999999</v>
      </c>
      <c r="Z114" s="118">
        <v>132.69999999999999</v>
      </c>
      <c r="AA114" s="118">
        <v>132.69999999999999</v>
      </c>
      <c r="AB114" s="118">
        <v>130.9</v>
      </c>
      <c r="AC114" s="118">
        <v>130.9</v>
      </c>
      <c r="AD114" s="118">
        <v>133</v>
      </c>
      <c r="AE114" s="118">
        <v>133</v>
      </c>
      <c r="AF114" s="118">
        <v>131</v>
      </c>
      <c r="AG114" s="119"/>
      <c r="AH114" s="48">
        <f t="shared" si="73"/>
        <v>136.9</v>
      </c>
      <c r="AI114" s="49">
        <f t="shared" si="74"/>
        <v>130</v>
      </c>
    </row>
    <row r="115" spans="1:35" x14ac:dyDescent="0.25">
      <c r="A115" s="115" t="s">
        <v>138</v>
      </c>
      <c r="B115" s="75">
        <v>131.69999999999999</v>
      </c>
      <c r="C115" s="75">
        <v>131.69999999999999</v>
      </c>
      <c r="D115" s="75">
        <v>131.69999999999999</v>
      </c>
      <c r="E115" s="75">
        <v>125</v>
      </c>
      <c r="F115" s="75">
        <v>1223.2</v>
      </c>
      <c r="G115" s="75">
        <v>129.4</v>
      </c>
      <c r="H115" s="75">
        <v>129.4</v>
      </c>
      <c r="I115" s="75">
        <v>126.7</v>
      </c>
      <c r="J115" s="75">
        <v>126.1</v>
      </c>
      <c r="K115" s="75">
        <v>124.3</v>
      </c>
      <c r="L115" s="75">
        <v>129</v>
      </c>
      <c r="M115" s="75">
        <v>131.19999999999999</v>
      </c>
      <c r="N115" s="75">
        <v>131.19999999999999</v>
      </c>
      <c r="O115" s="75">
        <v>126.1</v>
      </c>
      <c r="P115" s="75">
        <v>126.6</v>
      </c>
      <c r="Q115" s="75">
        <v>128</v>
      </c>
      <c r="R115" s="75">
        <v>130.1</v>
      </c>
      <c r="S115" s="75">
        <v>124.6</v>
      </c>
      <c r="T115" s="75">
        <v>124.6</v>
      </c>
      <c r="U115" s="75">
        <v>128.69999999999999</v>
      </c>
      <c r="V115" s="75">
        <v>131.9</v>
      </c>
      <c r="W115" s="75">
        <v>131.9</v>
      </c>
      <c r="X115" s="75">
        <v>133.5</v>
      </c>
      <c r="Y115" s="75">
        <v>133.5</v>
      </c>
      <c r="Z115" s="75">
        <v>133.5</v>
      </c>
      <c r="AA115" s="75">
        <v>133.5</v>
      </c>
      <c r="AB115" s="75">
        <v>133.6</v>
      </c>
      <c r="AC115" s="75">
        <v>133.6</v>
      </c>
      <c r="AD115" s="75">
        <v>134</v>
      </c>
      <c r="AE115" s="75">
        <v>133</v>
      </c>
      <c r="AF115" s="75">
        <v>133</v>
      </c>
      <c r="AG115" s="116"/>
      <c r="AH115" s="48">
        <f t="shared" si="73"/>
        <v>1223.2</v>
      </c>
      <c r="AI115" s="49">
        <f t="shared" si="74"/>
        <v>124.3</v>
      </c>
    </row>
    <row r="116" spans="1:35" ht="15.75" thickBot="1" x14ac:dyDescent="0.3">
      <c r="A116" s="115" t="s">
        <v>139</v>
      </c>
      <c r="B116" s="104">
        <v>66.599999999999994</v>
      </c>
      <c r="C116" s="104">
        <v>66.599999999999994</v>
      </c>
      <c r="D116" s="104">
        <v>67.400000000000006</v>
      </c>
      <c r="E116" s="104">
        <v>66.099999999999994</v>
      </c>
      <c r="F116" s="104">
        <v>66.599999999999994</v>
      </c>
      <c r="G116" s="104">
        <v>66.599999999999994</v>
      </c>
      <c r="H116" s="104">
        <v>66.599999999999994</v>
      </c>
      <c r="I116" s="104">
        <v>65.7</v>
      </c>
      <c r="J116" s="104">
        <v>65.400000000000006</v>
      </c>
      <c r="K116" s="104">
        <v>64.2</v>
      </c>
      <c r="L116" s="104">
        <v>64.400000000000006</v>
      </c>
      <c r="M116" s="104">
        <v>64.599999999999994</v>
      </c>
      <c r="N116" s="104">
        <v>64.599999999999994</v>
      </c>
      <c r="O116" s="104">
        <v>64.5</v>
      </c>
      <c r="P116" s="104">
        <v>63.7</v>
      </c>
      <c r="Q116" s="104">
        <v>63.9</v>
      </c>
      <c r="R116" s="104">
        <v>63.9</v>
      </c>
      <c r="S116" s="104">
        <v>64</v>
      </c>
      <c r="T116" s="104">
        <v>64</v>
      </c>
      <c r="U116" s="104">
        <v>63.5</v>
      </c>
      <c r="V116" s="104">
        <v>65.900000000000006</v>
      </c>
      <c r="W116" s="104">
        <v>65.900000000000006</v>
      </c>
      <c r="X116" s="104">
        <v>64.5</v>
      </c>
      <c r="Y116" s="104">
        <v>64.5</v>
      </c>
      <c r="Z116" s="104">
        <v>64.5</v>
      </c>
      <c r="AA116" s="104">
        <v>64.5</v>
      </c>
      <c r="AB116" s="104">
        <v>65.099999999999994</v>
      </c>
      <c r="AC116" s="104">
        <v>65.099999999999994</v>
      </c>
      <c r="AD116" s="104">
        <v>65.7</v>
      </c>
      <c r="AE116" s="104">
        <v>66</v>
      </c>
      <c r="AF116" s="104">
        <v>65.599999999999994</v>
      </c>
      <c r="AG116" s="120"/>
      <c r="AH116" s="48">
        <f t="shared" si="73"/>
        <v>67.400000000000006</v>
      </c>
      <c r="AI116" s="49">
        <f t="shared" si="74"/>
        <v>63.5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73"/>
        <v>0</v>
      </c>
      <c r="AI117" s="49">
        <f t="shared" si="74"/>
        <v>0</v>
      </c>
    </row>
    <row r="118" spans="1:35" ht="15.75" thickBot="1" x14ac:dyDescent="0.3">
      <c r="A118" s="122" t="s">
        <v>141</v>
      </c>
      <c r="B118" s="123">
        <f t="shared" ref="B118" si="174">SUM(B22,B28,B31:B32,B66,B68:B69,B71,B73,B119:B123,B155,B161,B167,B176,B178,B190,B197,B200:B201,B208,B210,B212,B216:B218,B220:B222,B227,B233:B234,B236:B238,B246,B251)</f>
        <v>147.89999999999998</v>
      </c>
      <c r="C118" s="123">
        <f>SUM(C22,C28,C31:C32,C66,C68:C69,C71,C73,C119:C123,C155,C161,C167,C176,C178,C190,C197,C200:C201,C208,C210,C212,C216:C218,C220:C222,C227,C233:C234,C236:C238,C246,C251)</f>
        <v>143.54</v>
      </c>
      <c r="D118" s="123">
        <f t="shared" ref="D118:O118" si="175">SUM(D22,D28,D31:D32,D66,D68:D69,D71,D73,D119:D123,D155,D161,D167,D176,D178,D190,D197,D200:D201,D208,D210,D212,D216:D218,D220:D222,D227,D233:D234,D236:D238,D246,D251)</f>
        <v>211.74</v>
      </c>
      <c r="E118" s="123">
        <f t="shared" si="175"/>
        <v>138.13999999999999</v>
      </c>
      <c r="F118" s="123">
        <f t="shared" si="175"/>
        <v>145.69999999999999</v>
      </c>
      <c r="G118" s="123">
        <f t="shared" si="175"/>
        <v>41.34</v>
      </c>
      <c r="H118" s="123">
        <f>SUM(H22,H28,H31:H32,H66,H68:H69,H71,H73,H119:H123,H155,H161,H167,H176,H178,H190,H197,H200:H201,H208,H210,H212,H216:H218,H220:H222,H227,H233:H234,H236:H238,H246,H251)</f>
        <v>62.64</v>
      </c>
      <c r="I118" s="123">
        <f t="shared" si="175"/>
        <v>110.74</v>
      </c>
      <c r="J118" s="123">
        <f t="shared" si="175"/>
        <v>195.84</v>
      </c>
      <c r="K118" s="123">
        <f t="shared" si="175"/>
        <v>189.69000000000003</v>
      </c>
      <c r="L118" s="123">
        <f t="shared" si="175"/>
        <v>359.64</v>
      </c>
      <c r="M118" s="123">
        <f t="shared" si="175"/>
        <v>216.14000000000001</v>
      </c>
      <c r="N118" s="123">
        <f t="shared" si="175"/>
        <v>216.14000000000001</v>
      </c>
      <c r="O118" s="123">
        <f t="shared" si="175"/>
        <v>322.85999999999996</v>
      </c>
      <c r="P118" s="123">
        <v>42</v>
      </c>
      <c r="Q118" s="123">
        <f t="shared" ref="Q118:V118" si="176">SUM(Q22,Q28,Q31:Q32,Q66,Q68:Q69,Q71,Q73,Q119:Q123,Q155,Q161,Q167,Q176,Q178,Q190,Q197,Q200:Q201,Q208,Q210,Q212,Q216:Q218,Q220:Q222,Q227,Q233:Q234,Q236:Q238,Q246,Q251)</f>
        <v>295.73100000000005</v>
      </c>
      <c r="R118" s="123">
        <f t="shared" si="176"/>
        <v>310.15100000000001</v>
      </c>
      <c r="S118" s="123">
        <f t="shared" ref="S118:T118" si="177">SUM(S22,S28,S31:S32,S66,S68:S69,S71,S73,S119:S123,S155,S161,S167,S176,S178,S190,S197,S200:S201,S208,S210,S212,S216:S218,S220:S222,S227,S233:S234,S236:S238,S246,S251)</f>
        <v>320.52</v>
      </c>
      <c r="T118" s="123">
        <f t="shared" si="177"/>
        <v>333.2</v>
      </c>
      <c r="U118" s="123">
        <f t="shared" ref="U118" si="178">SUM(U22,U28,U31:U32,U66,U68:U69,U71,U73,U119:U123,U155,U161,U167,U176,U178,U190,U197,U200:U201,U208,U210,U212,U216:U218,U220:U222,U227,U233:U234,U236:U238,U246,U251)</f>
        <v>350.68</v>
      </c>
      <c r="V118" s="123">
        <f t="shared" si="176"/>
        <v>337.3</v>
      </c>
      <c r="W118" s="123">
        <f t="shared" ref="W118:X118" si="179">SUM(W22,W28,W31:W32,W66,W68:W69,W71,W73,W119:W123,W155,W161,W167,W176,W178,W190,W197,W200:W201,W208,W210,W212,W216:W218,W220:W222,W227,W233:W234,W236:W238,W246,W251)</f>
        <v>337.3</v>
      </c>
      <c r="X118" s="123">
        <f t="shared" si="179"/>
        <v>351.8</v>
      </c>
      <c r="Y118" s="123">
        <f t="shared" ref="Y118:Z118" si="180">SUM(Y22,Y28,Y31:Y32,Y66,Y68:Y69,Y71,Y73,Y119:Y123,Y155,Y161,Y167,Y176,Y178,Y190,Y197,Y200:Y201,Y208,Y210,Y212,Y216:Y218,Y220:Y222,Y227,Y233:Y234,Y236:Y238,Y246,Y251)</f>
        <v>385.38000000000005</v>
      </c>
      <c r="Z118" s="123">
        <f t="shared" si="180"/>
        <v>391.47999999999996</v>
      </c>
      <c r="AA118" s="123">
        <f t="shared" ref="AA118:AB118" si="181">SUM(AA22,AA28,AA31:AA32,AA66,AA68:AA69,AA71,AA73,AA119:AA123,AA155,AA161,AA167,AA176,AA178,AA190,AA197,AA200:AA201,AA208,AA210,AA212,AA216:AA218,AA220:AA222,AA227,AA233:AA234,AA236:AA238,AA246,AA251)</f>
        <v>370.84</v>
      </c>
      <c r="AB118" s="123">
        <f t="shared" si="181"/>
        <v>311.33999999999997</v>
      </c>
      <c r="AC118" s="123">
        <f t="shared" ref="AC118:AD118" si="182">SUM(AC22,AC28,AC31:AC32,AC66,AC68:AC69,AC71,AC73,AC119:AC123,AC155,AC161,AC167,AC176,AC178,AC190,AC197,AC200:AC201,AC208,AC210,AC212,AC216:AC218,AC220:AC222,AC227,AC233:AC234,AC236:AC238,AC246,AC251)</f>
        <v>311.33999999999997</v>
      </c>
      <c r="AD118" s="123">
        <f t="shared" si="182"/>
        <v>259.33999999999997</v>
      </c>
      <c r="AE118" s="123">
        <f t="shared" ref="AE118:AF118" si="183">SUM(AE22,AE28,AE31:AE32,AE66,AE68:AE69,AE71,AE73,AE119:AE123,AE155,AE161,AE167,AE176,AE178,AE190,AE197,AE200:AE201,AE208,AE210,AE212,AE216:AE218,AE220:AE222,AE227,AE233:AE234,AE236:AE238,AE246,AE251)</f>
        <v>210.14</v>
      </c>
      <c r="AF118" s="123">
        <f t="shared" si="183"/>
        <v>158.34</v>
      </c>
      <c r="AG118" s="124"/>
      <c r="AH118" s="48">
        <f t="shared" si="73"/>
        <v>391.47999999999996</v>
      </c>
      <c r="AI118" s="49">
        <f t="shared" si="74"/>
        <v>41.34</v>
      </c>
    </row>
    <row r="119" spans="1:35" x14ac:dyDescent="0.25">
      <c r="A119" s="125" t="s">
        <v>142</v>
      </c>
      <c r="B119" s="126">
        <v>-26.1</v>
      </c>
      <c r="C119" s="126">
        <v>-25.6</v>
      </c>
      <c r="D119" s="126">
        <v>-23.8</v>
      </c>
      <c r="E119" s="126">
        <v>-27</v>
      </c>
      <c r="F119" s="126">
        <v>-28.7</v>
      </c>
      <c r="G119" s="126">
        <v>-28.3</v>
      </c>
      <c r="H119" s="126">
        <v>-8</v>
      </c>
      <c r="I119" s="126">
        <v>-2.7</v>
      </c>
      <c r="J119" s="126">
        <v>20.8</v>
      </c>
      <c r="K119" s="126">
        <v>14.2</v>
      </c>
      <c r="L119" s="126">
        <v>26.9</v>
      </c>
      <c r="M119" s="126">
        <v>25.1</v>
      </c>
      <c r="N119" s="126">
        <v>25.1</v>
      </c>
      <c r="O119" s="126">
        <v>22.3</v>
      </c>
      <c r="P119" s="126">
        <v>11.9</v>
      </c>
      <c r="Q119" s="126">
        <v>13.4</v>
      </c>
      <c r="R119" s="126">
        <v>7</v>
      </c>
      <c r="S119" s="126">
        <v>12.5</v>
      </c>
      <c r="T119" s="126">
        <v>14.2</v>
      </c>
      <c r="U119" s="126">
        <v>19.399999999999999</v>
      </c>
      <c r="V119" s="126">
        <v>14.4</v>
      </c>
      <c r="W119" s="126">
        <v>14.4</v>
      </c>
      <c r="X119" s="126">
        <v>14</v>
      </c>
      <c r="Y119" s="126">
        <v>19.5</v>
      </c>
      <c r="Z119" s="126">
        <v>36.1</v>
      </c>
      <c r="AA119" s="126">
        <v>32.299999999999997</v>
      </c>
      <c r="AB119" s="126">
        <v>6</v>
      </c>
      <c r="AC119" s="126">
        <v>6</v>
      </c>
      <c r="AD119" s="126">
        <v>5</v>
      </c>
      <c r="AE119" s="126">
        <v>-5</v>
      </c>
      <c r="AF119" s="126">
        <v>-20</v>
      </c>
      <c r="AG119" s="127">
        <v>75</v>
      </c>
      <c r="AH119" s="48">
        <f t="shared" si="73"/>
        <v>36.1</v>
      </c>
      <c r="AI119" s="49">
        <f t="shared" si="74"/>
        <v>-28.7</v>
      </c>
    </row>
    <row r="120" spans="1:35" x14ac:dyDescent="0.25">
      <c r="A120" s="128" t="s">
        <v>143</v>
      </c>
      <c r="B120" s="129">
        <v>-38.6</v>
      </c>
      <c r="C120" s="129">
        <v>-37</v>
      </c>
      <c r="D120" s="129">
        <v>36.5</v>
      </c>
      <c r="E120" s="129">
        <v>-41</v>
      </c>
      <c r="F120" s="129">
        <v>-43.3</v>
      </c>
      <c r="G120" s="129">
        <v>-41.2</v>
      </c>
      <c r="H120" s="129">
        <v>-40.200000000000003</v>
      </c>
      <c r="I120" s="129">
        <v>-9</v>
      </c>
      <c r="J120" s="129">
        <v>29.5</v>
      </c>
      <c r="K120" s="129">
        <v>20.2</v>
      </c>
      <c r="L120" s="129">
        <v>37.1</v>
      </c>
      <c r="M120" s="129">
        <v>35.9</v>
      </c>
      <c r="N120" s="129">
        <v>35.9</v>
      </c>
      <c r="O120" s="129">
        <v>28</v>
      </c>
      <c r="P120" s="129">
        <v>9.5</v>
      </c>
      <c r="Q120" s="129">
        <v>11.6</v>
      </c>
      <c r="R120" s="129">
        <v>8.8000000000000007</v>
      </c>
      <c r="S120" s="129">
        <v>12.6</v>
      </c>
      <c r="T120" s="129">
        <v>14.1</v>
      </c>
      <c r="U120" s="129">
        <v>21.3</v>
      </c>
      <c r="V120" s="129">
        <v>14.4</v>
      </c>
      <c r="W120" s="129">
        <v>14.4</v>
      </c>
      <c r="X120" s="129">
        <v>14.4</v>
      </c>
      <c r="Y120" s="129">
        <v>21.4</v>
      </c>
      <c r="Z120" s="129">
        <v>45.7</v>
      </c>
      <c r="AA120" s="129">
        <v>40.4</v>
      </c>
      <c r="AB120" s="129">
        <v>5</v>
      </c>
      <c r="AC120" s="129">
        <v>5</v>
      </c>
      <c r="AD120" s="129">
        <v>1</v>
      </c>
      <c r="AE120" s="129">
        <v>-13.5</v>
      </c>
      <c r="AF120" s="129">
        <v>-32</v>
      </c>
      <c r="AG120" s="127">
        <v>240</v>
      </c>
      <c r="AH120" s="48">
        <f t="shared" si="73"/>
        <v>45.7</v>
      </c>
      <c r="AI120" s="49">
        <f t="shared" si="74"/>
        <v>-43.3</v>
      </c>
    </row>
    <row r="121" spans="1:35" x14ac:dyDescent="0.25">
      <c r="A121" s="128" t="s">
        <v>144</v>
      </c>
      <c r="B121" s="129">
        <v>12.5</v>
      </c>
      <c r="C121" s="129">
        <v>11.6</v>
      </c>
      <c r="D121" s="129">
        <v>10.5</v>
      </c>
      <c r="E121" s="129">
        <f>10.3</f>
        <v>10.3</v>
      </c>
      <c r="F121" s="129">
        <f>6.7+7.6</f>
        <v>14.3</v>
      </c>
      <c r="G121" s="129">
        <f>11+12</f>
        <v>23</v>
      </c>
      <c r="H121" s="129">
        <f>11+12</f>
        <v>23</v>
      </c>
      <c r="I121" s="129">
        <f>12.6+13.7</f>
        <v>26.299999999999997</v>
      </c>
      <c r="J121" s="129">
        <f>19+21</f>
        <v>40</v>
      </c>
      <c r="K121" s="129">
        <f>23.85+26.3</f>
        <v>50.150000000000006</v>
      </c>
      <c r="L121" s="129">
        <f>22.1+24.1</f>
        <v>46.2</v>
      </c>
      <c r="M121" s="129">
        <v>44</v>
      </c>
      <c r="N121" s="129">
        <v>44</v>
      </c>
      <c r="O121" s="129">
        <v>28</v>
      </c>
      <c r="P121" s="129">
        <v>36</v>
      </c>
      <c r="Q121" s="129">
        <v>31</v>
      </c>
      <c r="R121" s="129">
        <v>36</v>
      </c>
      <c r="S121" s="129">
        <v>40</v>
      </c>
      <c r="T121" s="129">
        <v>40</v>
      </c>
      <c r="U121" s="129">
        <v>43</v>
      </c>
      <c r="V121" s="129">
        <v>51</v>
      </c>
      <c r="W121" s="129">
        <v>51</v>
      </c>
      <c r="X121" s="129">
        <v>60</v>
      </c>
      <c r="Y121" s="129">
        <v>65</v>
      </c>
      <c r="Z121" s="129">
        <v>49</v>
      </c>
      <c r="AA121" s="129">
        <v>44</v>
      </c>
      <c r="AB121" s="129">
        <v>50</v>
      </c>
      <c r="AC121" s="129">
        <v>50</v>
      </c>
      <c r="AD121" s="129">
        <v>24</v>
      </c>
      <c r="AE121" s="129">
        <v>8.3000000000000007</v>
      </c>
      <c r="AF121" s="129">
        <v>13</v>
      </c>
      <c r="AG121" s="127">
        <v>240</v>
      </c>
      <c r="AH121" s="48">
        <f t="shared" si="73"/>
        <v>65</v>
      </c>
      <c r="AI121" s="49">
        <f t="shared" si="74"/>
        <v>8.3000000000000007</v>
      </c>
    </row>
    <row r="122" spans="1:35" ht="15.75" thickBot="1" x14ac:dyDescent="0.3">
      <c r="A122" s="128" t="s">
        <v>145</v>
      </c>
      <c r="B122" s="129">
        <v>-4.5</v>
      </c>
      <c r="C122" s="129">
        <v>-1.5</v>
      </c>
      <c r="D122" s="129">
        <v>0.8</v>
      </c>
      <c r="E122" s="129">
        <v>-5.0999999999999996</v>
      </c>
      <c r="F122" s="129">
        <v>-4.0999999999999996</v>
      </c>
      <c r="G122" s="129">
        <v>1.7</v>
      </c>
      <c r="H122" s="129">
        <v>1.7</v>
      </c>
      <c r="I122" s="129">
        <v>10</v>
      </c>
      <c r="J122" s="129">
        <v>19</v>
      </c>
      <c r="K122" s="129">
        <v>19.8</v>
      </c>
      <c r="L122" s="129">
        <v>21.6</v>
      </c>
      <c r="M122" s="129">
        <v>22.3</v>
      </c>
      <c r="N122" s="129">
        <v>22.3</v>
      </c>
      <c r="O122" s="129">
        <v>11.4</v>
      </c>
      <c r="P122" s="129">
        <v>13</v>
      </c>
      <c r="Q122" s="129">
        <v>14.5</v>
      </c>
      <c r="R122" s="129">
        <v>20.100000000000001</v>
      </c>
      <c r="S122" s="129">
        <v>18.899999999999999</v>
      </c>
      <c r="T122" s="129">
        <v>14.7</v>
      </c>
      <c r="U122" s="129">
        <v>16.399999999999999</v>
      </c>
      <c r="V122" s="129">
        <v>29.4</v>
      </c>
      <c r="W122" s="129">
        <v>29.4</v>
      </c>
      <c r="X122" s="129">
        <v>24.7</v>
      </c>
      <c r="Y122" s="129">
        <v>26.7</v>
      </c>
      <c r="Z122" s="129">
        <v>27.1</v>
      </c>
      <c r="AA122" s="129">
        <v>26</v>
      </c>
      <c r="AB122" s="129">
        <v>23</v>
      </c>
      <c r="AC122" s="129">
        <v>23</v>
      </c>
      <c r="AD122" s="129">
        <v>7</v>
      </c>
      <c r="AE122" s="129">
        <v>3</v>
      </c>
      <c r="AF122" s="129">
        <v>0</v>
      </c>
      <c r="AG122" s="127">
        <v>60</v>
      </c>
      <c r="AH122" s="48">
        <f t="shared" si="73"/>
        <v>29.4</v>
      </c>
      <c r="AI122" s="49">
        <f t="shared" si="74"/>
        <v>-5.0999999999999996</v>
      </c>
    </row>
    <row r="123" spans="1:35" x14ac:dyDescent="0.25">
      <c r="A123" s="125" t="s">
        <v>146</v>
      </c>
      <c r="B123" s="130">
        <f>74.1*1.6</f>
        <v>118.56</v>
      </c>
      <c r="C123" s="130">
        <v>110</v>
      </c>
      <c r="D123" s="130">
        <f>63.5*1.6</f>
        <v>101.60000000000001</v>
      </c>
      <c r="E123" s="130">
        <f>70*1.64</f>
        <v>114.8</v>
      </c>
      <c r="F123" s="130">
        <f>74*1.64</f>
        <v>121.36</v>
      </c>
      <c r="G123" s="130"/>
      <c r="H123" s="130"/>
      <c r="I123" s="130"/>
      <c r="J123" s="130"/>
      <c r="K123" s="130"/>
      <c r="L123" s="130">
        <f>85*1.64</f>
        <v>139.4</v>
      </c>
      <c r="M123" s="130"/>
      <c r="N123" s="130"/>
      <c r="O123" s="130">
        <f>88*1.64</f>
        <v>144.32</v>
      </c>
      <c r="P123" s="130">
        <f>93*1.64</f>
        <v>152.51999999999998</v>
      </c>
      <c r="Q123" s="130">
        <f>85.7*1.63</f>
        <v>139.691</v>
      </c>
      <c r="R123" s="130">
        <f>89.7*1.63</f>
        <v>146.21099999999998</v>
      </c>
      <c r="S123" s="130">
        <f>92.8*1.6</f>
        <v>148.47999999999999</v>
      </c>
      <c r="T123" s="130">
        <f>101.1*1.6</f>
        <v>161.76</v>
      </c>
      <c r="U123" s="130">
        <f>102.9*1.6</f>
        <v>164.64000000000001</v>
      </c>
      <c r="V123" s="130">
        <f>87.6*1.6</f>
        <v>140.16</v>
      </c>
      <c r="W123" s="130">
        <f t="shared" ref="W123" si="184">87.6*1.6</f>
        <v>140.16</v>
      </c>
      <c r="X123" s="130">
        <f>94.6*1.6</f>
        <v>151.35999999999999</v>
      </c>
      <c r="Y123" s="130">
        <f>103.4*1.6</f>
        <v>165.44000000000003</v>
      </c>
      <c r="Z123" s="130">
        <f>91.4*1.6</f>
        <v>146.24</v>
      </c>
      <c r="AA123" s="130">
        <f>88*1.6</f>
        <v>140.80000000000001</v>
      </c>
      <c r="AB123" s="130">
        <v>140</v>
      </c>
      <c r="AC123" s="130">
        <v>140</v>
      </c>
      <c r="AD123" s="130">
        <v>135</v>
      </c>
      <c r="AE123" s="130">
        <v>130</v>
      </c>
      <c r="AF123" s="130">
        <v>110</v>
      </c>
      <c r="AG123" s="131">
        <v>120</v>
      </c>
      <c r="AH123" s="48">
        <f t="shared" si="73"/>
        <v>165.44000000000003</v>
      </c>
      <c r="AI123" s="49">
        <f t="shared" si="74"/>
        <v>101.60000000000001</v>
      </c>
    </row>
    <row r="124" spans="1:35" x14ac:dyDescent="0.25">
      <c r="A124" s="128" t="s">
        <v>147</v>
      </c>
      <c r="B124" s="130">
        <v>81.3</v>
      </c>
      <c r="C124" s="130">
        <v>76.2</v>
      </c>
      <c r="D124" s="130">
        <v>74.099999999999994</v>
      </c>
      <c r="E124" s="130">
        <v>78.599999999999994</v>
      </c>
      <c r="F124" s="130">
        <v>81.599999999999994</v>
      </c>
      <c r="G124" s="130">
        <v>86.3</v>
      </c>
      <c r="H124" s="130">
        <v>87</v>
      </c>
      <c r="I124" s="130">
        <v>88</v>
      </c>
      <c r="J124" s="130">
        <v>81</v>
      </c>
      <c r="K124" s="130">
        <v>91</v>
      </c>
      <c r="L124" s="130">
        <v>89.4</v>
      </c>
      <c r="M124" s="130">
        <v>91.7</v>
      </c>
      <c r="N124" s="130">
        <v>91.7</v>
      </c>
      <c r="O124" s="130">
        <v>93.8</v>
      </c>
      <c r="P124" s="130">
        <v>96</v>
      </c>
      <c r="Q124" s="130">
        <v>91.1</v>
      </c>
      <c r="R124" s="130">
        <v>99.3</v>
      </c>
      <c r="S124" s="130">
        <v>95.9</v>
      </c>
      <c r="T124" s="130">
        <v>102.7</v>
      </c>
      <c r="U124" s="130">
        <v>103.2</v>
      </c>
      <c r="V124" s="130">
        <v>92.5</v>
      </c>
      <c r="W124" s="130">
        <v>92.5</v>
      </c>
      <c r="X124" s="130">
        <v>98.1</v>
      </c>
      <c r="Y124" s="130">
        <v>105.7</v>
      </c>
      <c r="Z124" s="130">
        <v>96.3</v>
      </c>
      <c r="AA124" s="130">
        <v>93.9</v>
      </c>
      <c r="AB124" s="130">
        <v>100</v>
      </c>
      <c r="AC124" s="130">
        <v>100</v>
      </c>
      <c r="AD124" s="130">
        <v>94</v>
      </c>
      <c r="AE124" s="130">
        <v>90</v>
      </c>
      <c r="AF124" s="130">
        <v>88</v>
      </c>
      <c r="AG124" s="131"/>
      <c r="AH124" s="48"/>
      <c r="AI124" s="49"/>
    </row>
    <row r="125" spans="1:35" x14ac:dyDescent="0.25">
      <c r="A125" s="128" t="s">
        <v>148</v>
      </c>
      <c r="B125" s="130">
        <v>62</v>
      </c>
      <c r="C125" s="130">
        <v>69</v>
      </c>
      <c r="D125" s="130">
        <v>56.6</v>
      </c>
      <c r="E125" s="130">
        <v>63.4</v>
      </c>
      <c r="F125" s="130">
        <v>71</v>
      </c>
      <c r="G125" s="130">
        <v>58</v>
      </c>
      <c r="H125" s="130">
        <v>45</v>
      </c>
      <c r="I125" s="130">
        <v>35.799999999999997</v>
      </c>
      <c r="J125" s="130">
        <v>-18</v>
      </c>
      <c r="K125" s="130">
        <v>-9.6</v>
      </c>
      <c r="L125" s="130">
        <v>-24</v>
      </c>
      <c r="M125" s="130">
        <v>-22.4</v>
      </c>
      <c r="N125" s="130">
        <v>-22.4</v>
      </c>
      <c r="O125" s="130">
        <v>10.8</v>
      </c>
      <c r="P125" s="130">
        <v>46</v>
      </c>
      <c r="Q125" s="130">
        <v>44.4</v>
      </c>
      <c r="R125" s="130">
        <v>46.5</v>
      </c>
      <c r="S125" s="130">
        <v>42.8</v>
      </c>
      <c r="T125" s="130">
        <v>46.3</v>
      </c>
      <c r="U125" s="130">
        <v>39.5</v>
      </c>
      <c r="V125" s="130">
        <v>10.5</v>
      </c>
      <c r="W125" s="130">
        <v>10.5</v>
      </c>
      <c r="X125" s="130">
        <v>1.5</v>
      </c>
      <c r="Y125" s="130">
        <v>-1.3</v>
      </c>
      <c r="Z125" s="130">
        <v>-22.8</v>
      </c>
      <c r="AA125" s="130">
        <v>-14</v>
      </c>
      <c r="AB125" s="130">
        <v>-14</v>
      </c>
      <c r="AC125" s="130">
        <v>-14</v>
      </c>
      <c r="AD125" s="130">
        <v>39</v>
      </c>
      <c r="AE125" s="130">
        <v>49</v>
      </c>
      <c r="AF125" s="130">
        <v>73</v>
      </c>
      <c r="AG125" s="131"/>
      <c r="AH125" s="48"/>
      <c r="AI125" s="49"/>
    </row>
    <row r="126" spans="1:35" ht="15.75" thickBot="1" x14ac:dyDescent="0.3">
      <c r="A126" s="128" t="s">
        <v>149</v>
      </c>
      <c r="B126" s="130">
        <v>86.5</v>
      </c>
      <c r="C126" s="130">
        <v>83</v>
      </c>
      <c r="D126" s="130">
        <v>76.5</v>
      </c>
      <c r="E126" s="130">
        <v>81.599999999999994</v>
      </c>
      <c r="F126" s="130">
        <v>84</v>
      </c>
      <c r="G126" s="130">
        <v>87.5</v>
      </c>
      <c r="H126" s="130">
        <v>96</v>
      </c>
      <c r="I126" s="130">
        <v>98</v>
      </c>
      <c r="J126" s="130">
        <v>85.1</v>
      </c>
      <c r="K126" s="130">
        <v>92.5</v>
      </c>
      <c r="L126" s="130">
        <v>93.9</v>
      </c>
      <c r="M126" s="130">
        <v>89.5</v>
      </c>
      <c r="N126" s="130">
        <v>89.5</v>
      </c>
      <c r="O126" s="130">
        <v>104</v>
      </c>
      <c r="P126" s="130">
        <v>102</v>
      </c>
      <c r="Q126" s="130">
        <v>98.3</v>
      </c>
      <c r="R126" s="130">
        <v>105.4</v>
      </c>
      <c r="S126" s="130">
        <v>99.2</v>
      </c>
      <c r="T126" s="130">
        <v>106.3</v>
      </c>
      <c r="U126" s="130">
        <v>113.3</v>
      </c>
      <c r="V126" s="130">
        <v>93.3</v>
      </c>
      <c r="W126" s="130">
        <v>93.3</v>
      </c>
      <c r="X126" s="130">
        <v>99.5</v>
      </c>
      <c r="Y126" s="130">
        <v>103.4</v>
      </c>
      <c r="Z126" s="130">
        <v>81.3</v>
      </c>
      <c r="AA126" s="130">
        <v>83.6</v>
      </c>
      <c r="AB126" s="130">
        <v>83.6</v>
      </c>
      <c r="AC126" s="130">
        <v>83.6</v>
      </c>
      <c r="AD126" s="130">
        <v>93</v>
      </c>
      <c r="AE126" s="130">
        <v>94</v>
      </c>
      <c r="AF126" s="130">
        <v>96</v>
      </c>
      <c r="AG126" s="127"/>
      <c r="AH126" s="48">
        <f>MAX(B126:AF126)</f>
        <v>113.3</v>
      </c>
      <c r="AI126" s="49">
        <f>MIN(B126:AF126)</f>
        <v>76.5</v>
      </c>
    </row>
    <row r="127" spans="1:35" x14ac:dyDescent="0.25">
      <c r="A127" s="125" t="s">
        <v>305</v>
      </c>
      <c r="B127" s="130">
        <v>48.2</v>
      </c>
      <c r="C127" s="130">
        <v>42</v>
      </c>
      <c r="D127" s="130">
        <f>36.5</f>
        <v>36.5</v>
      </c>
      <c r="E127" s="130">
        <v>22.3</v>
      </c>
      <c r="F127" s="130">
        <v>24</v>
      </c>
      <c r="G127" s="130">
        <v>28.4</v>
      </c>
      <c r="H127" s="130">
        <v>28.4</v>
      </c>
      <c r="I127" s="130">
        <v>30</v>
      </c>
      <c r="J127" s="130">
        <v>18.5</v>
      </c>
      <c r="K127" s="130">
        <v>21.6</v>
      </c>
      <c r="L127" s="130">
        <v>18.5</v>
      </c>
      <c r="M127" s="130">
        <v>14.4</v>
      </c>
      <c r="N127" s="130">
        <v>14.4</v>
      </c>
      <c r="O127" s="130">
        <v>24</v>
      </c>
      <c r="P127" s="130">
        <v>38</v>
      </c>
      <c r="Q127" s="130">
        <v>-3.6</v>
      </c>
      <c r="R127" s="130">
        <v>3</v>
      </c>
      <c r="S127" s="130">
        <v>6.1</v>
      </c>
      <c r="T127" s="130">
        <v>0.8</v>
      </c>
      <c r="U127" s="130">
        <v>-3.7</v>
      </c>
      <c r="V127" s="130">
        <v>-3.3</v>
      </c>
      <c r="W127" s="130">
        <v>-3.3</v>
      </c>
      <c r="X127" s="130">
        <v>29.2</v>
      </c>
      <c r="Y127" s="130">
        <v>26.9</v>
      </c>
      <c r="Z127" s="130">
        <v>-48.9</v>
      </c>
      <c r="AA127" s="130">
        <v>-51.8</v>
      </c>
      <c r="AB127" s="130">
        <v>-51.8</v>
      </c>
      <c r="AC127" s="130">
        <v>-51.8</v>
      </c>
      <c r="AD127" s="130">
        <v>-39</v>
      </c>
      <c r="AE127" s="130">
        <v>-39</v>
      </c>
      <c r="AF127" s="130">
        <v>26</v>
      </c>
      <c r="AG127" s="127"/>
      <c r="AH127" s="48">
        <f>MAX(B127:AF127)</f>
        <v>48.2</v>
      </c>
      <c r="AI127" s="49">
        <f>MIN(B127:AF127)</f>
        <v>-51.8</v>
      </c>
    </row>
    <row r="128" spans="1:35" x14ac:dyDescent="0.25">
      <c r="A128" s="128" t="s">
        <v>151</v>
      </c>
      <c r="B128" s="118">
        <v>1.7</v>
      </c>
      <c r="C128" s="118">
        <v>4.5</v>
      </c>
      <c r="D128" s="118">
        <v>6.3</v>
      </c>
      <c r="E128" s="118">
        <v>11.6</v>
      </c>
      <c r="F128" s="118">
        <v>16.5</v>
      </c>
      <c r="G128" s="118">
        <v>20.3</v>
      </c>
      <c r="H128" s="118">
        <v>20.3</v>
      </c>
      <c r="I128" s="118">
        <v>13</v>
      </c>
      <c r="J128" s="118">
        <v>5.7</v>
      </c>
      <c r="K128" s="118">
        <v>-3.1</v>
      </c>
      <c r="L128" s="118">
        <v>-4.5999999999999996</v>
      </c>
      <c r="M128" s="118">
        <v>0.5</v>
      </c>
      <c r="N128" s="118">
        <v>0.5</v>
      </c>
      <c r="O128" s="118">
        <v>34</v>
      </c>
      <c r="P128" s="118">
        <v>52</v>
      </c>
      <c r="Q128" s="118">
        <v>42.4</v>
      </c>
      <c r="R128" s="118">
        <v>54.5</v>
      </c>
      <c r="S128" s="118">
        <v>58.1</v>
      </c>
      <c r="T128" s="118">
        <v>60.1</v>
      </c>
      <c r="U128" s="118">
        <v>55.7</v>
      </c>
      <c r="V128" s="118">
        <v>30.4</v>
      </c>
      <c r="W128" s="118">
        <v>30.4</v>
      </c>
      <c r="X128" s="118">
        <v>41.4</v>
      </c>
      <c r="Y128" s="118">
        <v>31</v>
      </c>
      <c r="Z128" s="118">
        <v>33.1</v>
      </c>
      <c r="AA128" s="118">
        <v>35.700000000000003</v>
      </c>
      <c r="AB128" s="118">
        <v>35.700000000000003</v>
      </c>
      <c r="AC128" s="118">
        <v>35.700000000000003</v>
      </c>
      <c r="AD128" s="118">
        <v>42</v>
      </c>
      <c r="AE128" s="118">
        <v>42</v>
      </c>
      <c r="AF128" s="118">
        <v>51</v>
      </c>
      <c r="AG128" s="127"/>
      <c r="AH128" s="48">
        <f>MAX(B128:AF128)</f>
        <v>60.1</v>
      </c>
      <c r="AI128" s="49">
        <f>MIN(B128:AF128)</f>
        <v>-4.5999999999999996</v>
      </c>
    </row>
    <row r="129" spans="1:37" x14ac:dyDescent="0.25">
      <c r="A129" s="128" t="s">
        <v>306</v>
      </c>
      <c r="B129" s="118">
        <v>68.2</v>
      </c>
      <c r="C129" s="118">
        <v>58</v>
      </c>
      <c r="D129" s="118">
        <v>46.7</v>
      </c>
      <c r="E129" s="118">
        <v>38.9</v>
      </c>
      <c r="F129" s="118">
        <v>42.9</v>
      </c>
      <c r="G129" s="118">
        <v>39.200000000000003</v>
      </c>
      <c r="H129" s="118">
        <v>39.200000000000003</v>
      </c>
      <c r="I129" s="118">
        <v>42</v>
      </c>
      <c r="J129" s="118">
        <v>29.3</v>
      </c>
      <c r="K129" s="118">
        <v>38</v>
      </c>
      <c r="L129" s="118">
        <v>56.6</v>
      </c>
      <c r="M129" s="118">
        <v>55.7</v>
      </c>
      <c r="N129" s="118">
        <v>55.7</v>
      </c>
      <c r="O129" s="118">
        <v>44</v>
      </c>
      <c r="P129" s="118">
        <v>33.6</v>
      </c>
      <c r="Q129" s="118">
        <v>36.299999999999997</v>
      </c>
      <c r="R129" s="118">
        <v>29.7</v>
      </c>
      <c r="S129" s="118">
        <v>44.6</v>
      </c>
      <c r="T129" s="118">
        <v>37</v>
      </c>
      <c r="U129" s="118">
        <v>42.4</v>
      </c>
      <c r="V129" s="118">
        <v>47.8</v>
      </c>
      <c r="W129" s="118">
        <v>47.8</v>
      </c>
      <c r="X129" s="118">
        <v>49.4</v>
      </c>
      <c r="Y129" s="118">
        <v>73.41</v>
      </c>
      <c r="Z129" s="118">
        <v>71.5</v>
      </c>
      <c r="AA129" s="118">
        <v>62.7</v>
      </c>
      <c r="AB129" s="118">
        <v>62.7</v>
      </c>
      <c r="AC129" s="118">
        <v>62.7</v>
      </c>
      <c r="AD129" s="118">
        <v>61</v>
      </c>
      <c r="AE129" s="118">
        <v>61</v>
      </c>
      <c r="AF129" s="118">
        <v>74</v>
      </c>
      <c r="AG129" s="127"/>
      <c r="AH129" s="48">
        <f>MAX(B129:AF129)</f>
        <v>74</v>
      </c>
      <c r="AI129" s="49">
        <f>MIN(B129:AF129)</f>
        <v>29.3</v>
      </c>
    </row>
    <row r="130" spans="1:37" ht="15.75" thickBot="1" x14ac:dyDescent="0.3">
      <c r="A130" s="128" t="s">
        <v>153</v>
      </c>
      <c r="B130" s="118">
        <v>69.2</v>
      </c>
      <c r="C130" s="118">
        <v>62</v>
      </c>
      <c r="D130" s="118">
        <v>58.9</v>
      </c>
      <c r="E130" s="118">
        <v>58</v>
      </c>
      <c r="F130" s="118">
        <v>59</v>
      </c>
      <c r="G130" s="118">
        <v>52.6</v>
      </c>
      <c r="H130" s="118">
        <v>56</v>
      </c>
      <c r="I130" s="118">
        <v>54</v>
      </c>
      <c r="J130" s="118">
        <v>62.9</v>
      </c>
      <c r="K130" s="118">
        <v>59.9</v>
      </c>
      <c r="L130" s="118">
        <v>78.7</v>
      </c>
      <c r="M130" s="118">
        <v>81.8</v>
      </c>
      <c r="N130" s="118">
        <v>81.8</v>
      </c>
      <c r="O130" s="118">
        <v>65.599999999999994</v>
      </c>
      <c r="P130" s="118">
        <v>56</v>
      </c>
      <c r="Q130" s="118">
        <v>56.8</v>
      </c>
      <c r="R130" s="118">
        <v>49.2</v>
      </c>
      <c r="S130" s="118">
        <v>68</v>
      </c>
      <c r="T130" s="118">
        <v>59.2</v>
      </c>
      <c r="U130" s="118">
        <v>55.4</v>
      </c>
      <c r="V130" s="118">
        <v>65.8</v>
      </c>
      <c r="W130" s="118">
        <v>65.8</v>
      </c>
      <c r="X130" s="118">
        <v>64.900000000000006</v>
      </c>
      <c r="Y130" s="118">
        <v>86.4</v>
      </c>
      <c r="Z130" s="118">
        <v>88.5</v>
      </c>
      <c r="AA130" s="118">
        <v>68.599999999999994</v>
      </c>
      <c r="AB130" s="118">
        <v>68.599999999999994</v>
      </c>
      <c r="AC130" s="118">
        <v>68.599999999999994</v>
      </c>
      <c r="AD130" s="118">
        <v>77</v>
      </c>
      <c r="AE130" s="118">
        <v>77</v>
      </c>
      <c r="AF130" s="118">
        <v>60</v>
      </c>
      <c r="AG130" s="127"/>
      <c r="AH130" s="48">
        <f>MAX(B130:AF130)</f>
        <v>88.5</v>
      </c>
      <c r="AI130" s="49">
        <f>MIN(B130:AF130)</f>
        <v>49.2</v>
      </c>
    </row>
    <row r="131" spans="1:37" x14ac:dyDescent="0.25">
      <c r="A131" s="132" t="s">
        <v>154</v>
      </c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4"/>
      <c r="AG131" s="44"/>
      <c r="AH131" s="48"/>
      <c r="AI131" s="49"/>
    </row>
    <row r="132" spans="1:37" x14ac:dyDescent="0.25">
      <c r="A132" s="135" t="s">
        <v>155</v>
      </c>
      <c r="B132" s="136">
        <v>1985.12</v>
      </c>
      <c r="C132" s="136">
        <v>1985.3</v>
      </c>
      <c r="D132" s="136">
        <v>1985.5</v>
      </c>
      <c r="E132" s="136">
        <v>1985.68</v>
      </c>
      <c r="F132" s="136">
        <v>1985.83</v>
      </c>
      <c r="G132" s="136">
        <v>1986</v>
      </c>
      <c r="H132" s="136"/>
      <c r="I132" s="136">
        <v>1986.2</v>
      </c>
      <c r="J132" s="136"/>
      <c r="K132" s="136">
        <v>1986.31</v>
      </c>
      <c r="L132" s="136"/>
      <c r="M132" s="136">
        <v>1986.43</v>
      </c>
      <c r="N132" s="136">
        <v>1986.46</v>
      </c>
      <c r="O132" s="136">
        <v>1986.38</v>
      </c>
      <c r="P132" s="136">
        <v>1986.46</v>
      </c>
      <c r="Q132" s="136">
        <v>1986.51</v>
      </c>
      <c r="R132" s="136"/>
      <c r="S132" s="136">
        <v>1986.51</v>
      </c>
      <c r="T132" s="136">
        <v>1986.6</v>
      </c>
      <c r="U132" s="136">
        <v>1986.58</v>
      </c>
      <c r="V132" s="136">
        <v>1986.56</v>
      </c>
      <c r="W132" s="136"/>
      <c r="X132" s="136">
        <v>1987.37</v>
      </c>
      <c r="Y132" s="136"/>
      <c r="Z132" s="136">
        <v>1986.22</v>
      </c>
      <c r="AA132" s="136"/>
      <c r="AB132" s="136"/>
      <c r="AC132" s="136">
        <v>1985.74</v>
      </c>
      <c r="AD132" s="136"/>
      <c r="AE132" s="136">
        <v>1985.32</v>
      </c>
      <c r="AF132" s="137">
        <v>1985.54</v>
      </c>
      <c r="AG132" s="138"/>
      <c r="AH132" s="48"/>
      <c r="AI132" s="49"/>
    </row>
    <row r="133" spans="1:37" x14ac:dyDescent="0.25">
      <c r="A133" s="135" t="s">
        <v>156</v>
      </c>
      <c r="B133" s="139">
        <v>519.58000000000004</v>
      </c>
      <c r="C133" s="139">
        <v>519.82000000000005</v>
      </c>
      <c r="D133" s="139">
        <v>520.16</v>
      </c>
      <c r="E133" s="139">
        <v>520.53</v>
      </c>
      <c r="F133" s="139">
        <v>520.83000000000004</v>
      </c>
      <c r="G133" s="139">
        <v>521.13</v>
      </c>
      <c r="H133" s="139"/>
      <c r="I133" s="139">
        <v>521.41</v>
      </c>
      <c r="J133" s="139"/>
      <c r="K133" s="139">
        <v>521.28</v>
      </c>
      <c r="L133" s="139"/>
      <c r="M133" s="139">
        <v>521.16</v>
      </c>
      <c r="N133" s="139">
        <v>521.04999999999995</v>
      </c>
      <c r="O133" s="139">
        <v>520.97</v>
      </c>
      <c r="P133" s="139">
        <v>520.79</v>
      </c>
      <c r="Q133" s="139">
        <v>520.64</v>
      </c>
      <c r="R133" s="139"/>
      <c r="S133" s="139">
        <v>520.44000000000005</v>
      </c>
      <c r="T133" s="139">
        <v>520.33000000000004</v>
      </c>
      <c r="U133" s="139">
        <v>520.07000000000005</v>
      </c>
      <c r="V133" s="139">
        <v>519.87</v>
      </c>
      <c r="W133" s="139"/>
      <c r="X133" s="139">
        <v>519.79999999999995</v>
      </c>
      <c r="Y133" s="139"/>
      <c r="Z133" s="139">
        <v>519.54999999999995</v>
      </c>
      <c r="AA133" s="139"/>
      <c r="AB133" s="139"/>
      <c r="AC133" s="139">
        <v>518.97</v>
      </c>
      <c r="AD133" s="139"/>
      <c r="AE133" s="139"/>
      <c r="AF133" s="140"/>
      <c r="AG133" s="138"/>
      <c r="AH133" s="48"/>
      <c r="AI133" s="49"/>
    </row>
    <row r="134" spans="1:37" x14ac:dyDescent="0.25">
      <c r="A134" s="135" t="s">
        <v>158</v>
      </c>
      <c r="B134" s="139"/>
      <c r="C134" s="139"/>
      <c r="D134" s="139">
        <v>336.32</v>
      </c>
      <c r="E134" s="139">
        <v>623.91999999999996</v>
      </c>
      <c r="F134" s="139">
        <v>624.20000000000005</v>
      </c>
      <c r="G134" s="139">
        <v>624.46</v>
      </c>
      <c r="H134" s="139"/>
      <c r="I134" s="139">
        <v>624.54</v>
      </c>
      <c r="J134" s="139"/>
      <c r="K134" s="139">
        <v>624.20000000000005</v>
      </c>
      <c r="L134" s="139"/>
      <c r="M134" s="139">
        <v>623.84</v>
      </c>
      <c r="N134" s="139">
        <v>623.69000000000005</v>
      </c>
      <c r="O134" s="139">
        <v>623.49</v>
      </c>
      <c r="P134" s="139">
        <v>623.03</v>
      </c>
      <c r="Q134" s="139">
        <v>622.99</v>
      </c>
      <c r="R134" s="139"/>
      <c r="S134" s="139">
        <v>623.24</v>
      </c>
      <c r="T134" s="139">
        <v>623.19000000000005</v>
      </c>
      <c r="U134" s="139">
        <v>623.11</v>
      </c>
      <c r="V134" s="139">
        <v>623</v>
      </c>
      <c r="W134" s="139"/>
      <c r="X134" s="139">
        <v>623.05999999999995</v>
      </c>
      <c r="Y134" s="139"/>
      <c r="Z134" s="139">
        <v>622.85</v>
      </c>
      <c r="AA134" s="139"/>
      <c r="AB134" s="139"/>
      <c r="AC134" s="139">
        <v>621.58000000000004</v>
      </c>
      <c r="AD134" s="139">
        <v>621.54999999999995</v>
      </c>
      <c r="AE134" s="139">
        <v>621.25</v>
      </c>
      <c r="AF134" s="140">
        <v>622.11</v>
      </c>
      <c r="AG134" s="138"/>
      <c r="AH134" s="48"/>
      <c r="AI134" s="49"/>
    </row>
    <row r="135" spans="1:37" x14ac:dyDescent="0.25">
      <c r="A135" s="135" t="s">
        <v>159</v>
      </c>
      <c r="B135" s="139">
        <v>335.29</v>
      </c>
      <c r="C135" s="139">
        <v>335.79</v>
      </c>
      <c r="D135" s="139">
        <v>336.32</v>
      </c>
      <c r="E135" s="139">
        <v>336.77</v>
      </c>
      <c r="F135" s="139">
        <v>337.07</v>
      </c>
      <c r="G135" s="139">
        <v>337.29</v>
      </c>
      <c r="H135" s="139"/>
      <c r="I135" s="139"/>
      <c r="J135" s="139"/>
      <c r="K135" s="139">
        <v>337.05</v>
      </c>
      <c r="L135" s="139"/>
      <c r="M135" s="139">
        <v>336.76</v>
      </c>
      <c r="N135" s="139">
        <v>336.32</v>
      </c>
      <c r="O135" s="139">
        <v>335.97</v>
      </c>
      <c r="P135" s="139">
        <v>335.59</v>
      </c>
      <c r="Q135" s="139">
        <v>335.29</v>
      </c>
      <c r="R135" s="139"/>
      <c r="S135" s="139">
        <v>335.36</v>
      </c>
      <c r="T135" s="139">
        <v>335.6</v>
      </c>
      <c r="U135" s="139">
        <v>335.84</v>
      </c>
      <c r="V135" s="139">
        <v>335.93</v>
      </c>
      <c r="W135" s="139"/>
      <c r="X135" s="139">
        <v>335.93</v>
      </c>
      <c r="Y135" s="139"/>
      <c r="Z135" s="139">
        <v>335.78</v>
      </c>
      <c r="AA135" s="139"/>
      <c r="AB135" s="139"/>
      <c r="AC135" s="139">
        <v>335.17</v>
      </c>
      <c r="AD135" s="139"/>
      <c r="AE135" s="139"/>
      <c r="AF135" s="140"/>
      <c r="AG135" s="138"/>
      <c r="AH135" s="48"/>
      <c r="AI135" s="49"/>
    </row>
    <row r="136" spans="1:37" x14ac:dyDescent="0.25">
      <c r="A136" s="135" t="s">
        <v>160</v>
      </c>
      <c r="B136" s="139">
        <v>884</v>
      </c>
      <c r="C136" s="139">
        <v>884.5</v>
      </c>
      <c r="D136" s="139">
        <v>885.1</v>
      </c>
      <c r="E136" s="139">
        <v>885.7</v>
      </c>
      <c r="F136" s="139"/>
      <c r="G136" s="139">
        <v>886.7</v>
      </c>
      <c r="H136" s="139"/>
      <c r="I136" s="139">
        <v>887.2</v>
      </c>
      <c r="J136" s="139"/>
      <c r="K136" s="139">
        <v>887.2</v>
      </c>
      <c r="L136" s="139"/>
      <c r="M136" s="139">
        <v>887</v>
      </c>
      <c r="N136" s="139">
        <v>887</v>
      </c>
      <c r="O136" s="139">
        <v>887</v>
      </c>
      <c r="P136" s="139">
        <v>886.9</v>
      </c>
      <c r="Q136" s="139">
        <v>886.7</v>
      </c>
      <c r="R136" s="139"/>
      <c r="S136" s="139">
        <v>886.4</v>
      </c>
      <c r="T136" s="139">
        <v>886.1</v>
      </c>
      <c r="U136" s="139">
        <v>886</v>
      </c>
      <c r="V136" s="139">
        <v>885.8</v>
      </c>
      <c r="W136" s="139"/>
      <c r="X136" s="139">
        <v>885.5</v>
      </c>
      <c r="Y136" s="139"/>
      <c r="Z136" s="139">
        <v>884.3</v>
      </c>
      <c r="AA136" s="139"/>
      <c r="AB136" s="139"/>
      <c r="AC136" s="139">
        <v>884.5</v>
      </c>
      <c r="AD136" s="139"/>
      <c r="AE136" s="139"/>
      <c r="AF136" s="140"/>
      <c r="AG136" s="138"/>
      <c r="AH136" s="48"/>
      <c r="AI136" s="49"/>
    </row>
    <row r="137" spans="1:37" ht="15.75" thickBot="1" x14ac:dyDescent="0.3">
      <c r="A137" s="135" t="s">
        <v>161</v>
      </c>
      <c r="B137" s="141"/>
      <c r="C137" s="141"/>
      <c r="D137" s="141"/>
      <c r="E137" s="141"/>
      <c r="F137" s="141"/>
      <c r="G137" s="141"/>
      <c r="H137" s="141"/>
      <c r="I137" s="141">
        <v>1519.53</v>
      </c>
      <c r="J137" s="141"/>
      <c r="K137" s="141"/>
      <c r="L137" s="141"/>
      <c r="M137" s="141"/>
      <c r="N137" s="141"/>
      <c r="O137" s="141"/>
      <c r="P137" s="141"/>
      <c r="Q137" s="141"/>
      <c r="R137" s="141">
        <v>1519.54</v>
      </c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  <c r="AF137" s="142"/>
      <c r="AG137" s="138"/>
      <c r="AH137" s="48"/>
      <c r="AI137" s="49"/>
    </row>
    <row r="138" spans="1:37" ht="15.75" thickBot="1" x14ac:dyDescent="0.3">
      <c r="A138" s="143" t="s">
        <v>162</v>
      </c>
      <c r="B138" s="144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185">SUM(B139:B243)</f>
        <v>0</v>
      </c>
      <c r="C244" s="160">
        <f t="shared" si="185"/>
        <v>0</v>
      </c>
      <c r="D244" s="160">
        <f t="shared" si="185"/>
        <v>0</v>
      </c>
      <c r="E244" s="160">
        <f t="shared" si="185"/>
        <v>0</v>
      </c>
      <c r="F244" s="160">
        <f t="shared" si="185"/>
        <v>0</v>
      </c>
      <c r="G244" s="160">
        <f t="shared" si="185"/>
        <v>0</v>
      </c>
      <c r="H244" s="160">
        <f t="shared" si="185"/>
        <v>0</v>
      </c>
      <c r="I244" s="160">
        <f t="shared" si="185"/>
        <v>0</v>
      </c>
      <c r="J244" s="160">
        <f t="shared" si="185"/>
        <v>0</v>
      </c>
      <c r="K244" s="160">
        <f t="shared" si="185"/>
        <v>0</v>
      </c>
      <c r="L244" s="160">
        <f t="shared" si="185"/>
        <v>0</v>
      </c>
      <c r="M244" s="160">
        <f t="shared" si="185"/>
        <v>0</v>
      </c>
      <c r="N244" s="160">
        <f t="shared" si="185"/>
        <v>0</v>
      </c>
      <c r="O244" s="160">
        <f t="shared" si="185"/>
        <v>0</v>
      </c>
      <c r="P244" s="160">
        <f t="shared" si="185"/>
        <v>0</v>
      </c>
      <c r="Q244" s="160">
        <f t="shared" si="185"/>
        <v>0</v>
      </c>
      <c r="R244" s="160">
        <f t="shared" si="185"/>
        <v>0</v>
      </c>
      <c r="S244" s="160">
        <f t="shared" si="185"/>
        <v>0</v>
      </c>
      <c r="T244" s="160">
        <f t="shared" si="185"/>
        <v>0</v>
      </c>
      <c r="U244" s="160">
        <f t="shared" si="185"/>
        <v>0</v>
      </c>
      <c r="V244" s="160">
        <f t="shared" si="185"/>
        <v>0</v>
      </c>
      <c r="W244" s="160">
        <f t="shared" si="185"/>
        <v>0</v>
      </c>
      <c r="X244" s="160">
        <f t="shared" si="185"/>
        <v>0</v>
      </c>
      <c r="Y244" s="160">
        <f t="shared" si="185"/>
        <v>0</v>
      </c>
      <c r="Z244" s="160">
        <f t="shared" si="185"/>
        <v>0</v>
      </c>
      <c r="AA244" s="160">
        <f t="shared" si="185"/>
        <v>0</v>
      </c>
      <c r="AB244" s="160">
        <f t="shared" si="185"/>
        <v>0</v>
      </c>
      <c r="AC244" s="160">
        <f t="shared" si="185"/>
        <v>0</v>
      </c>
      <c r="AD244" s="160">
        <f t="shared" si="185"/>
        <v>0</v>
      </c>
      <c r="AE244" s="160">
        <f t="shared" si="185"/>
        <v>0</v>
      </c>
      <c r="AF244" s="161">
        <f t="shared" si="185"/>
        <v>0</v>
      </c>
      <c r="AG244" s="162">
        <f t="shared" si="185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186">AF246</f>
        <v>0.3</v>
      </c>
      <c r="C246" s="165">
        <v>0.3</v>
      </c>
      <c r="D246" s="165">
        <f t="shared" ref="D246:S251" si="187">C246</f>
        <v>0.3</v>
      </c>
      <c r="E246" s="165">
        <f t="shared" si="187"/>
        <v>0.3</v>
      </c>
      <c r="F246" s="165">
        <f t="shared" si="187"/>
        <v>0.3</v>
      </c>
      <c r="G246" s="165">
        <f t="shared" si="187"/>
        <v>0.3</v>
      </c>
      <c r="H246" s="165">
        <f t="shared" si="187"/>
        <v>0.3</v>
      </c>
      <c r="I246" s="165">
        <f t="shared" si="187"/>
        <v>0.3</v>
      </c>
      <c r="J246" s="165">
        <f t="shared" si="187"/>
        <v>0.3</v>
      </c>
      <c r="K246" s="165">
        <f t="shared" si="187"/>
        <v>0.3</v>
      </c>
      <c r="L246" s="165">
        <f t="shared" si="187"/>
        <v>0.3</v>
      </c>
      <c r="M246" s="165">
        <f t="shared" si="187"/>
        <v>0.3</v>
      </c>
      <c r="N246" s="165">
        <f t="shared" si="187"/>
        <v>0.3</v>
      </c>
      <c r="O246" s="165">
        <f t="shared" si="187"/>
        <v>0.3</v>
      </c>
      <c r="P246" s="165">
        <f t="shared" si="187"/>
        <v>0.3</v>
      </c>
      <c r="Q246" s="165">
        <f t="shared" si="187"/>
        <v>0.3</v>
      </c>
      <c r="R246" s="165">
        <f t="shared" si="187"/>
        <v>0.3</v>
      </c>
      <c r="S246" s="165">
        <f t="shared" si="187"/>
        <v>0.3</v>
      </c>
      <c r="T246" s="165">
        <f t="shared" ref="T246:AF251" si="188">S246</f>
        <v>0.3</v>
      </c>
      <c r="U246" s="165">
        <f t="shared" si="188"/>
        <v>0.3</v>
      </c>
      <c r="V246" s="165">
        <f t="shared" si="188"/>
        <v>0.3</v>
      </c>
      <c r="W246" s="165">
        <f t="shared" si="188"/>
        <v>0.3</v>
      </c>
      <c r="X246" s="165">
        <f t="shared" si="188"/>
        <v>0.3</v>
      </c>
      <c r="Y246" s="165">
        <f t="shared" si="188"/>
        <v>0.3</v>
      </c>
      <c r="Z246" s="165">
        <f t="shared" si="188"/>
        <v>0.3</v>
      </c>
      <c r="AA246" s="165">
        <f t="shared" si="188"/>
        <v>0.3</v>
      </c>
      <c r="AB246" s="165">
        <f t="shared" si="188"/>
        <v>0.3</v>
      </c>
      <c r="AC246" s="165">
        <f t="shared" si="188"/>
        <v>0.3</v>
      </c>
      <c r="AD246" s="165">
        <f t="shared" si="188"/>
        <v>0.3</v>
      </c>
      <c r="AE246" s="165">
        <f t="shared" si="188"/>
        <v>0.3</v>
      </c>
      <c r="AF246" s="165">
        <f t="shared" si="188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186"/>
        <v>0.4</v>
      </c>
      <c r="C247" s="151">
        <v>0.4</v>
      </c>
      <c r="D247" s="151">
        <f t="shared" si="187"/>
        <v>0.4</v>
      </c>
      <c r="E247" s="151">
        <f t="shared" si="187"/>
        <v>0.4</v>
      </c>
      <c r="F247" s="151">
        <f t="shared" si="187"/>
        <v>0.4</v>
      </c>
      <c r="G247" s="151">
        <f t="shared" si="187"/>
        <v>0.4</v>
      </c>
      <c r="H247" s="151">
        <f t="shared" si="187"/>
        <v>0.4</v>
      </c>
      <c r="I247" s="151">
        <f t="shared" si="187"/>
        <v>0.4</v>
      </c>
      <c r="J247" s="151">
        <f t="shared" si="187"/>
        <v>0.4</v>
      </c>
      <c r="K247" s="151">
        <f t="shared" si="187"/>
        <v>0.4</v>
      </c>
      <c r="L247" s="151">
        <f t="shared" si="187"/>
        <v>0.4</v>
      </c>
      <c r="M247" s="151">
        <f t="shared" si="187"/>
        <v>0.4</v>
      </c>
      <c r="N247" s="151">
        <f t="shared" si="187"/>
        <v>0.4</v>
      </c>
      <c r="O247" s="151">
        <f t="shared" si="187"/>
        <v>0.4</v>
      </c>
      <c r="P247" s="151">
        <f t="shared" si="187"/>
        <v>0.4</v>
      </c>
      <c r="Q247" s="151">
        <f t="shared" si="187"/>
        <v>0.4</v>
      </c>
      <c r="R247" s="151">
        <f t="shared" si="187"/>
        <v>0.4</v>
      </c>
      <c r="S247" s="151">
        <f t="shared" si="187"/>
        <v>0.4</v>
      </c>
      <c r="T247" s="151">
        <f t="shared" si="188"/>
        <v>0.4</v>
      </c>
      <c r="U247" s="151">
        <f t="shared" si="188"/>
        <v>0.4</v>
      </c>
      <c r="V247" s="151">
        <f t="shared" si="188"/>
        <v>0.4</v>
      </c>
      <c r="W247" s="151">
        <f t="shared" si="188"/>
        <v>0.4</v>
      </c>
      <c r="X247" s="151">
        <f t="shared" si="188"/>
        <v>0.4</v>
      </c>
      <c r="Y247" s="151">
        <f t="shared" si="188"/>
        <v>0.4</v>
      </c>
      <c r="Z247" s="151">
        <f t="shared" si="188"/>
        <v>0.4</v>
      </c>
      <c r="AA247" s="151">
        <f t="shared" si="188"/>
        <v>0.4</v>
      </c>
      <c r="AB247" s="151">
        <f t="shared" si="188"/>
        <v>0.4</v>
      </c>
      <c r="AC247" s="151">
        <f t="shared" si="188"/>
        <v>0.4</v>
      </c>
      <c r="AD247" s="151">
        <f t="shared" si="188"/>
        <v>0.4</v>
      </c>
      <c r="AE247" s="151">
        <f t="shared" si="188"/>
        <v>0.4</v>
      </c>
      <c r="AF247" s="151">
        <f t="shared" si="188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186"/>
        <v>1.5</v>
      </c>
      <c r="C248" s="151">
        <v>1.5</v>
      </c>
      <c r="D248" s="151">
        <f t="shared" si="187"/>
        <v>1.5</v>
      </c>
      <c r="E248" s="151">
        <f t="shared" si="187"/>
        <v>1.5</v>
      </c>
      <c r="F248" s="151">
        <f t="shared" si="187"/>
        <v>1.5</v>
      </c>
      <c r="G248" s="151">
        <f t="shared" si="187"/>
        <v>1.5</v>
      </c>
      <c r="H248" s="151">
        <f t="shared" si="187"/>
        <v>1.5</v>
      </c>
      <c r="I248" s="151">
        <f t="shared" si="187"/>
        <v>1.5</v>
      </c>
      <c r="J248" s="151">
        <f t="shared" si="187"/>
        <v>1.5</v>
      </c>
      <c r="K248" s="151">
        <f t="shared" si="187"/>
        <v>1.5</v>
      </c>
      <c r="L248" s="151">
        <f t="shared" si="187"/>
        <v>1.5</v>
      </c>
      <c r="M248" s="151">
        <f t="shared" si="187"/>
        <v>1.5</v>
      </c>
      <c r="N248" s="151">
        <f t="shared" si="187"/>
        <v>1.5</v>
      </c>
      <c r="O248" s="151">
        <f t="shared" si="187"/>
        <v>1.5</v>
      </c>
      <c r="P248" s="151">
        <f t="shared" si="187"/>
        <v>1.5</v>
      </c>
      <c r="Q248" s="151">
        <f t="shared" si="187"/>
        <v>1.5</v>
      </c>
      <c r="R248" s="151">
        <f t="shared" si="187"/>
        <v>1.5</v>
      </c>
      <c r="S248" s="151">
        <f t="shared" si="187"/>
        <v>1.5</v>
      </c>
      <c r="T248" s="151">
        <f t="shared" si="188"/>
        <v>1.5</v>
      </c>
      <c r="U248" s="151">
        <f t="shared" si="188"/>
        <v>1.5</v>
      </c>
      <c r="V248" s="151">
        <f t="shared" si="188"/>
        <v>1.5</v>
      </c>
      <c r="W248" s="151">
        <f t="shared" si="188"/>
        <v>1.5</v>
      </c>
      <c r="X248" s="151">
        <f t="shared" si="188"/>
        <v>1.5</v>
      </c>
      <c r="Y248" s="151">
        <f t="shared" si="188"/>
        <v>1.5</v>
      </c>
      <c r="Z248" s="151">
        <f t="shared" si="188"/>
        <v>1.5</v>
      </c>
      <c r="AA248" s="151">
        <f t="shared" si="188"/>
        <v>1.5</v>
      </c>
      <c r="AB248" s="151">
        <f t="shared" si="188"/>
        <v>1.5</v>
      </c>
      <c r="AC248" s="151">
        <f t="shared" si="188"/>
        <v>1.5</v>
      </c>
      <c r="AD248" s="151">
        <f t="shared" si="188"/>
        <v>1.5</v>
      </c>
      <c r="AE248" s="151">
        <f t="shared" si="188"/>
        <v>1.5</v>
      </c>
      <c r="AF248" s="151">
        <f t="shared" si="188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186"/>
        <v>0.3</v>
      </c>
      <c r="C249" s="151">
        <v>0.3</v>
      </c>
      <c r="D249" s="151">
        <f t="shared" si="187"/>
        <v>0.3</v>
      </c>
      <c r="E249" s="151">
        <f t="shared" si="187"/>
        <v>0.3</v>
      </c>
      <c r="F249" s="151">
        <f t="shared" si="187"/>
        <v>0.3</v>
      </c>
      <c r="G249" s="151">
        <f t="shared" si="187"/>
        <v>0.3</v>
      </c>
      <c r="H249" s="151">
        <f t="shared" si="187"/>
        <v>0.3</v>
      </c>
      <c r="I249" s="151">
        <f t="shared" si="187"/>
        <v>0.3</v>
      </c>
      <c r="J249" s="151">
        <f t="shared" si="187"/>
        <v>0.3</v>
      </c>
      <c r="K249" s="151">
        <f t="shared" si="187"/>
        <v>0.3</v>
      </c>
      <c r="L249" s="151">
        <f t="shared" si="187"/>
        <v>0.3</v>
      </c>
      <c r="M249" s="151">
        <f t="shared" si="187"/>
        <v>0.3</v>
      </c>
      <c r="N249" s="151">
        <f t="shared" si="187"/>
        <v>0.3</v>
      </c>
      <c r="O249" s="151">
        <f t="shared" si="187"/>
        <v>0.3</v>
      </c>
      <c r="P249" s="151">
        <f t="shared" si="187"/>
        <v>0.3</v>
      </c>
      <c r="Q249" s="151">
        <f t="shared" si="187"/>
        <v>0.3</v>
      </c>
      <c r="R249" s="151">
        <f t="shared" si="187"/>
        <v>0.3</v>
      </c>
      <c r="S249" s="151">
        <f t="shared" si="187"/>
        <v>0.3</v>
      </c>
      <c r="T249" s="151">
        <f t="shared" si="188"/>
        <v>0.3</v>
      </c>
      <c r="U249" s="151">
        <f t="shared" si="188"/>
        <v>0.3</v>
      </c>
      <c r="V249" s="151">
        <f t="shared" si="188"/>
        <v>0.3</v>
      </c>
      <c r="W249" s="151">
        <f t="shared" si="188"/>
        <v>0.3</v>
      </c>
      <c r="X249" s="151">
        <f t="shared" si="188"/>
        <v>0.3</v>
      </c>
      <c r="Y249" s="151">
        <f t="shared" si="188"/>
        <v>0.3</v>
      </c>
      <c r="Z249" s="151">
        <f t="shared" si="188"/>
        <v>0.3</v>
      </c>
      <c r="AA249" s="151">
        <f t="shared" si="188"/>
        <v>0.3</v>
      </c>
      <c r="AB249" s="151">
        <f t="shared" si="188"/>
        <v>0.3</v>
      </c>
      <c r="AC249" s="151">
        <f t="shared" si="188"/>
        <v>0.3</v>
      </c>
      <c r="AD249" s="151">
        <f t="shared" si="188"/>
        <v>0.3</v>
      </c>
      <c r="AE249" s="151">
        <f t="shared" si="188"/>
        <v>0.3</v>
      </c>
      <c r="AF249" s="151">
        <f t="shared" si="188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186"/>
        <v>0.4</v>
      </c>
      <c r="C250" s="151">
        <v>0.4</v>
      </c>
      <c r="D250" s="151">
        <f t="shared" si="187"/>
        <v>0.4</v>
      </c>
      <c r="E250" s="151">
        <f t="shared" si="187"/>
        <v>0.4</v>
      </c>
      <c r="F250" s="151">
        <f t="shared" si="187"/>
        <v>0.4</v>
      </c>
      <c r="G250" s="151">
        <f t="shared" si="187"/>
        <v>0.4</v>
      </c>
      <c r="H250" s="151">
        <f t="shared" si="187"/>
        <v>0.4</v>
      </c>
      <c r="I250" s="151">
        <f t="shared" si="187"/>
        <v>0.4</v>
      </c>
      <c r="J250" s="151">
        <f t="shared" si="187"/>
        <v>0.4</v>
      </c>
      <c r="K250" s="151">
        <f t="shared" si="187"/>
        <v>0.4</v>
      </c>
      <c r="L250" s="151">
        <f t="shared" si="187"/>
        <v>0.4</v>
      </c>
      <c r="M250" s="151">
        <f t="shared" si="187"/>
        <v>0.4</v>
      </c>
      <c r="N250" s="151">
        <f t="shared" si="187"/>
        <v>0.4</v>
      </c>
      <c r="O250" s="151">
        <f t="shared" si="187"/>
        <v>0.4</v>
      </c>
      <c r="P250" s="151">
        <f t="shared" si="187"/>
        <v>0.4</v>
      </c>
      <c r="Q250" s="151">
        <f t="shared" si="187"/>
        <v>0.4</v>
      </c>
      <c r="R250" s="151">
        <f t="shared" si="187"/>
        <v>0.4</v>
      </c>
      <c r="S250" s="151">
        <f t="shared" si="187"/>
        <v>0.4</v>
      </c>
      <c r="T250" s="151">
        <f t="shared" si="188"/>
        <v>0.4</v>
      </c>
      <c r="U250" s="151">
        <f t="shared" si="188"/>
        <v>0.4</v>
      </c>
      <c r="V250" s="151">
        <f t="shared" si="188"/>
        <v>0.4</v>
      </c>
      <c r="W250" s="151">
        <f t="shared" si="188"/>
        <v>0.4</v>
      </c>
      <c r="X250" s="151">
        <f t="shared" si="188"/>
        <v>0.4</v>
      </c>
      <c r="Y250" s="151">
        <f t="shared" si="188"/>
        <v>0.4</v>
      </c>
      <c r="Z250" s="151">
        <f t="shared" si="188"/>
        <v>0.4</v>
      </c>
      <c r="AA250" s="151">
        <f t="shared" si="188"/>
        <v>0.4</v>
      </c>
      <c r="AB250" s="151">
        <f t="shared" si="188"/>
        <v>0.4</v>
      </c>
      <c r="AC250" s="151">
        <f t="shared" si="188"/>
        <v>0.4</v>
      </c>
      <c r="AD250" s="151">
        <f t="shared" si="188"/>
        <v>0.4</v>
      </c>
      <c r="AE250" s="151">
        <f t="shared" si="188"/>
        <v>0.4</v>
      </c>
      <c r="AF250" s="151">
        <f t="shared" si="188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186"/>
        <v>0.64</v>
      </c>
      <c r="C251" s="156">
        <v>0.64</v>
      </c>
      <c r="D251" s="156">
        <f t="shared" si="187"/>
        <v>0.64</v>
      </c>
      <c r="E251" s="156">
        <f t="shared" si="187"/>
        <v>0.64</v>
      </c>
      <c r="F251" s="156">
        <f t="shared" si="187"/>
        <v>0.64</v>
      </c>
      <c r="G251" s="156">
        <f t="shared" si="187"/>
        <v>0.64</v>
      </c>
      <c r="H251" s="156">
        <f t="shared" si="187"/>
        <v>0.64</v>
      </c>
      <c r="I251" s="156">
        <f t="shared" si="187"/>
        <v>0.64</v>
      </c>
      <c r="J251" s="156">
        <f t="shared" si="187"/>
        <v>0.64</v>
      </c>
      <c r="K251" s="156">
        <f t="shared" si="187"/>
        <v>0.64</v>
      </c>
      <c r="L251" s="156">
        <f t="shared" si="187"/>
        <v>0.64</v>
      </c>
      <c r="M251" s="156">
        <f t="shared" si="187"/>
        <v>0.64</v>
      </c>
      <c r="N251" s="156">
        <f t="shared" si="187"/>
        <v>0.64</v>
      </c>
      <c r="O251" s="156">
        <f t="shared" si="187"/>
        <v>0.64</v>
      </c>
      <c r="P251" s="156">
        <f t="shared" si="187"/>
        <v>0.64</v>
      </c>
      <c r="Q251" s="156">
        <f t="shared" si="187"/>
        <v>0.64</v>
      </c>
      <c r="R251" s="156">
        <f t="shared" si="187"/>
        <v>0.64</v>
      </c>
      <c r="S251" s="156">
        <f t="shared" si="187"/>
        <v>0.64</v>
      </c>
      <c r="T251" s="156">
        <f t="shared" si="188"/>
        <v>0.64</v>
      </c>
      <c r="U251" s="156">
        <f t="shared" si="188"/>
        <v>0.64</v>
      </c>
      <c r="V251" s="156">
        <f t="shared" si="188"/>
        <v>0.64</v>
      </c>
      <c r="W251" s="156">
        <f t="shared" si="188"/>
        <v>0.64</v>
      </c>
      <c r="X251" s="156">
        <f t="shared" si="188"/>
        <v>0.64</v>
      </c>
      <c r="Y251" s="156">
        <f t="shared" si="188"/>
        <v>0.64</v>
      </c>
      <c r="Z251" s="156">
        <f t="shared" si="188"/>
        <v>0.64</v>
      </c>
      <c r="AA251" s="156">
        <f t="shared" si="188"/>
        <v>0.64</v>
      </c>
      <c r="AB251" s="156">
        <f t="shared" si="188"/>
        <v>0.64</v>
      </c>
      <c r="AC251" s="156">
        <f t="shared" si="188"/>
        <v>0.64</v>
      </c>
      <c r="AD251" s="156">
        <f t="shared" si="188"/>
        <v>0.64</v>
      </c>
      <c r="AE251" s="156">
        <f t="shared" si="188"/>
        <v>0.64</v>
      </c>
      <c r="AF251" s="156">
        <f t="shared" si="188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189">SUM(B246:B251)</f>
        <v>3.54</v>
      </c>
      <c r="C252" s="160">
        <f t="shared" si="189"/>
        <v>3.54</v>
      </c>
      <c r="D252" s="160">
        <f t="shared" si="189"/>
        <v>3.54</v>
      </c>
      <c r="E252" s="160">
        <f t="shared" si="189"/>
        <v>3.54</v>
      </c>
      <c r="F252" s="160">
        <f t="shared" si="189"/>
        <v>3.54</v>
      </c>
      <c r="G252" s="160">
        <f t="shared" si="189"/>
        <v>3.54</v>
      </c>
      <c r="H252" s="160">
        <f t="shared" si="189"/>
        <v>3.54</v>
      </c>
      <c r="I252" s="160">
        <f t="shared" si="189"/>
        <v>3.54</v>
      </c>
      <c r="J252" s="160">
        <f t="shared" si="189"/>
        <v>3.54</v>
      </c>
      <c r="K252" s="160">
        <f t="shared" si="189"/>
        <v>3.54</v>
      </c>
      <c r="L252" s="160">
        <f t="shared" si="189"/>
        <v>3.54</v>
      </c>
      <c r="M252" s="160">
        <f t="shared" si="189"/>
        <v>3.54</v>
      </c>
      <c r="N252" s="160">
        <f t="shared" si="189"/>
        <v>3.54</v>
      </c>
      <c r="O252" s="160">
        <f t="shared" si="189"/>
        <v>3.54</v>
      </c>
      <c r="P252" s="160">
        <f t="shared" si="189"/>
        <v>3.54</v>
      </c>
      <c r="Q252" s="160">
        <f t="shared" si="189"/>
        <v>3.54</v>
      </c>
      <c r="R252" s="160">
        <f t="shared" si="189"/>
        <v>3.54</v>
      </c>
      <c r="S252" s="160">
        <f t="shared" si="189"/>
        <v>3.54</v>
      </c>
      <c r="T252" s="160">
        <f t="shared" si="189"/>
        <v>3.54</v>
      </c>
      <c r="U252" s="160">
        <f t="shared" si="189"/>
        <v>3.54</v>
      </c>
      <c r="V252" s="160">
        <f t="shared" si="189"/>
        <v>3.54</v>
      </c>
      <c r="W252" s="160">
        <f t="shared" si="189"/>
        <v>3.54</v>
      </c>
      <c r="X252" s="160">
        <f t="shared" si="189"/>
        <v>3.54</v>
      </c>
      <c r="Y252" s="160">
        <f t="shared" si="189"/>
        <v>3.54</v>
      </c>
      <c r="Z252" s="160">
        <f t="shared" si="189"/>
        <v>3.54</v>
      </c>
      <c r="AA252" s="160">
        <f t="shared" si="189"/>
        <v>3.54</v>
      </c>
      <c r="AB252" s="160">
        <f t="shared" si="189"/>
        <v>3.54</v>
      </c>
      <c r="AC252" s="160">
        <f t="shared" si="189"/>
        <v>3.54</v>
      </c>
      <c r="AD252" s="160">
        <f t="shared" si="189"/>
        <v>3.54</v>
      </c>
      <c r="AE252" s="160">
        <f t="shared" si="189"/>
        <v>3.54</v>
      </c>
      <c r="AF252" s="160">
        <f t="shared" si="189"/>
        <v>3.54</v>
      </c>
      <c r="AG252" s="170">
        <f t="shared" si="189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1496.5900000000001</v>
      </c>
      <c r="C256" s="173">
        <f>INDEX(G9:N9,1,MATCH(MAX(G99:N99),G99:N99,0))</f>
        <v>0.3125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2080/10/8)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3107" priority="120">
      <formula>$AH11=0</formula>
    </cfRule>
  </conditionalFormatting>
  <conditionalFormatting sqref="A132:A253">
    <cfRule type="expression" dxfId="3106" priority="121">
      <formula>$AH132=0</formula>
    </cfRule>
  </conditionalFormatting>
  <conditionalFormatting sqref="B8">
    <cfRule type="expression" dxfId="3105" priority="182">
      <formula>C$9&gt;=20/24</formula>
    </cfRule>
    <cfRule type="expression" dxfId="3104" priority="179">
      <formula>AND(C$9&gt;=14/24,C$9&lt;20/24)</formula>
    </cfRule>
    <cfRule type="expression" dxfId="3103" priority="180">
      <formula>AND(C$9&gt;=8/24,C$9&lt;14/24)</formula>
    </cfRule>
    <cfRule type="expression" dxfId="3102" priority="181">
      <formula>C$9&lt;8/24</formula>
    </cfRule>
  </conditionalFormatting>
  <conditionalFormatting sqref="B56:D57">
    <cfRule type="expression" dxfId="3101" priority="15">
      <formula>B$9&gt;=20/24</formula>
    </cfRule>
    <cfRule type="expression" dxfId="3100" priority="26">
      <formula>B$9&lt;8/24</formula>
    </cfRule>
    <cfRule type="expression" dxfId="3099" priority="16">
      <formula>AND(B$9&gt;=14/24,B$9&lt;20/24)</formula>
    </cfRule>
    <cfRule type="expression" dxfId="3098" priority="17">
      <formula>AND(B$9&gt;=8/24,B$9&lt;14/24)</formula>
    </cfRule>
  </conditionalFormatting>
  <conditionalFormatting sqref="B59:D68">
    <cfRule type="expression" dxfId="3097" priority="18">
      <formula>B$9&gt;=20/24</formula>
    </cfRule>
    <cfRule type="expression" dxfId="3096" priority="19">
      <formula>AND(B$9&gt;=14/24,B$9&lt;20/24)</formula>
    </cfRule>
    <cfRule type="expression" dxfId="3095" priority="20">
      <formula>AND(B$9&gt;=8/24,B$9&lt;14/24)</formula>
    </cfRule>
    <cfRule type="expression" dxfId="3094" priority="21">
      <formula>B$9&lt;8/24</formula>
    </cfRule>
  </conditionalFormatting>
  <conditionalFormatting sqref="B11:E11">
    <cfRule type="expression" dxfId="3093" priority="10">
      <formula>B11&gt;$AG11</formula>
    </cfRule>
    <cfRule type="expression" dxfId="3092" priority="11">
      <formula>B$9&gt;=20/24</formula>
    </cfRule>
    <cfRule type="expression" dxfId="3091" priority="12">
      <formula>AND(B$9&gt;=14/24,B$9&lt;20/24)</formula>
    </cfRule>
    <cfRule type="expression" dxfId="3090" priority="13">
      <formula>AND(B$9&gt;=8/24,B$9&lt;14/24)</formula>
    </cfRule>
    <cfRule type="expression" dxfId="3089" priority="14">
      <formula>B$9&lt;8/24</formula>
    </cfRule>
  </conditionalFormatting>
  <conditionalFormatting sqref="B68:J68">
    <cfRule type="expression" dxfId="3088" priority="27">
      <formula>B$9&gt;=20/24</formula>
    </cfRule>
    <cfRule type="expression" dxfId="3087" priority="28">
      <formula>AND(B$9&gt;=14/24,B$9&lt;20/24)</formula>
    </cfRule>
    <cfRule type="expression" dxfId="3086" priority="29">
      <formula>AND(B$9&gt;=8/24,B$9&lt;14/24)</formula>
    </cfRule>
    <cfRule type="expression" dxfId="3085" priority="30">
      <formula>B$9&lt;8/24</formula>
    </cfRule>
  </conditionalFormatting>
  <conditionalFormatting sqref="B12:K52 L13:Y52 B69:Q74 R71:Y74 B77:D99 B101:AF117 B119:AF137">
    <cfRule type="expression" dxfId="3084" priority="6">
      <formula>AND(B$9&gt;=14/24,B$9&lt;20/24)</formula>
    </cfRule>
    <cfRule type="expression" dxfId="3083" priority="7">
      <formula>AND(B$9&gt;=8/24,B$9&lt;14/24)</formula>
    </cfRule>
    <cfRule type="expression" dxfId="3082" priority="8">
      <formula>B$9&lt;8/24</formula>
    </cfRule>
    <cfRule type="expression" dxfId="3081" priority="5">
      <formula>B$9&gt;=20/24</formula>
    </cfRule>
  </conditionalFormatting>
  <conditionalFormatting sqref="B53:Y55">
    <cfRule type="expression" dxfId="3080" priority="2">
      <formula>AND(B$9&gt;=14/24,B$9&lt;20/24)</formula>
    </cfRule>
    <cfRule type="expression" dxfId="3079" priority="3">
      <formula>AND(B$9&gt;=8/24,B$9&lt;14/24)</formula>
    </cfRule>
    <cfRule type="expression" dxfId="3078" priority="9">
      <formula>B$9&lt;8/24</formula>
    </cfRule>
    <cfRule type="expression" dxfId="3077" priority="1">
      <formula>B$9&gt;=20/24</formula>
    </cfRule>
  </conditionalFormatting>
  <conditionalFormatting sqref="B9:AF10 R69:Y70 Z69:AF74 E77:AF99 B244:AF244 B246:B252">
    <cfRule type="expression" dxfId="3076" priority="72">
      <formula>AND(B$9&gt;=14/24,B$9&lt;20/24)</formula>
    </cfRule>
    <cfRule type="expression" dxfId="3075" priority="73">
      <formula>AND(B$9&gt;=8/24,B$9&lt;14/24)</formula>
    </cfRule>
    <cfRule type="expression" dxfId="3074" priority="74">
      <formula>B$9&lt;8/24</formula>
    </cfRule>
  </conditionalFormatting>
  <conditionalFormatting sqref="D246:AF252">
    <cfRule type="expression" dxfId="3073" priority="167">
      <formula>D$9&lt;8/24</formula>
    </cfRule>
    <cfRule type="expression" dxfId="3072" priority="166">
      <formula>AND(D$9&gt;=8/24,D$9&lt;14/24)</formula>
    </cfRule>
    <cfRule type="expression" dxfId="3071" priority="165">
      <formula>AND(D$9&gt;=14/24,D$9&lt;20/24)</formula>
    </cfRule>
    <cfRule type="expression" dxfId="3070" priority="164">
      <formula>D$9&gt;=20/24</formula>
    </cfRule>
  </conditionalFormatting>
  <conditionalFormatting sqref="E67:J68">
    <cfRule type="expression" dxfId="3069" priority="25">
      <formula>E$9&lt;8/24</formula>
    </cfRule>
    <cfRule type="expression" dxfId="3068" priority="22">
      <formula>E$9&gt;=20/24</formula>
    </cfRule>
    <cfRule type="expression" dxfId="3067" priority="24">
      <formula>AND(E$9&gt;=8/24,E$9&lt;14/24)</formula>
    </cfRule>
    <cfRule type="expression" dxfId="3066" priority="23">
      <formula>AND(E$9&gt;=14/24,E$9&lt;20/24)</formula>
    </cfRule>
  </conditionalFormatting>
  <conditionalFormatting sqref="E12:K55 B12:D80 L13:Y55 E67:J74 K69:Q74 R71:Y74">
    <cfRule type="expression" dxfId="3065" priority="4">
      <formula>B12&gt;$AG12</formula>
    </cfRule>
  </conditionalFormatting>
  <conditionalFormatting sqref="E11:L11 M11:Y12 Z11:AF52 L12">
    <cfRule type="expression" dxfId="3064" priority="88">
      <formula>E11&gt;$AG11</formula>
    </cfRule>
    <cfRule type="expression" dxfId="3063" priority="89">
      <formula>E$9&gt;=20/24</formula>
    </cfRule>
    <cfRule type="expression" dxfId="3062" priority="92">
      <formula>E$9&lt;8/24</formula>
    </cfRule>
    <cfRule type="expression" dxfId="3061" priority="91">
      <formula>AND(E$9&gt;=8/24,E$9&lt;14/24)</formula>
    </cfRule>
    <cfRule type="expression" dxfId="3060" priority="90">
      <formula>AND(E$9&gt;=14/24,E$9&lt;20/24)</formula>
    </cfRule>
  </conditionalFormatting>
  <conditionalFormatting sqref="E56:Y56">
    <cfRule type="expression" dxfId="3059" priority="75">
      <formula>E56&gt;$AG56</formula>
    </cfRule>
  </conditionalFormatting>
  <conditionalFormatting sqref="E56:Y57">
    <cfRule type="expression" dxfId="3058" priority="83">
      <formula>E$9&lt;8/24</formula>
    </cfRule>
    <cfRule type="expression" dxfId="3057" priority="76">
      <formula>E$9&gt;=20/24</formula>
    </cfRule>
    <cfRule type="expression" dxfId="3056" priority="77">
      <formula>AND(E$9&gt;=14/24,E$9&lt;20/24)</formula>
    </cfRule>
    <cfRule type="expression" dxfId="3055" priority="78">
      <formula>AND(E$9&gt;=8/24,E$9&lt;14/24)</formula>
    </cfRule>
  </conditionalFormatting>
  <conditionalFormatting sqref="E59:AF62">
    <cfRule type="expression" dxfId="3054" priority="101">
      <formula>E$9&lt;8/24</formula>
    </cfRule>
    <cfRule type="expression" dxfId="3053" priority="99">
      <formula>AND(E$9&gt;=14/24,E$9&lt;20/24)</formula>
    </cfRule>
    <cfRule type="expression" dxfId="3052" priority="100">
      <formula>AND(E$9&gt;=8/24,E$9&lt;14/24)</formula>
    </cfRule>
    <cfRule type="expression" dxfId="3051" priority="98">
      <formula>E$9&gt;=20/24</formula>
    </cfRule>
  </conditionalFormatting>
  <conditionalFormatting sqref="I63:I65 E63:H66 J64:J65 I66:J66 K67">
    <cfRule type="expression" dxfId="3050" priority="85">
      <formula>AND(E$9&gt;=14/24,E$9&lt;20/24)</formula>
    </cfRule>
    <cfRule type="expression" dxfId="3049" priority="87">
      <formula>E$9&lt;8/24</formula>
    </cfRule>
    <cfRule type="expression" dxfId="3048" priority="86">
      <formula>AND(E$9&gt;=8/24,E$9&lt;14/24)</formula>
    </cfRule>
    <cfRule type="expression" dxfId="3047" priority="84">
      <formula>E$9&gt;=20/24</formula>
    </cfRule>
  </conditionalFormatting>
  <conditionalFormatting sqref="I63:L65">
    <cfRule type="expression" dxfId="3046" priority="113">
      <formula>AND(I$9&gt;=14/24,I$9&lt;20/24)</formula>
    </cfRule>
    <cfRule type="expression" dxfId="3045" priority="114">
      <formula>AND(I$9&gt;=8/24,I$9&lt;14/24)</formula>
    </cfRule>
    <cfRule type="expression" dxfId="3044" priority="115">
      <formula>I$9&lt;8/24</formula>
    </cfRule>
    <cfRule type="expression" dxfId="3043" priority="112">
      <formula>I$9&gt;=20/24</formula>
    </cfRule>
  </conditionalFormatting>
  <conditionalFormatting sqref="K68:L68">
    <cfRule type="expression" dxfId="3042" priority="79">
      <formula>K$9&gt;=20/24</formula>
    </cfRule>
    <cfRule type="expression" dxfId="3041" priority="82">
      <formula>K$9&lt;8/24</formula>
    </cfRule>
    <cfRule type="expression" dxfId="3040" priority="81">
      <formula>AND(K$9&gt;=8/24,K$9&lt;14/24)</formula>
    </cfRule>
    <cfRule type="expression" dxfId="3039" priority="80">
      <formula>AND(K$9&gt;=14/24,K$9&lt;20/24)</formula>
    </cfRule>
  </conditionalFormatting>
  <conditionalFormatting sqref="M8 S8 AB8">
    <cfRule type="expression" dxfId="3038" priority="171">
      <formula>AND(N$9&gt;=14/24,N$9&lt;20/24)</formula>
    </cfRule>
    <cfRule type="expression" dxfId="3037" priority="172">
      <formula>AND(N$9&gt;=8/24,N$9&lt;14/24)</formula>
    </cfRule>
    <cfRule type="expression" dxfId="3036" priority="173">
      <formula>N$9&lt;8/24</formula>
    </cfRule>
  </conditionalFormatting>
  <conditionalFormatting sqref="M63:AF68">
    <cfRule type="expression" dxfId="3035" priority="102">
      <formula>M$9&gt;=20/24</formula>
    </cfRule>
    <cfRule type="expression" dxfId="3034" priority="103">
      <formula>AND(M$9&gt;=14/24,M$9&lt;20/24)</formula>
    </cfRule>
    <cfRule type="expression" dxfId="3033" priority="104">
      <formula>AND(M$9&gt;=8/24,M$9&lt;14/24)</formula>
    </cfRule>
    <cfRule type="expression" dxfId="3032" priority="105">
      <formula>M$9&lt;8/24</formula>
    </cfRule>
  </conditionalFormatting>
  <conditionalFormatting sqref="O3:P3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R69:Y70 Z69:AF74 E77:AF99 B9:AF10 B244:AF244 B246:B252">
    <cfRule type="expression" dxfId="3031" priority="71">
      <formula>B$9&gt;=20/24</formula>
    </cfRule>
  </conditionalFormatting>
  <conditionalFormatting sqref="S8 AB8 M8">
    <cfRule type="expression" dxfId="3030" priority="170">
      <formula>N$9&gt;=20/24</formula>
    </cfRule>
  </conditionalFormatting>
  <conditionalFormatting sqref="S8">
    <cfRule type="expression" dxfId="3029" priority="160">
      <formula>U$9&lt;8/24</formula>
    </cfRule>
    <cfRule type="expression" dxfId="3028" priority="159">
      <formula>AND(U$9&gt;=8/24,U$9&lt;14/24)</formula>
    </cfRule>
    <cfRule type="expression" dxfId="3027" priority="157">
      <formula>U$9&gt;=20/24</formula>
    </cfRule>
    <cfRule type="expression" dxfId="3026" priority="158">
      <formula>AND(U$9&gt;=14/24,U$9&lt;20/24)</formula>
    </cfRule>
  </conditionalFormatting>
  <conditionalFormatting sqref="V3 AB3">
    <cfRule type="iconSet" priority="169">
      <iconSet iconSet="3TrafficLights2" reverse="1">
        <cfvo type="percent" val="0"/>
        <cfvo type="num" val="1"/>
        <cfvo type="num" val="1"/>
      </iconSet>
    </cfRule>
  </conditionalFormatting>
  <conditionalFormatting sqref="Z53:AF54">
    <cfRule type="expression" dxfId="3025" priority="69">
      <formula>AND(Z$9&gt;=8/24,Z$9&lt;14/24)</formula>
    </cfRule>
    <cfRule type="expression" dxfId="3024" priority="68">
      <formula>AND(Z$9&gt;=14/24,Z$9&lt;20/24)</formula>
    </cfRule>
    <cfRule type="expression" dxfId="3023" priority="67">
      <formula>Z$9&gt;=20/24</formula>
    </cfRule>
  </conditionalFormatting>
  <conditionalFormatting sqref="Z53:AF55">
    <cfRule type="expression" dxfId="3022" priority="107">
      <formula>Z53&gt;$AG53</formula>
    </cfRule>
  </conditionalFormatting>
  <conditionalFormatting sqref="Z53:AF57">
    <cfRule type="expression" dxfId="3021" priority="106">
      <formula>Z$9&lt;8/24</formula>
    </cfRule>
  </conditionalFormatting>
  <conditionalFormatting sqref="Z55:AF57">
    <cfRule type="expression" dxfId="3020" priority="94">
      <formula>Z$9&gt;=20/24</formula>
    </cfRule>
    <cfRule type="expression" dxfId="3019" priority="95">
      <formula>AND(Z$9&gt;=14/24,Z$9&lt;20/24)</formula>
    </cfRule>
    <cfRule type="expression" dxfId="3018" priority="96">
      <formula>AND(Z$9&gt;=8/24,Z$9&lt;14/24)</formula>
    </cfRule>
  </conditionalFormatting>
  <conditionalFormatting sqref="Z56:AF80 G57:R62 E57:F66 S57:Y70 AG62 I63:N65 G63:H66 Q63:R67 O63:P68 I66:J66 K66:N68 Q68 R68:R70 E75:Y80 AG80">
    <cfRule type="expression" dxfId="3017" priority="70">
      <formula>E56&gt;$AG56</formula>
    </cfRule>
  </conditionalFormatting>
  <conditionalFormatting sqref="AB8">
    <cfRule type="expression" dxfId="3016" priority="154">
      <formula>AND(AD$9&gt;=14/24,AD$9&lt;20/24)</formula>
    </cfRule>
    <cfRule type="expression" dxfId="3015" priority="153">
      <formula>AD$9&gt;=20/24</formula>
    </cfRule>
    <cfRule type="expression" dxfId="3014" priority="156">
      <formula>AD$9&lt;8/24</formula>
    </cfRule>
    <cfRule type="expression" dxfId="3013" priority="155">
      <formula>AND(AD$9&gt;=8/24,AD$9&lt;14/24)</formula>
    </cfRule>
  </conditionalFormatting>
  <conditionalFormatting sqref="AG58">
    <cfRule type="expression" dxfId="3012" priority="148">
      <formula>AG58&gt;$AG58</formula>
    </cfRule>
  </conditionalFormatting>
  <conditionalFormatting sqref="AG62">
    <cfRule type="expression" dxfId="3011" priority="133">
      <formula>AND(AG$9&gt;=8/24,AG$9&lt;14/24)</formula>
    </cfRule>
    <cfRule type="expression" dxfId="3010" priority="134">
      <formula>AG$9&lt;8/24</formula>
    </cfRule>
    <cfRule type="expression" dxfId="3009" priority="131">
      <formula>AG$9&gt;=20/24</formula>
    </cfRule>
    <cfRule type="expression" dxfId="3008" priority="132">
      <formula>AND(AG$9&gt;=14/24,AG$9&lt;20/24)</formula>
    </cfRule>
  </conditionalFormatting>
  <conditionalFormatting sqref="AG75:AG76">
    <cfRule type="expression" dxfId="3007" priority="126">
      <formula>AG75&gt;$AG75</formula>
    </cfRule>
  </conditionalFormatting>
  <conditionalFormatting sqref="AG80">
    <cfRule type="expression" dxfId="3006" priority="127">
      <formula>AG$9&gt;=20/24</formula>
    </cfRule>
    <cfRule type="expression" dxfId="3005" priority="128">
      <formula>AND(AG$9&gt;=14/24,AG$9&lt;20/24)</formula>
    </cfRule>
    <cfRule type="expression" dxfId="3004" priority="129">
      <formula>AND(AG$9&gt;=8/24,AG$9&lt;14/24)</formula>
    </cfRule>
    <cfRule type="expression" dxfId="3003" priority="130">
      <formula>AG$9&lt;8/24</formula>
    </cfRule>
  </conditionalFormatting>
  <conditionalFormatting sqref="AG97">
    <cfRule type="expression" dxfId="3002" priority="152">
      <formula>AG$9&lt;8/24</formula>
    </cfRule>
    <cfRule type="expression" dxfId="3001" priority="149">
      <formula>AG$9&gt;=20/24</formula>
    </cfRule>
    <cfRule type="expression" dxfId="3000" priority="151">
      <formula>AND(AG$9&gt;=8/24,AG$9&lt;14/24)</formula>
    </cfRule>
    <cfRule type="expression" dxfId="2999" priority="150">
      <formula>AND(AG$9&gt;=14/24,AG$9&lt;20/24)</formula>
    </cfRule>
  </conditionalFormatting>
  <conditionalFormatting sqref="AL4:AL6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46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3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45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47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998" priority="177">
      <formula>AJ$9&lt;8/24</formula>
    </cfRule>
    <cfRule type="expression" dxfId="2997" priority="176">
      <formula>AND(AJ$9&gt;=8/24,AJ$9&lt;14/24)</formula>
    </cfRule>
    <cfRule type="expression" dxfId="2996" priority="175">
      <formula>AND(AJ$9&gt;=14/24,AJ$9&lt;20/24)</formula>
    </cfRule>
    <cfRule type="expression" dxfId="2995" priority="174">
      <formula>AJ$9&gt;=20/24</formula>
    </cfRule>
  </conditionalFormatting>
  <conditionalFormatting sqref="AL88:AN88 AL94:AN94">
    <cfRule type="expression" dxfId="2994" priority="142">
      <formula>AND(AL$9&gt;=14/24,AL$9&lt;20/24)</formula>
    </cfRule>
    <cfRule type="expression" dxfId="2993" priority="141">
      <formula>AL$9&gt;=20/24</formula>
    </cfRule>
    <cfRule type="expression" dxfId="2992" priority="143">
      <formula>AND(AL$9&gt;=8/24,AL$9&lt;14/24)</formula>
    </cfRule>
    <cfRule type="expression" dxfId="2991" priority="144">
      <formula>AL$9&lt;8/24</formula>
    </cfRule>
  </conditionalFormatting>
  <conditionalFormatting sqref="AM15:AM21 AN16:AR21">
    <cfRule type="expression" dxfId="2990" priority="43">
      <formula>AX$9&gt;=20/24</formula>
    </cfRule>
    <cfRule type="expression" dxfId="2989" priority="44">
      <formula>AND(AX$9&gt;=14/24,AX$9&lt;20/24)</formula>
    </cfRule>
    <cfRule type="expression" dxfId="2988" priority="45">
      <formula>AND(AX$9&gt;=8/24,AX$9&lt;14/24)</formula>
    </cfRule>
    <cfRule type="expression" dxfId="2987" priority="46">
      <formula>AX$9&lt;8/24</formula>
    </cfRule>
  </conditionalFormatting>
  <conditionalFormatting sqref="AN89:AN92">
    <cfRule type="expression" dxfId="2986" priority="137">
      <formula>AN$9&gt;=20/24</formula>
    </cfRule>
    <cfRule type="expression" dxfId="2985" priority="138">
      <formula>AND(AN$9&gt;=14/24,AN$9&lt;20/24)</formula>
    </cfRule>
    <cfRule type="expression" dxfId="2984" priority="139">
      <formula>AND(AN$9&gt;=8/24,AN$9&lt;14/24)</formula>
    </cfRule>
    <cfRule type="expression" dxfId="2983" priority="140">
      <formula>AN$9&lt;8/24</formula>
    </cfRule>
  </conditionalFormatting>
  <conditionalFormatting sqref="AN15:AR15">
    <cfRule type="expression" dxfId="2982" priority="31">
      <formula>U$9&gt;=20/24</formula>
    </cfRule>
    <cfRule type="expression" dxfId="2981" priority="34">
      <formula>U$9&lt;8/24</formula>
    </cfRule>
    <cfRule type="expression" dxfId="2980" priority="33">
      <formula>AND(U$9&gt;=8/24,U$9&lt;14/24)</formula>
    </cfRule>
    <cfRule type="expression" dxfId="2979" priority="32">
      <formula>AND(U$9&gt;=14/24,U$9&lt;20/24)</formula>
    </cfRule>
  </conditionalFormatting>
  <conditionalFormatting sqref="AS15">
    <cfRule type="expression" dxfId="2978" priority="42">
      <formula>AA$9&lt;8/24</formula>
    </cfRule>
    <cfRule type="expression" dxfId="2977" priority="41">
      <formula>AND(AA$9&gt;=8/24,AA$9&lt;14/24)</formula>
    </cfRule>
    <cfRule type="expression" dxfId="2976" priority="39">
      <formula>AA$9&gt;=20/24</formula>
    </cfRule>
    <cfRule type="expression" dxfId="2975" priority="40">
      <formula>AND(AA$9&gt;=14/24,AA$9&lt;20/24)</formula>
    </cfRule>
  </conditionalFormatting>
  <conditionalFormatting sqref="AS16:AS21">
    <cfRule type="expression" dxfId="2974" priority="50">
      <formula>BE$9&lt;8/24</formula>
    </cfRule>
    <cfRule type="expression" dxfId="2973" priority="49">
      <formula>AND(BE$9&gt;=8/24,BE$9&lt;14/24)</formula>
    </cfRule>
    <cfRule type="expression" dxfId="2972" priority="48">
      <formula>AND(BE$9&gt;=14/24,BE$9&lt;20/24)</formula>
    </cfRule>
    <cfRule type="expression" dxfId="2971" priority="47">
      <formula>BE$9&gt;=20/24</formula>
    </cfRule>
  </conditionalFormatting>
  <conditionalFormatting sqref="AT15 AX15">
    <cfRule type="expression" dxfId="2970" priority="53">
      <formula>AND(AC$9&gt;=8/24,AC$9&lt;14/24)</formula>
    </cfRule>
    <cfRule type="expression" dxfId="2969" priority="52">
      <formula>AND(AC$9&gt;=14/24,AC$9&lt;20/24)</formula>
    </cfRule>
    <cfRule type="expression" dxfId="2968" priority="51">
      <formula>AC$9&gt;=20/24</formula>
    </cfRule>
    <cfRule type="expression" dxfId="2967" priority="54">
      <formula>AC$9&lt;8/24</formula>
    </cfRule>
  </conditionalFormatting>
  <conditionalFormatting sqref="AT16:AT21">
    <cfRule type="expression" dxfId="2966" priority="57">
      <formula>AND(BG$9&gt;=8/24,BG$9&lt;14/24)</formula>
    </cfRule>
    <cfRule type="expression" dxfId="2965" priority="56">
      <formula>AND(BG$9&gt;=14/24,BG$9&lt;20/24)</formula>
    </cfRule>
    <cfRule type="expression" dxfId="2964" priority="55">
      <formula>BG$9&gt;=20/24</formula>
    </cfRule>
    <cfRule type="expression" dxfId="2963" priority="58">
      <formula>BG$9&lt;8/24</formula>
    </cfRule>
  </conditionalFormatting>
  <conditionalFormatting sqref="AU15:AV15">
    <cfRule type="expression" dxfId="2962" priority="61">
      <formula>AND(AE$9&gt;=8/24,AE$9&lt;14/24)</formula>
    </cfRule>
    <cfRule type="expression" dxfId="2961" priority="62">
      <formula>AE$9&lt;8/24</formula>
    </cfRule>
    <cfRule type="expression" dxfId="2960" priority="60">
      <formula>AND(AE$9&gt;=14/24,AE$9&lt;20/24)</formula>
    </cfRule>
    <cfRule type="expression" dxfId="2959" priority="59">
      <formula>AE$9&gt;=20/24</formula>
    </cfRule>
  </conditionalFormatting>
  <conditionalFormatting sqref="AU16:AX21">
    <cfRule type="expression" dxfId="2958" priority="63">
      <formula>BI$9&gt;=20/24</formula>
    </cfRule>
    <cfRule type="expression" dxfId="2957" priority="64">
      <formula>AND(BI$9&gt;=14/24,BI$9&lt;20/24)</formula>
    </cfRule>
    <cfRule type="expression" dxfId="2956" priority="65">
      <formula>AND(BI$9&gt;=8/24,BI$9&lt;14/24)</formula>
    </cfRule>
    <cfRule type="expression" dxfId="2955" priority="66">
      <formula>BI$9&lt;8/24</formula>
    </cfRule>
  </conditionalFormatting>
  <conditionalFormatting sqref="AW15">
    <cfRule type="expression" dxfId="2954" priority="38">
      <formula>B$9&lt;8/24</formula>
    </cfRule>
    <cfRule type="expression" dxfId="2953" priority="37">
      <formula>AND(B$9&gt;=8/24,B$9&lt;14/24)</formula>
    </cfRule>
    <cfRule type="expression" dxfId="2952" priority="36">
      <formula>AND(B$9&gt;=14/24,B$9&lt;20/24)</formula>
    </cfRule>
    <cfRule type="expression" dxfId="2951" priority="35">
      <formula>B$9&gt;=20/24</formula>
    </cfRule>
  </conditionalFormatting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6E0EB-20FC-4068-ABB6-13734D16E212}">
  <sheetPr codeName="Sheet10"/>
  <dimension ref="A1:CJ294"/>
  <sheetViews>
    <sheetView zoomScale="106" workbookViewId="0">
      <pane xSplit="1" ySplit="10" topLeftCell="B57" activePane="bottomRight" state="frozen"/>
      <selection activeCell="Z63" sqref="Z63"/>
      <selection pane="topRight" activeCell="Z63" sqref="Z63"/>
      <selection pane="bottomLeft" activeCell="Z63" sqref="Z63"/>
      <selection pane="bottomRight" activeCell="AH11" sqref="AH11:AI13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2080/10/9</v>
      </c>
      <c r="C4" s="214"/>
      <c r="D4" s="214"/>
      <c r="E4" s="215" t="str">
        <f ca="1">"2080/"&amp;"10/"&amp;INT(MID(CELL("filename",G6),FIND("]",CELL("filename",G6))+1,200))</f>
        <v>2080/10/9</v>
      </c>
      <c r="F4" s="215"/>
      <c r="G4" s="215"/>
      <c r="H4" s="215" t="str">
        <f ca="1">TEXT(E4,"dddd")</f>
        <v>Wednesday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585</v>
      </c>
      <c r="C5" s="30">
        <f t="shared" ref="C5:AE5" si="0">D92</f>
        <v>493.7</v>
      </c>
      <c r="D5" s="30">
        <f t="shared" si="0"/>
        <v>499.7</v>
      </c>
      <c r="E5" s="30">
        <f t="shared" si="0"/>
        <v>553.4</v>
      </c>
      <c r="F5" s="30">
        <f t="shared" si="0"/>
        <v>521.1</v>
      </c>
      <c r="G5" s="30">
        <f t="shared" si="0"/>
        <v>486.8</v>
      </c>
      <c r="H5" s="30">
        <f t="shared" si="0"/>
        <v>481.8</v>
      </c>
      <c r="I5" s="30">
        <f t="shared" si="0"/>
        <v>482.59999999999997</v>
      </c>
      <c r="J5" s="30">
        <f t="shared" si="0"/>
        <v>483.5</v>
      </c>
      <c r="K5" s="30">
        <f t="shared" si="0"/>
        <v>486</v>
      </c>
      <c r="L5" s="30">
        <f t="shared" si="0"/>
        <v>441</v>
      </c>
      <c r="M5" s="30">
        <f t="shared" si="0"/>
        <v>491.4</v>
      </c>
      <c r="N5" s="30">
        <f t="shared" si="0"/>
        <v>0</v>
      </c>
      <c r="O5" s="30">
        <f t="shared" si="0"/>
        <v>563</v>
      </c>
      <c r="P5" s="30">
        <f t="shared" si="0"/>
        <v>684.8</v>
      </c>
      <c r="Q5" s="30">
        <f t="shared" si="0"/>
        <v>720.69999999999993</v>
      </c>
      <c r="R5" s="30">
        <f t="shared" si="0"/>
        <v>721.4</v>
      </c>
      <c r="S5" s="30">
        <f t="shared" si="0"/>
        <v>710</v>
      </c>
      <c r="T5" s="30">
        <f t="shared" si="0"/>
        <v>731.5</v>
      </c>
      <c r="U5" s="30">
        <f t="shared" si="0"/>
        <v>722.5</v>
      </c>
      <c r="V5" s="30">
        <f t="shared" si="0"/>
        <v>647.69999999999993</v>
      </c>
      <c r="W5" s="30">
        <f t="shared" si="0"/>
        <v>593.19999999999993</v>
      </c>
      <c r="X5" s="30">
        <f t="shared" si="0"/>
        <v>637.79999999999995</v>
      </c>
      <c r="Y5" s="30">
        <f t="shared" si="0"/>
        <v>544.5</v>
      </c>
      <c r="Z5" s="30">
        <f t="shared" si="0"/>
        <v>446.7</v>
      </c>
      <c r="AA5" s="30">
        <f t="shared" si="0"/>
        <v>463.6</v>
      </c>
      <c r="AB5" s="30">
        <f t="shared" si="0"/>
        <v>558.70000000000005</v>
      </c>
      <c r="AC5" s="30">
        <f t="shared" si="0"/>
        <v>562.79999999999995</v>
      </c>
      <c r="AD5" s="30">
        <f t="shared" si="0"/>
        <v>597</v>
      </c>
      <c r="AE5" s="30">
        <f t="shared" si="0"/>
        <v>618.29999999999995</v>
      </c>
      <c r="AF5" s="30">
        <f>B92</f>
        <v>573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1593MW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Load=989</v>
      </c>
      <c r="B7" s="35">
        <f>B100</f>
        <v>1159.49</v>
      </c>
      <c r="C7" s="35">
        <f t="shared" ref="C7:AF7" si="1">C100</f>
        <v>1171.49</v>
      </c>
      <c r="D7" s="35">
        <f t="shared" si="1"/>
        <v>1115.19</v>
      </c>
      <c r="E7" s="35">
        <f t="shared" si="1"/>
        <v>1136.22</v>
      </c>
      <c r="F7" s="35">
        <f t="shared" si="1"/>
        <v>1164.8899999999999</v>
      </c>
      <c r="G7" s="35">
        <f t="shared" si="1"/>
        <v>1175.3900000000001</v>
      </c>
      <c r="H7" s="35">
        <f t="shared" si="1"/>
        <v>1182.8899999999999</v>
      </c>
      <c r="I7" s="35">
        <f t="shared" si="1"/>
        <v>1313.19</v>
      </c>
      <c r="J7" s="35">
        <f t="shared" si="1"/>
        <v>1448.3899999999999</v>
      </c>
      <c r="K7" s="35">
        <f t="shared" si="1"/>
        <v>1473.99</v>
      </c>
      <c r="L7" s="35">
        <f t="shared" si="1"/>
        <v>1502.3899999999999</v>
      </c>
      <c r="M7" s="35">
        <f t="shared" si="1"/>
        <v>1592.99</v>
      </c>
      <c r="N7" s="35">
        <f t="shared" si="1"/>
        <v>1485.59</v>
      </c>
      <c r="O7" s="35">
        <f t="shared" si="1"/>
        <v>989.18999999999994</v>
      </c>
      <c r="P7" s="35">
        <f t="shared" si="1"/>
        <v>1301.49</v>
      </c>
      <c r="Q7" s="35">
        <f t="shared" si="1"/>
        <v>1462.99</v>
      </c>
      <c r="R7" s="35">
        <f t="shared" si="1"/>
        <v>1459.19</v>
      </c>
      <c r="S7" s="35">
        <f t="shared" si="1"/>
        <v>1422.3899999999999</v>
      </c>
      <c r="T7" s="35">
        <f t="shared" si="1"/>
        <v>1426.99</v>
      </c>
      <c r="U7" s="35">
        <f t="shared" si="1"/>
        <v>1490.79</v>
      </c>
      <c r="V7" s="35">
        <f t="shared" si="1"/>
        <v>1477.8899999999999</v>
      </c>
      <c r="W7" s="35">
        <f t="shared" si="1"/>
        <v>1489.8899999999999</v>
      </c>
      <c r="X7" s="35">
        <f t="shared" si="1"/>
        <v>1600.99</v>
      </c>
      <c r="Y7" s="35">
        <f t="shared" si="1"/>
        <v>1742.99</v>
      </c>
      <c r="Z7" s="35">
        <f t="shared" si="1"/>
        <v>1755.0900000000001</v>
      </c>
      <c r="AA7" s="35">
        <f t="shared" si="1"/>
        <v>1663.89</v>
      </c>
      <c r="AB7" s="35">
        <f t="shared" si="1"/>
        <v>1640.0900000000001</v>
      </c>
      <c r="AC7" s="35">
        <f t="shared" si="1"/>
        <v>1645.79</v>
      </c>
      <c r="AD7" s="35">
        <f t="shared" si="1"/>
        <v>1385.8899999999999</v>
      </c>
      <c r="AE7" s="35">
        <f t="shared" si="1"/>
        <v>1330.0900000000001</v>
      </c>
      <c r="AF7" s="35">
        <f t="shared" si="1"/>
        <v>1234.3899999999999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1592.99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1592.99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35.299999999999997</v>
      </c>
      <c r="C11" s="46">
        <v>35.299999999999997</v>
      </c>
      <c r="D11" s="46">
        <v>35.299999999999997</v>
      </c>
      <c r="E11" s="46">
        <v>35.299999999999997</v>
      </c>
      <c r="F11" s="46">
        <v>35.299999999999997</v>
      </c>
      <c r="G11" s="46">
        <v>35.299999999999997</v>
      </c>
      <c r="H11" s="46">
        <v>35.299999999999997</v>
      </c>
      <c r="I11" s="46">
        <v>35.299999999999997</v>
      </c>
      <c r="J11" s="46">
        <v>35.299999999999997</v>
      </c>
      <c r="K11" s="46">
        <v>35.299999999999997</v>
      </c>
      <c r="L11" s="46">
        <v>35.299999999999997</v>
      </c>
      <c r="M11" s="46">
        <v>35.299999999999997</v>
      </c>
      <c r="N11" s="46">
        <v>35.299999999999997</v>
      </c>
      <c r="O11" s="46">
        <v>35.299999999999997</v>
      </c>
      <c r="P11" s="46">
        <v>35.299999999999997</v>
      </c>
      <c r="Q11" s="46">
        <v>27.3</v>
      </c>
      <c r="R11" s="46">
        <v>27.3</v>
      </c>
      <c r="S11" s="46">
        <v>27.3</v>
      </c>
      <c r="T11" s="46">
        <v>27.3</v>
      </c>
      <c r="U11" s="46">
        <v>27.3</v>
      </c>
      <c r="V11" s="46">
        <v>27.3</v>
      </c>
      <c r="W11" s="46">
        <v>27.3</v>
      </c>
      <c r="X11" s="46">
        <v>27.3</v>
      </c>
      <c r="Y11" s="46">
        <v>27.3</v>
      </c>
      <c r="Z11" s="46">
        <v>27.3</v>
      </c>
      <c r="AA11" s="46">
        <v>27.3</v>
      </c>
      <c r="AB11" s="46">
        <v>30</v>
      </c>
      <c r="AC11" s="46">
        <v>30</v>
      </c>
      <c r="AD11" s="46">
        <v>30</v>
      </c>
      <c r="AE11" s="46">
        <v>30</v>
      </c>
      <c r="AF11" s="46">
        <v>30</v>
      </c>
      <c r="AG11" s="47">
        <v>86</v>
      </c>
      <c r="AH11" s="48">
        <f t="shared" ref="AH11:AH16" si="2">MAX(B11:AF11)</f>
        <v>35.299999999999997</v>
      </c>
      <c r="AI11" s="49">
        <f t="shared" ref="AI11:AI16" si="3">MIN(B11:AF11)</f>
        <v>27.3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8</v>
      </c>
      <c r="C12" s="46">
        <v>8</v>
      </c>
      <c r="D12" s="46">
        <v>8</v>
      </c>
      <c r="E12" s="46">
        <v>8</v>
      </c>
      <c r="F12" s="46">
        <v>8</v>
      </c>
      <c r="G12" s="46">
        <v>8</v>
      </c>
      <c r="H12" s="46">
        <v>8</v>
      </c>
      <c r="I12" s="46">
        <v>8</v>
      </c>
      <c r="J12" s="46">
        <v>8</v>
      </c>
      <c r="K12" s="46">
        <v>8</v>
      </c>
      <c r="L12" s="46">
        <v>8</v>
      </c>
      <c r="M12" s="46">
        <v>8</v>
      </c>
      <c r="N12" s="46">
        <v>8</v>
      </c>
      <c r="O12" s="46">
        <v>8</v>
      </c>
      <c r="P12" s="46">
        <v>8</v>
      </c>
      <c r="Q12" s="46">
        <v>8</v>
      </c>
      <c r="R12" s="46">
        <v>8</v>
      </c>
      <c r="S12" s="46">
        <v>8</v>
      </c>
      <c r="T12" s="46">
        <v>8</v>
      </c>
      <c r="U12" s="46">
        <v>8</v>
      </c>
      <c r="V12" s="46">
        <v>8</v>
      </c>
      <c r="W12" s="46">
        <v>8</v>
      </c>
      <c r="X12" s="46">
        <v>8</v>
      </c>
      <c r="Y12" s="46">
        <v>8</v>
      </c>
      <c r="Z12" s="46">
        <v>8</v>
      </c>
      <c r="AA12" s="46">
        <v>8</v>
      </c>
      <c r="AB12" s="46">
        <v>8</v>
      </c>
      <c r="AC12" s="46">
        <v>8</v>
      </c>
      <c r="AD12" s="46">
        <v>8</v>
      </c>
      <c r="AE12" s="46">
        <v>8</v>
      </c>
      <c r="AF12" s="46">
        <v>8</v>
      </c>
      <c r="AG12" s="50">
        <v>54</v>
      </c>
      <c r="AH12" s="48">
        <f t="shared" si="2"/>
        <v>8</v>
      </c>
      <c r="AI12" s="49">
        <f t="shared" si="3"/>
        <v>8</v>
      </c>
      <c r="AK12" s="51"/>
      <c r="AL12" s="52" t="str">
        <f ca="1">MID(CELL("filename",C7),FIND("]",CELL("filename",C7))+1,600)</f>
        <v>9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9.4</v>
      </c>
      <c r="C13" s="46">
        <v>9.4</v>
      </c>
      <c r="D13" s="46">
        <v>9.4</v>
      </c>
      <c r="E13" s="46">
        <v>9.4</v>
      </c>
      <c r="F13" s="46">
        <v>9.4</v>
      </c>
      <c r="G13" s="46">
        <v>9.4</v>
      </c>
      <c r="H13" s="46">
        <v>9.4</v>
      </c>
      <c r="I13" s="46">
        <v>9.4</v>
      </c>
      <c r="J13" s="46">
        <v>9.4</v>
      </c>
      <c r="K13" s="46">
        <v>9.4</v>
      </c>
      <c r="L13" s="46">
        <v>9.4</v>
      </c>
      <c r="M13" s="46">
        <v>9.4</v>
      </c>
      <c r="N13" s="46">
        <v>9.4</v>
      </c>
      <c r="O13" s="46">
        <v>9.4</v>
      </c>
      <c r="P13" s="46">
        <v>9.4</v>
      </c>
      <c r="Q13" s="46">
        <v>9</v>
      </c>
      <c r="R13" s="46">
        <v>9</v>
      </c>
      <c r="S13" s="46">
        <v>9</v>
      </c>
      <c r="T13" s="46">
        <v>9</v>
      </c>
      <c r="U13" s="46">
        <v>9</v>
      </c>
      <c r="V13" s="46">
        <v>9</v>
      </c>
      <c r="W13" s="46">
        <v>9</v>
      </c>
      <c r="X13" s="46">
        <v>9</v>
      </c>
      <c r="Y13" s="46">
        <v>9</v>
      </c>
      <c r="Z13" s="46">
        <v>9</v>
      </c>
      <c r="AA13" s="46">
        <v>9</v>
      </c>
      <c r="AB13" s="46">
        <v>10</v>
      </c>
      <c r="AC13" s="46">
        <v>10</v>
      </c>
      <c r="AD13" s="46">
        <v>10</v>
      </c>
      <c r="AE13" s="46">
        <v>10</v>
      </c>
      <c r="AF13" s="46">
        <v>10</v>
      </c>
      <c r="AG13" s="50">
        <v>54</v>
      </c>
      <c r="AH13" s="48">
        <f t="shared" si="2"/>
        <v>10</v>
      </c>
      <c r="AI13" s="49">
        <f t="shared" si="3"/>
        <v>9</v>
      </c>
      <c r="AK13" s="51"/>
      <c r="AL13" s="52" t="str">
        <f ca="1">"Daily Load Curve(Excluding of Export) of Nepal ("&amp;A4&amp;" "&amp;B4&amp;")"</f>
        <v>Daily Load Curve(Excluding of Export) of Nepal (Nepali Date: 2080/10/9)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15.4</v>
      </c>
      <c r="C14" s="46">
        <v>15.4</v>
      </c>
      <c r="D14" s="46">
        <v>15.4</v>
      </c>
      <c r="E14" s="46">
        <v>15.4</v>
      </c>
      <c r="F14" s="46">
        <v>15.4</v>
      </c>
      <c r="G14" s="46">
        <v>15.4</v>
      </c>
      <c r="H14" s="46">
        <v>15.4</v>
      </c>
      <c r="I14" s="46">
        <v>15.4</v>
      </c>
      <c r="J14" s="46">
        <v>15.4</v>
      </c>
      <c r="K14" s="46">
        <v>15.4</v>
      </c>
      <c r="L14" s="46">
        <v>15.4</v>
      </c>
      <c r="M14" s="46">
        <v>15.4</v>
      </c>
      <c r="N14" s="46">
        <v>15.4</v>
      </c>
      <c r="O14" s="46">
        <v>15.4</v>
      </c>
      <c r="P14" s="46">
        <v>15.4</v>
      </c>
      <c r="Q14" s="46">
        <v>14.6</v>
      </c>
      <c r="R14" s="46">
        <v>14.6</v>
      </c>
      <c r="S14" s="46">
        <v>14.6</v>
      </c>
      <c r="T14" s="46">
        <v>14.6</v>
      </c>
      <c r="U14" s="46">
        <v>14.6</v>
      </c>
      <c r="V14" s="46">
        <v>14.6</v>
      </c>
      <c r="W14" s="46">
        <v>14.6</v>
      </c>
      <c r="X14" s="46">
        <v>14.6</v>
      </c>
      <c r="Y14" s="46">
        <v>14.6</v>
      </c>
      <c r="Z14" s="46">
        <v>14.6</v>
      </c>
      <c r="AA14" s="46">
        <v>14.6</v>
      </c>
      <c r="AB14" s="46">
        <v>10.6</v>
      </c>
      <c r="AC14" s="46">
        <v>10.6</v>
      </c>
      <c r="AD14" s="46">
        <v>10.6</v>
      </c>
      <c r="AE14" s="46">
        <v>10.6</v>
      </c>
      <c r="AF14" s="46">
        <v>10.6</v>
      </c>
      <c r="AG14" s="47">
        <v>52.4</v>
      </c>
      <c r="AH14" s="48">
        <f t="shared" si="2"/>
        <v>15.4</v>
      </c>
      <c r="AI14" s="49">
        <f t="shared" si="3"/>
        <v>10.6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25</v>
      </c>
      <c r="C15" s="46">
        <v>25</v>
      </c>
      <c r="D15" s="46">
        <v>25</v>
      </c>
      <c r="E15" s="46">
        <v>25</v>
      </c>
      <c r="F15" s="46">
        <v>25</v>
      </c>
      <c r="G15" s="46">
        <v>25</v>
      </c>
      <c r="H15" s="46">
        <v>25</v>
      </c>
      <c r="I15" s="46">
        <v>25</v>
      </c>
      <c r="J15" s="46">
        <v>25</v>
      </c>
      <c r="K15" s="46">
        <v>25</v>
      </c>
      <c r="L15" s="46">
        <v>25</v>
      </c>
      <c r="M15" s="46">
        <v>25</v>
      </c>
      <c r="N15" s="46">
        <v>25</v>
      </c>
      <c r="O15" s="46">
        <v>25</v>
      </c>
      <c r="P15" s="46">
        <v>25</v>
      </c>
      <c r="Q15" s="46">
        <v>24.9</v>
      </c>
      <c r="R15" s="46">
        <v>24.9</v>
      </c>
      <c r="S15" s="46">
        <v>24.9</v>
      </c>
      <c r="T15" s="46">
        <v>24.9</v>
      </c>
      <c r="U15" s="46">
        <v>24.9</v>
      </c>
      <c r="V15" s="46">
        <v>24.9</v>
      </c>
      <c r="W15" s="46">
        <v>24.9</v>
      </c>
      <c r="X15" s="46">
        <v>24.9</v>
      </c>
      <c r="Y15" s="46">
        <v>24.9</v>
      </c>
      <c r="Z15" s="53">
        <v>24.9</v>
      </c>
      <c r="AA15" s="53">
        <v>24.9</v>
      </c>
      <c r="AB15" s="53">
        <v>26.9</v>
      </c>
      <c r="AC15" s="53">
        <v>26.9</v>
      </c>
      <c r="AD15" s="53">
        <v>26.9</v>
      </c>
      <c r="AE15" s="53">
        <v>26.9</v>
      </c>
      <c r="AF15" s="53">
        <v>26.9</v>
      </c>
      <c r="AG15" s="50">
        <v>50</v>
      </c>
      <c r="AH15" s="48">
        <f t="shared" si="2"/>
        <v>26.9</v>
      </c>
      <c r="AI15" s="49">
        <f t="shared" si="3"/>
        <v>24.9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14.6</v>
      </c>
      <c r="C16" s="46">
        <v>14.6</v>
      </c>
      <c r="D16" s="46">
        <v>14.6</v>
      </c>
      <c r="E16" s="46">
        <v>14.6</v>
      </c>
      <c r="F16" s="46">
        <v>14.6</v>
      </c>
      <c r="G16" s="46">
        <v>14.6</v>
      </c>
      <c r="H16" s="46">
        <v>14.6</v>
      </c>
      <c r="I16" s="46">
        <v>14.6</v>
      </c>
      <c r="J16" s="46">
        <v>14.6</v>
      </c>
      <c r="K16" s="46">
        <v>14.6</v>
      </c>
      <c r="L16" s="46">
        <v>14.6</v>
      </c>
      <c r="M16" s="46">
        <v>14.6</v>
      </c>
      <c r="N16" s="46">
        <v>14.6</v>
      </c>
      <c r="O16" s="46">
        <v>14.6</v>
      </c>
      <c r="P16" s="46">
        <v>14.6</v>
      </c>
      <c r="Q16" s="46">
        <v>15.4</v>
      </c>
      <c r="R16" s="46">
        <v>15.4</v>
      </c>
      <c r="S16" s="46">
        <v>15.4</v>
      </c>
      <c r="T16" s="46">
        <v>15.4</v>
      </c>
      <c r="U16" s="46">
        <v>15.4</v>
      </c>
      <c r="V16" s="46">
        <v>15.4</v>
      </c>
      <c r="W16" s="46">
        <v>15.4</v>
      </c>
      <c r="X16" s="46">
        <v>15.4</v>
      </c>
      <c r="Y16" s="46">
        <v>15.4</v>
      </c>
      <c r="Z16" s="46">
        <v>15.4</v>
      </c>
      <c r="AA16" s="46">
        <v>15.4</v>
      </c>
      <c r="AB16" s="46">
        <v>15.3</v>
      </c>
      <c r="AC16" s="46">
        <v>15.3</v>
      </c>
      <c r="AD16" s="46">
        <v>15.3</v>
      </c>
      <c r="AE16" s="46">
        <v>15.3</v>
      </c>
      <c r="AF16" s="46">
        <v>15.3</v>
      </c>
      <c r="AG16" s="50">
        <v>45</v>
      </c>
      <c r="AH16" s="48">
        <f t="shared" si="2"/>
        <v>15.4</v>
      </c>
      <c r="AI16" s="49">
        <f t="shared" si="3"/>
        <v>14.6</v>
      </c>
      <c r="AK16" s="51"/>
      <c r="AL16" s="54" t="s">
        <v>7</v>
      </c>
      <c r="AM16" s="59">
        <f>B58</f>
        <v>473.55</v>
      </c>
      <c r="AN16" s="59">
        <f t="shared" ref="AN16:AR16" si="4">C58</f>
        <v>473.55</v>
      </c>
      <c r="AO16" s="59">
        <f t="shared" si="4"/>
        <v>473.55</v>
      </c>
      <c r="AP16" s="59">
        <f t="shared" si="4"/>
        <v>473.55</v>
      </c>
      <c r="AQ16" s="59">
        <f t="shared" si="4"/>
        <v>473.55</v>
      </c>
      <c r="AR16" s="59">
        <f t="shared" si="4"/>
        <v>473.55</v>
      </c>
      <c r="AS16" s="59">
        <f>I58</f>
        <v>473.55</v>
      </c>
      <c r="AT16" s="59">
        <f>K58</f>
        <v>473.55</v>
      </c>
      <c r="AU16" s="59">
        <f t="shared" ref="AU16:AX16" si="5">M58</f>
        <v>473.55</v>
      </c>
      <c r="AV16" s="59">
        <f t="shared" si="5"/>
        <v>473.55</v>
      </c>
      <c r="AW16" s="59">
        <f t="shared" si="5"/>
        <v>473.55</v>
      </c>
      <c r="AX16" s="59">
        <f t="shared" si="5"/>
        <v>473.55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14</v>
      </c>
      <c r="C17" s="46">
        <v>14</v>
      </c>
      <c r="D17" s="46">
        <v>14</v>
      </c>
      <c r="E17" s="46">
        <v>14</v>
      </c>
      <c r="F17" s="46">
        <v>14</v>
      </c>
      <c r="G17" s="46">
        <v>14</v>
      </c>
      <c r="H17" s="46">
        <v>14</v>
      </c>
      <c r="I17" s="46">
        <v>14</v>
      </c>
      <c r="J17" s="46">
        <v>14</v>
      </c>
      <c r="K17" s="46">
        <v>14</v>
      </c>
      <c r="L17" s="46">
        <v>14</v>
      </c>
      <c r="M17" s="46">
        <v>14</v>
      </c>
      <c r="N17" s="46">
        <v>14</v>
      </c>
      <c r="O17" s="46">
        <v>14</v>
      </c>
      <c r="P17" s="46">
        <v>14</v>
      </c>
      <c r="Q17" s="46">
        <v>14</v>
      </c>
      <c r="R17" s="46">
        <v>14</v>
      </c>
      <c r="S17" s="46">
        <v>14</v>
      </c>
      <c r="T17" s="46">
        <v>14</v>
      </c>
      <c r="U17" s="46">
        <v>14</v>
      </c>
      <c r="V17" s="46">
        <v>14</v>
      </c>
      <c r="W17" s="46">
        <v>14</v>
      </c>
      <c r="X17" s="46">
        <v>14</v>
      </c>
      <c r="Y17" s="46">
        <v>14</v>
      </c>
      <c r="Z17" s="46">
        <v>14</v>
      </c>
      <c r="AA17" s="46">
        <v>14</v>
      </c>
      <c r="AB17" s="46">
        <v>14</v>
      </c>
      <c r="AC17" s="46">
        <v>14</v>
      </c>
      <c r="AD17" s="46">
        <v>14</v>
      </c>
      <c r="AE17" s="46">
        <v>14</v>
      </c>
      <c r="AF17" s="46">
        <v>14</v>
      </c>
      <c r="AG17" s="50">
        <v>44</v>
      </c>
      <c r="AH17" s="48">
        <f>MAX(B17:AG17)</f>
        <v>44</v>
      </c>
      <c r="AI17" s="49">
        <f>MIN(B17:AG17)</f>
        <v>14</v>
      </c>
      <c r="AK17" s="51"/>
      <c r="AL17" s="54" t="s">
        <v>27</v>
      </c>
      <c r="AM17" s="59">
        <f>B62</f>
        <v>35.6</v>
      </c>
      <c r="AN17" s="59">
        <f t="shared" ref="AN17:AR17" si="6">C62</f>
        <v>35.6</v>
      </c>
      <c r="AO17" s="59">
        <f t="shared" si="6"/>
        <v>70.599999999999994</v>
      </c>
      <c r="AP17" s="59">
        <f t="shared" si="6"/>
        <v>85.63</v>
      </c>
      <c r="AQ17" s="59">
        <f t="shared" si="6"/>
        <v>60.6</v>
      </c>
      <c r="AR17" s="59">
        <f t="shared" si="6"/>
        <v>85.8</v>
      </c>
      <c r="AS17" s="59">
        <f>I62</f>
        <v>85.6</v>
      </c>
      <c r="AT17" s="59">
        <f>K62</f>
        <v>135.6</v>
      </c>
      <c r="AU17" s="59">
        <f t="shared" ref="AU17:AX17" si="7">M62</f>
        <v>176.6</v>
      </c>
      <c r="AV17" s="59">
        <f t="shared" si="7"/>
        <v>176.6</v>
      </c>
      <c r="AW17" s="59">
        <f t="shared" si="7"/>
        <v>176.6</v>
      </c>
      <c r="AX17" s="59">
        <f t="shared" si="7"/>
        <v>86.9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6.5</v>
      </c>
      <c r="C18" s="46">
        <v>6.5</v>
      </c>
      <c r="D18" s="46">
        <v>6.5</v>
      </c>
      <c r="E18" s="46">
        <v>6.5</v>
      </c>
      <c r="F18" s="46">
        <v>6.5</v>
      </c>
      <c r="G18" s="46">
        <v>6.5</v>
      </c>
      <c r="H18" s="46">
        <v>6.5</v>
      </c>
      <c r="I18" s="46">
        <v>6.5</v>
      </c>
      <c r="J18" s="46">
        <v>6.5</v>
      </c>
      <c r="K18" s="46">
        <v>6.5</v>
      </c>
      <c r="L18" s="46">
        <v>6.5</v>
      </c>
      <c r="M18" s="46">
        <v>6.5</v>
      </c>
      <c r="N18" s="46">
        <v>6.5</v>
      </c>
      <c r="O18" s="46">
        <v>6.5</v>
      </c>
      <c r="P18" s="46">
        <v>6.5</v>
      </c>
      <c r="Q18" s="46">
        <v>6.5</v>
      </c>
      <c r="R18" s="46">
        <v>6.5</v>
      </c>
      <c r="S18" s="46">
        <v>6.5</v>
      </c>
      <c r="T18" s="46">
        <v>6.5</v>
      </c>
      <c r="U18" s="46">
        <v>6.5</v>
      </c>
      <c r="V18" s="46">
        <v>6.5</v>
      </c>
      <c r="W18" s="46">
        <v>6.5</v>
      </c>
      <c r="X18" s="46">
        <v>6.5</v>
      </c>
      <c r="Y18" s="46">
        <v>6.5</v>
      </c>
      <c r="Z18" s="46">
        <v>6.5</v>
      </c>
      <c r="AA18" s="46">
        <v>6.5</v>
      </c>
      <c r="AB18" s="46">
        <v>7</v>
      </c>
      <c r="AC18" s="46">
        <v>7</v>
      </c>
      <c r="AD18" s="46">
        <v>7</v>
      </c>
      <c r="AE18" s="46">
        <v>7</v>
      </c>
      <c r="AF18" s="46">
        <v>7</v>
      </c>
      <c r="AG18" s="50">
        <v>42</v>
      </c>
      <c r="AH18" s="48">
        <f t="shared" ref="AH18:AH81" si="8">MAX(B18:AF18)</f>
        <v>7</v>
      </c>
      <c r="AI18" s="49">
        <f t="shared" ref="AI18:AI81" si="9">MIN(B18:AF18)</f>
        <v>6.5</v>
      </c>
      <c r="AK18" s="51"/>
      <c r="AL18" s="54" t="s">
        <v>29</v>
      </c>
      <c r="AM18" s="59">
        <f>B76</f>
        <v>77.340000000000018</v>
      </c>
      <c r="AN18" s="59">
        <f t="shared" ref="AN18:AR18" si="10">C76</f>
        <v>77.340000000000018</v>
      </c>
      <c r="AO18" s="59">
        <f t="shared" si="10"/>
        <v>77.340000000000018</v>
      </c>
      <c r="AP18" s="59">
        <f t="shared" si="10"/>
        <v>77.340000000000018</v>
      </c>
      <c r="AQ18" s="59">
        <f t="shared" si="10"/>
        <v>77.340000000000018</v>
      </c>
      <c r="AR18" s="59">
        <f t="shared" si="10"/>
        <v>94.940000000000012</v>
      </c>
      <c r="AS18" s="59">
        <f>I76</f>
        <v>272.24</v>
      </c>
      <c r="AT18" s="59">
        <f>K76</f>
        <v>354.23999999999995</v>
      </c>
      <c r="AU18" s="59">
        <f t="shared" ref="AU18:AX18" si="11">M76</f>
        <v>335.34</v>
      </c>
      <c r="AV18" s="59">
        <f t="shared" si="11"/>
        <v>194.03999999999996</v>
      </c>
      <c r="AW18" s="59">
        <f t="shared" si="11"/>
        <v>189.03999999999996</v>
      </c>
      <c r="AX18" s="59">
        <f t="shared" si="11"/>
        <v>178.03999999999996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11</v>
      </c>
      <c r="C19" s="46">
        <v>11</v>
      </c>
      <c r="D19" s="46">
        <v>11</v>
      </c>
      <c r="E19" s="46">
        <v>11</v>
      </c>
      <c r="F19" s="46">
        <v>11</v>
      </c>
      <c r="G19" s="46">
        <v>11</v>
      </c>
      <c r="H19" s="46">
        <v>11</v>
      </c>
      <c r="I19" s="46">
        <v>11</v>
      </c>
      <c r="J19" s="46">
        <v>11</v>
      </c>
      <c r="K19" s="46">
        <v>11</v>
      </c>
      <c r="L19" s="46">
        <v>11</v>
      </c>
      <c r="M19" s="46">
        <v>11</v>
      </c>
      <c r="N19" s="46">
        <v>11</v>
      </c>
      <c r="O19" s="46">
        <v>11</v>
      </c>
      <c r="P19" s="46">
        <v>11</v>
      </c>
      <c r="Q19" s="46">
        <v>11</v>
      </c>
      <c r="R19" s="46">
        <v>11</v>
      </c>
      <c r="S19" s="46">
        <v>11</v>
      </c>
      <c r="T19" s="46">
        <v>11</v>
      </c>
      <c r="U19" s="46">
        <v>11</v>
      </c>
      <c r="V19" s="46">
        <v>11</v>
      </c>
      <c r="W19" s="46">
        <v>11</v>
      </c>
      <c r="X19" s="46">
        <v>11</v>
      </c>
      <c r="Y19" s="46">
        <v>11</v>
      </c>
      <c r="Z19" s="46">
        <v>11</v>
      </c>
      <c r="AA19" s="46">
        <v>11</v>
      </c>
      <c r="AB19" s="46">
        <v>11</v>
      </c>
      <c r="AC19" s="46">
        <v>11</v>
      </c>
      <c r="AD19" s="46">
        <v>11</v>
      </c>
      <c r="AE19" s="46">
        <v>11</v>
      </c>
      <c r="AF19" s="46">
        <v>11</v>
      </c>
      <c r="AG19" s="50">
        <v>38.46</v>
      </c>
      <c r="AH19" s="48">
        <f t="shared" si="8"/>
        <v>11</v>
      </c>
      <c r="AI19" s="49">
        <f t="shared" si="9"/>
        <v>11</v>
      </c>
      <c r="AK19" s="51"/>
      <c r="AL19" s="54" t="s">
        <v>31</v>
      </c>
      <c r="AM19" s="59">
        <f>B92</f>
        <v>573</v>
      </c>
      <c r="AN19" s="59">
        <f t="shared" ref="AN19:AR19" si="12">C92</f>
        <v>585</v>
      </c>
      <c r="AO19" s="59">
        <f t="shared" si="12"/>
        <v>493.7</v>
      </c>
      <c r="AP19" s="59">
        <f t="shared" si="12"/>
        <v>499.7</v>
      </c>
      <c r="AQ19" s="59">
        <f t="shared" si="12"/>
        <v>553.4</v>
      </c>
      <c r="AR19" s="59">
        <f t="shared" si="12"/>
        <v>521.1</v>
      </c>
      <c r="AS19" s="59">
        <f>I92</f>
        <v>481.8</v>
      </c>
      <c r="AT19" s="59">
        <f>K92</f>
        <v>483.5</v>
      </c>
      <c r="AU19" s="59">
        <f t="shared" ref="AU19:AX19" si="13">M92</f>
        <v>441</v>
      </c>
      <c r="AV19" s="59">
        <f t="shared" si="13"/>
        <v>491.4</v>
      </c>
      <c r="AW19" s="59">
        <f t="shared" si="13"/>
        <v>0</v>
      </c>
      <c r="AX19" s="59">
        <f t="shared" si="13"/>
        <v>563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7.8</v>
      </c>
      <c r="C20" s="46">
        <v>7.8</v>
      </c>
      <c r="D20" s="46">
        <v>7.8</v>
      </c>
      <c r="E20" s="46">
        <v>7.8</v>
      </c>
      <c r="F20" s="46">
        <v>7.8</v>
      </c>
      <c r="G20" s="46">
        <v>7.8</v>
      </c>
      <c r="H20" s="46">
        <v>7.8</v>
      </c>
      <c r="I20" s="46">
        <v>7.8</v>
      </c>
      <c r="J20" s="46">
        <v>7.8</v>
      </c>
      <c r="K20" s="46">
        <v>7.8</v>
      </c>
      <c r="L20" s="46">
        <v>7.8</v>
      </c>
      <c r="M20" s="46">
        <v>7.8</v>
      </c>
      <c r="N20" s="46">
        <v>7.8</v>
      </c>
      <c r="O20" s="46">
        <v>7.8</v>
      </c>
      <c r="P20" s="46">
        <v>7.8</v>
      </c>
      <c r="Q20" s="46">
        <v>7.8</v>
      </c>
      <c r="R20" s="46">
        <v>7.8</v>
      </c>
      <c r="S20" s="46">
        <v>7.8</v>
      </c>
      <c r="T20" s="46">
        <v>7.8</v>
      </c>
      <c r="U20" s="46">
        <v>7.8</v>
      </c>
      <c r="V20" s="46">
        <v>7.8</v>
      </c>
      <c r="W20" s="46">
        <v>7.8</v>
      </c>
      <c r="X20" s="46">
        <v>7.8</v>
      </c>
      <c r="Y20" s="46">
        <v>7.8</v>
      </c>
      <c r="Z20" s="46">
        <v>7.8</v>
      </c>
      <c r="AA20" s="46">
        <v>7.8</v>
      </c>
      <c r="AB20" s="46">
        <v>7.8</v>
      </c>
      <c r="AC20" s="46">
        <v>7.8</v>
      </c>
      <c r="AD20" s="46">
        <v>7.8</v>
      </c>
      <c r="AE20" s="46">
        <v>7.8</v>
      </c>
      <c r="AF20" s="46">
        <v>7.8</v>
      </c>
      <c r="AG20" s="50">
        <v>38.46</v>
      </c>
      <c r="AH20" s="48">
        <f t="shared" si="8"/>
        <v>7.8</v>
      </c>
      <c r="AI20" s="49">
        <f t="shared" si="9"/>
        <v>7.8</v>
      </c>
      <c r="AK20" s="51"/>
      <c r="AL20" s="54" t="s">
        <v>33</v>
      </c>
      <c r="AM20" s="59">
        <f>B80</f>
        <v>0</v>
      </c>
      <c r="AN20" s="59">
        <f t="shared" ref="AN20:AR20" si="14">C80</f>
        <v>0</v>
      </c>
      <c r="AO20" s="59">
        <f t="shared" si="14"/>
        <v>0</v>
      </c>
      <c r="AP20" s="59">
        <f t="shared" si="14"/>
        <v>0</v>
      </c>
      <c r="AQ20" s="59">
        <f t="shared" si="14"/>
        <v>0</v>
      </c>
      <c r="AR20" s="59">
        <f t="shared" si="14"/>
        <v>0</v>
      </c>
      <c r="AS20" s="59">
        <f>I80</f>
        <v>0</v>
      </c>
      <c r="AT20" s="59">
        <f>K80</f>
        <v>27.1</v>
      </c>
      <c r="AU20" s="59">
        <f t="shared" ref="AU20:AX20" si="15">M80</f>
        <v>16.5</v>
      </c>
      <c r="AV20" s="59">
        <f t="shared" si="15"/>
        <v>0</v>
      </c>
      <c r="AW20" s="59">
        <f t="shared" si="15"/>
        <v>0</v>
      </c>
      <c r="AX20" s="59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13</v>
      </c>
      <c r="C21" s="46">
        <v>13</v>
      </c>
      <c r="D21" s="46">
        <v>13</v>
      </c>
      <c r="E21" s="46">
        <v>13</v>
      </c>
      <c r="F21" s="46">
        <v>13</v>
      </c>
      <c r="G21" s="46">
        <v>13</v>
      </c>
      <c r="H21" s="46">
        <v>13</v>
      </c>
      <c r="I21" s="46">
        <v>13</v>
      </c>
      <c r="J21" s="46">
        <v>13</v>
      </c>
      <c r="K21" s="46">
        <v>13</v>
      </c>
      <c r="L21" s="46">
        <v>13</v>
      </c>
      <c r="M21" s="46">
        <v>13</v>
      </c>
      <c r="N21" s="46">
        <v>13</v>
      </c>
      <c r="O21" s="46">
        <v>13</v>
      </c>
      <c r="P21" s="46">
        <v>13</v>
      </c>
      <c r="Q21" s="46">
        <v>13</v>
      </c>
      <c r="R21" s="46">
        <v>13</v>
      </c>
      <c r="S21" s="46">
        <v>13</v>
      </c>
      <c r="T21" s="46">
        <v>13</v>
      </c>
      <c r="U21" s="46">
        <v>13</v>
      </c>
      <c r="V21" s="46">
        <v>13</v>
      </c>
      <c r="W21" s="46">
        <v>13</v>
      </c>
      <c r="X21" s="46">
        <v>13</v>
      </c>
      <c r="Y21" s="46">
        <v>13</v>
      </c>
      <c r="Z21" s="46">
        <v>13</v>
      </c>
      <c r="AA21" s="46">
        <v>13</v>
      </c>
      <c r="AB21" s="46">
        <v>13</v>
      </c>
      <c r="AC21" s="46">
        <v>13</v>
      </c>
      <c r="AD21" s="46">
        <v>13</v>
      </c>
      <c r="AE21" s="46">
        <v>13</v>
      </c>
      <c r="AF21" s="46">
        <v>13</v>
      </c>
      <c r="AG21" s="50">
        <v>36</v>
      </c>
      <c r="AH21" s="48">
        <f t="shared" si="8"/>
        <v>13</v>
      </c>
      <c r="AI21" s="49">
        <f t="shared" si="9"/>
        <v>13</v>
      </c>
      <c r="AK21" s="51"/>
      <c r="AL21" s="54" t="s">
        <v>35</v>
      </c>
      <c r="AM21" s="59">
        <f>B98</f>
        <v>0</v>
      </c>
      <c r="AN21" s="59">
        <f t="shared" ref="AN21:AR21" si="16">C98</f>
        <v>0</v>
      </c>
      <c r="AO21" s="59">
        <f t="shared" si="16"/>
        <v>0</v>
      </c>
      <c r="AP21" s="59">
        <f t="shared" si="16"/>
        <v>0</v>
      </c>
      <c r="AQ21" s="59">
        <f t="shared" si="16"/>
        <v>0</v>
      </c>
      <c r="AR21" s="59">
        <f t="shared" si="16"/>
        <v>0</v>
      </c>
      <c r="AS21" s="59">
        <f>I98</f>
        <v>0</v>
      </c>
      <c r="AT21" s="59">
        <f>K98</f>
        <v>0</v>
      </c>
      <c r="AU21" s="59">
        <f t="shared" ref="AU21:AX21" si="17">M98</f>
        <v>150</v>
      </c>
      <c r="AV21" s="59">
        <f t="shared" si="17"/>
        <v>150</v>
      </c>
      <c r="AW21" s="59">
        <f t="shared" si="17"/>
        <v>150</v>
      </c>
      <c r="AX21" s="59">
        <f t="shared" si="17"/>
        <v>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6.7</v>
      </c>
      <c r="C22" s="46">
        <v>6.7</v>
      </c>
      <c r="D22" s="46">
        <v>6.7</v>
      </c>
      <c r="E22" s="46">
        <v>6.7</v>
      </c>
      <c r="F22" s="46">
        <v>6.7</v>
      </c>
      <c r="G22" s="46">
        <v>6.7</v>
      </c>
      <c r="H22" s="46">
        <v>6.7</v>
      </c>
      <c r="I22" s="46">
        <v>6.7</v>
      </c>
      <c r="J22" s="46">
        <v>6.7</v>
      </c>
      <c r="K22" s="46">
        <v>6.7</v>
      </c>
      <c r="L22" s="46">
        <v>6.7</v>
      </c>
      <c r="M22" s="46">
        <v>6.7</v>
      </c>
      <c r="N22" s="46">
        <v>6.7</v>
      </c>
      <c r="O22" s="46">
        <v>6.7</v>
      </c>
      <c r="P22" s="46">
        <v>6.7</v>
      </c>
      <c r="Q22" s="46">
        <v>6.9</v>
      </c>
      <c r="R22" s="46">
        <v>6.9</v>
      </c>
      <c r="S22" s="46">
        <v>6.9</v>
      </c>
      <c r="T22" s="46">
        <v>6.9</v>
      </c>
      <c r="U22" s="46">
        <v>6.9</v>
      </c>
      <c r="V22" s="46">
        <v>6.9</v>
      </c>
      <c r="W22" s="46">
        <v>6.9</v>
      </c>
      <c r="X22" s="46">
        <v>6.9</v>
      </c>
      <c r="Y22" s="46">
        <v>6.9</v>
      </c>
      <c r="Z22" s="46">
        <v>6.9</v>
      </c>
      <c r="AA22" s="46">
        <v>6.9</v>
      </c>
      <c r="AB22" s="46">
        <v>7.2</v>
      </c>
      <c r="AC22" s="46">
        <v>7.2</v>
      </c>
      <c r="AD22" s="46">
        <v>7.2</v>
      </c>
      <c r="AE22" s="46">
        <v>7.2</v>
      </c>
      <c r="AF22" s="46">
        <v>7.2</v>
      </c>
      <c r="AG22" s="60">
        <v>30</v>
      </c>
      <c r="AH22" s="48">
        <f t="shared" si="8"/>
        <v>7.2</v>
      </c>
      <c r="AI22" s="49">
        <f t="shared" si="9"/>
        <v>6.7</v>
      </c>
      <c r="AK22" s="51"/>
      <c r="AL22" s="61" t="s">
        <v>37</v>
      </c>
      <c r="AM22" s="62">
        <f>SUM(AM16:AM21)</f>
        <v>1159.49</v>
      </c>
      <c r="AN22" s="62">
        <f t="shared" ref="AN22:AX22" si="18">SUM(AN16:AN21)</f>
        <v>1171.49</v>
      </c>
      <c r="AO22" s="62">
        <f t="shared" si="18"/>
        <v>1115.19</v>
      </c>
      <c r="AP22" s="62">
        <f t="shared" si="18"/>
        <v>1136.22</v>
      </c>
      <c r="AQ22" s="62">
        <f t="shared" si="18"/>
        <v>1164.8899999999999</v>
      </c>
      <c r="AR22" s="62">
        <f t="shared" si="18"/>
        <v>1175.3900000000001</v>
      </c>
      <c r="AS22" s="62">
        <f t="shared" si="18"/>
        <v>1313.19</v>
      </c>
      <c r="AT22" s="62">
        <f t="shared" si="18"/>
        <v>1473.9899999999998</v>
      </c>
      <c r="AU22" s="62">
        <f t="shared" si="18"/>
        <v>1592.99</v>
      </c>
      <c r="AV22" s="62">
        <f t="shared" si="18"/>
        <v>1485.59</v>
      </c>
      <c r="AW22" s="62">
        <f t="shared" si="18"/>
        <v>989.18999999999994</v>
      </c>
      <c r="AX22" s="62">
        <f t="shared" si="18"/>
        <v>1301.49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5.5</v>
      </c>
      <c r="C23" s="46">
        <v>5.5</v>
      </c>
      <c r="D23" s="46">
        <v>5.5</v>
      </c>
      <c r="E23" s="46">
        <v>5.5</v>
      </c>
      <c r="F23" s="46">
        <v>5.5</v>
      </c>
      <c r="G23" s="46">
        <v>5.5</v>
      </c>
      <c r="H23" s="46">
        <v>5.5</v>
      </c>
      <c r="I23" s="46">
        <v>5.5</v>
      </c>
      <c r="J23" s="46">
        <v>5.5</v>
      </c>
      <c r="K23" s="46">
        <v>5.5</v>
      </c>
      <c r="L23" s="46">
        <v>5.5</v>
      </c>
      <c r="M23" s="46">
        <v>5.5</v>
      </c>
      <c r="N23" s="46">
        <v>5.5</v>
      </c>
      <c r="O23" s="46">
        <v>5.5</v>
      </c>
      <c r="P23" s="46">
        <v>5.5</v>
      </c>
      <c r="Q23" s="46">
        <v>5.5</v>
      </c>
      <c r="R23" s="46">
        <v>5.5</v>
      </c>
      <c r="S23" s="46">
        <v>5.5</v>
      </c>
      <c r="T23" s="46">
        <v>5.5</v>
      </c>
      <c r="U23" s="46">
        <v>5.5</v>
      </c>
      <c r="V23" s="46">
        <v>5.5</v>
      </c>
      <c r="W23" s="46">
        <v>5.5</v>
      </c>
      <c r="X23" s="46">
        <v>5.5</v>
      </c>
      <c r="Y23" s="46">
        <v>5.5</v>
      </c>
      <c r="Z23" s="46">
        <v>5.5</v>
      </c>
      <c r="AA23" s="46">
        <v>5.5</v>
      </c>
      <c r="AB23" s="46">
        <v>5.5</v>
      </c>
      <c r="AC23" s="46">
        <v>5.5</v>
      </c>
      <c r="AD23" s="46">
        <v>5.5</v>
      </c>
      <c r="AE23" s="46">
        <v>5.5</v>
      </c>
      <c r="AF23" s="46">
        <v>5.5</v>
      </c>
      <c r="AG23" s="50">
        <v>24.2</v>
      </c>
      <c r="AH23" s="48">
        <f t="shared" si="8"/>
        <v>5.5</v>
      </c>
      <c r="AI23" s="49">
        <f t="shared" si="9"/>
        <v>5.5</v>
      </c>
      <c r="AK23" s="51"/>
      <c r="AL23" s="61" t="s">
        <v>39</v>
      </c>
      <c r="AM23" s="62">
        <f>B107*-1</f>
        <v>0</v>
      </c>
      <c r="AN23" s="62">
        <f t="shared" ref="AN23:AR23" si="19">C107*-1</f>
        <v>0</v>
      </c>
      <c r="AO23" s="62">
        <f t="shared" si="19"/>
        <v>0</v>
      </c>
      <c r="AP23" s="62">
        <f t="shared" si="19"/>
        <v>0</v>
      </c>
      <c r="AQ23" s="62">
        <f t="shared" si="19"/>
        <v>0</v>
      </c>
      <c r="AR23" s="62">
        <f t="shared" si="19"/>
        <v>0</v>
      </c>
      <c r="AS23" s="62">
        <f>I107*-1</f>
        <v>0</v>
      </c>
      <c r="AT23" s="62">
        <f>K107*-1</f>
        <v>0</v>
      </c>
      <c r="AU23" s="62">
        <f t="shared" ref="AU23:AX23" si="20">M107*-1</f>
        <v>0</v>
      </c>
      <c r="AV23" s="62">
        <f t="shared" si="20"/>
        <v>0</v>
      </c>
      <c r="AW23" s="62">
        <f t="shared" si="20"/>
        <v>0</v>
      </c>
      <c r="AX23" s="62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7.4</v>
      </c>
      <c r="C24" s="46">
        <v>7.4</v>
      </c>
      <c r="D24" s="46">
        <v>7.4</v>
      </c>
      <c r="E24" s="46">
        <v>7.4</v>
      </c>
      <c r="F24" s="46">
        <v>7.4</v>
      </c>
      <c r="G24" s="46">
        <v>7.4</v>
      </c>
      <c r="H24" s="46">
        <v>7.4</v>
      </c>
      <c r="I24" s="46">
        <v>7.4</v>
      </c>
      <c r="J24" s="46">
        <v>7.4</v>
      </c>
      <c r="K24" s="46">
        <v>7.4</v>
      </c>
      <c r="L24" s="46">
        <v>7.4</v>
      </c>
      <c r="M24" s="46">
        <v>7.4</v>
      </c>
      <c r="N24" s="46">
        <v>7.4</v>
      </c>
      <c r="O24" s="46">
        <v>7.4</v>
      </c>
      <c r="P24" s="46">
        <v>7.4</v>
      </c>
      <c r="Q24" s="46">
        <v>6.9</v>
      </c>
      <c r="R24" s="46">
        <v>6.9</v>
      </c>
      <c r="S24" s="46">
        <v>6.9</v>
      </c>
      <c r="T24" s="46">
        <v>6.9</v>
      </c>
      <c r="U24" s="46">
        <v>6.9</v>
      </c>
      <c r="V24" s="46">
        <v>6.9</v>
      </c>
      <c r="W24" s="46">
        <v>6.9</v>
      </c>
      <c r="X24" s="46">
        <v>6.9</v>
      </c>
      <c r="Y24" s="46">
        <v>6.9</v>
      </c>
      <c r="Z24" s="46">
        <v>6.9</v>
      </c>
      <c r="AA24" s="46">
        <v>6.9</v>
      </c>
      <c r="AB24" s="46">
        <v>5.7</v>
      </c>
      <c r="AC24" s="46">
        <v>5.7</v>
      </c>
      <c r="AD24" s="46">
        <v>5.7</v>
      </c>
      <c r="AE24" s="46">
        <v>5.7</v>
      </c>
      <c r="AF24" s="46">
        <v>5.7</v>
      </c>
      <c r="AG24" s="50">
        <v>28</v>
      </c>
      <c r="AH24" s="48">
        <f t="shared" si="8"/>
        <v>7.4</v>
      </c>
      <c r="AI24" s="49">
        <f t="shared" si="9"/>
        <v>5.7</v>
      </c>
      <c r="AK24" s="51"/>
      <c r="AL24" s="61" t="s">
        <v>41</v>
      </c>
      <c r="AM24" s="62">
        <f>AM22+AM23</f>
        <v>1159.49</v>
      </c>
      <c r="AN24" s="62">
        <f t="shared" ref="AN24:AX24" si="21">AN22+AN23</f>
        <v>1171.49</v>
      </c>
      <c r="AO24" s="62">
        <f t="shared" si="21"/>
        <v>1115.19</v>
      </c>
      <c r="AP24" s="62">
        <f t="shared" si="21"/>
        <v>1136.22</v>
      </c>
      <c r="AQ24" s="62">
        <f t="shared" si="21"/>
        <v>1164.8899999999999</v>
      </c>
      <c r="AR24" s="62">
        <f t="shared" si="21"/>
        <v>1175.3900000000001</v>
      </c>
      <c r="AS24" s="62">
        <f t="shared" si="21"/>
        <v>1313.19</v>
      </c>
      <c r="AT24" s="62">
        <f t="shared" si="21"/>
        <v>1473.9899999999998</v>
      </c>
      <c r="AU24" s="62">
        <f t="shared" si="21"/>
        <v>1592.99</v>
      </c>
      <c r="AV24" s="62">
        <f t="shared" si="21"/>
        <v>1485.59</v>
      </c>
      <c r="AW24" s="62">
        <f t="shared" si="21"/>
        <v>989.18999999999994</v>
      </c>
      <c r="AX24" s="62">
        <f t="shared" si="21"/>
        <v>1301.49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6.4</v>
      </c>
      <c r="C25" s="46">
        <v>6.4</v>
      </c>
      <c r="D25" s="46">
        <v>6.4</v>
      </c>
      <c r="E25" s="46">
        <v>6.4</v>
      </c>
      <c r="F25" s="46">
        <v>6.4</v>
      </c>
      <c r="G25" s="46">
        <v>6.4</v>
      </c>
      <c r="H25" s="46">
        <v>6.4</v>
      </c>
      <c r="I25" s="46">
        <v>6.4</v>
      </c>
      <c r="J25" s="46">
        <v>6.4</v>
      </c>
      <c r="K25" s="46">
        <v>6.4</v>
      </c>
      <c r="L25" s="46">
        <v>6.4</v>
      </c>
      <c r="M25" s="46">
        <v>6.4</v>
      </c>
      <c r="N25" s="46">
        <v>6.4</v>
      </c>
      <c r="O25" s="46">
        <v>6.4</v>
      </c>
      <c r="P25" s="46">
        <v>6.4</v>
      </c>
      <c r="Q25" s="46">
        <v>5.4</v>
      </c>
      <c r="R25" s="46">
        <v>5.4</v>
      </c>
      <c r="S25" s="46">
        <v>5.4</v>
      </c>
      <c r="T25" s="46">
        <v>5.4</v>
      </c>
      <c r="U25" s="46">
        <v>5.4</v>
      </c>
      <c r="V25" s="46">
        <v>5.4</v>
      </c>
      <c r="W25" s="46">
        <v>5.4</v>
      </c>
      <c r="X25" s="46">
        <v>5.4</v>
      </c>
      <c r="Y25" s="46">
        <v>5.4</v>
      </c>
      <c r="Z25" s="46">
        <v>5.4</v>
      </c>
      <c r="AA25" s="46">
        <v>5.4</v>
      </c>
      <c r="AB25" s="46">
        <v>6.4</v>
      </c>
      <c r="AC25" s="46">
        <v>6.4</v>
      </c>
      <c r="AD25" s="46">
        <v>6.4</v>
      </c>
      <c r="AE25" s="46">
        <v>6.4</v>
      </c>
      <c r="AF25" s="46">
        <v>6.4</v>
      </c>
      <c r="AG25" s="60">
        <v>30</v>
      </c>
      <c r="AH25" s="48">
        <f t="shared" si="8"/>
        <v>6.4</v>
      </c>
      <c r="AI25" s="49">
        <f t="shared" si="9"/>
        <v>5.4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6.5</v>
      </c>
      <c r="C26" s="46">
        <v>6.5</v>
      </c>
      <c r="D26" s="46">
        <v>6.5</v>
      </c>
      <c r="E26" s="46">
        <v>6.5</v>
      </c>
      <c r="F26" s="46">
        <v>6.5</v>
      </c>
      <c r="G26" s="46">
        <v>6.5</v>
      </c>
      <c r="H26" s="46">
        <v>6.5</v>
      </c>
      <c r="I26" s="46">
        <v>6.5</v>
      </c>
      <c r="J26" s="46">
        <v>6.5</v>
      </c>
      <c r="K26" s="46">
        <v>6.5</v>
      </c>
      <c r="L26" s="46">
        <v>6.5</v>
      </c>
      <c r="M26" s="46">
        <v>6.5</v>
      </c>
      <c r="N26" s="46">
        <v>6.5</v>
      </c>
      <c r="O26" s="46">
        <v>6.5</v>
      </c>
      <c r="P26" s="46">
        <v>6.5</v>
      </c>
      <c r="Q26" s="46">
        <v>8.6</v>
      </c>
      <c r="R26" s="46">
        <v>8.6</v>
      </c>
      <c r="S26" s="46">
        <v>8.6</v>
      </c>
      <c r="T26" s="46">
        <v>8.6</v>
      </c>
      <c r="U26" s="46">
        <v>8.6</v>
      </c>
      <c r="V26" s="46">
        <v>8.6</v>
      </c>
      <c r="W26" s="46">
        <v>8.6</v>
      </c>
      <c r="X26" s="46">
        <v>8.6</v>
      </c>
      <c r="Y26" s="46">
        <v>8.6</v>
      </c>
      <c r="Z26" s="46">
        <v>8.6</v>
      </c>
      <c r="AA26" s="46">
        <v>8.6</v>
      </c>
      <c r="AB26" s="46">
        <v>8.4</v>
      </c>
      <c r="AC26" s="46">
        <v>8.4</v>
      </c>
      <c r="AD26" s="46">
        <v>8.4</v>
      </c>
      <c r="AE26" s="46">
        <v>8.4</v>
      </c>
      <c r="AF26" s="46">
        <v>8.4</v>
      </c>
      <c r="AG26" s="50">
        <v>25</v>
      </c>
      <c r="AH26" s="48">
        <f t="shared" si="8"/>
        <v>8.6</v>
      </c>
      <c r="AI26" s="49">
        <f t="shared" si="9"/>
        <v>6.5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5</v>
      </c>
      <c r="N27" s="46">
        <v>5</v>
      </c>
      <c r="O27" s="46">
        <v>5</v>
      </c>
      <c r="P27" s="46">
        <v>5</v>
      </c>
      <c r="Q27" s="46">
        <v>5</v>
      </c>
      <c r="R27" s="46">
        <v>5</v>
      </c>
      <c r="S27" s="46">
        <v>5</v>
      </c>
      <c r="T27" s="46">
        <v>5</v>
      </c>
      <c r="U27" s="46">
        <v>5</v>
      </c>
      <c r="V27" s="46">
        <v>5</v>
      </c>
      <c r="W27" s="46">
        <v>5</v>
      </c>
      <c r="X27" s="46">
        <v>5</v>
      </c>
      <c r="Y27" s="46">
        <v>5</v>
      </c>
      <c r="Z27" s="46">
        <v>5</v>
      </c>
      <c r="AA27" s="46">
        <v>5</v>
      </c>
      <c r="AB27" s="46">
        <v>5</v>
      </c>
      <c r="AC27" s="46">
        <v>5</v>
      </c>
      <c r="AD27" s="46">
        <v>5</v>
      </c>
      <c r="AE27" s="46">
        <v>5</v>
      </c>
      <c r="AF27" s="46">
        <v>5</v>
      </c>
      <c r="AG27" s="50">
        <v>25</v>
      </c>
      <c r="AH27" s="48">
        <f t="shared" si="8"/>
        <v>5</v>
      </c>
      <c r="AI27" s="49">
        <f t="shared" si="9"/>
        <v>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6</v>
      </c>
      <c r="C28" s="46">
        <v>6</v>
      </c>
      <c r="D28" s="46">
        <v>6</v>
      </c>
      <c r="E28" s="46">
        <v>6</v>
      </c>
      <c r="F28" s="46">
        <v>6</v>
      </c>
      <c r="G28" s="46">
        <v>6</v>
      </c>
      <c r="H28" s="46">
        <v>6</v>
      </c>
      <c r="I28" s="46">
        <v>6</v>
      </c>
      <c r="J28" s="46">
        <v>6</v>
      </c>
      <c r="K28" s="46">
        <v>6</v>
      </c>
      <c r="L28" s="46">
        <v>6</v>
      </c>
      <c r="M28" s="46">
        <v>6</v>
      </c>
      <c r="N28" s="46">
        <v>6</v>
      </c>
      <c r="O28" s="46">
        <v>6</v>
      </c>
      <c r="P28" s="46">
        <v>6</v>
      </c>
      <c r="Q28" s="46">
        <v>6</v>
      </c>
      <c r="R28" s="46">
        <v>6</v>
      </c>
      <c r="S28" s="46">
        <v>6</v>
      </c>
      <c r="T28" s="46">
        <v>6</v>
      </c>
      <c r="U28" s="46">
        <v>6</v>
      </c>
      <c r="V28" s="46">
        <v>6</v>
      </c>
      <c r="W28" s="46">
        <v>6</v>
      </c>
      <c r="X28" s="46">
        <v>6</v>
      </c>
      <c r="Y28" s="46">
        <v>6</v>
      </c>
      <c r="Z28" s="46">
        <v>6</v>
      </c>
      <c r="AA28" s="46">
        <v>6</v>
      </c>
      <c r="AB28" s="46">
        <v>6</v>
      </c>
      <c r="AC28" s="46">
        <v>6</v>
      </c>
      <c r="AD28" s="46">
        <v>6</v>
      </c>
      <c r="AE28" s="46">
        <v>6</v>
      </c>
      <c r="AF28" s="46">
        <v>6</v>
      </c>
      <c r="AG28" s="50">
        <v>25</v>
      </c>
      <c r="AH28" s="48">
        <f t="shared" si="8"/>
        <v>6</v>
      </c>
      <c r="AI28" s="49">
        <f t="shared" si="9"/>
        <v>6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6.3</v>
      </c>
      <c r="C29" s="46">
        <v>6.3</v>
      </c>
      <c r="D29" s="46">
        <v>6.3</v>
      </c>
      <c r="E29" s="46">
        <v>6.3</v>
      </c>
      <c r="F29" s="46">
        <v>6.3</v>
      </c>
      <c r="G29" s="46">
        <v>6.3</v>
      </c>
      <c r="H29" s="46">
        <v>6.3</v>
      </c>
      <c r="I29" s="46">
        <v>6.3</v>
      </c>
      <c r="J29" s="46">
        <v>6.3</v>
      </c>
      <c r="K29" s="46">
        <v>6.3</v>
      </c>
      <c r="L29" s="46">
        <v>6.3</v>
      </c>
      <c r="M29" s="46">
        <v>6.3</v>
      </c>
      <c r="N29" s="46">
        <v>6.3</v>
      </c>
      <c r="O29" s="46">
        <v>6.3</v>
      </c>
      <c r="P29" s="46">
        <v>6.3</v>
      </c>
      <c r="Q29" s="46">
        <v>7</v>
      </c>
      <c r="R29" s="46">
        <v>7</v>
      </c>
      <c r="S29" s="46">
        <v>7</v>
      </c>
      <c r="T29" s="46">
        <v>7</v>
      </c>
      <c r="U29" s="46">
        <v>7</v>
      </c>
      <c r="V29" s="46">
        <v>7</v>
      </c>
      <c r="W29" s="46">
        <v>7</v>
      </c>
      <c r="X29" s="46">
        <v>7</v>
      </c>
      <c r="Y29" s="46">
        <v>7</v>
      </c>
      <c r="Z29" s="46">
        <v>7</v>
      </c>
      <c r="AA29" s="46">
        <v>7</v>
      </c>
      <c r="AB29" s="46">
        <v>6.8</v>
      </c>
      <c r="AC29" s="46">
        <v>6.8</v>
      </c>
      <c r="AD29" s="46">
        <v>6.8</v>
      </c>
      <c r="AE29" s="46">
        <v>6.8</v>
      </c>
      <c r="AF29" s="46">
        <v>6.8</v>
      </c>
      <c r="AG29" s="50">
        <v>25</v>
      </c>
      <c r="AH29" s="48">
        <f t="shared" si="8"/>
        <v>7</v>
      </c>
      <c r="AI29" s="49">
        <f t="shared" si="9"/>
        <v>6.3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6.8</v>
      </c>
      <c r="C30" s="46">
        <v>6.8</v>
      </c>
      <c r="D30" s="46">
        <v>6.8</v>
      </c>
      <c r="E30" s="46">
        <v>6.8</v>
      </c>
      <c r="F30" s="46">
        <v>6.8</v>
      </c>
      <c r="G30" s="46">
        <v>6.8</v>
      </c>
      <c r="H30" s="46">
        <v>6.8</v>
      </c>
      <c r="I30" s="46">
        <v>6.8</v>
      </c>
      <c r="J30" s="46">
        <v>6.8</v>
      </c>
      <c r="K30" s="46">
        <v>6.8</v>
      </c>
      <c r="L30" s="46">
        <v>6.8</v>
      </c>
      <c r="M30" s="46">
        <v>6.8</v>
      </c>
      <c r="N30" s="46">
        <v>6.8</v>
      </c>
      <c r="O30" s="46">
        <v>6.8</v>
      </c>
      <c r="P30" s="46">
        <v>6.8</v>
      </c>
      <c r="Q30" s="46">
        <v>5.5</v>
      </c>
      <c r="R30" s="46">
        <v>5.5</v>
      </c>
      <c r="S30" s="46">
        <v>5.5</v>
      </c>
      <c r="T30" s="46">
        <v>5.5</v>
      </c>
      <c r="U30" s="46">
        <v>5.5</v>
      </c>
      <c r="V30" s="46">
        <v>5.5</v>
      </c>
      <c r="W30" s="46">
        <v>5.5</v>
      </c>
      <c r="X30" s="46">
        <v>5.5</v>
      </c>
      <c r="Y30" s="46">
        <v>5.5</v>
      </c>
      <c r="Z30" s="46">
        <v>5.5</v>
      </c>
      <c r="AA30" s="46">
        <v>5.5</v>
      </c>
      <c r="AB30" s="46">
        <v>7.5</v>
      </c>
      <c r="AC30" s="46">
        <v>7.5</v>
      </c>
      <c r="AD30" s="46">
        <v>7.5</v>
      </c>
      <c r="AE30" s="46">
        <v>7.5</v>
      </c>
      <c r="AF30" s="46">
        <v>7.5</v>
      </c>
      <c r="AG30" s="50">
        <v>23.5</v>
      </c>
      <c r="AH30" s="48">
        <f t="shared" si="8"/>
        <v>7.5</v>
      </c>
      <c r="AI30" s="49">
        <f t="shared" si="9"/>
        <v>5.5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>
        <v>3</v>
      </c>
      <c r="V31" s="46">
        <v>3</v>
      </c>
      <c r="W31" s="46">
        <v>3</v>
      </c>
      <c r="X31" s="46">
        <v>3</v>
      </c>
      <c r="Y31" s="46">
        <v>3</v>
      </c>
      <c r="Z31" s="46">
        <v>3</v>
      </c>
      <c r="AA31" s="46">
        <v>3</v>
      </c>
      <c r="AB31" s="46">
        <v>3</v>
      </c>
      <c r="AC31" s="46">
        <v>3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8"/>
        <v>3</v>
      </c>
      <c r="AI31" s="49">
        <f t="shared" si="9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5.5</v>
      </c>
      <c r="Q32" s="46">
        <v>5.5</v>
      </c>
      <c r="R32" s="46">
        <v>5.5</v>
      </c>
      <c r="S32" s="46">
        <v>5.5</v>
      </c>
      <c r="T32" s="46">
        <v>5.5</v>
      </c>
      <c r="U32" s="46">
        <v>5.5</v>
      </c>
      <c r="V32" s="46">
        <v>5.5</v>
      </c>
      <c r="W32" s="46">
        <v>5.5</v>
      </c>
      <c r="X32" s="46">
        <v>5.5</v>
      </c>
      <c r="Y32" s="46">
        <v>5.5</v>
      </c>
      <c r="Z32" s="46">
        <v>5.5</v>
      </c>
      <c r="AA32" s="46">
        <v>5.5</v>
      </c>
      <c r="AB32" s="46">
        <v>5.5</v>
      </c>
      <c r="AC32" s="46">
        <v>5.5</v>
      </c>
      <c r="AD32" s="46">
        <v>5.5</v>
      </c>
      <c r="AE32" s="46">
        <v>5.5</v>
      </c>
      <c r="AF32" s="46">
        <v>5.5</v>
      </c>
      <c r="AG32" s="50">
        <v>22.1</v>
      </c>
      <c r="AH32" s="48">
        <f t="shared" si="8"/>
        <v>5.5</v>
      </c>
      <c r="AI32" s="49">
        <f t="shared" si="9"/>
        <v>5.5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6</v>
      </c>
      <c r="C33" s="46">
        <v>6</v>
      </c>
      <c r="D33" s="46">
        <v>6</v>
      </c>
      <c r="E33" s="46">
        <v>6</v>
      </c>
      <c r="F33" s="46">
        <v>6</v>
      </c>
      <c r="G33" s="46">
        <v>6</v>
      </c>
      <c r="H33" s="46">
        <v>6</v>
      </c>
      <c r="I33" s="46">
        <v>6</v>
      </c>
      <c r="J33" s="46">
        <v>6</v>
      </c>
      <c r="K33" s="46">
        <v>6</v>
      </c>
      <c r="L33" s="46">
        <v>6</v>
      </c>
      <c r="M33" s="46">
        <v>6</v>
      </c>
      <c r="N33" s="46">
        <v>6</v>
      </c>
      <c r="O33" s="46">
        <v>6</v>
      </c>
      <c r="P33" s="46">
        <v>6</v>
      </c>
      <c r="Q33" s="46">
        <v>6</v>
      </c>
      <c r="R33" s="46">
        <v>6</v>
      </c>
      <c r="S33" s="46">
        <v>6</v>
      </c>
      <c r="T33" s="46">
        <v>6</v>
      </c>
      <c r="U33" s="46">
        <v>6</v>
      </c>
      <c r="V33" s="46">
        <v>6</v>
      </c>
      <c r="W33" s="46">
        <v>6</v>
      </c>
      <c r="X33" s="46">
        <v>6</v>
      </c>
      <c r="Y33" s="46">
        <v>6</v>
      </c>
      <c r="Z33" s="46">
        <v>6</v>
      </c>
      <c r="AA33" s="46">
        <v>6</v>
      </c>
      <c r="AB33" s="46">
        <v>6</v>
      </c>
      <c r="AC33" s="46">
        <v>6</v>
      </c>
      <c r="AD33" s="46">
        <v>6</v>
      </c>
      <c r="AE33" s="46">
        <v>6</v>
      </c>
      <c r="AF33" s="46">
        <v>6</v>
      </c>
      <c r="AG33" s="50">
        <v>22</v>
      </c>
      <c r="AH33" s="48">
        <f t="shared" si="8"/>
        <v>6</v>
      </c>
      <c r="AI33" s="49">
        <f t="shared" si="9"/>
        <v>6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22</v>
      </c>
      <c r="C34" s="46">
        <v>22</v>
      </c>
      <c r="D34" s="46">
        <v>22</v>
      </c>
      <c r="E34" s="46">
        <v>22</v>
      </c>
      <c r="F34" s="46">
        <v>22</v>
      </c>
      <c r="G34" s="46">
        <v>22</v>
      </c>
      <c r="H34" s="46">
        <v>22</v>
      </c>
      <c r="I34" s="46">
        <v>22</v>
      </c>
      <c r="J34" s="46">
        <v>22</v>
      </c>
      <c r="K34" s="46">
        <v>22</v>
      </c>
      <c r="L34" s="46">
        <v>22</v>
      </c>
      <c r="M34" s="46">
        <v>22</v>
      </c>
      <c r="N34" s="46">
        <v>22</v>
      </c>
      <c r="O34" s="46">
        <v>22</v>
      </c>
      <c r="P34" s="46">
        <v>22</v>
      </c>
      <c r="Q34" s="46">
        <v>7.3</v>
      </c>
      <c r="R34" s="46">
        <v>7.3</v>
      </c>
      <c r="S34" s="46">
        <v>7.3</v>
      </c>
      <c r="T34" s="46">
        <v>7.3</v>
      </c>
      <c r="U34" s="46">
        <v>7.3</v>
      </c>
      <c r="V34" s="46">
        <v>7.3</v>
      </c>
      <c r="W34" s="46">
        <v>7.3</v>
      </c>
      <c r="X34" s="46">
        <v>7.3</v>
      </c>
      <c r="Y34" s="46">
        <v>7.3</v>
      </c>
      <c r="Z34" s="46">
        <v>7.3</v>
      </c>
      <c r="AA34" s="46">
        <v>7.3</v>
      </c>
      <c r="AB34" s="46">
        <v>10.8</v>
      </c>
      <c r="AC34" s="46">
        <v>10.8</v>
      </c>
      <c r="AD34" s="46">
        <v>10.8</v>
      </c>
      <c r="AE34" s="46">
        <v>10.8</v>
      </c>
      <c r="AF34" s="46">
        <v>10.8</v>
      </c>
      <c r="AG34" s="50">
        <v>22</v>
      </c>
      <c r="AH34" s="48">
        <f t="shared" si="8"/>
        <v>22</v>
      </c>
      <c r="AI34" s="49">
        <f t="shared" si="9"/>
        <v>7.3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8"/>
        <v>4</v>
      </c>
      <c r="AI35" s="49">
        <f t="shared" si="9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>
        <v>4</v>
      </c>
      <c r="V36" s="46">
        <v>4</v>
      </c>
      <c r="W36" s="46">
        <v>4</v>
      </c>
      <c r="X36" s="46">
        <v>4</v>
      </c>
      <c r="Y36" s="46">
        <v>4</v>
      </c>
      <c r="Z36" s="46">
        <v>4</v>
      </c>
      <c r="AA36" s="46">
        <v>4</v>
      </c>
      <c r="AB36" s="46">
        <v>4</v>
      </c>
      <c r="AC36" s="46">
        <v>4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8"/>
        <v>4</v>
      </c>
      <c r="AI36" s="49">
        <f t="shared" si="9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>
        <v>5.7</v>
      </c>
      <c r="V37" s="46">
        <v>5.7</v>
      </c>
      <c r="W37" s="46">
        <v>5.7</v>
      </c>
      <c r="X37" s="46">
        <v>5.7</v>
      </c>
      <c r="Y37" s="46">
        <v>5.7</v>
      </c>
      <c r="Z37" s="46">
        <v>5.7</v>
      </c>
      <c r="AA37" s="46">
        <v>5.7</v>
      </c>
      <c r="AB37" s="46">
        <v>5.7</v>
      </c>
      <c r="AC37" s="46">
        <v>5.7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8"/>
        <v>5.7</v>
      </c>
      <c r="AI37" s="49">
        <f t="shared" si="9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7.2</v>
      </c>
      <c r="Q38" s="46">
        <v>7.2</v>
      </c>
      <c r="R38" s="46">
        <v>7.2</v>
      </c>
      <c r="S38" s="46">
        <v>7.2</v>
      </c>
      <c r="T38" s="46">
        <v>7.2</v>
      </c>
      <c r="U38" s="46">
        <v>7.2</v>
      </c>
      <c r="V38" s="46">
        <v>7.2</v>
      </c>
      <c r="W38" s="46">
        <v>7.2</v>
      </c>
      <c r="X38" s="46">
        <v>7.2</v>
      </c>
      <c r="Y38" s="46">
        <v>7.2</v>
      </c>
      <c r="Z38" s="46">
        <v>7.2</v>
      </c>
      <c r="AA38" s="46">
        <v>7.2</v>
      </c>
      <c r="AB38" s="46">
        <v>7.2</v>
      </c>
      <c r="AC38" s="46">
        <v>7.2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8"/>
        <v>7.2</v>
      </c>
      <c r="AI38" s="49">
        <f t="shared" si="9"/>
        <v>7.2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0</v>
      </c>
      <c r="C40" s="46">
        <v>0</v>
      </c>
      <c r="D40" s="46">
        <v>0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46">
        <v>0</v>
      </c>
      <c r="P40" s="46">
        <v>0</v>
      </c>
      <c r="Q40" s="46">
        <v>0</v>
      </c>
      <c r="R40" s="46">
        <v>0</v>
      </c>
      <c r="S40" s="46">
        <v>0</v>
      </c>
      <c r="T40" s="46">
        <v>0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6">
        <v>0</v>
      </c>
      <c r="AD40" s="46">
        <v>0</v>
      </c>
      <c r="AE40" s="46">
        <v>0</v>
      </c>
      <c r="AF40" s="46">
        <v>0</v>
      </c>
      <c r="AG40" s="50">
        <v>14.9</v>
      </c>
      <c r="AH40" s="48">
        <f t="shared" si="8"/>
        <v>0</v>
      </c>
      <c r="AI40" s="49">
        <f t="shared" si="9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8"/>
        <v>4</v>
      </c>
      <c r="AI41" s="49">
        <f t="shared" si="9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>
        <v>1.8</v>
      </c>
      <c r="V42" s="46">
        <v>1.8</v>
      </c>
      <c r="W42" s="46">
        <v>1.8</v>
      </c>
      <c r="X42" s="46">
        <v>1.8</v>
      </c>
      <c r="Y42" s="46">
        <v>1.8</v>
      </c>
      <c r="Z42" s="46">
        <v>1.8</v>
      </c>
      <c r="AA42" s="46">
        <v>1.8</v>
      </c>
      <c r="AB42" s="46">
        <v>1.8</v>
      </c>
      <c r="AC42" s="46">
        <v>1.8</v>
      </c>
      <c r="AD42" s="46">
        <v>1.8</v>
      </c>
      <c r="AE42" s="46">
        <v>1.8</v>
      </c>
      <c r="AF42" s="46">
        <v>1.8</v>
      </c>
      <c r="AG42" s="50">
        <v>13.6</v>
      </c>
      <c r="AH42" s="48">
        <f t="shared" si="8"/>
        <v>1.8</v>
      </c>
      <c r="AI42" s="49">
        <f t="shared" si="9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>
        <v>3.8</v>
      </c>
      <c r="V43" s="46">
        <v>3.8</v>
      </c>
      <c r="W43" s="46">
        <v>3.8</v>
      </c>
      <c r="X43" s="46">
        <v>3.8</v>
      </c>
      <c r="Y43" s="46">
        <v>3.8</v>
      </c>
      <c r="Z43" s="46">
        <v>3.8</v>
      </c>
      <c r="AA43" s="46">
        <v>3.8</v>
      </c>
      <c r="AB43" s="46">
        <v>3.8</v>
      </c>
      <c r="AC43" s="46">
        <v>3.8</v>
      </c>
      <c r="AD43" s="46">
        <v>3.8</v>
      </c>
      <c r="AE43" s="46">
        <v>3.8</v>
      </c>
      <c r="AF43" s="46">
        <v>3.8</v>
      </c>
      <c r="AG43" s="50">
        <v>13</v>
      </c>
      <c r="AH43" s="48">
        <f t="shared" si="8"/>
        <v>3.8</v>
      </c>
      <c r="AI43" s="49">
        <f t="shared" si="9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2.5</v>
      </c>
      <c r="C44" s="46">
        <v>2.5</v>
      </c>
      <c r="D44" s="46">
        <v>2.5</v>
      </c>
      <c r="E44" s="46">
        <v>2.5</v>
      </c>
      <c r="F44" s="46">
        <v>2.5</v>
      </c>
      <c r="G44" s="46">
        <v>2.5</v>
      </c>
      <c r="H44" s="46">
        <v>2.5</v>
      </c>
      <c r="I44" s="46">
        <v>2.5</v>
      </c>
      <c r="J44" s="46">
        <v>2.5</v>
      </c>
      <c r="K44" s="46">
        <v>2.5</v>
      </c>
      <c r="L44" s="46">
        <v>2.5</v>
      </c>
      <c r="M44" s="46">
        <v>2.5</v>
      </c>
      <c r="N44" s="46">
        <v>2.5</v>
      </c>
      <c r="O44" s="46">
        <v>2.5</v>
      </c>
      <c r="P44" s="46">
        <v>2.5</v>
      </c>
      <c r="Q44" s="46">
        <v>2.5</v>
      </c>
      <c r="R44" s="46">
        <v>2.5</v>
      </c>
      <c r="S44" s="46">
        <v>2.5</v>
      </c>
      <c r="T44" s="46">
        <v>2.5</v>
      </c>
      <c r="U44" s="46">
        <v>2.5</v>
      </c>
      <c r="V44" s="46">
        <v>2.5</v>
      </c>
      <c r="W44" s="46">
        <v>2.5</v>
      </c>
      <c r="X44" s="46">
        <v>2.5</v>
      </c>
      <c r="Y44" s="46">
        <v>2.5</v>
      </c>
      <c r="Z44" s="46">
        <v>2.5</v>
      </c>
      <c r="AA44" s="46">
        <v>2.5</v>
      </c>
      <c r="AB44" s="46">
        <v>2.5</v>
      </c>
      <c r="AC44" s="46">
        <v>2.5</v>
      </c>
      <c r="AD44" s="46">
        <v>2.5</v>
      </c>
      <c r="AE44" s="46">
        <v>2.5</v>
      </c>
      <c r="AF44" s="46">
        <v>2.5</v>
      </c>
      <c r="AG44" s="50">
        <v>12</v>
      </c>
      <c r="AH44" s="48">
        <f t="shared" si="8"/>
        <v>2.5</v>
      </c>
      <c r="AI44" s="49">
        <f t="shared" si="9"/>
        <v>2.5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>
        <v>9</v>
      </c>
      <c r="V45" s="46">
        <v>9</v>
      </c>
      <c r="W45" s="46">
        <v>9</v>
      </c>
      <c r="X45" s="46">
        <v>9</v>
      </c>
      <c r="Y45" s="46">
        <v>9</v>
      </c>
      <c r="Z45" s="46">
        <v>9</v>
      </c>
      <c r="AA45" s="46">
        <v>9</v>
      </c>
      <c r="AB45" s="46">
        <v>9</v>
      </c>
      <c r="AC45" s="46">
        <v>9</v>
      </c>
      <c r="AD45" s="46">
        <v>9</v>
      </c>
      <c r="AE45" s="46">
        <v>9</v>
      </c>
      <c r="AF45" s="46">
        <v>9</v>
      </c>
      <c r="AG45" s="50">
        <v>12</v>
      </c>
      <c r="AH45" s="48">
        <f t="shared" si="8"/>
        <v>9</v>
      </c>
      <c r="AI45" s="49">
        <f t="shared" si="9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>
        <v>3.5</v>
      </c>
      <c r="V47" s="46">
        <v>3.5</v>
      </c>
      <c r="W47" s="46">
        <v>3.5</v>
      </c>
      <c r="X47" s="46">
        <v>3.5</v>
      </c>
      <c r="Y47" s="46">
        <v>3.5</v>
      </c>
      <c r="Z47" s="46">
        <v>3.5</v>
      </c>
      <c r="AA47" s="46">
        <v>3.5</v>
      </c>
      <c r="AB47" s="46">
        <v>3.5</v>
      </c>
      <c r="AC47" s="46">
        <v>3.5</v>
      </c>
      <c r="AD47" s="46">
        <v>3.5</v>
      </c>
      <c r="AE47" s="46">
        <v>3.5</v>
      </c>
      <c r="AF47" s="46">
        <v>3.5</v>
      </c>
      <c r="AG47" s="63">
        <v>22</v>
      </c>
      <c r="AH47" s="48">
        <f t="shared" si="8"/>
        <v>3.5</v>
      </c>
      <c r="AI47" s="49">
        <f t="shared" si="9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>
        <v>5</v>
      </c>
      <c r="V48" s="46">
        <v>5</v>
      </c>
      <c r="W48" s="46">
        <v>5</v>
      </c>
      <c r="X48" s="46">
        <v>5</v>
      </c>
      <c r="Y48" s="46">
        <v>5</v>
      </c>
      <c r="Z48" s="46">
        <v>5</v>
      </c>
      <c r="AA48" s="46">
        <v>5</v>
      </c>
      <c r="AB48" s="46">
        <v>5</v>
      </c>
      <c r="AC48" s="46">
        <v>5</v>
      </c>
      <c r="AD48" s="46">
        <v>5</v>
      </c>
      <c r="AE48" s="46">
        <v>5</v>
      </c>
      <c r="AF48" s="46">
        <v>5</v>
      </c>
      <c r="AG48" s="60">
        <v>11.88</v>
      </c>
      <c r="AH48" s="48">
        <f t="shared" si="8"/>
        <v>5</v>
      </c>
      <c r="AI48" s="49">
        <f t="shared" si="9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5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4" t="s">
        <v>67</v>
      </c>
      <c r="B50" s="46">
        <v>2.4500000000000002</v>
      </c>
      <c r="C50" s="46">
        <v>2.4500000000000002</v>
      </c>
      <c r="D50" s="46">
        <v>2.4500000000000002</v>
      </c>
      <c r="E50" s="46">
        <v>2.4500000000000002</v>
      </c>
      <c r="F50" s="46">
        <v>2.4500000000000002</v>
      </c>
      <c r="G50" s="46">
        <v>2.4500000000000002</v>
      </c>
      <c r="H50" s="46">
        <v>2.4500000000000002</v>
      </c>
      <c r="I50" s="46">
        <v>2.4500000000000002</v>
      </c>
      <c r="J50" s="46">
        <v>2.4500000000000002</v>
      </c>
      <c r="K50" s="46">
        <v>2.4500000000000002</v>
      </c>
      <c r="L50" s="46">
        <v>2.4500000000000002</v>
      </c>
      <c r="M50" s="46">
        <v>2.4500000000000002</v>
      </c>
      <c r="N50" s="46">
        <v>2.4500000000000002</v>
      </c>
      <c r="O50" s="46">
        <v>2.4500000000000002</v>
      </c>
      <c r="P50" s="46">
        <v>2.4500000000000002</v>
      </c>
      <c r="Q50" s="46">
        <v>2.4500000000000002</v>
      </c>
      <c r="R50" s="46">
        <v>2.4500000000000002</v>
      </c>
      <c r="S50" s="46">
        <v>2.4500000000000002</v>
      </c>
      <c r="T50" s="46">
        <v>2.4500000000000002</v>
      </c>
      <c r="U50" s="46">
        <v>2.4500000000000002</v>
      </c>
      <c r="V50" s="46">
        <v>2.4500000000000002</v>
      </c>
      <c r="W50" s="46">
        <v>2.4500000000000002</v>
      </c>
      <c r="X50" s="46">
        <v>2.4500000000000002</v>
      </c>
      <c r="Y50" s="46">
        <v>2.4500000000000002</v>
      </c>
      <c r="Z50" s="46">
        <v>2.4500000000000002</v>
      </c>
      <c r="AA50" s="46">
        <v>2.4500000000000002</v>
      </c>
      <c r="AB50" s="46">
        <v>2.4500000000000002</v>
      </c>
      <c r="AC50" s="46">
        <v>2.4500000000000002</v>
      </c>
      <c r="AD50" s="46">
        <v>2.4500000000000002</v>
      </c>
      <c r="AE50" s="46">
        <v>2.4500000000000002</v>
      </c>
      <c r="AF50" s="46">
        <v>2.4500000000000002</v>
      </c>
      <c r="AG50" s="65">
        <v>11</v>
      </c>
      <c r="AH50" s="48">
        <f t="shared" si="8"/>
        <v>2.4500000000000002</v>
      </c>
      <c r="AI50" s="49">
        <f t="shared" si="9"/>
        <v>2.4500000000000002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65">
        <v>11</v>
      </c>
      <c r="AH51" s="48">
        <f t="shared" si="8"/>
        <v>3</v>
      </c>
      <c r="AI51" s="49">
        <f t="shared" si="9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5">
        <v>10</v>
      </c>
      <c r="AH52" s="48">
        <f t="shared" si="8"/>
        <v>4</v>
      </c>
      <c r="AI52" s="49">
        <f t="shared" si="9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>
        <v>4.5</v>
      </c>
      <c r="V53" s="46">
        <v>4.5</v>
      </c>
      <c r="W53" s="46">
        <v>4.5</v>
      </c>
      <c r="X53" s="46">
        <v>4.5</v>
      </c>
      <c r="Y53" s="46">
        <v>4.5</v>
      </c>
      <c r="Z53" s="46">
        <v>4.5</v>
      </c>
      <c r="AA53" s="46">
        <v>4.5</v>
      </c>
      <c r="AB53" s="46">
        <v>4.5</v>
      </c>
      <c r="AC53" s="46">
        <v>4.5</v>
      </c>
      <c r="AD53" s="46">
        <v>4.5</v>
      </c>
      <c r="AE53" s="46">
        <v>4.5</v>
      </c>
      <c r="AF53" s="46">
        <v>4.5</v>
      </c>
      <c r="AG53" s="65">
        <v>10</v>
      </c>
      <c r="AH53" s="48">
        <f t="shared" si="8"/>
        <v>4.5</v>
      </c>
      <c r="AI53" s="49">
        <f t="shared" si="9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5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5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>
        <v>150</v>
      </c>
      <c r="W56" s="67">
        <v>150</v>
      </c>
      <c r="X56" s="67">
        <v>150</v>
      </c>
      <c r="Y56" s="67">
        <v>150</v>
      </c>
      <c r="Z56" s="67">
        <v>150</v>
      </c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8" t="s">
        <v>74</v>
      </c>
      <c r="B57" s="67">
        <v>108.9</v>
      </c>
      <c r="C57" s="67">
        <v>108.9</v>
      </c>
      <c r="D57" s="67">
        <v>82</v>
      </c>
      <c r="E57" s="67">
        <v>83</v>
      </c>
      <c r="F57" s="67">
        <v>75</v>
      </c>
      <c r="G57" s="67">
        <v>69.2</v>
      </c>
      <c r="H57" s="67">
        <v>69.2</v>
      </c>
      <c r="I57" s="67">
        <v>69.2</v>
      </c>
      <c r="J57" s="67">
        <v>68.5</v>
      </c>
      <c r="K57" s="67">
        <v>68.5</v>
      </c>
      <c r="L57" s="67">
        <v>68.5</v>
      </c>
      <c r="M57" s="67">
        <v>68.5</v>
      </c>
      <c r="N57" s="67">
        <v>68.5</v>
      </c>
      <c r="O57" s="67">
        <v>68.5</v>
      </c>
      <c r="P57" s="67">
        <v>68.5</v>
      </c>
      <c r="Q57" s="67">
        <f>12.4+31.5</f>
        <v>43.9</v>
      </c>
      <c r="R57" s="67">
        <f>12.4+31.5</f>
        <v>43.9</v>
      </c>
      <c r="S57" s="67">
        <v>56.5</v>
      </c>
      <c r="T57" s="67">
        <v>53.8</v>
      </c>
      <c r="U57" s="67">
        <v>51.2</v>
      </c>
      <c r="V57" s="67">
        <v>51.2</v>
      </c>
      <c r="W57" s="67">
        <v>49.9</v>
      </c>
      <c r="X57" s="67">
        <v>48</v>
      </c>
      <c r="Y57" s="67">
        <v>48</v>
      </c>
      <c r="Z57" s="67">
        <v>48</v>
      </c>
      <c r="AA57" s="67">
        <v>48</v>
      </c>
      <c r="AB57" s="67">
        <v>39</v>
      </c>
      <c r="AC57" s="67">
        <v>45</v>
      </c>
      <c r="AD57" s="67">
        <v>45</v>
      </c>
      <c r="AE57" s="67">
        <v>45</v>
      </c>
      <c r="AF57" s="67">
        <v>45</v>
      </c>
      <c r="AG57" s="65">
        <v>240</v>
      </c>
      <c r="AH57" s="48">
        <f t="shared" si="8"/>
        <v>108.9</v>
      </c>
      <c r="AI57" s="49">
        <f t="shared" si="9"/>
        <v>39</v>
      </c>
      <c r="AK57" s="51"/>
    </row>
    <row r="58" spans="1:88" ht="15.75" thickBot="1" x14ac:dyDescent="0.3">
      <c r="A58" s="69" t="s">
        <v>75</v>
      </c>
      <c r="B58" s="70">
        <f t="shared" ref="B58:C58" si="22">SUM(B11:B56)</f>
        <v>473.55</v>
      </c>
      <c r="C58" s="70">
        <f t="shared" si="22"/>
        <v>473.55</v>
      </c>
      <c r="D58" s="70">
        <f t="shared" ref="D58:AF58" si="23">SUM(D11:D56)</f>
        <v>473.55</v>
      </c>
      <c r="E58" s="70">
        <f t="shared" si="23"/>
        <v>473.55</v>
      </c>
      <c r="F58" s="70">
        <f t="shared" si="23"/>
        <v>473.55</v>
      </c>
      <c r="G58" s="70">
        <f t="shared" si="23"/>
        <v>473.55</v>
      </c>
      <c r="H58" s="70">
        <f t="shared" si="23"/>
        <v>473.55</v>
      </c>
      <c r="I58" s="70">
        <f t="shared" si="23"/>
        <v>473.55</v>
      </c>
      <c r="J58" s="70">
        <f t="shared" si="23"/>
        <v>473.55</v>
      </c>
      <c r="K58" s="70">
        <f t="shared" si="23"/>
        <v>473.55</v>
      </c>
      <c r="L58" s="70">
        <f t="shared" ref="L58" si="24">SUM(L11:L56)</f>
        <v>473.55</v>
      </c>
      <c r="M58" s="70">
        <f t="shared" si="23"/>
        <v>473.55</v>
      </c>
      <c r="N58" s="70">
        <f t="shared" si="23"/>
        <v>473.55</v>
      </c>
      <c r="O58" s="70">
        <f t="shared" si="23"/>
        <v>473.55</v>
      </c>
      <c r="P58" s="70">
        <f t="shared" si="23"/>
        <v>473.55</v>
      </c>
      <c r="Q58" s="70">
        <f t="shared" ref="Q58" si="25">SUM(Q11:Q56)</f>
        <v>450.55</v>
      </c>
      <c r="R58" s="70">
        <f t="shared" si="23"/>
        <v>450.55</v>
      </c>
      <c r="S58" s="70">
        <f t="shared" ref="S58:T58" si="26">SUM(S11:S56)</f>
        <v>450.55</v>
      </c>
      <c r="T58" s="70">
        <f t="shared" si="26"/>
        <v>450.55</v>
      </c>
      <c r="U58" s="70">
        <f t="shared" ref="U58:V58" si="27">SUM(U11:U56)</f>
        <v>450.55</v>
      </c>
      <c r="V58" s="70">
        <f t="shared" si="27"/>
        <v>450.55</v>
      </c>
      <c r="W58" s="70">
        <f t="shared" ref="W58:X58" si="28">SUM(W11:W56)</f>
        <v>450.55</v>
      </c>
      <c r="X58" s="70">
        <f t="shared" si="28"/>
        <v>450.55</v>
      </c>
      <c r="Y58" s="70">
        <f t="shared" ref="Y58:Z58" si="29">SUM(Y11:Y56)</f>
        <v>450.55</v>
      </c>
      <c r="Z58" s="70">
        <f t="shared" si="29"/>
        <v>450.55</v>
      </c>
      <c r="AA58" s="70">
        <f t="shared" ref="AA58" si="30">SUM(AA11:AA56)</f>
        <v>450.55</v>
      </c>
      <c r="AB58" s="70">
        <f t="shared" si="23"/>
        <v>457.85</v>
      </c>
      <c r="AC58" s="70">
        <f t="shared" si="23"/>
        <v>457.85</v>
      </c>
      <c r="AD58" s="70">
        <f t="shared" si="23"/>
        <v>457.85</v>
      </c>
      <c r="AE58" s="70">
        <f t="shared" si="23"/>
        <v>457.85</v>
      </c>
      <c r="AF58" s="70">
        <f t="shared" si="23"/>
        <v>457.85</v>
      </c>
      <c r="AG58" s="71">
        <f>SUM(AG14:AG56)</f>
        <v>1042.4000000000001</v>
      </c>
      <c r="AH58" s="48">
        <f t="shared" si="8"/>
        <v>473.55</v>
      </c>
      <c r="AI58" s="49">
        <f t="shared" si="9"/>
        <v>450.55</v>
      </c>
      <c r="AK58" s="51"/>
    </row>
    <row r="59" spans="1:88" x14ac:dyDescent="0.25">
      <c r="A59" s="72" t="s">
        <v>76</v>
      </c>
      <c r="B59" s="46">
        <v>0</v>
      </c>
      <c r="C59" s="46">
        <v>0</v>
      </c>
      <c r="D59" s="46">
        <v>35</v>
      </c>
      <c r="E59" s="46">
        <v>50.03</v>
      </c>
      <c r="F59" s="46">
        <v>25</v>
      </c>
      <c r="G59" s="46">
        <v>50.2</v>
      </c>
      <c r="H59" s="46">
        <v>20</v>
      </c>
      <c r="I59" s="46">
        <v>50</v>
      </c>
      <c r="J59" s="46">
        <v>90</v>
      </c>
      <c r="K59" s="46">
        <v>100</v>
      </c>
      <c r="L59" s="46">
        <v>141</v>
      </c>
      <c r="M59" s="46">
        <v>141</v>
      </c>
      <c r="N59" s="46">
        <v>141</v>
      </c>
      <c r="O59" s="46">
        <v>141</v>
      </c>
      <c r="P59" s="73">
        <v>51</v>
      </c>
      <c r="Q59" s="73">
        <v>90</v>
      </c>
      <c r="R59" s="73">
        <v>40</v>
      </c>
      <c r="S59" s="73">
        <v>30</v>
      </c>
      <c r="T59" s="73">
        <v>46.2</v>
      </c>
      <c r="U59" s="73">
        <v>80.2</v>
      </c>
      <c r="V59" s="73">
        <v>90.3</v>
      </c>
      <c r="W59" s="73">
        <v>90.3</v>
      </c>
      <c r="X59" s="73">
        <v>180</v>
      </c>
      <c r="Y59" s="73">
        <v>185.1</v>
      </c>
      <c r="Z59" s="46">
        <v>290</v>
      </c>
      <c r="AA59" s="46">
        <v>270</v>
      </c>
      <c r="AB59" s="46">
        <v>270</v>
      </c>
      <c r="AC59" s="46">
        <v>256</v>
      </c>
      <c r="AD59" s="46">
        <v>100</v>
      </c>
      <c r="AE59" s="46">
        <v>76</v>
      </c>
      <c r="AF59" s="46">
        <v>20</v>
      </c>
      <c r="AG59" s="60">
        <v>456</v>
      </c>
      <c r="AH59" s="48">
        <f t="shared" si="8"/>
        <v>290</v>
      </c>
      <c r="AI59" s="49">
        <f t="shared" si="9"/>
        <v>0</v>
      </c>
      <c r="AK59" s="51"/>
    </row>
    <row r="60" spans="1:88" x14ac:dyDescent="0.25">
      <c r="A60" s="74" t="s">
        <v>77</v>
      </c>
      <c r="B60" s="75">
        <v>27</v>
      </c>
      <c r="C60" s="75">
        <v>27</v>
      </c>
      <c r="D60" s="75">
        <v>27</v>
      </c>
      <c r="E60" s="75">
        <v>27</v>
      </c>
      <c r="F60" s="75">
        <v>27</v>
      </c>
      <c r="G60" s="75">
        <v>27</v>
      </c>
      <c r="H60" s="75">
        <v>27</v>
      </c>
      <c r="I60" s="75">
        <v>27</v>
      </c>
      <c r="J60" s="75">
        <v>27</v>
      </c>
      <c r="K60" s="75">
        <v>27</v>
      </c>
      <c r="L60" s="75">
        <v>27</v>
      </c>
      <c r="M60" s="75">
        <v>27</v>
      </c>
      <c r="N60" s="75">
        <v>27</v>
      </c>
      <c r="O60" s="75">
        <v>27</v>
      </c>
      <c r="P60" s="75">
        <v>27</v>
      </c>
      <c r="Q60" s="75">
        <v>27</v>
      </c>
      <c r="R60" s="75">
        <v>27</v>
      </c>
      <c r="S60" s="75">
        <v>27</v>
      </c>
      <c r="T60" s="75">
        <v>27</v>
      </c>
      <c r="U60" s="75">
        <v>27</v>
      </c>
      <c r="V60" s="75">
        <v>27</v>
      </c>
      <c r="W60" s="75">
        <v>27</v>
      </c>
      <c r="X60" s="75">
        <v>27</v>
      </c>
      <c r="Y60" s="75">
        <v>27</v>
      </c>
      <c r="Z60" s="75">
        <v>27</v>
      </c>
      <c r="AA60" s="75">
        <v>27</v>
      </c>
      <c r="AB60" s="75">
        <v>27</v>
      </c>
      <c r="AC60" s="75">
        <v>27</v>
      </c>
      <c r="AD60" s="75">
        <v>27</v>
      </c>
      <c r="AE60" s="75">
        <v>27</v>
      </c>
      <c r="AF60" s="75">
        <v>27</v>
      </c>
      <c r="AG60" s="65">
        <v>60</v>
      </c>
      <c r="AH60" s="48">
        <f t="shared" si="8"/>
        <v>27</v>
      </c>
      <c r="AI60" s="49">
        <f t="shared" si="9"/>
        <v>27</v>
      </c>
      <c r="AK60" s="51"/>
    </row>
    <row r="61" spans="1:88" ht="15.75" thickBot="1" x14ac:dyDescent="0.3">
      <c r="A61" s="76" t="s">
        <v>78</v>
      </c>
      <c r="B61" s="77">
        <v>8.6</v>
      </c>
      <c r="C61" s="77">
        <v>8.6</v>
      </c>
      <c r="D61" s="77">
        <v>8.6</v>
      </c>
      <c r="E61" s="77">
        <v>8.6</v>
      </c>
      <c r="F61" s="77">
        <v>8.6</v>
      </c>
      <c r="G61" s="77">
        <v>8.6</v>
      </c>
      <c r="H61" s="77">
        <v>8.6</v>
      </c>
      <c r="I61" s="77">
        <v>8.6</v>
      </c>
      <c r="J61" s="77">
        <v>8.6</v>
      </c>
      <c r="K61" s="77">
        <v>8.6</v>
      </c>
      <c r="L61" s="77">
        <v>8.6</v>
      </c>
      <c r="M61" s="77">
        <v>8.6</v>
      </c>
      <c r="N61" s="77">
        <v>8.6</v>
      </c>
      <c r="O61" s="77">
        <v>8.6</v>
      </c>
      <c r="P61" s="77">
        <v>8.9</v>
      </c>
      <c r="Q61" s="77">
        <v>8.9</v>
      </c>
      <c r="R61" s="77">
        <v>8.9</v>
      </c>
      <c r="S61" s="77">
        <v>8.9</v>
      </c>
      <c r="T61" s="77">
        <v>8.9</v>
      </c>
      <c r="U61" s="77">
        <v>8.9</v>
      </c>
      <c r="V61" s="77">
        <v>8.9</v>
      </c>
      <c r="W61" s="77">
        <v>8.9</v>
      </c>
      <c r="X61" s="77">
        <v>8.9</v>
      </c>
      <c r="Y61" s="77">
        <v>8.9</v>
      </c>
      <c r="Z61" s="77">
        <v>8.9</v>
      </c>
      <c r="AA61" s="77">
        <v>8.9</v>
      </c>
      <c r="AB61" s="77">
        <v>8.9</v>
      </c>
      <c r="AC61" s="77">
        <v>8.9</v>
      </c>
      <c r="AD61" s="77">
        <v>8.9</v>
      </c>
      <c r="AE61" s="77">
        <v>8.9</v>
      </c>
      <c r="AF61" s="77">
        <v>8.9</v>
      </c>
      <c r="AG61" s="78">
        <v>22.1</v>
      </c>
      <c r="AH61" s="48">
        <f t="shared" si="8"/>
        <v>8.9</v>
      </c>
      <c r="AI61" s="49">
        <f t="shared" si="9"/>
        <v>8.6</v>
      </c>
      <c r="AK61" s="51"/>
    </row>
    <row r="62" spans="1:88" ht="15.75" thickBot="1" x14ac:dyDescent="0.3">
      <c r="A62" s="79" t="s">
        <v>79</v>
      </c>
      <c r="B62" s="70">
        <f t="shared" ref="B62:C62" si="31">SUM(B59:B61)</f>
        <v>35.6</v>
      </c>
      <c r="C62" s="70">
        <f t="shared" si="31"/>
        <v>35.6</v>
      </c>
      <c r="D62" s="70">
        <f t="shared" ref="D62:AG62" si="32">SUM(D59:D61)</f>
        <v>70.599999999999994</v>
      </c>
      <c r="E62" s="70">
        <f t="shared" si="32"/>
        <v>85.63</v>
      </c>
      <c r="F62" s="70">
        <f t="shared" si="32"/>
        <v>60.6</v>
      </c>
      <c r="G62" s="70">
        <f t="shared" si="32"/>
        <v>85.8</v>
      </c>
      <c r="H62" s="70">
        <f t="shared" si="32"/>
        <v>55.6</v>
      </c>
      <c r="I62" s="70">
        <f t="shared" si="32"/>
        <v>85.6</v>
      </c>
      <c r="J62" s="70">
        <f t="shared" si="32"/>
        <v>125.6</v>
      </c>
      <c r="K62" s="70">
        <f t="shared" si="32"/>
        <v>135.6</v>
      </c>
      <c r="L62" s="70">
        <f t="shared" ref="L62" si="33">SUM(L59:L61)</f>
        <v>176.6</v>
      </c>
      <c r="M62" s="70">
        <f t="shared" si="32"/>
        <v>176.6</v>
      </c>
      <c r="N62" s="70">
        <f t="shared" si="32"/>
        <v>176.6</v>
      </c>
      <c r="O62" s="70">
        <f t="shared" si="32"/>
        <v>176.6</v>
      </c>
      <c r="P62" s="70">
        <f t="shared" si="32"/>
        <v>86.9</v>
      </c>
      <c r="Q62" s="70">
        <f t="shared" ref="Q62" si="34">SUM(Q59:Q61)</f>
        <v>125.9</v>
      </c>
      <c r="R62" s="70">
        <f t="shared" si="32"/>
        <v>75.900000000000006</v>
      </c>
      <c r="S62" s="70">
        <f t="shared" ref="S62:T62" si="35">SUM(S59:S61)</f>
        <v>65.900000000000006</v>
      </c>
      <c r="T62" s="70">
        <f t="shared" si="35"/>
        <v>82.100000000000009</v>
      </c>
      <c r="U62" s="70">
        <f t="shared" ref="U62:V62" si="36">SUM(U59:U61)</f>
        <v>116.10000000000001</v>
      </c>
      <c r="V62" s="70">
        <f t="shared" si="36"/>
        <v>126.2</v>
      </c>
      <c r="W62" s="70">
        <f t="shared" ref="W62:X62" si="37">SUM(W59:W61)</f>
        <v>126.2</v>
      </c>
      <c r="X62" s="70">
        <f t="shared" si="37"/>
        <v>215.9</v>
      </c>
      <c r="Y62" s="70">
        <f t="shared" ref="Y62:Z62" si="38">SUM(Y59:Y61)</f>
        <v>221</v>
      </c>
      <c r="Z62" s="70">
        <f t="shared" si="38"/>
        <v>325.89999999999998</v>
      </c>
      <c r="AA62" s="70">
        <f t="shared" ref="AA62" si="39">SUM(AA59:AA61)</f>
        <v>305.89999999999998</v>
      </c>
      <c r="AB62" s="70">
        <f t="shared" si="32"/>
        <v>305.89999999999998</v>
      </c>
      <c r="AC62" s="70">
        <f t="shared" si="32"/>
        <v>291.89999999999998</v>
      </c>
      <c r="AD62" s="70">
        <f t="shared" si="32"/>
        <v>135.9</v>
      </c>
      <c r="AE62" s="70">
        <f t="shared" si="32"/>
        <v>111.9</v>
      </c>
      <c r="AF62" s="70">
        <f t="shared" si="32"/>
        <v>55.9</v>
      </c>
      <c r="AG62" s="71">
        <f t="shared" si="32"/>
        <v>538.1</v>
      </c>
      <c r="AH62" s="48">
        <f t="shared" si="8"/>
        <v>325.89999999999998</v>
      </c>
      <c r="AI62" s="49">
        <f t="shared" si="9"/>
        <v>35.6</v>
      </c>
      <c r="AK62" s="51"/>
    </row>
    <row r="63" spans="1:88" x14ac:dyDescent="0.25">
      <c r="A63" s="45" t="s">
        <v>80</v>
      </c>
      <c r="B63" s="46">
        <v>0</v>
      </c>
      <c r="C63" s="46">
        <v>0</v>
      </c>
      <c r="D63" s="46">
        <v>0</v>
      </c>
      <c r="E63" s="46">
        <v>0</v>
      </c>
      <c r="F63" s="46">
        <v>0</v>
      </c>
      <c r="G63" s="46">
        <v>0</v>
      </c>
      <c r="H63" s="46">
        <v>37</v>
      </c>
      <c r="I63" s="46">
        <v>48.5</v>
      </c>
      <c r="J63" s="46">
        <v>134.1</v>
      </c>
      <c r="K63" s="46">
        <v>134.1</v>
      </c>
      <c r="L63" s="46">
        <v>110</v>
      </c>
      <c r="M63" s="46">
        <v>110</v>
      </c>
      <c r="N63" s="46">
        <v>30</v>
      </c>
      <c r="O63" s="46">
        <v>30</v>
      </c>
      <c r="P63" s="46">
        <v>30</v>
      </c>
      <c r="Q63" s="46">
        <v>48.5</v>
      </c>
      <c r="R63" s="46">
        <v>48.5</v>
      </c>
      <c r="S63" s="46">
        <v>40.4</v>
      </c>
      <c r="T63" s="46">
        <v>40.4</v>
      </c>
      <c r="U63" s="46">
        <v>48.5</v>
      </c>
      <c r="V63" s="46">
        <v>48.1</v>
      </c>
      <c r="W63" s="46">
        <v>70.8</v>
      </c>
      <c r="X63" s="46">
        <v>70.8</v>
      </c>
      <c r="Y63" s="46">
        <v>114.7</v>
      </c>
      <c r="Z63" s="46">
        <v>114.9</v>
      </c>
      <c r="AA63" s="46">
        <v>127</v>
      </c>
      <c r="AB63" s="46">
        <v>101</v>
      </c>
      <c r="AC63" s="46">
        <v>90</v>
      </c>
      <c r="AD63" s="46">
        <v>90</v>
      </c>
      <c r="AE63" s="46">
        <v>60</v>
      </c>
      <c r="AF63" s="46">
        <v>30</v>
      </c>
      <c r="AG63" s="60">
        <v>144</v>
      </c>
      <c r="AH63" s="48">
        <f t="shared" si="8"/>
        <v>134.1</v>
      </c>
      <c r="AI63" s="49">
        <f t="shared" si="9"/>
        <v>0</v>
      </c>
      <c r="AK63" s="51"/>
    </row>
    <row r="64" spans="1:88" x14ac:dyDescent="0.25">
      <c r="A64" s="64" t="s">
        <v>81</v>
      </c>
      <c r="B64" s="75">
        <v>0</v>
      </c>
      <c r="C64" s="75">
        <v>0</v>
      </c>
      <c r="D64" s="75">
        <v>0</v>
      </c>
      <c r="E64" s="75">
        <v>0</v>
      </c>
      <c r="F64" s="75">
        <v>0</v>
      </c>
      <c r="G64" s="75">
        <v>0</v>
      </c>
      <c r="H64" s="75">
        <v>35</v>
      </c>
      <c r="I64" s="75">
        <v>68.400000000000006</v>
      </c>
      <c r="J64" s="75">
        <v>63.2</v>
      </c>
      <c r="K64" s="75">
        <v>69.400000000000006</v>
      </c>
      <c r="L64" s="75">
        <v>69.400000000000006</v>
      </c>
      <c r="M64" s="75">
        <v>59.3</v>
      </c>
      <c r="N64" s="75">
        <v>24</v>
      </c>
      <c r="O64" s="75">
        <v>24</v>
      </c>
      <c r="P64" s="75">
        <v>24</v>
      </c>
      <c r="Q64" s="75">
        <v>24.5</v>
      </c>
      <c r="R64" s="75">
        <v>34.9</v>
      </c>
      <c r="S64" s="75">
        <v>35.299999999999997</v>
      </c>
      <c r="T64" s="75">
        <v>35.299999999999997</v>
      </c>
      <c r="U64" s="75">
        <v>35.299999999999997</v>
      </c>
      <c r="V64" s="75">
        <v>24.4</v>
      </c>
      <c r="W64" s="75">
        <v>23.7</v>
      </c>
      <c r="X64" s="75">
        <v>25.2</v>
      </c>
      <c r="Y64" s="75">
        <v>43.3</v>
      </c>
      <c r="Z64" s="46">
        <v>45.2</v>
      </c>
      <c r="AA64" s="46">
        <v>59.7</v>
      </c>
      <c r="AB64" s="46">
        <v>34.6</v>
      </c>
      <c r="AC64" s="46">
        <v>30</v>
      </c>
      <c r="AD64" s="46">
        <v>22</v>
      </c>
      <c r="AE64" s="46">
        <v>0</v>
      </c>
      <c r="AF64" s="46">
        <v>0</v>
      </c>
      <c r="AG64" s="65">
        <v>70</v>
      </c>
      <c r="AH64" s="48">
        <f t="shared" si="8"/>
        <v>69.400000000000006</v>
      </c>
      <c r="AI64" s="49">
        <f t="shared" si="9"/>
        <v>0</v>
      </c>
      <c r="AK64" s="51"/>
    </row>
    <row r="65" spans="1:75" x14ac:dyDescent="0.25">
      <c r="A65" s="64" t="s">
        <v>82</v>
      </c>
      <c r="B65" s="75">
        <v>0</v>
      </c>
      <c r="C65" s="75">
        <v>0</v>
      </c>
      <c r="D65" s="75">
        <v>0</v>
      </c>
      <c r="E65" s="75">
        <v>0</v>
      </c>
      <c r="F65" s="75">
        <v>0</v>
      </c>
      <c r="G65" s="75">
        <v>17.600000000000001</v>
      </c>
      <c r="H65" s="75">
        <v>17.600000000000001</v>
      </c>
      <c r="I65" s="75">
        <v>68</v>
      </c>
      <c r="J65" s="75">
        <v>68</v>
      </c>
      <c r="K65" s="75">
        <v>63</v>
      </c>
      <c r="L65" s="75">
        <v>69</v>
      </c>
      <c r="M65" s="75">
        <v>64</v>
      </c>
      <c r="N65" s="75">
        <v>34</v>
      </c>
      <c r="O65" s="75">
        <v>34</v>
      </c>
      <c r="P65" s="75">
        <v>34</v>
      </c>
      <c r="Q65" s="75">
        <v>33.799999999999997</v>
      </c>
      <c r="R65" s="75">
        <v>33.700000000000003</v>
      </c>
      <c r="S65" s="75">
        <v>33.799999999999997</v>
      </c>
      <c r="T65" s="75">
        <v>33.799999999999997</v>
      </c>
      <c r="U65" s="75">
        <v>33.799999999999997</v>
      </c>
      <c r="V65" s="75">
        <v>31.2</v>
      </c>
      <c r="W65" s="75">
        <v>21.8</v>
      </c>
      <c r="X65" s="75">
        <v>21.8</v>
      </c>
      <c r="Y65" s="75">
        <v>52.1</v>
      </c>
      <c r="Z65" s="46">
        <v>50.5</v>
      </c>
      <c r="AA65" s="46">
        <v>50.5</v>
      </c>
      <c r="AB65" s="46">
        <v>44.8</v>
      </c>
      <c r="AC65" s="46">
        <v>35</v>
      </c>
      <c r="AD65" s="46">
        <v>35</v>
      </c>
      <c r="AE65" s="46">
        <v>21</v>
      </c>
      <c r="AF65" s="46">
        <v>0</v>
      </c>
      <c r="AG65" s="65">
        <v>69</v>
      </c>
      <c r="AH65" s="48">
        <f t="shared" si="8"/>
        <v>69</v>
      </c>
      <c r="AI65" s="49">
        <f t="shared" si="9"/>
        <v>0</v>
      </c>
      <c r="AK65" s="51"/>
    </row>
    <row r="66" spans="1:75" x14ac:dyDescent="0.25">
      <c r="A66" s="64" t="s">
        <v>83</v>
      </c>
      <c r="B66" s="75">
        <v>34</v>
      </c>
      <c r="C66" s="75">
        <v>34</v>
      </c>
      <c r="D66" s="75">
        <v>34</v>
      </c>
      <c r="E66" s="75">
        <v>34</v>
      </c>
      <c r="F66" s="75">
        <v>34</v>
      </c>
      <c r="G66" s="75">
        <v>34</v>
      </c>
      <c r="H66" s="75">
        <v>34</v>
      </c>
      <c r="I66" s="75">
        <v>34</v>
      </c>
      <c r="J66" s="75">
        <v>34</v>
      </c>
      <c r="K66" s="75">
        <v>34</v>
      </c>
      <c r="L66" s="75">
        <v>34</v>
      </c>
      <c r="M66" s="75">
        <v>34</v>
      </c>
      <c r="N66" s="75">
        <v>34</v>
      </c>
      <c r="O66" s="75">
        <v>34</v>
      </c>
      <c r="P66" s="75">
        <v>34</v>
      </c>
      <c r="Q66" s="75">
        <v>34</v>
      </c>
      <c r="R66" s="75">
        <v>34</v>
      </c>
      <c r="S66" s="75">
        <v>34</v>
      </c>
      <c r="T66" s="75">
        <v>34</v>
      </c>
      <c r="U66" s="75">
        <v>34</v>
      </c>
      <c r="V66" s="75">
        <v>34</v>
      </c>
      <c r="W66" s="75">
        <v>34</v>
      </c>
      <c r="X66" s="75">
        <v>34</v>
      </c>
      <c r="Y66" s="75">
        <v>34</v>
      </c>
      <c r="Z66" s="46">
        <v>34</v>
      </c>
      <c r="AA66" s="46">
        <v>34</v>
      </c>
      <c r="AB66" s="46">
        <v>33</v>
      </c>
      <c r="AC66" s="46">
        <v>33</v>
      </c>
      <c r="AD66" s="46">
        <v>33</v>
      </c>
      <c r="AE66" s="46">
        <v>33</v>
      </c>
      <c r="AF66" s="46">
        <v>33</v>
      </c>
      <c r="AG66" s="65">
        <v>60</v>
      </c>
      <c r="AH66" s="48">
        <f t="shared" si="8"/>
        <v>34</v>
      </c>
      <c r="AI66" s="49">
        <f t="shared" si="9"/>
        <v>33</v>
      </c>
      <c r="AK66" s="51"/>
    </row>
    <row r="67" spans="1:75" x14ac:dyDescent="0.25">
      <c r="A67" s="64" t="s">
        <v>84</v>
      </c>
      <c r="B67" s="46">
        <v>0</v>
      </c>
      <c r="C67" s="46">
        <v>0</v>
      </c>
      <c r="D67" s="46">
        <v>0</v>
      </c>
      <c r="E67" s="46">
        <v>0</v>
      </c>
      <c r="F67" s="46">
        <v>0</v>
      </c>
      <c r="G67" s="46">
        <v>0</v>
      </c>
      <c r="H67" s="46">
        <v>0</v>
      </c>
      <c r="I67" s="46">
        <v>10</v>
      </c>
      <c r="J67" s="46">
        <v>10</v>
      </c>
      <c r="K67" s="46">
        <v>10</v>
      </c>
      <c r="L67" s="46">
        <v>14</v>
      </c>
      <c r="M67" s="46">
        <v>24</v>
      </c>
      <c r="N67" s="46">
        <v>28</v>
      </c>
      <c r="O67" s="46">
        <v>23</v>
      </c>
      <c r="P67" s="46">
        <v>12</v>
      </c>
      <c r="Q67" s="46">
        <v>10.3</v>
      </c>
      <c r="R67" s="46">
        <v>10.3</v>
      </c>
      <c r="S67" s="46">
        <v>0</v>
      </c>
      <c r="T67" s="46">
        <v>0</v>
      </c>
      <c r="U67" s="46">
        <v>0</v>
      </c>
      <c r="V67" s="46">
        <v>0</v>
      </c>
      <c r="W67" s="46">
        <v>0</v>
      </c>
      <c r="X67" s="46">
        <v>0</v>
      </c>
      <c r="Y67" s="46">
        <v>0</v>
      </c>
      <c r="Z67" s="46">
        <v>0</v>
      </c>
      <c r="AA67" s="46">
        <v>0</v>
      </c>
      <c r="AB67" s="46">
        <v>10</v>
      </c>
      <c r="AC67" s="46">
        <v>10</v>
      </c>
      <c r="AD67" s="46">
        <v>10</v>
      </c>
      <c r="AE67" s="46">
        <v>10</v>
      </c>
      <c r="AF67" s="46">
        <v>0</v>
      </c>
      <c r="AG67" s="65">
        <v>30</v>
      </c>
      <c r="AH67" s="48">
        <f t="shared" si="8"/>
        <v>28</v>
      </c>
      <c r="AI67" s="49">
        <f t="shared" si="9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</row>
    <row r="68" spans="1:75" x14ac:dyDescent="0.25">
      <c r="A68" s="64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0.4</v>
      </c>
      <c r="L68" s="46">
        <v>0.4</v>
      </c>
      <c r="M68" s="46">
        <v>0.7</v>
      </c>
      <c r="N68" s="46">
        <v>0.7</v>
      </c>
      <c r="O68" s="46">
        <v>0.7</v>
      </c>
      <c r="P68" s="46">
        <v>0.7</v>
      </c>
      <c r="Q68" s="46">
        <v>11.1</v>
      </c>
      <c r="R68" s="46">
        <v>11.1</v>
      </c>
      <c r="S68" s="46">
        <v>1.5</v>
      </c>
      <c r="T68" s="46">
        <v>1.3</v>
      </c>
      <c r="U68" s="46">
        <v>1.5</v>
      </c>
      <c r="V68" s="46">
        <v>1.4</v>
      </c>
      <c r="W68" s="46">
        <v>0.6</v>
      </c>
      <c r="X68" s="46">
        <v>0</v>
      </c>
      <c r="Y68" s="46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5">
        <v>25</v>
      </c>
      <c r="AH68" s="48">
        <f t="shared" si="8"/>
        <v>11.1</v>
      </c>
      <c r="AI68" s="49">
        <f t="shared" si="9"/>
        <v>0</v>
      </c>
      <c r="AK68" s="51"/>
      <c r="AY68" s="1" t="s">
        <v>86</v>
      </c>
      <c r="AZ68" s="81">
        <f>ROUND(C81,0)</f>
        <v>53</v>
      </c>
      <c r="BA68" s="80">
        <f t="shared" ref="BA68:BD72" si="40">D81</f>
        <v>54.3</v>
      </c>
      <c r="BB68" s="80">
        <f t="shared" si="40"/>
        <v>56</v>
      </c>
      <c r="BC68" s="80">
        <f t="shared" si="40"/>
        <v>48.1</v>
      </c>
      <c r="BD68" s="80">
        <f t="shared" si="40"/>
        <v>52.8</v>
      </c>
      <c r="BE68" s="81">
        <f>I81</f>
        <v>55.4</v>
      </c>
      <c r="BF68" s="81">
        <f>K81</f>
        <v>52.5</v>
      </c>
      <c r="BG68" s="81">
        <f t="shared" ref="BG68:BP72" si="41">M81</f>
        <v>29</v>
      </c>
      <c r="BH68" s="81">
        <f t="shared" si="41"/>
        <v>47.4</v>
      </c>
      <c r="BI68" s="81">
        <f t="shared" si="41"/>
        <v>0</v>
      </c>
      <c r="BJ68" s="81">
        <f t="shared" si="41"/>
        <v>38</v>
      </c>
      <c r="BK68" s="81">
        <f t="shared" si="41"/>
        <v>48.9</v>
      </c>
      <c r="BL68" s="81">
        <f t="shared" si="41"/>
        <v>63.7</v>
      </c>
      <c r="BM68" s="81">
        <f t="shared" si="41"/>
        <v>47.1</v>
      </c>
      <c r="BN68" s="81">
        <f t="shared" si="41"/>
        <v>44.1</v>
      </c>
      <c r="BO68" s="81">
        <f t="shared" si="41"/>
        <v>52.4</v>
      </c>
      <c r="BP68" s="81">
        <f t="shared" si="41"/>
        <v>59.9</v>
      </c>
      <c r="BQ68" s="81">
        <f>X81</f>
        <v>48.3</v>
      </c>
      <c r="BR68" s="81">
        <f>Z81</f>
        <v>59.3</v>
      </c>
      <c r="BS68" s="80">
        <f>AB81</f>
        <v>60.9</v>
      </c>
      <c r="BT68" s="80">
        <f>AD81</f>
        <v>65</v>
      </c>
      <c r="BU68" s="80">
        <f>AE81</f>
        <v>57</v>
      </c>
      <c r="BV68" s="80">
        <f>AF81</f>
        <v>59.6</v>
      </c>
      <c r="BW68" s="80">
        <f>B81</f>
        <v>57</v>
      </c>
    </row>
    <row r="69" spans="1:75" x14ac:dyDescent="0.25">
      <c r="A69" s="64" t="s">
        <v>87</v>
      </c>
      <c r="B69" s="75">
        <v>16.5</v>
      </c>
      <c r="C69" s="75">
        <v>16.5</v>
      </c>
      <c r="D69" s="75">
        <v>16.5</v>
      </c>
      <c r="E69" s="75">
        <v>16.5</v>
      </c>
      <c r="F69" s="75">
        <v>16.5</v>
      </c>
      <c r="G69" s="75">
        <v>16.5</v>
      </c>
      <c r="H69" s="75">
        <v>16.5</v>
      </c>
      <c r="I69" s="75">
        <v>16.5</v>
      </c>
      <c r="J69" s="75">
        <v>16.5</v>
      </c>
      <c r="K69" s="75">
        <v>16.5</v>
      </c>
      <c r="L69" s="75">
        <v>16.5</v>
      </c>
      <c r="M69" s="75">
        <v>16.5</v>
      </c>
      <c r="N69" s="75">
        <v>16.5</v>
      </c>
      <c r="O69" s="75">
        <v>16.5</v>
      </c>
      <c r="P69" s="75">
        <v>16.5</v>
      </c>
      <c r="Q69" s="75">
        <v>16.5</v>
      </c>
      <c r="R69" s="75">
        <v>16.5</v>
      </c>
      <c r="S69" s="75">
        <v>16.5</v>
      </c>
      <c r="T69" s="75">
        <v>16.5</v>
      </c>
      <c r="U69" s="75">
        <v>16.5</v>
      </c>
      <c r="V69" s="75">
        <v>16.5</v>
      </c>
      <c r="W69" s="75">
        <v>16.5</v>
      </c>
      <c r="X69" s="75">
        <v>16.5</v>
      </c>
      <c r="Y69" s="75">
        <v>16.5</v>
      </c>
      <c r="Z69" s="75">
        <v>16.5</v>
      </c>
      <c r="AA69" s="75">
        <v>16.5</v>
      </c>
      <c r="AB69" s="75">
        <v>16.5</v>
      </c>
      <c r="AC69" s="75">
        <v>16.5</v>
      </c>
      <c r="AD69" s="75">
        <v>16.5</v>
      </c>
      <c r="AE69" s="75">
        <v>16.5</v>
      </c>
      <c r="AF69" s="75">
        <v>16.5</v>
      </c>
      <c r="AG69" s="65">
        <v>24</v>
      </c>
      <c r="AH69" s="48">
        <f t="shared" si="8"/>
        <v>16.5</v>
      </c>
      <c r="AI69" s="49">
        <f t="shared" si="9"/>
        <v>16.5</v>
      </c>
      <c r="AK69" s="51"/>
      <c r="AY69" s="1" t="s">
        <v>88</v>
      </c>
      <c r="AZ69" s="81">
        <f>ROUND(C82,0)</f>
        <v>0</v>
      </c>
      <c r="BA69" s="80">
        <f t="shared" si="40"/>
        <v>0</v>
      </c>
      <c r="BB69" s="80">
        <f t="shared" si="40"/>
        <v>0</v>
      </c>
      <c r="BC69" s="80">
        <f t="shared" si="40"/>
        <v>0</v>
      </c>
      <c r="BD69" s="80">
        <f t="shared" si="40"/>
        <v>0</v>
      </c>
      <c r="BE69" s="81">
        <f t="shared" ref="BE69:BE72" si="42">I82</f>
        <v>0</v>
      </c>
      <c r="BF69" s="81">
        <f t="shared" ref="BF69:BF72" si="43">K82</f>
        <v>0</v>
      </c>
      <c r="BG69" s="81">
        <f t="shared" si="41"/>
        <v>0</v>
      </c>
      <c r="BH69" s="81">
        <f t="shared" si="41"/>
        <v>0</v>
      </c>
      <c r="BI69" s="81">
        <f t="shared" si="41"/>
        <v>0</v>
      </c>
      <c r="BJ69" s="81">
        <f t="shared" si="41"/>
        <v>0</v>
      </c>
      <c r="BK69" s="81">
        <f t="shared" si="41"/>
        <v>0</v>
      </c>
      <c r="BL69" s="81">
        <f t="shared" si="41"/>
        <v>0</v>
      </c>
      <c r="BM69" s="81">
        <f t="shared" si="41"/>
        <v>0</v>
      </c>
      <c r="BN69" s="81">
        <f t="shared" si="41"/>
        <v>0</v>
      </c>
      <c r="BO69" s="81">
        <f t="shared" si="41"/>
        <v>0</v>
      </c>
      <c r="BP69" s="81">
        <f t="shared" si="41"/>
        <v>0</v>
      </c>
      <c r="BQ69" s="81">
        <f t="shared" ref="BQ69:BQ72" si="44">X82</f>
        <v>0</v>
      </c>
      <c r="BR69" s="81">
        <f t="shared" ref="BR69:BR72" si="45">Z82</f>
        <v>0</v>
      </c>
      <c r="BS69" s="80">
        <f t="shared" ref="BS69:BS72" si="46">AB82</f>
        <v>0</v>
      </c>
      <c r="BT69" s="80">
        <f t="shared" ref="BT69:BV72" si="47">AD82</f>
        <v>0</v>
      </c>
      <c r="BU69" s="80">
        <f t="shared" si="47"/>
        <v>0</v>
      </c>
      <c r="BV69" s="80">
        <f t="shared" si="47"/>
        <v>0</v>
      </c>
      <c r="BW69" s="80">
        <f t="shared" ref="BW69:BW72" si="48">B82</f>
        <v>0</v>
      </c>
    </row>
    <row r="70" spans="1:75" x14ac:dyDescent="0.25">
      <c r="A70" s="64" t="s">
        <v>89</v>
      </c>
      <c r="B70" s="75">
        <v>3.2</v>
      </c>
      <c r="C70" s="75">
        <v>3.2</v>
      </c>
      <c r="D70" s="75">
        <v>3.2</v>
      </c>
      <c r="E70" s="75">
        <v>3.2</v>
      </c>
      <c r="F70" s="75">
        <v>3.2</v>
      </c>
      <c r="G70" s="75">
        <v>3.2</v>
      </c>
      <c r="H70" s="75">
        <v>3.2</v>
      </c>
      <c r="I70" s="75">
        <v>3.2</v>
      </c>
      <c r="J70" s="75">
        <v>3.2</v>
      </c>
      <c r="K70" s="75">
        <v>3.2</v>
      </c>
      <c r="L70" s="75">
        <v>3.2</v>
      </c>
      <c r="M70" s="75">
        <v>3.2</v>
      </c>
      <c r="N70" s="75">
        <v>3.2</v>
      </c>
      <c r="O70" s="75">
        <v>3.2</v>
      </c>
      <c r="P70" s="75">
        <v>3.2</v>
      </c>
      <c r="Q70" s="75">
        <v>0</v>
      </c>
      <c r="R70" s="75">
        <v>0</v>
      </c>
      <c r="S70" s="75">
        <v>0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5">
        <v>0</v>
      </c>
      <c r="Z70" s="75">
        <v>0</v>
      </c>
      <c r="AA70" s="75">
        <v>0</v>
      </c>
      <c r="AB70" s="75">
        <v>0</v>
      </c>
      <c r="AC70" s="75">
        <v>0</v>
      </c>
      <c r="AD70" s="75">
        <v>0</v>
      </c>
      <c r="AE70" s="75">
        <v>0</v>
      </c>
      <c r="AF70" s="75">
        <v>0</v>
      </c>
      <c r="AG70" s="65">
        <v>15</v>
      </c>
      <c r="AH70" s="48">
        <f t="shared" si="8"/>
        <v>3.2</v>
      </c>
      <c r="AI70" s="49">
        <f t="shared" si="9"/>
        <v>0</v>
      </c>
      <c r="AK70" s="51"/>
      <c r="AL70" s="82"/>
      <c r="AO70" s="82"/>
      <c r="AY70" s="1" t="s">
        <v>90</v>
      </c>
      <c r="AZ70" s="81">
        <f>ROUND(C83,0)</f>
        <v>320</v>
      </c>
      <c r="BA70" s="80">
        <f t="shared" si="40"/>
        <v>218</v>
      </c>
      <c r="BB70" s="80">
        <f t="shared" si="40"/>
        <v>228</v>
      </c>
      <c r="BC70" s="80">
        <f t="shared" si="40"/>
        <v>316</v>
      </c>
      <c r="BD70" s="80">
        <f t="shared" si="40"/>
        <v>311</v>
      </c>
      <c r="BE70" s="81">
        <f t="shared" si="42"/>
        <v>346</v>
      </c>
      <c r="BF70" s="81">
        <f t="shared" si="43"/>
        <v>352</v>
      </c>
      <c r="BG70" s="81">
        <f t="shared" si="41"/>
        <v>346</v>
      </c>
      <c r="BH70" s="81">
        <f t="shared" si="41"/>
        <v>341</v>
      </c>
      <c r="BI70" s="81">
        <f t="shared" si="41"/>
        <v>0</v>
      </c>
      <c r="BJ70" s="81">
        <f t="shared" si="41"/>
        <v>413</v>
      </c>
      <c r="BK70" s="81">
        <f t="shared" si="41"/>
        <v>400</v>
      </c>
      <c r="BL70" s="81">
        <f t="shared" si="41"/>
        <v>429</v>
      </c>
      <c r="BM70" s="81">
        <f t="shared" si="41"/>
        <v>448.9</v>
      </c>
      <c r="BN70" s="81">
        <f t="shared" si="41"/>
        <v>427</v>
      </c>
      <c r="BO70" s="81">
        <f t="shared" si="41"/>
        <v>440.5</v>
      </c>
      <c r="BP70" s="81">
        <f t="shared" si="41"/>
        <v>433.1</v>
      </c>
      <c r="BQ70" s="81">
        <f t="shared" si="44"/>
        <v>338.9</v>
      </c>
      <c r="BR70" s="81">
        <f t="shared" si="45"/>
        <v>241.9</v>
      </c>
      <c r="BS70" s="80">
        <f t="shared" si="46"/>
        <v>254.9</v>
      </c>
      <c r="BT70" s="80">
        <f t="shared" si="47"/>
        <v>350</v>
      </c>
      <c r="BU70" s="80">
        <f t="shared" si="47"/>
        <v>380</v>
      </c>
      <c r="BV70" s="80">
        <f t="shared" si="47"/>
        <v>406</v>
      </c>
      <c r="BW70" s="80">
        <f t="shared" si="48"/>
        <v>369</v>
      </c>
    </row>
    <row r="71" spans="1:75" s="82" customFormat="1" x14ac:dyDescent="0.25">
      <c r="A71" s="64" t="s">
        <v>91</v>
      </c>
      <c r="B71" s="75">
        <v>10.199999999999999</v>
      </c>
      <c r="C71" s="75">
        <v>10.199999999999999</v>
      </c>
      <c r="D71" s="75">
        <v>10.199999999999999</v>
      </c>
      <c r="E71" s="75">
        <v>10.199999999999999</v>
      </c>
      <c r="F71" s="75">
        <v>10.199999999999999</v>
      </c>
      <c r="G71" s="75">
        <v>10.199999999999999</v>
      </c>
      <c r="H71" s="75">
        <v>10.199999999999999</v>
      </c>
      <c r="I71" s="75">
        <v>10.199999999999999</v>
      </c>
      <c r="J71" s="75">
        <v>10.199999999999999</v>
      </c>
      <c r="K71" s="75">
        <v>10.199999999999999</v>
      </c>
      <c r="L71" s="75">
        <v>10.199999999999999</v>
      </c>
      <c r="M71" s="75">
        <v>10.199999999999999</v>
      </c>
      <c r="N71" s="75">
        <v>10.199999999999999</v>
      </c>
      <c r="O71" s="75">
        <v>10.199999999999999</v>
      </c>
      <c r="P71" s="75">
        <v>10.199999999999999</v>
      </c>
      <c r="Q71" s="75">
        <v>9.3000000000000007</v>
      </c>
      <c r="R71" s="75">
        <v>9.3000000000000007</v>
      </c>
      <c r="S71" s="75">
        <v>9.3000000000000007</v>
      </c>
      <c r="T71" s="75">
        <v>9.3000000000000007</v>
      </c>
      <c r="U71" s="75">
        <v>9.3000000000000007</v>
      </c>
      <c r="V71" s="75">
        <v>9.3000000000000007</v>
      </c>
      <c r="W71" s="75">
        <v>9.3000000000000007</v>
      </c>
      <c r="X71" s="75">
        <v>9.3000000000000007</v>
      </c>
      <c r="Y71" s="75">
        <v>9.3000000000000007</v>
      </c>
      <c r="Z71" s="75">
        <v>9.3000000000000007</v>
      </c>
      <c r="AA71" s="75">
        <v>9.3000000000000007</v>
      </c>
      <c r="AB71" s="75">
        <v>9.5</v>
      </c>
      <c r="AC71" s="75">
        <v>9.5</v>
      </c>
      <c r="AD71" s="75">
        <v>9.5</v>
      </c>
      <c r="AE71" s="75">
        <v>9.5</v>
      </c>
      <c r="AF71" s="75">
        <v>9.5</v>
      </c>
      <c r="AG71" s="65">
        <v>14.1</v>
      </c>
      <c r="AH71" s="48">
        <f t="shared" si="8"/>
        <v>10.199999999999999</v>
      </c>
      <c r="AI71" s="49">
        <f t="shared" si="9"/>
        <v>9.3000000000000007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48</v>
      </c>
      <c r="BA71" s="80">
        <f t="shared" si="40"/>
        <v>43.4</v>
      </c>
      <c r="BB71" s="80">
        <f t="shared" si="40"/>
        <v>42.7</v>
      </c>
      <c r="BC71" s="80">
        <f t="shared" si="40"/>
        <v>6</v>
      </c>
      <c r="BD71" s="80">
        <f t="shared" si="40"/>
        <v>6</v>
      </c>
      <c r="BE71" s="81">
        <f t="shared" si="42"/>
        <v>6.1</v>
      </c>
      <c r="BF71" s="81">
        <f t="shared" si="43"/>
        <v>8</v>
      </c>
      <c r="BG71" s="81">
        <f t="shared" si="41"/>
        <v>6</v>
      </c>
      <c r="BH71" s="81">
        <f t="shared" si="41"/>
        <v>3</v>
      </c>
      <c r="BI71" s="81">
        <f t="shared" si="41"/>
        <v>0</v>
      </c>
      <c r="BJ71" s="81">
        <f t="shared" si="41"/>
        <v>5</v>
      </c>
      <c r="BK71" s="81">
        <f t="shared" si="41"/>
        <v>48.2</v>
      </c>
      <c r="BL71" s="81">
        <f t="shared" si="41"/>
        <v>55.1</v>
      </c>
      <c r="BM71" s="81">
        <f t="shared" si="41"/>
        <v>48.7</v>
      </c>
      <c r="BN71" s="81">
        <f t="shared" si="41"/>
        <v>51.4</v>
      </c>
      <c r="BO71" s="81">
        <f t="shared" si="41"/>
        <v>47.3</v>
      </c>
      <c r="BP71" s="81">
        <f t="shared" si="41"/>
        <v>43.1</v>
      </c>
      <c r="BQ71" s="81">
        <f t="shared" si="44"/>
        <v>32.4</v>
      </c>
      <c r="BR71" s="81">
        <f t="shared" si="45"/>
        <v>44.5</v>
      </c>
      <c r="BS71" s="80">
        <f t="shared" si="46"/>
        <v>39.299999999999997</v>
      </c>
      <c r="BT71" s="80">
        <f t="shared" si="47"/>
        <v>39.299999999999997</v>
      </c>
      <c r="BU71" s="80">
        <f t="shared" si="47"/>
        <v>43</v>
      </c>
      <c r="BV71" s="80">
        <f t="shared" si="47"/>
        <v>43.4</v>
      </c>
      <c r="BW71" s="80">
        <f t="shared" si="48"/>
        <v>38</v>
      </c>
    </row>
    <row r="72" spans="1:75" x14ac:dyDescent="0.25">
      <c r="A72" s="83" t="s">
        <v>93</v>
      </c>
      <c r="B72" s="75">
        <v>3.4</v>
      </c>
      <c r="C72" s="75">
        <v>3.4</v>
      </c>
      <c r="D72" s="75">
        <v>3.4</v>
      </c>
      <c r="E72" s="75">
        <v>3.4</v>
      </c>
      <c r="F72" s="75">
        <v>3.4</v>
      </c>
      <c r="G72" s="75">
        <v>3.4</v>
      </c>
      <c r="H72" s="75">
        <v>3.4</v>
      </c>
      <c r="I72" s="75">
        <v>3.4</v>
      </c>
      <c r="J72" s="75">
        <v>3.4</v>
      </c>
      <c r="K72" s="75">
        <v>3.4</v>
      </c>
      <c r="L72" s="75">
        <v>3.4</v>
      </c>
      <c r="M72" s="75">
        <v>3.4</v>
      </c>
      <c r="N72" s="75">
        <v>3.4</v>
      </c>
      <c r="O72" s="75">
        <v>3.4</v>
      </c>
      <c r="P72" s="75">
        <v>3.4</v>
      </c>
      <c r="Q72" s="75">
        <v>3.7</v>
      </c>
      <c r="R72" s="75">
        <v>3.7</v>
      </c>
      <c r="S72" s="75">
        <v>3.7</v>
      </c>
      <c r="T72" s="75">
        <v>3.7</v>
      </c>
      <c r="U72" s="75">
        <v>3.7</v>
      </c>
      <c r="V72" s="75">
        <v>3.7</v>
      </c>
      <c r="W72" s="75">
        <v>3.7</v>
      </c>
      <c r="X72" s="75">
        <v>3.7</v>
      </c>
      <c r="Y72" s="75">
        <v>3.7</v>
      </c>
      <c r="Z72" s="75">
        <v>3.7</v>
      </c>
      <c r="AA72" s="75">
        <v>3.7</v>
      </c>
      <c r="AB72" s="75">
        <v>3.3</v>
      </c>
      <c r="AC72" s="75">
        <v>3.3</v>
      </c>
      <c r="AD72" s="75">
        <v>3.3</v>
      </c>
      <c r="AE72" s="75">
        <v>3.3</v>
      </c>
      <c r="AF72" s="75">
        <v>3.3</v>
      </c>
      <c r="AG72" s="65">
        <v>14</v>
      </c>
      <c r="AH72" s="48">
        <f t="shared" si="8"/>
        <v>3.7</v>
      </c>
      <c r="AI72" s="49">
        <f t="shared" si="9"/>
        <v>3.3</v>
      </c>
      <c r="AK72" s="51"/>
      <c r="AY72" s="1" t="s">
        <v>94</v>
      </c>
      <c r="AZ72" s="81">
        <f>ROUND(C85,0)</f>
        <v>114</v>
      </c>
      <c r="BA72" s="80">
        <f t="shared" si="40"/>
        <v>121</v>
      </c>
      <c r="BB72" s="80">
        <f t="shared" si="40"/>
        <v>117</v>
      </c>
      <c r="BC72" s="80">
        <f t="shared" si="40"/>
        <v>128</v>
      </c>
      <c r="BD72" s="80">
        <f t="shared" si="40"/>
        <v>96</v>
      </c>
      <c r="BE72" s="81">
        <f t="shared" si="42"/>
        <v>19</v>
      </c>
      <c r="BF72" s="81">
        <f t="shared" si="43"/>
        <v>23</v>
      </c>
      <c r="BG72" s="81">
        <f t="shared" si="41"/>
        <v>26</v>
      </c>
      <c r="BH72" s="81">
        <f t="shared" si="41"/>
        <v>30</v>
      </c>
      <c r="BI72" s="81">
        <f t="shared" si="41"/>
        <v>0</v>
      </c>
      <c r="BJ72" s="81">
        <f t="shared" si="41"/>
        <v>35</v>
      </c>
      <c r="BK72" s="81">
        <f t="shared" si="41"/>
        <v>118.7</v>
      </c>
      <c r="BL72" s="81">
        <f t="shared" si="41"/>
        <v>93.9</v>
      </c>
      <c r="BM72" s="81">
        <f t="shared" si="41"/>
        <v>103.4</v>
      </c>
      <c r="BN72" s="81">
        <f t="shared" si="41"/>
        <v>111.2</v>
      </c>
      <c r="BO72" s="81">
        <f t="shared" si="41"/>
        <v>110.6</v>
      </c>
      <c r="BP72" s="81">
        <f t="shared" si="41"/>
        <v>115.1</v>
      </c>
      <c r="BQ72" s="81">
        <f t="shared" si="44"/>
        <v>103.6</v>
      </c>
      <c r="BR72" s="81">
        <f t="shared" si="45"/>
        <v>116.6</v>
      </c>
      <c r="BS72" s="80">
        <f t="shared" si="46"/>
        <v>108.5</v>
      </c>
      <c r="BT72" s="80">
        <f t="shared" si="47"/>
        <v>108.5</v>
      </c>
      <c r="BU72" s="80">
        <f t="shared" si="47"/>
        <v>117</v>
      </c>
      <c r="BV72" s="80">
        <f t="shared" si="47"/>
        <v>109.3</v>
      </c>
      <c r="BW72" s="80">
        <f t="shared" si="48"/>
        <v>109</v>
      </c>
    </row>
    <row r="73" spans="1:75" x14ac:dyDescent="0.25">
      <c r="A73" s="64" t="s">
        <v>95</v>
      </c>
      <c r="B73" s="75">
        <v>4.5</v>
      </c>
      <c r="C73" s="75">
        <v>4.5</v>
      </c>
      <c r="D73" s="75">
        <v>4.5</v>
      </c>
      <c r="E73" s="75">
        <v>4.5</v>
      </c>
      <c r="F73" s="75">
        <v>4.5</v>
      </c>
      <c r="G73" s="75">
        <v>4.5</v>
      </c>
      <c r="H73" s="75">
        <v>4.5</v>
      </c>
      <c r="I73" s="75">
        <v>4.5</v>
      </c>
      <c r="J73" s="75">
        <v>4.5</v>
      </c>
      <c r="K73" s="75">
        <v>4.5</v>
      </c>
      <c r="L73" s="75">
        <v>4.5</v>
      </c>
      <c r="M73" s="75">
        <v>4.5</v>
      </c>
      <c r="N73" s="75">
        <v>4.5</v>
      </c>
      <c r="O73" s="75">
        <v>4.5</v>
      </c>
      <c r="P73" s="75">
        <v>4.5</v>
      </c>
      <c r="Q73" s="75">
        <v>4.5</v>
      </c>
      <c r="R73" s="75">
        <v>4.5</v>
      </c>
      <c r="S73" s="75">
        <v>4.5</v>
      </c>
      <c r="T73" s="75">
        <v>4.5</v>
      </c>
      <c r="U73" s="75">
        <v>4.5</v>
      </c>
      <c r="V73" s="75">
        <v>4.5</v>
      </c>
      <c r="W73" s="75">
        <v>4.5</v>
      </c>
      <c r="X73" s="75">
        <v>4.5</v>
      </c>
      <c r="Y73" s="75">
        <v>4.5</v>
      </c>
      <c r="Z73" s="75">
        <v>4.5</v>
      </c>
      <c r="AA73" s="75">
        <v>4.5</v>
      </c>
      <c r="AB73" s="75">
        <v>4.5</v>
      </c>
      <c r="AC73" s="75">
        <v>4.5</v>
      </c>
      <c r="AD73" s="75">
        <v>4.5</v>
      </c>
      <c r="AE73" s="75">
        <v>4.5</v>
      </c>
      <c r="AF73" s="75">
        <v>4.5</v>
      </c>
      <c r="AG73" s="65">
        <v>10.050000000000001</v>
      </c>
      <c r="AH73" s="48">
        <f t="shared" si="8"/>
        <v>4.5</v>
      </c>
      <c r="AI73" s="49">
        <f t="shared" si="9"/>
        <v>4.5</v>
      </c>
      <c r="AK73" s="51"/>
      <c r="AY73" s="1" t="s">
        <v>96</v>
      </c>
      <c r="AZ73" s="81">
        <f>ROUND(C91,0)</f>
        <v>50</v>
      </c>
      <c r="BA73" s="81">
        <f>D91</f>
        <v>57</v>
      </c>
      <c r="BB73" s="81">
        <f>E91</f>
        <v>56</v>
      </c>
      <c r="BC73" s="81">
        <f>F91</f>
        <v>55.3</v>
      </c>
      <c r="BD73" s="81">
        <f>G91</f>
        <v>55.3</v>
      </c>
      <c r="BE73" s="81">
        <f>I91</f>
        <v>55.3</v>
      </c>
      <c r="BF73" s="81">
        <f>K91</f>
        <v>48</v>
      </c>
      <c r="BG73" s="81">
        <f t="shared" ref="BG73:BP73" si="49">M91</f>
        <v>34</v>
      </c>
      <c r="BH73" s="81">
        <f t="shared" si="49"/>
        <v>70</v>
      </c>
      <c r="BI73" s="81">
        <f t="shared" si="49"/>
        <v>0</v>
      </c>
      <c r="BJ73" s="81">
        <f t="shared" si="49"/>
        <v>72</v>
      </c>
      <c r="BK73" s="81">
        <f t="shared" si="49"/>
        <v>69</v>
      </c>
      <c r="BL73" s="81">
        <f t="shared" si="49"/>
        <v>79</v>
      </c>
      <c r="BM73" s="81">
        <f t="shared" si="49"/>
        <v>73.3</v>
      </c>
      <c r="BN73" s="81">
        <f t="shared" si="49"/>
        <v>76.3</v>
      </c>
      <c r="BO73" s="81">
        <f t="shared" si="49"/>
        <v>80.7</v>
      </c>
      <c r="BP73" s="81">
        <f t="shared" si="49"/>
        <v>71.3</v>
      </c>
      <c r="BQ73" s="81">
        <f>X91</f>
        <v>70</v>
      </c>
      <c r="BR73" s="81">
        <f>Z91</f>
        <v>82.2</v>
      </c>
      <c r="BS73" s="81">
        <f>AB91</f>
        <v>0</v>
      </c>
      <c r="BT73" s="81">
        <f>AD91</f>
        <v>0</v>
      </c>
      <c r="BU73" s="81">
        <f>AE91</f>
        <v>0</v>
      </c>
      <c r="BV73" s="81">
        <f>AF91</f>
        <v>0</v>
      </c>
      <c r="BW73" s="81">
        <f>B91</f>
        <v>0</v>
      </c>
    </row>
    <row r="74" spans="1:75" x14ac:dyDescent="0.25">
      <c r="A74" s="64" t="s">
        <v>97</v>
      </c>
      <c r="B74" s="75">
        <v>2</v>
      </c>
      <c r="C74" s="75">
        <v>2</v>
      </c>
      <c r="D74" s="75">
        <v>2</v>
      </c>
      <c r="E74" s="75">
        <v>2</v>
      </c>
      <c r="F74" s="75">
        <v>2</v>
      </c>
      <c r="G74" s="75">
        <v>2</v>
      </c>
      <c r="H74" s="75">
        <v>2</v>
      </c>
      <c r="I74" s="75">
        <v>2</v>
      </c>
      <c r="J74" s="75">
        <v>2</v>
      </c>
      <c r="K74" s="75">
        <v>2</v>
      </c>
      <c r="L74" s="75">
        <v>2</v>
      </c>
      <c r="M74" s="75">
        <v>2</v>
      </c>
      <c r="N74" s="75">
        <v>2</v>
      </c>
      <c r="O74" s="75">
        <v>2</v>
      </c>
      <c r="P74" s="75">
        <v>2</v>
      </c>
      <c r="Q74" s="75">
        <v>2</v>
      </c>
      <c r="R74" s="75">
        <v>2</v>
      </c>
      <c r="S74" s="75">
        <v>2</v>
      </c>
      <c r="T74" s="75">
        <v>2</v>
      </c>
      <c r="U74" s="75">
        <v>2</v>
      </c>
      <c r="V74" s="75">
        <v>2</v>
      </c>
      <c r="W74" s="75">
        <v>2</v>
      </c>
      <c r="X74" s="75">
        <v>2</v>
      </c>
      <c r="Y74" s="75">
        <v>2</v>
      </c>
      <c r="Z74" s="75">
        <v>2</v>
      </c>
      <c r="AA74" s="75">
        <v>2</v>
      </c>
      <c r="AB74" s="75">
        <v>2</v>
      </c>
      <c r="AC74" s="75">
        <v>2</v>
      </c>
      <c r="AD74" s="75">
        <v>2</v>
      </c>
      <c r="AE74" s="75">
        <v>2</v>
      </c>
      <c r="AF74" s="75">
        <v>2</v>
      </c>
      <c r="AG74" s="65">
        <v>6.2</v>
      </c>
      <c r="AH74" s="48">
        <f t="shared" si="8"/>
        <v>2</v>
      </c>
      <c r="AI74" s="49">
        <f t="shared" si="9"/>
        <v>2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</row>
    <row r="75" spans="1:75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>
        <v>3.54</v>
      </c>
      <c r="W75" s="84">
        <v>3.54</v>
      </c>
      <c r="X75" s="84">
        <v>3.54</v>
      </c>
      <c r="Y75" s="84">
        <v>3.54</v>
      </c>
      <c r="Z75" s="84">
        <v>3.54</v>
      </c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8"/>
        <v>3.54</v>
      </c>
      <c r="AI75" s="49">
        <f t="shared" si="9"/>
        <v>3.54</v>
      </c>
      <c r="AK75" s="51"/>
      <c r="AZ75" s="81">
        <f>VALUE(AZ68)</f>
        <v>53</v>
      </c>
      <c r="BA75" s="81">
        <f t="shared" ref="BA75:BW75" si="50">VALUE(BA68)</f>
        <v>54.3</v>
      </c>
      <c r="BB75" s="81">
        <f t="shared" si="50"/>
        <v>56</v>
      </c>
      <c r="BC75" s="81">
        <f t="shared" si="50"/>
        <v>48.1</v>
      </c>
      <c r="BD75" s="81">
        <f t="shared" si="50"/>
        <v>52.8</v>
      </c>
      <c r="BE75" s="81">
        <f t="shared" si="50"/>
        <v>55.4</v>
      </c>
      <c r="BF75" s="81">
        <f t="shared" si="50"/>
        <v>52.5</v>
      </c>
      <c r="BG75" s="81">
        <f t="shared" si="50"/>
        <v>29</v>
      </c>
      <c r="BH75" s="81">
        <f t="shared" si="50"/>
        <v>47.4</v>
      </c>
      <c r="BI75" s="81">
        <f t="shared" si="50"/>
        <v>0</v>
      </c>
      <c r="BJ75" s="81">
        <f t="shared" si="50"/>
        <v>38</v>
      </c>
      <c r="BK75" s="81">
        <f t="shared" si="50"/>
        <v>48.9</v>
      </c>
      <c r="BL75" s="81">
        <f t="shared" si="50"/>
        <v>63.7</v>
      </c>
      <c r="BM75" s="81">
        <f t="shared" si="50"/>
        <v>47.1</v>
      </c>
      <c r="BN75" s="81">
        <f t="shared" si="50"/>
        <v>44.1</v>
      </c>
      <c r="BO75" s="81">
        <f t="shared" si="50"/>
        <v>52.4</v>
      </c>
      <c r="BP75" s="81">
        <f t="shared" si="50"/>
        <v>59.9</v>
      </c>
      <c r="BQ75" s="81">
        <f t="shared" si="50"/>
        <v>48.3</v>
      </c>
      <c r="BR75" s="81">
        <f t="shared" si="50"/>
        <v>59.3</v>
      </c>
      <c r="BS75" s="81">
        <f t="shared" si="50"/>
        <v>60.9</v>
      </c>
      <c r="BT75" s="81">
        <f t="shared" si="50"/>
        <v>65</v>
      </c>
      <c r="BU75" s="81">
        <f t="shared" si="50"/>
        <v>57</v>
      </c>
      <c r="BV75" s="81">
        <f t="shared" si="50"/>
        <v>59.6</v>
      </c>
      <c r="BW75" s="81">
        <f t="shared" si="50"/>
        <v>57</v>
      </c>
    </row>
    <row r="76" spans="1:75" ht="15.75" thickBot="1" x14ac:dyDescent="0.3">
      <c r="A76" s="86" t="s">
        <v>99</v>
      </c>
      <c r="B76" s="70">
        <f t="shared" ref="B76:C76" si="51">SUM(B63:B75)</f>
        <v>77.340000000000018</v>
      </c>
      <c r="C76" s="70">
        <f t="shared" si="51"/>
        <v>77.340000000000018</v>
      </c>
      <c r="D76" s="70">
        <f t="shared" ref="D76:AG76" si="52">SUM(D63:D75)</f>
        <v>77.340000000000018</v>
      </c>
      <c r="E76" s="70">
        <f t="shared" si="52"/>
        <v>77.340000000000018</v>
      </c>
      <c r="F76" s="70">
        <f t="shared" si="52"/>
        <v>77.340000000000018</v>
      </c>
      <c r="G76" s="70">
        <f t="shared" si="52"/>
        <v>94.940000000000012</v>
      </c>
      <c r="H76" s="70">
        <f t="shared" si="52"/>
        <v>166.93999999999997</v>
      </c>
      <c r="I76" s="70">
        <f t="shared" si="52"/>
        <v>272.24</v>
      </c>
      <c r="J76" s="70">
        <f t="shared" si="52"/>
        <v>352.64</v>
      </c>
      <c r="K76" s="70">
        <f t="shared" si="52"/>
        <v>354.23999999999995</v>
      </c>
      <c r="L76" s="70">
        <f t="shared" ref="L76" si="53">SUM(L63:L75)</f>
        <v>340.13999999999993</v>
      </c>
      <c r="M76" s="70">
        <f t="shared" si="52"/>
        <v>335.34</v>
      </c>
      <c r="N76" s="70">
        <f t="shared" si="52"/>
        <v>194.03999999999996</v>
      </c>
      <c r="O76" s="70">
        <f t="shared" si="52"/>
        <v>189.03999999999996</v>
      </c>
      <c r="P76" s="70">
        <f t="shared" si="52"/>
        <v>178.03999999999996</v>
      </c>
      <c r="Q76" s="70">
        <f t="shared" si="52"/>
        <v>201.74</v>
      </c>
      <c r="R76" s="70">
        <f t="shared" si="52"/>
        <v>212.04000000000002</v>
      </c>
      <c r="S76" s="70">
        <f t="shared" ref="S76:T76" si="54">SUM(S63:S75)</f>
        <v>184.54</v>
      </c>
      <c r="T76" s="70">
        <f t="shared" si="54"/>
        <v>184.34</v>
      </c>
      <c r="U76" s="70">
        <f t="shared" ref="U76:V76" si="55">SUM(U63:U75)</f>
        <v>192.64</v>
      </c>
      <c r="V76" s="70">
        <f t="shared" si="55"/>
        <v>178.64</v>
      </c>
      <c r="W76" s="70">
        <f t="shared" ref="W76:X76" si="56">SUM(W63:W75)</f>
        <v>190.44</v>
      </c>
      <c r="X76" s="70">
        <f t="shared" si="56"/>
        <v>191.34</v>
      </c>
      <c r="Y76" s="70">
        <f t="shared" ref="Y76:Z76" si="57">SUM(Y63:Y75)</f>
        <v>283.64000000000004</v>
      </c>
      <c r="Z76" s="70">
        <f t="shared" si="57"/>
        <v>284.14000000000004</v>
      </c>
      <c r="AA76" s="70">
        <f t="shared" ref="AA76" si="58">SUM(AA63:AA75)</f>
        <v>310.74</v>
      </c>
      <c r="AB76" s="70">
        <f t="shared" si="52"/>
        <v>262.74</v>
      </c>
      <c r="AC76" s="70">
        <f t="shared" si="52"/>
        <v>237.34</v>
      </c>
      <c r="AD76" s="70">
        <f>SUM(AD63:AD75)</f>
        <v>229.34</v>
      </c>
      <c r="AE76" s="70">
        <f t="shared" si="52"/>
        <v>163.34</v>
      </c>
      <c r="AF76" s="70">
        <f t="shared" si="52"/>
        <v>102.34</v>
      </c>
      <c r="AG76" s="71">
        <f t="shared" si="52"/>
        <v>489.91</v>
      </c>
      <c r="AH76" s="48">
        <f t="shared" si="8"/>
        <v>354.23999999999995</v>
      </c>
      <c r="AI76" s="49">
        <f t="shared" si="9"/>
        <v>77.340000000000018</v>
      </c>
      <c r="AK76" s="51"/>
      <c r="AZ76" s="81">
        <f t="shared" ref="AZ76:BW80" si="59">VALUE(AZ69)</f>
        <v>0</v>
      </c>
      <c r="BA76" s="81">
        <f t="shared" si="59"/>
        <v>0</v>
      </c>
      <c r="BB76" s="81">
        <f t="shared" si="59"/>
        <v>0</v>
      </c>
      <c r="BC76" s="81">
        <f t="shared" si="59"/>
        <v>0</v>
      </c>
      <c r="BD76" s="81">
        <f t="shared" si="59"/>
        <v>0</v>
      </c>
      <c r="BE76" s="81">
        <f t="shared" si="59"/>
        <v>0</v>
      </c>
      <c r="BF76" s="81">
        <f t="shared" si="59"/>
        <v>0</v>
      </c>
      <c r="BG76" s="81">
        <f t="shared" si="59"/>
        <v>0</v>
      </c>
      <c r="BH76" s="81">
        <f t="shared" si="59"/>
        <v>0</v>
      </c>
      <c r="BI76" s="81">
        <f t="shared" si="59"/>
        <v>0</v>
      </c>
      <c r="BJ76" s="81">
        <f t="shared" si="59"/>
        <v>0</v>
      </c>
      <c r="BK76" s="81">
        <f t="shared" si="59"/>
        <v>0</v>
      </c>
      <c r="BL76" s="81">
        <f t="shared" si="59"/>
        <v>0</v>
      </c>
      <c r="BM76" s="81">
        <f t="shared" si="59"/>
        <v>0</v>
      </c>
      <c r="BN76" s="81">
        <f t="shared" si="59"/>
        <v>0</v>
      </c>
      <c r="BO76" s="81">
        <f t="shared" si="59"/>
        <v>0</v>
      </c>
      <c r="BP76" s="81">
        <f t="shared" si="59"/>
        <v>0</v>
      </c>
      <c r="BQ76" s="81">
        <f t="shared" si="59"/>
        <v>0</v>
      </c>
      <c r="BR76" s="81">
        <f t="shared" si="59"/>
        <v>0</v>
      </c>
      <c r="BS76" s="81">
        <f t="shared" si="59"/>
        <v>0</v>
      </c>
      <c r="BT76" s="81">
        <f t="shared" si="59"/>
        <v>0</v>
      </c>
      <c r="BU76" s="81">
        <f t="shared" si="59"/>
        <v>0</v>
      </c>
      <c r="BV76" s="81">
        <f t="shared" si="59"/>
        <v>0</v>
      </c>
      <c r="BW76" s="81">
        <f t="shared" si="59"/>
        <v>0</v>
      </c>
    </row>
    <row r="77" spans="1:75" x14ac:dyDescent="0.25">
      <c r="A77" s="45" t="s">
        <v>100</v>
      </c>
      <c r="B77" s="46">
        <v>0</v>
      </c>
      <c r="C77" s="46">
        <v>0</v>
      </c>
      <c r="D77" s="46">
        <v>0</v>
      </c>
      <c r="E77" s="46">
        <v>0</v>
      </c>
      <c r="F77" s="46">
        <v>0</v>
      </c>
      <c r="G77" s="46">
        <v>0</v>
      </c>
      <c r="H77" s="46">
        <v>0</v>
      </c>
      <c r="I77" s="46">
        <v>0</v>
      </c>
      <c r="J77" s="46">
        <v>14</v>
      </c>
      <c r="K77" s="46">
        <v>14</v>
      </c>
      <c r="L77" s="46">
        <v>14</v>
      </c>
      <c r="M77" s="46">
        <v>10</v>
      </c>
      <c r="N77" s="46">
        <v>0</v>
      </c>
      <c r="O77" s="46">
        <v>0</v>
      </c>
      <c r="P77" s="46">
        <v>0</v>
      </c>
      <c r="Q77" s="46">
        <v>0</v>
      </c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60">
        <v>60</v>
      </c>
      <c r="AH77" s="48">
        <f t="shared" si="8"/>
        <v>14</v>
      </c>
      <c r="AI77" s="49">
        <f t="shared" si="9"/>
        <v>0</v>
      </c>
      <c r="AK77" s="51"/>
      <c r="AZ77" s="81">
        <f t="shared" si="59"/>
        <v>320</v>
      </c>
      <c r="BA77" s="81">
        <f t="shared" si="59"/>
        <v>218</v>
      </c>
      <c r="BB77" s="81">
        <f t="shared" si="59"/>
        <v>228</v>
      </c>
      <c r="BC77" s="81">
        <f t="shared" si="59"/>
        <v>316</v>
      </c>
      <c r="BD77" s="81">
        <f t="shared" si="59"/>
        <v>311</v>
      </c>
      <c r="BE77" s="81">
        <f t="shared" si="59"/>
        <v>346</v>
      </c>
      <c r="BF77" s="81">
        <f t="shared" si="59"/>
        <v>352</v>
      </c>
      <c r="BG77" s="81">
        <f t="shared" si="59"/>
        <v>346</v>
      </c>
      <c r="BH77" s="81">
        <f t="shared" si="59"/>
        <v>341</v>
      </c>
      <c r="BI77" s="81">
        <f t="shared" si="59"/>
        <v>0</v>
      </c>
      <c r="BJ77" s="81">
        <f t="shared" si="59"/>
        <v>413</v>
      </c>
      <c r="BK77" s="81">
        <f t="shared" si="59"/>
        <v>400</v>
      </c>
      <c r="BL77" s="81">
        <f t="shared" si="59"/>
        <v>429</v>
      </c>
      <c r="BM77" s="81">
        <f t="shared" si="59"/>
        <v>448.9</v>
      </c>
      <c r="BN77" s="81">
        <f t="shared" si="59"/>
        <v>427</v>
      </c>
      <c r="BO77" s="81">
        <f t="shared" si="59"/>
        <v>440.5</v>
      </c>
      <c r="BP77" s="81">
        <f t="shared" si="59"/>
        <v>433.1</v>
      </c>
      <c r="BQ77" s="81">
        <f t="shared" si="59"/>
        <v>338.9</v>
      </c>
      <c r="BR77" s="81">
        <f t="shared" si="59"/>
        <v>241.9</v>
      </c>
      <c r="BS77" s="81">
        <f t="shared" si="59"/>
        <v>254.9</v>
      </c>
      <c r="BT77" s="81">
        <f t="shared" si="59"/>
        <v>350</v>
      </c>
      <c r="BU77" s="81">
        <f t="shared" si="59"/>
        <v>380</v>
      </c>
      <c r="BV77" s="81">
        <f t="shared" si="59"/>
        <v>406</v>
      </c>
      <c r="BW77" s="81">
        <f t="shared" si="59"/>
        <v>369</v>
      </c>
    </row>
    <row r="78" spans="1:75" x14ac:dyDescent="0.25">
      <c r="A78" s="64" t="s">
        <v>101</v>
      </c>
      <c r="B78" s="75">
        <v>0</v>
      </c>
      <c r="C78" s="75">
        <v>0</v>
      </c>
      <c r="D78" s="75">
        <v>0</v>
      </c>
      <c r="E78" s="75">
        <v>0</v>
      </c>
      <c r="F78" s="75">
        <v>0</v>
      </c>
      <c r="G78" s="75">
        <v>0</v>
      </c>
      <c r="H78" s="75">
        <v>0</v>
      </c>
      <c r="I78" s="75">
        <v>0</v>
      </c>
      <c r="J78" s="75">
        <v>0</v>
      </c>
      <c r="K78" s="75">
        <v>9.6</v>
      </c>
      <c r="L78" s="75">
        <v>9.6</v>
      </c>
      <c r="M78" s="75">
        <v>4.8</v>
      </c>
      <c r="N78" s="75">
        <v>0</v>
      </c>
      <c r="O78" s="75">
        <v>0</v>
      </c>
      <c r="P78" s="75">
        <v>0</v>
      </c>
      <c r="Q78" s="75">
        <v>0</v>
      </c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65">
        <v>32</v>
      </c>
      <c r="AH78" s="48">
        <f t="shared" si="8"/>
        <v>9.6</v>
      </c>
      <c r="AI78" s="49">
        <f t="shared" si="9"/>
        <v>0</v>
      </c>
      <c r="AK78" s="51"/>
      <c r="AZ78" s="81">
        <f t="shared" si="59"/>
        <v>48</v>
      </c>
      <c r="BA78" s="81">
        <f t="shared" si="59"/>
        <v>43.4</v>
      </c>
      <c r="BB78" s="81">
        <f t="shared" si="59"/>
        <v>42.7</v>
      </c>
      <c r="BC78" s="81">
        <f t="shared" si="59"/>
        <v>6</v>
      </c>
      <c r="BD78" s="81">
        <f t="shared" si="59"/>
        <v>6</v>
      </c>
      <c r="BE78" s="81">
        <f t="shared" si="59"/>
        <v>6.1</v>
      </c>
      <c r="BF78" s="81">
        <f t="shared" si="59"/>
        <v>8</v>
      </c>
      <c r="BG78" s="81">
        <f t="shared" si="59"/>
        <v>6</v>
      </c>
      <c r="BH78" s="81">
        <f t="shared" si="59"/>
        <v>3</v>
      </c>
      <c r="BI78" s="81">
        <f t="shared" si="59"/>
        <v>0</v>
      </c>
      <c r="BJ78" s="81">
        <f t="shared" si="59"/>
        <v>5</v>
      </c>
      <c r="BK78" s="81">
        <f t="shared" si="59"/>
        <v>48.2</v>
      </c>
      <c r="BL78" s="81">
        <f t="shared" si="59"/>
        <v>55.1</v>
      </c>
      <c r="BM78" s="81">
        <f t="shared" si="59"/>
        <v>48.7</v>
      </c>
      <c r="BN78" s="81">
        <f t="shared" si="59"/>
        <v>51.4</v>
      </c>
      <c r="BO78" s="81">
        <f t="shared" si="59"/>
        <v>47.3</v>
      </c>
      <c r="BP78" s="81">
        <f t="shared" si="59"/>
        <v>43.1</v>
      </c>
      <c r="BQ78" s="81">
        <f t="shared" si="59"/>
        <v>32.4</v>
      </c>
      <c r="BR78" s="81">
        <f t="shared" si="59"/>
        <v>44.5</v>
      </c>
      <c r="BS78" s="81">
        <f t="shared" si="59"/>
        <v>39.299999999999997</v>
      </c>
      <c r="BT78" s="81">
        <f t="shared" si="59"/>
        <v>39.299999999999997</v>
      </c>
      <c r="BU78" s="81">
        <f t="shared" si="59"/>
        <v>43</v>
      </c>
      <c r="BV78" s="81">
        <f t="shared" si="59"/>
        <v>43.4</v>
      </c>
      <c r="BW78" s="81">
        <f t="shared" si="59"/>
        <v>38</v>
      </c>
    </row>
    <row r="79" spans="1:75" ht="15.75" thickBot="1" x14ac:dyDescent="0.3">
      <c r="A79" s="83" t="s">
        <v>102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3.5</v>
      </c>
      <c r="L79" s="77">
        <v>3.5</v>
      </c>
      <c r="M79" s="77">
        <v>1.7</v>
      </c>
      <c r="N79" s="77">
        <v>0</v>
      </c>
      <c r="O79" s="77">
        <v>0</v>
      </c>
      <c r="P79" s="77">
        <v>0</v>
      </c>
      <c r="Q79" s="77">
        <v>0</v>
      </c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8">
        <v>14</v>
      </c>
      <c r="AH79" s="48">
        <f t="shared" si="8"/>
        <v>3.5</v>
      </c>
      <c r="AI79" s="49">
        <f t="shared" si="9"/>
        <v>0</v>
      </c>
      <c r="AK79" s="51"/>
      <c r="AZ79" s="81">
        <f t="shared" si="59"/>
        <v>114</v>
      </c>
      <c r="BA79" s="81">
        <f t="shared" si="59"/>
        <v>121</v>
      </c>
      <c r="BB79" s="81">
        <f t="shared" si="59"/>
        <v>117</v>
      </c>
      <c r="BC79" s="81">
        <f t="shared" si="59"/>
        <v>128</v>
      </c>
      <c r="BD79" s="81">
        <f t="shared" si="59"/>
        <v>96</v>
      </c>
      <c r="BE79" s="81">
        <f t="shared" si="59"/>
        <v>19</v>
      </c>
      <c r="BF79" s="81">
        <f t="shared" si="59"/>
        <v>23</v>
      </c>
      <c r="BG79" s="81">
        <f t="shared" si="59"/>
        <v>26</v>
      </c>
      <c r="BH79" s="81">
        <f t="shared" si="59"/>
        <v>30</v>
      </c>
      <c r="BI79" s="81">
        <f t="shared" si="59"/>
        <v>0</v>
      </c>
      <c r="BJ79" s="81">
        <f t="shared" si="59"/>
        <v>35</v>
      </c>
      <c r="BK79" s="81">
        <f t="shared" si="59"/>
        <v>118.7</v>
      </c>
      <c r="BL79" s="81">
        <f t="shared" si="59"/>
        <v>93.9</v>
      </c>
      <c r="BM79" s="81">
        <f t="shared" si="59"/>
        <v>103.4</v>
      </c>
      <c r="BN79" s="81">
        <f t="shared" si="59"/>
        <v>111.2</v>
      </c>
      <c r="BO79" s="81">
        <f t="shared" si="59"/>
        <v>110.6</v>
      </c>
      <c r="BP79" s="81">
        <f t="shared" si="59"/>
        <v>115.1</v>
      </c>
      <c r="BQ79" s="81">
        <f t="shared" si="59"/>
        <v>103.6</v>
      </c>
      <c r="BR79" s="81">
        <f t="shared" si="59"/>
        <v>116.6</v>
      </c>
      <c r="BS79" s="81">
        <f t="shared" si="59"/>
        <v>108.5</v>
      </c>
      <c r="BT79" s="81">
        <f t="shared" si="59"/>
        <v>108.5</v>
      </c>
      <c r="BU79" s="81">
        <f t="shared" si="59"/>
        <v>117</v>
      </c>
      <c r="BV79" s="81">
        <f t="shared" si="59"/>
        <v>109.3</v>
      </c>
      <c r="BW79" s="81">
        <f t="shared" si="59"/>
        <v>109</v>
      </c>
    </row>
    <row r="80" spans="1:75" ht="15.75" thickBot="1" x14ac:dyDescent="0.3">
      <c r="A80" s="86" t="s">
        <v>103</v>
      </c>
      <c r="B80" s="70">
        <f t="shared" ref="B80:C80" si="60">B77+B78+B79</f>
        <v>0</v>
      </c>
      <c r="C80" s="70">
        <f t="shared" si="60"/>
        <v>0</v>
      </c>
      <c r="D80" s="70">
        <f t="shared" ref="D80:AF80" si="61">D77+D78+D79</f>
        <v>0</v>
      </c>
      <c r="E80" s="70">
        <f t="shared" si="61"/>
        <v>0</v>
      </c>
      <c r="F80" s="70">
        <f t="shared" si="61"/>
        <v>0</v>
      </c>
      <c r="G80" s="70">
        <f t="shared" si="61"/>
        <v>0</v>
      </c>
      <c r="H80" s="70">
        <f t="shared" si="61"/>
        <v>0</v>
      </c>
      <c r="I80" s="70">
        <f t="shared" si="61"/>
        <v>0</v>
      </c>
      <c r="J80" s="70">
        <f t="shared" si="61"/>
        <v>14</v>
      </c>
      <c r="K80" s="70">
        <f t="shared" si="61"/>
        <v>27.1</v>
      </c>
      <c r="L80" s="70">
        <f t="shared" ref="L80" si="62">L77+L78+L79</f>
        <v>27.1</v>
      </c>
      <c r="M80" s="70">
        <f t="shared" si="61"/>
        <v>16.5</v>
      </c>
      <c r="N80" s="70">
        <f t="shared" si="61"/>
        <v>0</v>
      </c>
      <c r="O80" s="70">
        <f t="shared" si="61"/>
        <v>0</v>
      </c>
      <c r="P80" s="70">
        <f t="shared" si="61"/>
        <v>0</v>
      </c>
      <c r="Q80" s="70">
        <f t="shared" si="61"/>
        <v>0</v>
      </c>
      <c r="R80" s="70">
        <f t="shared" si="61"/>
        <v>0</v>
      </c>
      <c r="S80" s="70">
        <f t="shared" ref="S80:T80" si="63">S77+S78+S79</f>
        <v>0</v>
      </c>
      <c r="T80" s="70">
        <f t="shared" si="63"/>
        <v>0</v>
      </c>
      <c r="U80" s="70">
        <f t="shared" ref="U80:V80" si="64">U77+U78+U79</f>
        <v>0</v>
      </c>
      <c r="V80" s="70">
        <f t="shared" si="64"/>
        <v>0</v>
      </c>
      <c r="W80" s="70">
        <f t="shared" ref="W80:X80" si="65">W77+W78+W79</f>
        <v>0</v>
      </c>
      <c r="X80" s="70">
        <f t="shared" si="65"/>
        <v>0</v>
      </c>
      <c r="Y80" s="70">
        <f t="shared" ref="Y80:Z80" si="66">Y77+Y78+Y79</f>
        <v>0</v>
      </c>
      <c r="Z80" s="70">
        <f t="shared" si="66"/>
        <v>0</v>
      </c>
      <c r="AA80" s="70">
        <f t="shared" ref="AA80" si="67">AA77+AA78+AA79</f>
        <v>0</v>
      </c>
      <c r="AB80" s="70">
        <f t="shared" si="61"/>
        <v>0</v>
      </c>
      <c r="AC80" s="70">
        <f t="shared" si="61"/>
        <v>0</v>
      </c>
      <c r="AD80" s="70">
        <f t="shared" si="61"/>
        <v>0</v>
      </c>
      <c r="AE80" s="70">
        <f t="shared" si="61"/>
        <v>0</v>
      </c>
      <c r="AF80" s="70">
        <f t="shared" si="61"/>
        <v>0</v>
      </c>
      <c r="AG80" s="71">
        <f>SUM(AG77:AG79)</f>
        <v>106</v>
      </c>
      <c r="AH80" s="48">
        <f t="shared" si="8"/>
        <v>27.1</v>
      </c>
      <c r="AI80" s="49">
        <f t="shared" si="9"/>
        <v>0</v>
      </c>
      <c r="AK80" s="51"/>
      <c r="AZ80" s="81">
        <f t="shared" si="59"/>
        <v>50</v>
      </c>
      <c r="BA80" s="81">
        <f t="shared" si="59"/>
        <v>57</v>
      </c>
      <c r="BB80" s="81">
        <f t="shared" si="59"/>
        <v>56</v>
      </c>
      <c r="BC80" s="81">
        <f t="shared" si="59"/>
        <v>55.3</v>
      </c>
      <c r="BD80" s="81">
        <f t="shared" si="59"/>
        <v>55.3</v>
      </c>
      <c r="BE80" s="81">
        <f t="shared" si="59"/>
        <v>55.3</v>
      </c>
      <c r="BF80" s="81">
        <f t="shared" si="59"/>
        <v>48</v>
      </c>
      <c r="BG80" s="81">
        <f t="shared" si="59"/>
        <v>34</v>
      </c>
      <c r="BH80" s="81">
        <f t="shared" si="59"/>
        <v>70</v>
      </c>
      <c r="BI80" s="81">
        <f t="shared" si="59"/>
        <v>0</v>
      </c>
      <c r="BJ80" s="81">
        <f t="shared" si="59"/>
        <v>72</v>
      </c>
      <c r="BK80" s="81">
        <f t="shared" si="59"/>
        <v>69</v>
      </c>
      <c r="BL80" s="81">
        <f t="shared" si="59"/>
        <v>79</v>
      </c>
      <c r="BM80" s="81">
        <f t="shared" si="59"/>
        <v>73.3</v>
      </c>
      <c r="BN80" s="81">
        <f t="shared" si="59"/>
        <v>76.3</v>
      </c>
      <c r="BO80" s="81">
        <f t="shared" si="59"/>
        <v>80.7</v>
      </c>
      <c r="BP80" s="81">
        <f t="shared" si="59"/>
        <v>71.3</v>
      </c>
      <c r="BQ80" s="81">
        <f t="shared" si="59"/>
        <v>70</v>
      </c>
      <c r="BR80" s="81">
        <f t="shared" si="59"/>
        <v>82.2</v>
      </c>
      <c r="BS80" s="81">
        <f t="shared" si="59"/>
        <v>0</v>
      </c>
      <c r="BT80" s="81">
        <f t="shared" si="59"/>
        <v>0</v>
      </c>
      <c r="BU80" s="81">
        <f t="shared" si="59"/>
        <v>0</v>
      </c>
      <c r="BV80" s="81">
        <f t="shared" si="59"/>
        <v>0</v>
      </c>
      <c r="BW80" s="81">
        <f t="shared" si="59"/>
        <v>0</v>
      </c>
    </row>
    <row r="81" spans="1:64" x14ac:dyDescent="0.25">
      <c r="A81" s="45" t="s">
        <v>104</v>
      </c>
      <c r="B81" s="46">
        <v>57</v>
      </c>
      <c r="C81" s="46">
        <v>53</v>
      </c>
      <c r="D81" s="46">
        <v>54.3</v>
      </c>
      <c r="E81" s="46">
        <v>56</v>
      </c>
      <c r="F81" s="46">
        <v>48.1</v>
      </c>
      <c r="G81" s="46">
        <v>52.8</v>
      </c>
      <c r="H81" s="46">
        <v>51.2</v>
      </c>
      <c r="I81" s="46">
        <v>55.4</v>
      </c>
      <c r="J81" s="46">
        <v>56.4</v>
      </c>
      <c r="K81" s="46">
        <v>52.5</v>
      </c>
      <c r="L81" s="46">
        <v>51</v>
      </c>
      <c r="M81" s="46">
        <v>29</v>
      </c>
      <c r="N81" s="46">
        <v>47.4</v>
      </c>
      <c r="O81" s="46"/>
      <c r="P81" s="46">
        <v>38</v>
      </c>
      <c r="Q81" s="46">
        <v>48.9</v>
      </c>
      <c r="R81" s="46">
        <v>63.7</v>
      </c>
      <c r="S81" s="46">
        <v>47.1</v>
      </c>
      <c r="T81" s="46">
        <v>44.1</v>
      </c>
      <c r="U81" s="46">
        <v>52.4</v>
      </c>
      <c r="V81" s="46">
        <v>59.9</v>
      </c>
      <c r="W81" s="46">
        <v>61.4</v>
      </c>
      <c r="X81" s="46">
        <v>48.3</v>
      </c>
      <c r="Y81" s="46">
        <v>47.2</v>
      </c>
      <c r="Z81" s="46">
        <v>59.3</v>
      </c>
      <c r="AA81" s="46">
        <v>51.8</v>
      </c>
      <c r="AB81" s="46">
        <v>60.9</v>
      </c>
      <c r="AC81" s="46">
        <v>60.9</v>
      </c>
      <c r="AD81" s="46">
        <v>65</v>
      </c>
      <c r="AE81" s="46">
        <v>57</v>
      </c>
      <c r="AF81" s="46">
        <v>59.6</v>
      </c>
      <c r="AG81" s="60"/>
      <c r="AH81" s="48">
        <f t="shared" si="8"/>
        <v>65</v>
      </c>
      <c r="AI81" s="49">
        <f t="shared" si="9"/>
        <v>29</v>
      </c>
      <c r="AK81" s="51"/>
      <c r="AY81" s="81"/>
    </row>
    <row r="82" spans="1:64" x14ac:dyDescent="0.25">
      <c r="A82" s="64" t="s">
        <v>105</v>
      </c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65"/>
      <c r="AH82" s="48">
        <f t="shared" ref="AH82:AH123" si="68">MAX(B82:AF82)</f>
        <v>0</v>
      </c>
      <c r="AI82" s="49">
        <f t="shared" ref="AI82:AI123" si="69">MIN(B82:AF82)</f>
        <v>0</v>
      </c>
      <c r="AK82" s="51"/>
      <c r="AY82" s="81"/>
      <c r="BF82" s="81"/>
      <c r="BG82" s="81"/>
      <c r="BH82" s="81"/>
      <c r="BI82" s="81"/>
      <c r="BJ82" s="81"/>
      <c r="BK82" s="81"/>
    </row>
    <row r="83" spans="1:64" x14ac:dyDescent="0.25">
      <c r="A83" s="64" t="s">
        <v>106</v>
      </c>
      <c r="B83" s="75">
        <v>369</v>
      </c>
      <c r="C83" s="75">
        <v>320</v>
      </c>
      <c r="D83" s="75">
        <v>218</v>
      </c>
      <c r="E83" s="75">
        <v>228</v>
      </c>
      <c r="F83" s="75">
        <v>316</v>
      </c>
      <c r="G83" s="75">
        <v>311</v>
      </c>
      <c r="H83" s="75">
        <v>359</v>
      </c>
      <c r="I83" s="75">
        <v>346</v>
      </c>
      <c r="J83" s="75">
        <v>349</v>
      </c>
      <c r="K83" s="75">
        <v>352</v>
      </c>
      <c r="L83" s="75">
        <v>350</v>
      </c>
      <c r="M83" s="75">
        <v>346</v>
      </c>
      <c r="N83" s="75">
        <v>341</v>
      </c>
      <c r="O83" s="75"/>
      <c r="P83" s="75">
        <v>413</v>
      </c>
      <c r="Q83" s="75">
        <v>400</v>
      </c>
      <c r="R83" s="75">
        <v>429</v>
      </c>
      <c r="S83" s="75">
        <v>448.9</v>
      </c>
      <c r="T83" s="75">
        <v>427</v>
      </c>
      <c r="U83" s="75">
        <v>440.5</v>
      </c>
      <c r="V83" s="75">
        <v>433.1</v>
      </c>
      <c r="W83" s="75">
        <v>385.9</v>
      </c>
      <c r="X83" s="75">
        <v>338.9</v>
      </c>
      <c r="Y83" s="75">
        <v>354.2</v>
      </c>
      <c r="Z83" s="75">
        <v>241.9</v>
      </c>
      <c r="AA83" s="75">
        <v>254.1</v>
      </c>
      <c r="AB83" s="75">
        <v>254.9</v>
      </c>
      <c r="AC83" s="75">
        <v>350</v>
      </c>
      <c r="AD83" s="75">
        <v>350</v>
      </c>
      <c r="AE83" s="75">
        <v>380</v>
      </c>
      <c r="AF83" s="75">
        <v>406</v>
      </c>
      <c r="AG83" s="87"/>
      <c r="AH83" s="48">
        <f t="shared" si="68"/>
        <v>448.9</v>
      </c>
      <c r="AI83" s="49">
        <f t="shared" si="69"/>
        <v>218</v>
      </c>
      <c r="AK83" s="51"/>
      <c r="AY83" s="81"/>
      <c r="BF83" s="80"/>
      <c r="BG83" s="80"/>
      <c r="BH83" s="80"/>
      <c r="BI83" s="80"/>
      <c r="BJ83" s="80"/>
      <c r="BK83" s="81"/>
    </row>
    <row r="84" spans="1:64" x14ac:dyDescent="0.25">
      <c r="A84" s="64" t="s">
        <v>107</v>
      </c>
      <c r="B84" s="75">
        <v>38</v>
      </c>
      <c r="C84" s="75">
        <v>48</v>
      </c>
      <c r="D84" s="75">
        <v>43.4</v>
      </c>
      <c r="E84" s="75">
        <v>42.7</v>
      </c>
      <c r="F84" s="88">
        <v>6</v>
      </c>
      <c r="G84" s="88">
        <v>6</v>
      </c>
      <c r="H84" s="88">
        <v>6</v>
      </c>
      <c r="I84" s="88">
        <v>6.1</v>
      </c>
      <c r="J84" s="88">
        <v>7.5</v>
      </c>
      <c r="K84" s="88">
        <v>8</v>
      </c>
      <c r="L84" s="88">
        <v>6</v>
      </c>
      <c r="M84" s="88">
        <v>6</v>
      </c>
      <c r="N84" s="88">
        <v>3</v>
      </c>
      <c r="O84" s="88"/>
      <c r="P84" s="88">
        <v>5</v>
      </c>
      <c r="Q84" s="88">
        <v>48.2</v>
      </c>
      <c r="R84" s="88">
        <v>55.1</v>
      </c>
      <c r="S84" s="88">
        <v>48.7</v>
      </c>
      <c r="T84" s="88">
        <v>51.4</v>
      </c>
      <c r="U84" s="88">
        <v>47.3</v>
      </c>
      <c r="V84" s="88">
        <v>43.1</v>
      </c>
      <c r="W84" s="88">
        <v>32.4</v>
      </c>
      <c r="X84" s="88">
        <v>32.4</v>
      </c>
      <c r="Y84" s="88">
        <v>45.6</v>
      </c>
      <c r="Z84" s="88">
        <v>44.5</v>
      </c>
      <c r="AA84" s="88">
        <v>32.6</v>
      </c>
      <c r="AB84" s="88">
        <v>39.299999999999997</v>
      </c>
      <c r="AC84" s="88">
        <v>39.299999999999997</v>
      </c>
      <c r="AD84" s="88">
        <v>39.299999999999997</v>
      </c>
      <c r="AE84" s="88">
        <v>43</v>
      </c>
      <c r="AF84" s="88">
        <v>43.4</v>
      </c>
      <c r="AG84" s="87"/>
      <c r="AH84" s="48">
        <f t="shared" si="68"/>
        <v>55.1</v>
      </c>
      <c r="AI84" s="49">
        <f t="shared" si="69"/>
        <v>3</v>
      </c>
      <c r="AK84" s="51"/>
      <c r="AY84" s="81"/>
      <c r="BF84" s="80"/>
      <c r="BG84" s="81">
        <f t="array" ref="BG84:BL107">TRANSPOSE(AZ68:BW73)</f>
        <v>53</v>
      </c>
      <c r="BH84" s="81">
        <v>0</v>
      </c>
      <c r="BI84" s="81">
        <v>320</v>
      </c>
      <c r="BJ84" s="81">
        <v>48</v>
      </c>
      <c r="BK84" s="81">
        <v>114</v>
      </c>
      <c r="BL84" s="81">
        <v>50</v>
      </c>
    </row>
    <row r="85" spans="1:64" x14ac:dyDescent="0.25">
      <c r="A85" s="64" t="s">
        <v>108</v>
      </c>
      <c r="B85" s="46">
        <v>109</v>
      </c>
      <c r="C85" s="46">
        <v>114</v>
      </c>
      <c r="D85" s="46">
        <v>121</v>
      </c>
      <c r="E85" s="46">
        <v>117</v>
      </c>
      <c r="F85" s="46">
        <v>128</v>
      </c>
      <c r="G85" s="46">
        <v>96</v>
      </c>
      <c r="H85" s="46">
        <v>15.3</v>
      </c>
      <c r="I85" s="46">
        <v>19</v>
      </c>
      <c r="J85" s="46">
        <v>21.7</v>
      </c>
      <c r="K85" s="46">
        <v>23</v>
      </c>
      <c r="L85" s="46">
        <v>24</v>
      </c>
      <c r="M85" s="46">
        <v>26</v>
      </c>
      <c r="N85" s="46">
        <v>30</v>
      </c>
      <c r="O85" s="46"/>
      <c r="P85" s="46">
        <v>35</v>
      </c>
      <c r="Q85" s="46">
        <v>118.7</v>
      </c>
      <c r="R85" s="46">
        <v>93.9</v>
      </c>
      <c r="S85" s="46">
        <v>103.4</v>
      </c>
      <c r="T85" s="46">
        <v>111.2</v>
      </c>
      <c r="U85" s="46">
        <v>110.6</v>
      </c>
      <c r="V85" s="46">
        <v>115.1</v>
      </c>
      <c r="W85" s="46">
        <v>97.6</v>
      </c>
      <c r="X85" s="46">
        <v>103.6</v>
      </c>
      <c r="Y85" s="46">
        <v>114.3</v>
      </c>
      <c r="Z85" s="46">
        <v>116.6</v>
      </c>
      <c r="AA85" s="46">
        <v>108.2</v>
      </c>
      <c r="AB85" s="46">
        <v>108.5</v>
      </c>
      <c r="AC85" s="46">
        <v>108.5</v>
      </c>
      <c r="AD85" s="46">
        <v>108.5</v>
      </c>
      <c r="AE85" s="46">
        <v>117</v>
      </c>
      <c r="AF85" s="46">
        <v>109.3</v>
      </c>
      <c r="AG85" s="87"/>
      <c r="AH85" s="48">
        <f t="shared" si="68"/>
        <v>128</v>
      </c>
      <c r="AI85" s="49">
        <f t="shared" si="69"/>
        <v>15.3</v>
      </c>
      <c r="AK85" s="51"/>
      <c r="AY85" s="81"/>
      <c r="BF85" s="80"/>
      <c r="BG85" s="81">
        <v>54.3</v>
      </c>
      <c r="BH85" s="81">
        <v>0</v>
      </c>
      <c r="BI85" s="81">
        <v>218</v>
      </c>
      <c r="BJ85" s="81">
        <v>43.4</v>
      </c>
      <c r="BK85" s="81">
        <v>121</v>
      </c>
      <c r="BL85" s="81">
        <v>57</v>
      </c>
    </row>
    <row r="86" spans="1:64" x14ac:dyDescent="0.25">
      <c r="A86" s="64" t="s">
        <v>109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7"/>
      <c r="AH86" s="48">
        <f t="shared" si="68"/>
        <v>0</v>
      </c>
      <c r="AI86" s="49">
        <f t="shared" si="69"/>
        <v>0</v>
      </c>
      <c r="AK86" s="51"/>
      <c r="AY86" s="81"/>
      <c r="BF86" s="80"/>
      <c r="BG86" s="81">
        <v>56</v>
      </c>
      <c r="BH86" s="81">
        <v>0</v>
      </c>
      <c r="BI86" s="81">
        <v>228</v>
      </c>
      <c r="BJ86" s="81">
        <v>42.7</v>
      </c>
      <c r="BK86" s="81">
        <v>117</v>
      </c>
      <c r="BL86" s="81">
        <v>56</v>
      </c>
    </row>
    <row r="87" spans="1:64" ht="15.75" thickBot="1" x14ac:dyDescent="0.3">
      <c r="A87" s="64" t="s">
        <v>110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7"/>
      <c r="AH87" s="48">
        <f t="shared" si="68"/>
        <v>0</v>
      </c>
      <c r="AI87" s="49">
        <f t="shared" si="69"/>
        <v>0</v>
      </c>
      <c r="AK87" s="51"/>
      <c r="AL87" s="90" t="s">
        <v>111</v>
      </c>
      <c r="AM87" s="90"/>
      <c r="AY87" s="81"/>
      <c r="BF87" s="81"/>
      <c r="BG87" s="81">
        <v>48.1</v>
      </c>
      <c r="BH87" s="81">
        <v>0</v>
      </c>
      <c r="BI87" s="81">
        <v>316</v>
      </c>
      <c r="BJ87" s="81">
        <v>6</v>
      </c>
      <c r="BK87" s="81">
        <v>128</v>
      </c>
      <c r="BL87" s="81">
        <v>55.3</v>
      </c>
    </row>
    <row r="88" spans="1:64" x14ac:dyDescent="0.25">
      <c r="A88" s="64" t="s">
        <v>112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7"/>
      <c r="AH88" s="48">
        <f t="shared" si="68"/>
        <v>0</v>
      </c>
      <c r="AI88" s="49">
        <f t="shared" si="69"/>
        <v>0</v>
      </c>
      <c r="AK88" s="91"/>
      <c r="AL88" s="92"/>
      <c r="AM88" s="92"/>
      <c r="AN88" s="93"/>
      <c r="AY88" s="81"/>
      <c r="BF88" s="81"/>
      <c r="BG88" s="81">
        <v>52.8</v>
      </c>
      <c r="BH88" s="81">
        <v>0</v>
      </c>
      <c r="BI88" s="81">
        <v>311</v>
      </c>
      <c r="BJ88" s="81">
        <v>6</v>
      </c>
      <c r="BK88" s="81">
        <v>96</v>
      </c>
      <c r="BL88" s="81">
        <v>55.3</v>
      </c>
    </row>
    <row r="89" spans="1:64" x14ac:dyDescent="0.25">
      <c r="A89" s="64" t="s">
        <v>113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7"/>
      <c r="AH89" s="48">
        <f t="shared" si="68"/>
        <v>0</v>
      </c>
      <c r="AI89" s="49">
        <f t="shared" si="69"/>
        <v>0</v>
      </c>
      <c r="AK89" s="94" t="s">
        <v>114</v>
      </c>
      <c r="AL89" s="75"/>
      <c r="AM89" s="88"/>
      <c r="AN89" s="95"/>
      <c r="AY89" s="81"/>
      <c r="BF89" s="81"/>
      <c r="BG89" s="81">
        <v>55.4</v>
      </c>
      <c r="BH89" s="81">
        <v>0</v>
      </c>
      <c r="BI89" s="81">
        <v>346</v>
      </c>
      <c r="BJ89" s="81">
        <v>6.1</v>
      </c>
      <c r="BK89" s="81">
        <v>19</v>
      </c>
      <c r="BL89" s="81">
        <v>55.3</v>
      </c>
    </row>
    <row r="90" spans="1:64" x14ac:dyDescent="0.25">
      <c r="A90" s="96" t="s">
        <v>115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97"/>
      <c r="AH90" s="48">
        <f t="shared" si="68"/>
        <v>0</v>
      </c>
      <c r="AI90" s="49">
        <f t="shared" si="69"/>
        <v>0</v>
      </c>
      <c r="AK90" s="94" t="s">
        <v>116</v>
      </c>
      <c r="AL90" s="88"/>
      <c r="AM90" s="88"/>
      <c r="AN90" s="95"/>
      <c r="AY90" s="81"/>
      <c r="BF90" s="81"/>
      <c r="BG90" s="81">
        <v>52.5</v>
      </c>
      <c r="BH90" s="81">
        <v>0</v>
      </c>
      <c r="BI90" s="81">
        <v>352</v>
      </c>
      <c r="BJ90" s="81">
        <v>8</v>
      </c>
      <c r="BK90" s="81">
        <v>23</v>
      </c>
      <c r="BL90" s="81">
        <v>48</v>
      </c>
    </row>
    <row r="91" spans="1:64" ht="15.75" thickBot="1" x14ac:dyDescent="0.3">
      <c r="A91" s="96" t="s">
        <v>117</v>
      </c>
      <c r="B91" s="89">
        <v>0</v>
      </c>
      <c r="C91" s="89">
        <v>50</v>
      </c>
      <c r="D91" s="89">
        <v>57</v>
      </c>
      <c r="E91" s="89">
        <v>56</v>
      </c>
      <c r="F91" s="89">
        <v>55.3</v>
      </c>
      <c r="G91" s="89">
        <v>55.3</v>
      </c>
      <c r="H91" s="89">
        <v>55.3</v>
      </c>
      <c r="I91" s="89">
        <v>55.3</v>
      </c>
      <c r="J91" s="89">
        <v>48</v>
      </c>
      <c r="K91" s="89">
        <v>48</v>
      </c>
      <c r="L91" s="89">
        <v>55</v>
      </c>
      <c r="M91" s="89">
        <v>34</v>
      </c>
      <c r="N91" s="89">
        <v>70</v>
      </c>
      <c r="O91" s="89"/>
      <c r="P91" s="89">
        <v>72</v>
      </c>
      <c r="Q91" s="89">
        <v>69</v>
      </c>
      <c r="R91" s="89">
        <v>79</v>
      </c>
      <c r="S91" s="89">
        <v>73.3</v>
      </c>
      <c r="T91" s="89">
        <v>76.3</v>
      </c>
      <c r="U91" s="89">
        <v>80.7</v>
      </c>
      <c r="V91" s="89">
        <v>71.3</v>
      </c>
      <c r="W91" s="89">
        <v>70.400000000000006</v>
      </c>
      <c r="X91" s="89">
        <v>70</v>
      </c>
      <c r="Y91" s="89">
        <v>76.5</v>
      </c>
      <c r="Z91" s="89">
        <v>82.2</v>
      </c>
      <c r="AA91" s="89">
        <v>0</v>
      </c>
      <c r="AB91" s="89">
        <v>0</v>
      </c>
      <c r="AC91" s="89">
        <v>0</v>
      </c>
      <c r="AD91" s="89">
        <v>0</v>
      </c>
      <c r="AE91" s="89"/>
      <c r="AF91" s="89">
        <v>0</v>
      </c>
      <c r="AG91" s="97"/>
      <c r="AH91" s="48">
        <f t="shared" si="68"/>
        <v>82.2</v>
      </c>
      <c r="AI91" s="49">
        <f t="shared" si="69"/>
        <v>0</v>
      </c>
      <c r="AK91" s="98"/>
      <c r="AL91" s="46"/>
      <c r="AM91" s="46"/>
      <c r="AN91" s="99"/>
      <c r="AY91" s="81"/>
      <c r="BF91" s="81"/>
      <c r="BG91" s="81">
        <v>29</v>
      </c>
      <c r="BH91" s="81">
        <v>0</v>
      </c>
      <c r="BI91" s="81">
        <v>346</v>
      </c>
      <c r="BJ91" s="81">
        <v>6</v>
      </c>
      <c r="BK91" s="81">
        <v>26</v>
      </c>
      <c r="BL91" s="81">
        <v>34</v>
      </c>
    </row>
    <row r="92" spans="1:64" ht="15.75" thickBot="1" x14ac:dyDescent="0.3">
      <c r="A92" s="86" t="s">
        <v>118</v>
      </c>
      <c r="B92" s="70">
        <f t="shared" ref="B92:C92" si="70">SUMIF(B81:B91,"&gt;0")</f>
        <v>573</v>
      </c>
      <c r="C92" s="70">
        <f t="shared" si="70"/>
        <v>585</v>
      </c>
      <c r="D92" s="70">
        <f t="shared" ref="D92:AF92" si="71">SUMIF(D81:D91,"&gt;0")</f>
        <v>493.7</v>
      </c>
      <c r="E92" s="70">
        <f t="shared" si="71"/>
        <v>499.7</v>
      </c>
      <c r="F92" s="70">
        <f t="shared" si="71"/>
        <v>553.4</v>
      </c>
      <c r="G92" s="70">
        <f t="shared" si="71"/>
        <v>521.1</v>
      </c>
      <c r="H92" s="70">
        <f t="shared" si="71"/>
        <v>486.8</v>
      </c>
      <c r="I92" s="70">
        <f t="shared" si="71"/>
        <v>481.8</v>
      </c>
      <c r="J92" s="70">
        <f t="shared" si="71"/>
        <v>482.59999999999997</v>
      </c>
      <c r="K92" s="70">
        <f t="shared" si="71"/>
        <v>483.5</v>
      </c>
      <c r="L92" s="70">
        <f t="shared" ref="L92" si="72">SUMIF(L81:L91,"&gt;0")</f>
        <v>486</v>
      </c>
      <c r="M92" s="70">
        <f t="shared" si="71"/>
        <v>441</v>
      </c>
      <c r="N92" s="70">
        <f t="shared" si="71"/>
        <v>491.4</v>
      </c>
      <c r="O92" s="70">
        <f t="shared" si="71"/>
        <v>0</v>
      </c>
      <c r="P92" s="70">
        <f t="shared" si="71"/>
        <v>563</v>
      </c>
      <c r="Q92" s="70">
        <f t="shared" si="71"/>
        <v>684.8</v>
      </c>
      <c r="R92" s="70">
        <f t="shared" si="71"/>
        <v>720.69999999999993</v>
      </c>
      <c r="S92" s="70">
        <f t="shared" ref="S92:T92" si="73">SUMIF(S81:S91,"&gt;0")</f>
        <v>721.4</v>
      </c>
      <c r="T92" s="70">
        <f t="shared" si="73"/>
        <v>710</v>
      </c>
      <c r="U92" s="70">
        <f t="shared" ref="U92:V92" si="74">SUMIF(U81:U91,"&gt;0")</f>
        <v>731.5</v>
      </c>
      <c r="V92" s="70">
        <f t="shared" si="74"/>
        <v>722.5</v>
      </c>
      <c r="W92" s="70">
        <f t="shared" ref="W92:X92" si="75">SUMIF(W81:W91,"&gt;0")</f>
        <v>647.69999999999993</v>
      </c>
      <c r="X92" s="70">
        <f t="shared" si="75"/>
        <v>593.19999999999993</v>
      </c>
      <c r="Y92" s="70">
        <f t="shared" ref="Y92:Z92" si="76">SUMIF(Y81:Y91,"&gt;0")</f>
        <v>637.79999999999995</v>
      </c>
      <c r="Z92" s="70">
        <f t="shared" si="76"/>
        <v>544.5</v>
      </c>
      <c r="AA92" s="70">
        <f t="shared" ref="AA92" si="77">SUMIF(AA81:AA91,"&gt;0")</f>
        <v>446.7</v>
      </c>
      <c r="AB92" s="70">
        <f t="shared" si="71"/>
        <v>463.6</v>
      </c>
      <c r="AC92" s="70">
        <f t="shared" si="71"/>
        <v>558.70000000000005</v>
      </c>
      <c r="AD92" s="70">
        <f t="shared" si="71"/>
        <v>562.79999999999995</v>
      </c>
      <c r="AE92" s="70">
        <f t="shared" si="71"/>
        <v>597</v>
      </c>
      <c r="AF92" s="70">
        <f t="shared" si="71"/>
        <v>618.29999999999995</v>
      </c>
      <c r="AG92" s="100">
        <f>SUM(AG81:AG91)</f>
        <v>0</v>
      </c>
      <c r="AH92" s="48">
        <f t="shared" si="68"/>
        <v>731.5</v>
      </c>
      <c r="AI92" s="49">
        <f t="shared" si="69"/>
        <v>0</v>
      </c>
      <c r="AK92" s="98"/>
      <c r="AL92" s="89"/>
      <c r="AM92" s="101"/>
      <c r="AN92" s="202"/>
      <c r="AY92" s="81"/>
      <c r="BF92" s="81"/>
      <c r="BG92" s="81">
        <v>47.4</v>
      </c>
      <c r="BH92" s="81">
        <v>0</v>
      </c>
      <c r="BI92" s="81">
        <v>341</v>
      </c>
      <c r="BJ92" s="81">
        <v>3</v>
      </c>
      <c r="BK92" s="81">
        <v>30</v>
      </c>
      <c r="BL92" s="81">
        <v>70</v>
      </c>
    </row>
    <row r="93" spans="1:64" x14ac:dyDescent="0.25">
      <c r="A93" s="45" t="s">
        <v>119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68"/>
        <v>0</v>
      </c>
      <c r="AI93" s="49">
        <f t="shared" si="69"/>
        <v>0</v>
      </c>
      <c r="AK93" s="98"/>
      <c r="AL93" s="89"/>
      <c r="AM93" s="89"/>
      <c r="AN93" s="203"/>
      <c r="BF93" s="81"/>
      <c r="BG93" s="81">
        <v>0</v>
      </c>
      <c r="BH93" s="81">
        <v>0</v>
      </c>
      <c r="BI93" s="81">
        <v>0</v>
      </c>
      <c r="BJ93" s="81">
        <v>0</v>
      </c>
      <c r="BK93" s="81">
        <v>0</v>
      </c>
      <c r="BL93" s="81">
        <v>0</v>
      </c>
    </row>
    <row r="94" spans="1:64" ht="15.75" thickBot="1" x14ac:dyDescent="0.3">
      <c r="A94" s="64" t="s">
        <v>120</v>
      </c>
      <c r="B94" s="89">
        <v>0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68"/>
        <v>0</v>
      </c>
      <c r="AI94" s="49">
        <f t="shared" si="69"/>
        <v>0</v>
      </c>
      <c r="AK94" s="103"/>
      <c r="AL94" s="104"/>
      <c r="AM94" s="104"/>
      <c r="AN94" s="105"/>
      <c r="BF94" s="81"/>
      <c r="BG94" s="81">
        <v>38</v>
      </c>
      <c r="BH94" s="81">
        <v>0</v>
      </c>
      <c r="BI94" s="81">
        <v>413</v>
      </c>
      <c r="BJ94" s="81">
        <v>5</v>
      </c>
      <c r="BK94" s="81">
        <v>35</v>
      </c>
      <c r="BL94" s="81">
        <v>72</v>
      </c>
    </row>
    <row r="95" spans="1:64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0</v>
      </c>
      <c r="Y95" s="106">
        <v>0</v>
      </c>
      <c r="Z95" s="106">
        <v>0</v>
      </c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68"/>
        <v>0</v>
      </c>
      <c r="AI95" s="49">
        <f t="shared" si="69"/>
        <v>0</v>
      </c>
      <c r="BF95" s="81"/>
      <c r="BG95" s="81">
        <v>48.9</v>
      </c>
      <c r="BH95" s="81">
        <v>0</v>
      </c>
      <c r="BI95" s="81">
        <v>400</v>
      </c>
      <c r="BJ95" s="81">
        <v>48.2</v>
      </c>
      <c r="BK95" s="81">
        <v>118.7</v>
      </c>
      <c r="BL95" s="81">
        <v>69</v>
      </c>
    </row>
    <row r="96" spans="1:64" ht="15.75" thickBot="1" x14ac:dyDescent="0.3">
      <c r="A96" s="86" t="s">
        <v>122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100">
        <f>SUM(AG93:AG95)</f>
        <v>55.4</v>
      </c>
      <c r="AH96" s="48">
        <f t="shared" si="68"/>
        <v>0</v>
      </c>
      <c r="AI96" s="49">
        <f t="shared" si="69"/>
        <v>0</v>
      </c>
      <c r="BF96" s="81"/>
      <c r="BG96" s="81">
        <v>63.7</v>
      </c>
      <c r="BH96" s="81">
        <v>0</v>
      </c>
      <c r="BI96" s="81">
        <v>429</v>
      </c>
      <c r="BJ96" s="81">
        <v>55.1</v>
      </c>
      <c r="BK96" s="81">
        <v>93.9</v>
      </c>
      <c r="BL96" s="81">
        <v>79</v>
      </c>
    </row>
    <row r="97" spans="1:64" ht="15.75" thickBot="1" x14ac:dyDescent="0.3">
      <c r="A97" s="86" t="s">
        <v>123</v>
      </c>
      <c r="B97" s="107">
        <f t="shared" ref="B97:C97" si="78">B58+B62+B80+B76+B92+B96</f>
        <v>1159.49</v>
      </c>
      <c r="C97" s="107">
        <f t="shared" si="78"/>
        <v>1171.49</v>
      </c>
      <c r="D97" s="107">
        <f t="shared" ref="D97:AG97" si="79">D58+D62+D80+D76+D92+D96</f>
        <v>1115.19</v>
      </c>
      <c r="E97" s="107">
        <f t="shared" si="79"/>
        <v>1136.22</v>
      </c>
      <c r="F97" s="107">
        <f t="shared" si="79"/>
        <v>1164.8899999999999</v>
      </c>
      <c r="G97" s="107">
        <f t="shared" si="79"/>
        <v>1175.3900000000001</v>
      </c>
      <c r="H97" s="107">
        <f t="shared" si="79"/>
        <v>1182.8899999999999</v>
      </c>
      <c r="I97" s="107">
        <f t="shared" si="79"/>
        <v>1313.19</v>
      </c>
      <c r="J97" s="107">
        <f t="shared" si="79"/>
        <v>1448.3899999999999</v>
      </c>
      <c r="K97" s="107">
        <f t="shared" si="79"/>
        <v>1473.99</v>
      </c>
      <c r="L97" s="107">
        <f t="shared" ref="L97" si="80">L58+L62+L80+L76+L92+L96</f>
        <v>1503.3899999999999</v>
      </c>
      <c r="M97" s="107">
        <f t="shared" si="79"/>
        <v>1442.99</v>
      </c>
      <c r="N97" s="107">
        <f t="shared" si="79"/>
        <v>1335.59</v>
      </c>
      <c r="O97" s="107">
        <f t="shared" si="79"/>
        <v>839.18999999999994</v>
      </c>
      <c r="P97" s="107">
        <f t="shared" si="79"/>
        <v>1301.49</v>
      </c>
      <c r="Q97" s="107">
        <f t="shared" si="79"/>
        <v>1462.99</v>
      </c>
      <c r="R97" s="107">
        <f t="shared" si="79"/>
        <v>1459.19</v>
      </c>
      <c r="S97" s="107">
        <f t="shared" ref="S97:T97" si="81">S58+S62+S80+S76+S92+S96</f>
        <v>1422.3899999999999</v>
      </c>
      <c r="T97" s="107">
        <f t="shared" si="81"/>
        <v>1426.99</v>
      </c>
      <c r="U97" s="107">
        <f t="shared" ref="U97:V97" si="82">U58+U62+U80+U76+U92+U96</f>
        <v>1490.79</v>
      </c>
      <c r="V97" s="107">
        <f t="shared" si="82"/>
        <v>1477.8899999999999</v>
      </c>
      <c r="W97" s="107">
        <f t="shared" ref="W97:X97" si="83">W58+W62+W80+W76+W92+W96</f>
        <v>1414.8899999999999</v>
      </c>
      <c r="X97" s="107">
        <f t="shared" si="83"/>
        <v>1450.99</v>
      </c>
      <c r="Y97" s="107">
        <f t="shared" ref="Y97:Z97" si="84">Y58+Y62+Y80+Y76+Y92+Y96</f>
        <v>1592.99</v>
      </c>
      <c r="Z97" s="107">
        <f t="shared" si="84"/>
        <v>1605.0900000000001</v>
      </c>
      <c r="AA97" s="107">
        <f t="shared" ref="AA97" si="85">AA58+AA62+AA80+AA76+AA92+AA96</f>
        <v>1513.89</v>
      </c>
      <c r="AB97" s="107">
        <f t="shared" si="79"/>
        <v>1490.0900000000001</v>
      </c>
      <c r="AC97" s="107">
        <f t="shared" si="79"/>
        <v>1545.79</v>
      </c>
      <c r="AD97" s="107">
        <f t="shared" si="79"/>
        <v>1385.8899999999999</v>
      </c>
      <c r="AE97" s="107">
        <f t="shared" si="79"/>
        <v>1330.0900000000001</v>
      </c>
      <c r="AF97" s="107">
        <f t="shared" si="79"/>
        <v>1234.3899999999999</v>
      </c>
      <c r="AG97" s="71">
        <f t="shared" si="79"/>
        <v>2231.81</v>
      </c>
      <c r="AH97" s="48">
        <f t="shared" si="68"/>
        <v>1605.0900000000001</v>
      </c>
      <c r="AI97" s="49">
        <f t="shared" si="69"/>
        <v>839.18999999999994</v>
      </c>
      <c r="BF97" s="81"/>
      <c r="BG97" s="81">
        <v>47.1</v>
      </c>
      <c r="BH97" s="81">
        <v>0</v>
      </c>
      <c r="BI97" s="81">
        <v>448.9</v>
      </c>
      <c r="BJ97" s="81">
        <v>48.7</v>
      </c>
      <c r="BK97" s="81">
        <v>103.4</v>
      </c>
      <c r="BL97" s="81">
        <v>73.3</v>
      </c>
    </row>
    <row r="98" spans="1:64" ht="15.75" thickBot="1" x14ac:dyDescent="0.3">
      <c r="A98" s="108" t="s">
        <v>124</v>
      </c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>
        <v>150</v>
      </c>
      <c r="N98" s="109">
        <v>150</v>
      </c>
      <c r="O98" s="109">
        <v>150</v>
      </c>
      <c r="P98" s="109"/>
      <c r="Q98" s="109"/>
      <c r="R98" s="109"/>
      <c r="S98" s="109"/>
      <c r="T98" s="109"/>
      <c r="U98" s="109"/>
      <c r="V98" s="109"/>
      <c r="W98" s="109">
        <v>75</v>
      </c>
      <c r="X98" s="109">
        <v>150</v>
      </c>
      <c r="Y98" s="109">
        <v>150</v>
      </c>
      <c r="Z98" s="109">
        <v>150</v>
      </c>
      <c r="AA98" s="109">
        <v>150</v>
      </c>
      <c r="AB98" s="109">
        <v>150</v>
      </c>
      <c r="AC98" s="109">
        <v>100</v>
      </c>
      <c r="AD98" s="109"/>
      <c r="AE98" s="109"/>
      <c r="AF98" s="109"/>
      <c r="AG98" s="100"/>
      <c r="AH98" s="48">
        <f t="shared" si="68"/>
        <v>150</v>
      </c>
      <c r="AI98" s="49">
        <f t="shared" si="69"/>
        <v>75</v>
      </c>
      <c r="BF98" s="81"/>
      <c r="BG98" s="81">
        <v>44.1</v>
      </c>
      <c r="BH98" s="81">
        <v>0</v>
      </c>
      <c r="BI98" s="81">
        <v>427</v>
      </c>
      <c r="BJ98" s="81">
        <v>51.4</v>
      </c>
      <c r="BK98" s="81">
        <v>111.2</v>
      </c>
      <c r="BL98" s="81">
        <v>76.3</v>
      </c>
    </row>
    <row r="99" spans="1:64" ht="15.75" thickBot="1" x14ac:dyDescent="0.3">
      <c r="A99" s="86" t="s">
        <v>125</v>
      </c>
      <c r="B99" s="107">
        <f t="shared" ref="B99:C99" si="86">B97+B98</f>
        <v>1159.49</v>
      </c>
      <c r="C99" s="107">
        <f t="shared" si="86"/>
        <v>1171.49</v>
      </c>
      <c r="D99" s="107">
        <f t="shared" ref="D99:AF99" si="87">D97+D98</f>
        <v>1115.19</v>
      </c>
      <c r="E99" s="107">
        <f t="shared" si="87"/>
        <v>1136.22</v>
      </c>
      <c r="F99" s="107">
        <f t="shared" si="87"/>
        <v>1164.8899999999999</v>
      </c>
      <c r="G99" s="107">
        <f t="shared" si="87"/>
        <v>1175.3900000000001</v>
      </c>
      <c r="H99" s="107">
        <f t="shared" si="87"/>
        <v>1182.8899999999999</v>
      </c>
      <c r="I99" s="107">
        <f t="shared" si="87"/>
        <v>1313.19</v>
      </c>
      <c r="J99" s="107">
        <f t="shared" si="87"/>
        <v>1448.3899999999999</v>
      </c>
      <c r="K99" s="107">
        <f t="shared" si="87"/>
        <v>1473.99</v>
      </c>
      <c r="L99" s="107">
        <f t="shared" ref="L99" si="88">L97+L98</f>
        <v>1503.3899999999999</v>
      </c>
      <c r="M99" s="107">
        <f t="shared" si="87"/>
        <v>1592.99</v>
      </c>
      <c r="N99" s="107">
        <f t="shared" si="87"/>
        <v>1485.59</v>
      </c>
      <c r="O99" s="107">
        <f t="shared" si="87"/>
        <v>989.18999999999994</v>
      </c>
      <c r="P99" s="107">
        <f t="shared" si="87"/>
        <v>1301.49</v>
      </c>
      <c r="Q99" s="107">
        <f t="shared" si="87"/>
        <v>1462.99</v>
      </c>
      <c r="R99" s="107">
        <f t="shared" si="87"/>
        <v>1459.19</v>
      </c>
      <c r="S99" s="107">
        <f t="shared" ref="S99:T99" si="89">S97+S98</f>
        <v>1422.3899999999999</v>
      </c>
      <c r="T99" s="107">
        <f t="shared" si="89"/>
        <v>1426.99</v>
      </c>
      <c r="U99" s="107">
        <f t="shared" ref="U99:V99" si="90">U97+U98</f>
        <v>1490.79</v>
      </c>
      <c r="V99" s="107">
        <f t="shared" si="90"/>
        <v>1477.8899999999999</v>
      </c>
      <c r="W99" s="107">
        <f t="shared" ref="W99:X99" si="91">W97+W98</f>
        <v>1489.8899999999999</v>
      </c>
      <c r="X99" s="107">
        <f t="shared" si="91"/>
        <v>1600.99</v>
      </c>
      <c r="Y99" s="107">
        <f t="shared" ref="Y99:Z99" si="92">Y97+Y98</f>
        <v>1742.99</v>
      </c>
      <c r="Z99" s="107">
        <f t="shared" si="92"/>
        <v>1755.0900000000001</v>
      </c>
      <c r="AA99" s="107">
        <f t="shared" ref="AA99" si="93">AA97+AA98</f>
        <v>1663.89</v>
      </c>
      <c r="AB99" s="107">
        <f t="shared" si="87"/>
        <v>1640.0900000000001</v>
      </c>
      <c r="AC99" s="107">
        <f t="shared" si="87"/>
        <v>1645.79</v>
      </c>
      <c r="AD99" s="107">
        <f t="shared" si="87"/>
        <v>1385.8899999999999</v>
      </c>
      <c r="AE99" s="107">
        <f t="shared" si="87"/>
        <v>1330.0900000000001</v>
      </c>
      <c r="AF99" s="107">
        <f t="shared" si="87"/>
        <v>1234.3899999999999</v>
      </c>
      <c r="AG99" s="100">
        <f>AG96+AG92+AG80+AG76+AG58+AG98</f>
        <v>1693.71</v>
      </c>
      <c r="AH99" s="48">
        <f t="shared" si="68"/>
        <v>1755.0900000000001</v>
      </c>
      <c r="AI99" s="49">
        <f t="shared" si="69"/>
        <v>989.18999999999994</v>
      </c>
      <c r="BF99" s="81"/>
      <c r="BG99" s="81">
        <v>52.4</v>
      </c>
      <c r="BH99" s="81">
        <v>0</v>
      </c>
      <c r="BI99" s="81">
        <v>440.5</v>
      </c>
      <c r="BJ99" s="81">
        <v>47.3</v>
      </c>
      <c r="BK99" s="81">
        <v>110.6</v>
      </c>
      <c r="BL99" s="81">
        <v>80.7</v>
      </c>
    </row>
    <row r="100" spans="1:64" ht="15.75" thickBot="1" x14ac:dyDescent="0.3">
      <c r="A100" s="86" t="s">
        <v>126</v>
      </c>
      <c r="B100" s="107">
        <f t="shared" ref="B100:C100" si="94">B99-(B107)</f>
        <v>1159.49</v>
      </c>
      <c r="C100" s="107">
        <f t="shared" si="94"/>
        <v>1171.49</v>
      </c>
      <c r="D100" s="107">
        <f t="shared" ref="D100:M100" si="95">D99-(D107)</f>
        <v>1115.19</v>
      </c>
      <c r="E100" s="107">
        <f t="shared" si="95"/>
        <v>1136.22</v>
      </c>
      <c r="F100" s="107">
        <f t="shared" si="95"/>
        <v>1164.8899999999999</v>
      </c>
      <c r="G100" s="107">
        <f t="shared" si="95"/>
        <v>1175.3900000000001</v>
      </c>
      <c r="H100" s="107">
        <f t="shared" si="95"/>
        <v>1182.8899999999999</v>
      </c>
      <c r="I100" s="107">
        <f t="shared" si="95"/>
        <v>1313.19</v>
      </c>
      <c r="J100" s="107">
        <f t="shared" si="95"/>
        <v>1448.3899999999999</v>
      </c>
      <c r="K100" s="107">
        <f t="shared" si="95"/>
        <v>1473.99</v>
      </c>
      <c r="L100" s="107">
        <f t="shared" ref="L100" si="96">L99-(L107)</f>
        <v>1502.3899999999999</v>
      </c>
      <c r="M100" s="107">
        <f t="shared" si="95"/>
        <v>1592.99</v>
      </c>
      <c r="N100" s="107">
        <f>N99-(N107)</f>
        <v>1485.59</v>
      </c>
      <c r="O100" s="107">
        <f t="shared" ref="O100:AF100" si="97">O99-(O107)</f>
        <v>989.18999999999994</v>
      </c>
      <c r="P100" s="107">
        <f t="shared" si="97"/>
        <v>1301.49</v>
      </c>
      <c r="Q100" s="107">
        <f t="shared" si="97"/>
        <v>1462.99</v>
      </c>
      <c r="R100" s="107">
        <f t="shared" si="97"/>
        <v>1459.19</v>
      </c>
      <c r="S100" s="107">
        <f t="shared" ref="S100:T100" si="98">S99-(S107)</f>
        <v>1422.3899999999999</v>
      </c>
      <c r="T100" s="107">
        <f t="shared" si="98"/>
        <v>1426.99</v>
      </c>
      <c r="U100" s="107">
        <f t="shared" ref="U100:V100" si="99">U99-(U107)</f>
        <v>1490.79</v>
      </c>
      <c r="V100" s="107">
        <f t="shared" si="99"/>
        <v>1477.8899999999999</v>
      </c>
      <c r="W100" s="107">
        <f t="shared" ref="W100:X100" si="100">W99-(W107)</f>
        <v>1489.8899999999999</v>
      </c>
      <c r="X100" s="107">
        <f t="shared" si="100"/>
        <v>1600.99</v>
      </c>
      <c r="Y100" s="107">
        <f t="shared" ref="Y100:Z100" si="101">Y99-(Y107)</f>
        <v>1742.99</v>
      </c>
      <c r="Z100" s="107">
        <f t="shared" si="101"/>
        <v>1755.0900000000001</v>
      </c>
      <c r="AA100" s="107">
        <f t="shared" ref="AA100" si="102">AA99-(AA107)</f>
        <v>1663.89</v>
      </c>
      <c r="AB100" s="107">
        <f t="shared" si="97"/>
        <v>1640.0900000000001</v>
      </c>
      <c r="AC100" s="107">
        <f t="shared" si="97"/>
        <v>1645.79</v>
      </c>
      <c r="AD100" s="107">
        <f t="shared" si="97"/>
        <v>1385.8899999999999</v>
      </c>
      <c r="AE100" s="107">
        <f t="shared" si="97"/>
        <v>1330.0900000000001</v>
      </c>
      <c r="AF100" s="107">
        <f t="shared" si="97"/>
        <v>1234.3899999999999</v>
      </c>
      <c r="AG100" s="100"/>
      <c r="AH100" s="48">
        <f t="shared" si="68"/>
        <v>1755.0900000000001</v>
      </c>
      <c r="AI100" s="49">
        <f t="shared" si="69"/>
        <v>989.18999999999994</v>
      </c>
      <c r="BF100" s="81"/>
      <c r="BG100" s="81">
        <v>59.9</v>
      </c>
      <c r="BH100" s="81">
        <v>0</v>
      </c>
      <c r="BI100" s="81">
        <v>433.1</v>
      </c>
      <c r="BJ100" s="81">
        <v>43.1</v>
      </c>
      <c r="BK100" s="81">
        <v>115.1</v>
      </c>
      <c r="BL100" s="81">
        <v>71.3</v>
      </c>
    </row>
    <row r="101" spans="1:64" x14ac:dyDescent="0.25">
      <c r="A101" s="45" t="s">
        <v>107</v>
      </c>
      <c r="B101" s="88">
        <f t="shared" ref="B101:C101" si="103">IF(B84&lt;0,B84*-1,0)</f>
        <v>0</v>
      </c>
      <c r="C101" s="88">
        <f t="shared" si="103"/>
        <v>0</v>
      </c>
      <c r="D101" s="88">
        <f t="shared" ref="D101:AF101" si="104">IF(D84&lt;0,D84*-1,0)</f>
        <v>0</v>
      </c>
      <c r="E101" s="88">
        <f t="shared" si="104"/>
        <v>0</v>
      </c>
      <c r="F101" s="88">
        <f t="shared" si="104"/>
        <v>0</v>
      </c>
      <c r="G101" s="88">
        <f t="shared" si="104"/>
        <v>0</v>
      </c>
      <c r="H101" s="88">
        <f t="shared" si="104"/>
        <v>0</v>
      </c>
      <c r="I101" s="88">
        <f t="shared" si="104"/>
        <v>0</v>
      </c>
      <c r="J101" s="88">
        <f t="shared" si="104"/>
        <v>0</v>
      </c>
      <c r="K101" s="88">
        <f t="shared" si="104"/>
        <v>0</v>
      </c>
      <c r="L101" s="88">
        <f t="shared" ref="L101" si="105">IF(L84&lt;0,L84*-1,0)</f>
        <v>0</v>
      </c>
      <c r="M101" s="88">
        <f t="shared" si="104"/>
        <v>0</v>
      </c>
      <c r="N101" s="88">
        <f t="shared" si="104"/>
        <v>0</v>
      </c>
      <c r="O101" s="88">
        <f t="shared" si="104"/>
        <v>0</v>
      </c>
      <c r="P101" s="88">
        <f t="shared" si="104"/>
        <v>0</v>
      </c>
      <c r="Q101" s="88">
        <f t="shared" si="104"/>
        <v>0</v>
      </c>
      <c r="R101" s="88">
        <f t="shared" si="104"/>
        <v>0</v>
      </c>
      <c r="S101" s="88">
        <f t="shared" ref="S101:T101" si="106">IF(S84&lt;0,S84*-1,0)</f>
        <v>0</v>
      </c>
      <c r="T101" s="88">
        <f t="shared" si="106"/>
        <v>0</v>
      </c>
      <c r="U101" s="88">
        <f t="shared" ref="U101:V101" si="107">IF(U84&lt;0,U84*-1,0)</f>
        <v>0</v>
      </c>
      <c r="V101" s="88">
        <f t="shared" si="107"/>
        <v>0</v>
      </c>
      <c r="W101" s="88">
        <f t="shared" ref="W101:X101" si="108">IF(W84&lt;0,W84*-1,0)</f>
        <v>0</v>
      </c>
      <c r="X101" s="88">
        <f t="shared" si="108"/>
        <v>0</v>
      </c>
      <c r="Y101" s="88">
        <f t="shared" ref="Y101:Z101" si="109">IF(Y84&lt;0,Y84*-1,0)</f>
        <v>0</v>
      </c>
      <c r="Z101" s="88">
        <f t="shared" si="109"/>
        <v>0</v>
      </c>
      <c r="AA101" s="88">
        <f t="shared" ref="AA101" si="110">IF(AA84&lt;0,AA84*-1,0)</f>
        <v>0</v>
      </c>
      <c r="AB101" s="88">
        <f t="shared" si="104"/>
        <v>0</v>
      </c>
      <c r="AC101" s="88">
        <f t="shared" si="104"/>
        <v>0</v>
      </c>
      <c r="AD101" s="88">
        <f t="shared" si="104"/>
        <v>0</v>
      </c>
      <c r="AE101" s="88">
        <f t="shared" si="104"/>
        <v>0</v>
      </c>
      <c r="AF101" s="88">
        <f t="shared" si="104"/>
        <v>0</v>
      </c>
      <c r="AG101" s="60"/>
      <c r="AH101" s="48">
        <f t="shared" si="68"/>
        <v>0</v>
      </c>
      <c r="AI101" s="49">
        <f t="shared" si="69"/>
        <v>0</v>
      </c>
      <c r="BF101" s="80"/>
      <c r="BG101" s="81">
        <v>48.3</v>
      </c>
      <c r="BH101" s="81">
        <v>0</v>
      </c>
      <c r="BI101" s="81">
        <v>338.9</v>
      </c>
      <c r="BJ101" s="81">
        <v>32.4</v>
      </c>
      <c r="BK101" s="81">
        <v>103.6</v>
      </c>
      <c r="BL101" s="81">
        <v>70</v>
      </c>
    </row>
    <row r="102" spans="1:64" x14ac:dyDescent="0.25">
      <c r="A102" s="64" t="s">
        <v>105</v>
      </c>
      <c r="B102" s="88">
        <f t="shared" ref="B102:C102" si="111">IF(B82&lt;0,B82*-1,0)</f>
        <v>0</v>
      </c>
      <c r="C102" s="88">
        <f t="shared" si="111"/>
        <v>0</v>
      </c>
      <c r="D102" s="88">
        <f t="shared" ref="D102:AF102" si="112">IF(D82&lt;0,D82*-1,0)</f>
        <v>0</v>
      </c>
      <c r="E102" s="88">
        <f t="shared" si="112"/>
        <v>0</v>
      </c>
      <c r="F102" s="88">
        <f t="shared" si="112"/>
        <v>0</v>
      </c>
      <c r="G102" s="88">
        <f t="shared" si="112"/>
        <v>0</v>
      </c>
      <c r="H102" s="88">
        <f t="shared" si="112"/>
        <v>0</v>
      </c>
      <c r="I102" s="88">
        <f t="shared" si="112"/>
        <v>0</v>
      </c>
      <c r="J102" s="88">
        <f t="shared" si="112"/>
        <v>0</v>
      </c>
      <c r="K102" s="88">
        <f t="shared" si="112"/>
        <v>0</v>
      </c>
      <c r="L102" s="88">
        <f t="shared" ref="L102" si="113">IF(L82&lt;0,L82*-1,0)</f>
        <v>0</v>
      </c>
      <c r="M102" s="88">
        <f t="shared" si="112"/>
        <v>0</v>
      </c>
      <c r="N102" s="88">
        <f t="shared" si="112"/>
        <v>0</v>
      </c>
      <c r="O102" s="88">
        <f t="shared" si="112"/>
        <v>0</v>
      </c>
      <c r="P102" s="88">
        <f t="shared" si="112"/>
        <v>0</v>
      </c>
      <c r="Q102" s="88">
        <f t="shared" si="112"/>
        <v>0</v>
      </c>
      <c r="R102" s="88">
        <f t="shared" si="112"/>
        <v>0</v>
      </c>
      <c r="S102" s="88">
        <f t="shared" ref="S102:T102" si="114">IF(S82&lt;0,S82*-1,0)</f>
        <v>0</v>
      </c>
      <c r="T102" s="88">
        <f t="shared" si="114"/>
        <v>0</v>
      </c>
      <c r="U102" s="88">
        <f t="shared" ref="U102:V102" si="115">IF(U82&lt;0,U82*-1,0)</f>
        <v>0</v>
      </c>
      <c r="V102" s="88">
        <f t="shared" si="115"/>
        <v>0</v>
      </c>
      <c r="W102" s="88">
        <f t="shared" ref="W102:X102" si="116">IF(W82&lt;0,W82*-1,0)</f>
        <v>0</v>
      </c>
      <c r="X102" s="88">
        <f t="shared" si="116"/>
        <v>0</v>
      </c>
      <c r="Y102" s="88">
        <f t="shared" ref="Y102:Z102" si="117">IF(Y82&lt;0,Y82*-1,0)</f>
        <v>0</v>
      </c>
      <c r="Z102" s="88">
        <f t="shared" si="117"/>
        <v>0</v>
      </c>
      <c r="AA102" s="88">
        <f t="shared" ref="AA102" si="118">IF(AA82&lt;0,AA82*-1,0)</f>
        <v>0</v>
      </c>
      <c r="AB102" s="88">
        <f t="shared" si="112"/>
        <v>0</v>
      </c>
      <c r="AC102" s="88">
        <f t="shared" si="112"/>
        <v>0</v>
      </c>
      <c r="AD102" s="88">
        <f t="shared" si="112"/>
        <v>0</v>
      </c>
      <c r="AE102" s="88">
        <f t="shared" si="112"/>
        <v>0</v>
      </c>
      <c r="AF102" s="88">
        <f t="shared" si="112"/>
        <v>0</v>
      </c>
      <c r="AG102" s="65"/>
      <c r="AH102" s="48">
        <f t="shared" si="68"/>
        <v>0</v>
      </c>
      <c r="AI102" s="49">
        <f t="shared" si="69"/>
        <v>0</v>
      </c>
      <c r="BF102" s="80"/>
      <c r="BG102" s="81">
        <v>59.3</v>
      </c>
      <c r="BH102" s="81">
        <v>0</v>
      </c>
      <c r="BI102" s="81">
        <v>241.9</v>
      </c>
      <c r="BJ102" s="81">
        <v>44.5</v>
      </c>
      <c r="BK102" s="81">
        <v>116.6</v>
      </c>
      <c r="BL102" s="81">
        <v>82.2</v>
      </c>
    </row>
    <row r="103" spans="1:64" x14ac:dyDescent="0.25">
      <c r="A103" s="96" t="s">
        <v>127</v>
      </c>
      <c r="B103" s="88">
        <f t="shared" ref="B103:C103" si="119">IF(B85&lt;0,B85*-1,0)</f>
        <v>0</v>
      </c>
      <c r="C103" s="88">
        <f t="shared" si="119"/>
        <v>0</v>
      </c>
      <c r="D103" s="88">
        <f t="shared" ref="D103:AF103" si="120">IF(D85&lt;0,D85*-1,0)</f>
        <v>0</v>
      </c>
      <c r="E103" s="88">
        <f t="shared" si="120"/>
        <v>0</v>
      </c>
      <c r="F103" s="88">
        <f t="shared" si="120"/>
        <v>0</v>
      </c>
      <c r="G103" s="88">
        <f t="shared" si="120"/>
        <v>0</v>
      </c>
      <c r="H103" s="88">
        <f t="shared" si="120"/>
        <v>0</v>
      </c>
      <c r="I103" s="88">
        <f t="shared" si="120"/>
        <v>0</v>
      </c>
      <c r="J103" s="88">
        <f t="shared" si="120"/>
        <v>0</v>
      </c>
      <c r="K103" s="88">
        <f t="shared" si="120"/>
        <v>0</v>
      </c>
      <c r="L103" s="88">
        <f t="shared" ref="L103" si="121">IF(L85&lt;0,L85*-1,0)</f>
        <v>0</v>
      </c>
      <c r="M103" s="88">
        <f t="shared" si="120"/>
        <v>0</v>
      </c>
      <c r="N103" s="88">
        <f t="shared" si="120"/>
        <v>0</v>
      </c>
      <c r="O103" s="88">
        <f t="shared" si="120"/>
        <v>0</v>
      </c>
      <c r="P103" s="88">
        <f t="shared" si="120"/>
        <v>0</v>
      </c>
      <c r="Q103" s="88">
        <f t="shared" si="120"/>
        <v>0</v>
      </c>
      <c r="R103" s="88">
        <f t="shared" si="120"/>
        <v>0</v>
      </c>
      <c r="S103" s="88">
        <f t="shared" ref="S103:T103" si="122">IF(S85&lt;0,S85*-1,0)</f>
        <v>0</v>
      </c>
      <c r="T103" s="88">
        <f t="shared" si="122"/>
        <v>0</v>
      </c>
      <c r="U103" s="88">
        <f t="shared" ref="U103:V103" si="123">IF(U85&lt;0,U85*-1,0)</f>
        <v>0</v>
      </c>
      <c r="V103" s="88">
        <f t="shared" si="123"/>
        <v>0</v>
      </c>
      <c r="W103" s="88">
        <f t="shared" ref="W103:X103" si="124">IF(W85&lt;0,W85*-1,0)</f>
        <v>0</v>
      </c>
      <c r="X103" s="88">
        <f t="shared" si="124"/>
        <v>0</v>
      </c>
      <c r="Y103" s="88">
        <f t="shared" ref="Y103:Z103" si="125">IF(Y85&lt;0,Y85*-1,0)</f>
        <v>0</v>
      </c>
      <c r="Z103" s="88">
        <f t="shared" si="125"/>
        <v>0</v>
      </c>
      <c r="AA103" s="88">
        <f t="shared" ref="AA103" si="126">IF(AA85&lt;0,AA85*-1,0)</f>
        <v>0</v>
      </c>
      <c r="AB103" s="88">
        <f t="shared" si="120"/>
        <v>0</v>
      </c>
      <c r="AC103" s="88">
        <f t="shared" si="120"/>
        <v>0</v>
      </c>
      <c r="AD103" s="88">
        <f t="shared" si="120"/>
        <v>0</v>
      </c>
      <c r="AE103" s="88">
        <f t="shared" si="120"/>
        <v>0</v>
      </c>
      <c r="AF103" s="88">
        <f t="shared" si="120"/>
        <v>0</v>
      </c>
      <c r="AG103" s="110"/>
      <c r="AH103" s="48">
        <f t="shared" si="68"/>
        <v>0</v>
      </c>
      <c r="AI103" s="49">
        <f t="shared" si="69"/>
        <v>0</v>
      </c>
      <c r="BF103" s="80"/>
      <c r="BG103" s="81">
        <v>60.9</v>
      </c>
      <c r="BH103" s="81">
        <v>0</v>
      </c>
      <c r="BI103" s="81">
        <v>254.9</v>
      </c>
      <c r="BJ103" s="81">
        <v>39.299999999999997</v>
      </c>
      <c r="BK103" s="81">
        <v>108.5</v>
      </c>
      <c r="BL103" s="81">
        <v>0</v>
      </c>
    </row>
    <row r="104" spans="1:64" x14ac:dyDescent="0.25">
      <c r="A104" s="96" t="s">
        <v>128</v>
      </c>
      <c r="B104" s="88">
        <f t="shared" ref="B104:C104" si="127">IF(B83&lt;0,B83*-1,0)</f>
        <v>0</v>
      </c>
      <c r="C104" s="88">
        <f t="shared" si="127"/>
        <v>0</v>
      </c>
      <c r="D104" s="88">
        <f t="shared" ref="D104:AF104" si="128">IF(D83&lt;0,D83*-1,0)</f>
        <v>0</v>
      </c>
      <c r="E104" s="88">
        <f t="shared" si="128"/>
        <v>0</v>
      </c>
      <c r="F104" s="88">
        <f t="shared" si="128"/>
        <v>0</v>
      </c>
      <c r="G104" s="88">
        <f t="shared" si="128"/>
        <v>0</v>
      </c>
      <c r="H104" s="88">
        <f t="shared" si="128"/>
        <v>0</v>
      </c>
      <c r="I104" s="88">
        <f t="shared" si="128"/>
        <v>0</v>
      </c>
      <c r="J104" s="88">
        <f t="shared" si="128"/>
        <v>0</v>
      </c>
      <c r="K104" s="88">
        <f t="shared" si="128"/>
        <v>0</v>
      </c>
      <c r="L104" s="88">
        <f t="shared" ref="L104" si="129">IF(L83&lt;0,L83*-1,0)</f>
        <v>0</v>
      </c>
      <c r="M104" s="88">
        <f t="shared" si="128"/>
        <v>0</v>
      </c>
      <c r="N104" s="88">
        <f t="shared" si="128"/>
        <v>0</v>
      </c>
      <c r="O104" s="88">
        <f t="shared" si="128"/>
        <v>0</v>
      </c>
      <c r="P104" s="88">
        <f t="shared" si="128"/>
        <v>0</v>
      </c>
      <c r="Q104" s="88">
        <f t="shared" si="128"/>
        <v>0</v>
      </c>
      <c r="R104" s="88">
        <f t="shared" si="128"/>
        <v>0</v>
      </c>
      <c r="S104" s="88">
        <f t="shared" ref="S104:T104" si="130">IF(S83&lt;0,S83*-1,0)</f>
        <v>0</v>
      </c>
      <c r="T104" s="88">
        <f t="shared" si="130"/>
        <v>0</v>
      </c>
      <c r="U104" s="88">
        <f t="shared" ref="U104:V104" si="131">IF(U83&lt;0,U83*-1,0)</f>
        <v>0</v>
      </c>
      <c r="V104" s="88">
        <f t="shared" si="131"/>
        <v>0</v>
      </c>
      <c r="W104" s="88">
        <f t="shared" ref="W104:X104" si="132">IF(W83&lt;0,W83*-1,0)</f>
        <v>0</v>
      </c>
      <c r="X104" s="88">
        <f t="shared" si="132"/>
        <v>0</v>
      </c>
      <c r="Y104" s="88">
        <f t="shared" ref="Y104:Z104" si="133">IF(Y83&lt;0,Y83*-1,0)</f>
        <v>0</v>
      </c>
      <c r="Z104" s="88">
        <f t="shared" si="133"/>
        <v>0</v>
      </c>
      <c r="AA104" s="88">
        <f t="shared" ref="AA104" si="134">IF(AA83&lt;0,AA83*-1,0)</f>
        <v>0</v>
      </c>
      <c r="AB104" s="88">
        <f t="shared" si="128"/>
        <v>0</v>
      </c>
      <c r="AC104" s="88">
        <f t="shared" si="128"/>
        <v>0</v>
      </c>
      <c r="AD104" s="88">
        <f t="shared" si="128"/>
        <v>0</v>
      </c>
      <c r="AE104" s="88">
        <f t="shared" si="128"/>
        <v>0</v>
      </c>
      <c r="AF104" s="88">
        <f t="shared" si="128"/>
        <v>0</v>
      </c>
      <c r="AG104" s="110"/>
      <c r="AH104" s="48">
        <f t="shared" si="68"/>
        <v>0</v>
      </c>
      <c r="AI104" s="49">
        <f t="shared" si="69"/>
        <v>0</v>
      </c>
      <c r="BF104" s="80"/>
      <c r="BG104" s="81">
        <v>65</v>
      </c>
      <c r="BH104" s="81">
        <v>0</v>
      </c>
      <c r="BI104" s="81">
        <v>350</v>
      </c>
      <c r="BJ104" s="81">
        <v>39.299999999999997</v>
      </c>
      <c r="BK104" s="81">
        <v>108.5</v>
      </c>
      <c r="BL104" s="81">
        <v>0</v>
      </c>
    </row>
    <row r="105" spans="1:64" x14ac:dyDescent="0.25">
      <c r="A105" s="96" t="s">
        <v>104</v>
      </c>
      <c r="B105" s="88">
        <f t="shared" ref="B105:C105" si="135">IF(B81&lt;0,B81*-1,0)</f>
        <v>0</v>
      </c>
      <c r="C105" s="88">
        <f t="shared" si="135"/>
        <v>0</v>
      </c>
      <c r="D105" s="88">
        <f t="shared" ref="D105:AF105" si="136">IF(D81&lt;0,D81*-1,0)</f>
        <v>0</v>
      </c>
      <c r="E105" s="88">
        <f t="shared" si="136"/>
        <v>0</v>
      </c>
      <c r="F105" s="88">
        <f t="shared" si="136"/>
        <v>0</v>
      </c>
      <c r="G105" s="88">
        <f t="shared" si="136"/>
        <v>0</v>
      </c>
      <c r="H105" s="88">
        <f t="shared" si="136"/>
        <v>0</v>
      </c>
      <c r="I105" s="88">
        <f t="shared" si="136"/>
        <v>0</v>
      </c>
      <c r="J105" s="88">
        <f t="shared" si="136"/>
        <v>0</v>
      </c>
      <c r="K105" s="88">
        <f t="shared" si="136"/>
        <v>0</v>
      </c>
      <c r="L105" s="88">
        <f t="shared" ref="L105" si="137">IF(L81&lt;0,L81*-1,0)</f>
        <v>0</v>
      </c>
      <c r="M105" s="88">
        <f t="shared" si="136"/>
        <v>0</v>
      </c>
      <c r="N105" s="88">
        <f t="shared" si="136"/>
        <v>0</v>
      </c>
      <c r="O105" s="88">
        <f t="shared" si="136"/>
        <v>0</v>
      </c>
      <c r="P105" s="88">
        <f t="shared" si="136"/>
        <v>0</v>
      </c>
      <c r="Q105" s="88">
        <f t="shared" si="136"/>
        <v>0</v>
      </c>
      <c r="R105" s="88">
        <f t="shared" si="136"/>
        <v>0</v>
      </c>
      <c r="S105" s="88">
        <f t="shared" ref="S105:T105" si="138">IF(S81&lt;0,S81*-1,0)</f>
        <v>0</v>
      </c>
      <c r="T105" s="88">
        <f t="shared" si="138"/>
        <v>0</v>
      </c>
      <c r="U105" s="88">
        <f t="shared" ref="U105:V105" si="139">IF(U81&lt;0,U81*-1,0)</f>
        <v>0</v>
      </c>
      <c r="V105" s="88">
        <f t="shared" si="139"/>
        <v>0</v>
      </c>
      <c r="W105" s="88">
        <f t="shared" ref="W105:X105" si="140">IF(W81&lt;0,W81*-1,0)</f>
        <v>0</v>
      </c>
      <c r="X105" s="88">
        <f t="shared" si="140"/>
        <v>0</v>
      </c>
      <c r="Y105" s="88">
        <f t="shared" ref="Y105:Z105" si="141">IF(Y81&lt;0,Y81*-1,0)</f>
        <v>0</v>
      </c>
      <c r="Z105" s="88">
        <f t="shared" si="141"/>
        <v>0</v>
      </c>
      <c r="AA105" s="88">
        <f t="shared" ref="AA105" si="142">IF(AA81&lt;0,AA81*-1,0)</f>
        <v>0</v>
      </c>
      <c r="AB105" s="88">
        <f t="shared" si="136"/>
        <v>0</v>
      </c>
      <c r="AC105" s="88">
        <f t="shared" si="136"/>
        <v>0</v>
      </c>
      <c r="AD105" s="88">
        <f t="shared" si="136"/>
        <v>0</v>
      </c>
      <c r="AE105" s="88">
        <f t="shared" si="136"/>
        <v>0</v>
      </c>
      <c r="AF105" s="88">
        <f t="shared" si="136"/>
        <v>0</v>
      </c>
      <c r="AG105" s="110"/>
      <c r="AH105" s="48">
        <f t="shared" si="68"/>
        <v>0</v>
      </c>
      <c r="AI105" s="49">
        <f t="shared" si="69"/>
        <v>0</v>
      </c>
      <c r="BF105" s="80"/>
      <c r="BG105" s="81">
        <v>57</v>
      </c>
      <c r="BH105" s="81">
        <v>0</v>
      </c>
      <c r="BI105" s="81">
        <v>380</v>
      </c>
      <c r="BJ105" s="81">
        <v>43</v>
      </c>
      <c r="BK105" s="81">
        <v>117</v>
      </c>
      <c r="BL105" s="81">
        <v>0</v>
      </c>
    </row>
    <row r="106" spans="1:64" ht="15.75" thickBot="1" x14ac:dyDescent="0.3">
      <c r="A106" s="96" t="s">
        <v>129</v>
      </c>
      <c r="B106" s="106">
        <v>0</v>
      </c>
      <c r="C106" s="106">
        <v>0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1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0</v>
      </c>
      <c r="Y106" s="106">
        <v>0</v>
      </c>
      <c r="Z106" s="106">
        <v>0</v>
      </c>
      <c r="AA106" s="106">
        <v>0</v>
      </c>
      <c r="AB106" s="106">
        <v>0</v>
      </c>
      <c r="AC106" s="106">
        <v>0</v>
      </c>
      <c r="AD106" s="106">
        <v>0</v>
      </c>
      <c r="AE106" s="106">
        <v>0</v>
      </c>
      <c r="AF106" s="106">
        <v>0</v>
      </c>
      <c r="AG106" s="97"/>
      <c r="AH106" s="48">
        <f t="shared" si="68"/>
        <v>1</v>
      </c>
      <c r="AI106" s="49">
        <f t="shared" si="69"/>
        <v>0</v>
      </c>
      <c r="BG106" s="81">
        <v>59.6</v>
      </c>
      <c r="BH106" s="81">
        <v>0</v>
      </c>
      <c r="BI106" s="81">
        <v>406</v>
      </c>
      <c r="BJ106" s="81">
        <v>43.4</v>
      </c>
      <c r="BK106" s="81">
        <v>109.3</v>
      </c>
      <c r="BL106" s="81">
        <v>0</v>
      </c>
    </row>
    <row r="107" spans="1:64" ht="15.75" thickBot="1" x14ac:dyDescent="0.3">
      <c r="A107" s="111" t="s">
        <v>130</v>
      </c>
      <c r="B107" s="70">
        <v>0</v>
      </c>
      <c r="C107" s="70">
        <v>0</v>
      </c>
      <c r="D107" s="70">
        <f t="shared" ref="D107:AF107" si="143">SUM(D101:D106)</f>
        <v>0</v>
      </c>
      <c r="E107" s="70">
        <f t="shared" si="143"/>
        <v>0</v>
      </c>
      <c r="F107" s="70">
        <f t="shared" si="143"/>
        <v>0</v>
      </c>
      <c r="G107" s="70">
        <f t="shared" si="143"/>
        <v>0</v>
      </c>
      <c r="H107" s="70">
        <f t="shared" si="143"/>
        <v>0</v>
      </c>
      <c r="I107" s="70">
        <f t="shared" si="143"/>
        <v>0</v>
      </c>
      <c r="J107" s="70">
        <f t="shared" si="143"/>
        <v>0</v>
      </c>
      <c r="K107" s="70">
        <f t="shared" si="143"/>
        <v>0</v>
      </c>
      <c r="L107" s="70">
        <f t="shared" ref="L107" si="144">SUM(L101:L106)</f>
        <v>1</v>
      </c>
      <c r="M107" s="70">
        <f t="shared" si="143"/>
        <v>0</v>
      </c>
      <c r="N107" s="70">
        <f t="shared" si="143"/>
        <v>0</v>
      </c>
      <c r="O107" s="70">
        <f t="shared" si="143"/>
        <v>0</v>
      </c>
      <c r="P107" s="70">
        <f t="shared" si="143"/>
        <v>0</v>
      </c>
      <c r="Q107" s="70">
        <f t="shared" si="143"/>
        <v>0</v>
      </c>
      <c r="R107" s="70">
        <f t="shared" si="143"/>
        <v>0</v>
      </c>
      <c r="S107" s="70">
        <f t="shared" ref="S107:T107" si="145">SUM(S101:S106)</f>
        <v>0</v>
      </c>
      <c r="T107" s="70">
        <f t="shared" si="145"/>
        <v>0</v>
      </c>
      <c r="U107" s="70">
        <f t="shared" ref="U107:V107" si="146">SUM(U101:U106)</f>
        <v>0</v>
      </c>
      <c r="V107" s="70">
        <f t="shared" si="146"/>
        <v>0</v>
      </c>
      <c r="W107" s="70">
        <f t="shared" ref="W107:X107" si="147">SUM(W101:W106)</f>
        <v>0</v>
      </c>
      <c r="X107" s="70">
        <f t="shared" si="147"/>
        <v>0</v>
      </c>
      <c r="Y107" s="70">
        <f t="shared" ref="Y107:Z107" si="148">SUM(Y101:Y106)</f>
        <v>0</v>
      </c>
      <c r="Z107" s="70">
        <f t="shared" si="148"/>
        <v>0</v>
      </c>
      <c r="AA107" s="70">
        <f t="shared" ref="AA107" si="149">SUM(AA101:AA106)</f>
        <v>0</v>
      </c>
      <c r="AB107" s="70">
        <f t="shared" si="143"/>
        <v>0</v>
      </c>
      <c r="AC107" s="70">
        <f t="shared" si="143"/>
        <v>0</v>
      </c>
      <c r="AD107" s="70">
        <f t="shared" si="143"/>
        <v>0</v>
      </c>
      <c r="AE107" s="70">
        <f t="shared" si="143"/>
        <v>0</v>
      </c>
      <c r="AF107" s="70">
        <f t="shared" si="143"/>
        <v>0</v>
      </c>
      <c r="AG107" s="100"/>
      <c r="AH107" s="48">
        <f t="shared" si="68"/>
        <v>1</v>
      </c>
      <c r="AI107" s="49">
        <f t="shared" si="69"/>
        <v>0</v>
      </c>
      <c r="AK107" s="51"/>
      <c r="BG107" s="81">
        <v>57</v>
      </c>
      <c r="BH107" s="81">
        <v>0</v>
      </c>
      <c r="BI107" s="81">
        <v>369</v>
      </c>
      <c r="BJ107" s="81">
        <v>38</v>
      </c>
      <c r="BK107" s="81">
        <v>109</v>
      </c>
      <c r="BL107" s="81">
        <v>0</v>
      </c>
    </row>
    <row r="108" spans="1:64" ht="15.75" thickBot="1" x14ac:dyDescent="0.3">
      <c r="A108" s="86" t="s">
        <v>131</v>
      </c>
      <c r="B108" s="70">
        <f t="shared" ref="B108:C108" si="150">B92-B107</f>
        <v>573</v>
      </c>
      <c r="C108" s="70">
        <f t="shared" si="150"/>
        <v>585</v>
      </c>
      <c r="D108" s="70">
        <f t="shared" ref="D108:AF108" si="151">D92-D107</f>
        <v>493.7</v>
      </c>
      <c r="E108" s="70">
        <f t="shared" si="151"/>
        <v>499.7</v>
      </c>
      <c r="F108" s="70">
        <f t="shared" si="151"/>
        <v>553.4</v>
      </c>
      <c r="G108" s="70">
        <f t="shared" si="151"/>
        <v>521.1</v>
      </c>
      <c r="H108" s="70">
        <f t="shared" si="151"/>
        <v>486.8</v>
      </c>
      <c r="I108" s="70">
        <f t="shared" si="151"/>
        <v>481.8</v>
      </c>
      <c r="J108" s="70">
        <f t="shared" si="151"/>
        <v>482.59999999999997</v>
      </c>
      <c r="K108" s="70">
        <f t="shared" si="151"/>
        <v>483.5</v>
      </c>
      <c r="L108" s="70">
        <f t="shared" ref="L108" si="152">L92-L107</f>
        <v>485</v>
      </c>
      <c r="M108" s="70">
        <f t="shared" si="151"/>
        <v>441</v>
      </c>
      <c r="N108" s="70">
        <f t="shared" si="151"/>
        <v>491.4</v>
      </c>
      <c r="O108" s="70">
        <f t="shared" si="151"/>
        <v>0</v>
      </c>
      <c r="P108" s="70">
        <f t="shared" si="151"/>
        <v>563</v>
      </c>
      <c r="Q108" s="70">
        <f t="shared" si="151"/>
        <v>684.8</v>
      </c>
      <c r="R108" s="70">
        <f t="shared" si="151"/>
        <v>720.69999999999993</v>
      </c>
      <c r="S108" s="70">
        <f t="shared" ref="S108:T108" si="153">S92-S107</f>
        <v>721.4</v>
      </c>
      <c r="T108" s="70">
        <f t="shared" si="153"/>
        <v>710</v>
      </c>
      <c r="U108" s="70">
        <f t="shared" ref="U108:V108" si="154">U92-U107</f>
        <v>731.5</v>
      </c>
      <c r="V108" s="70">
        <f t="shared" si="154"/>
        <v>722.5</v>
      </c>
      <c r="W108" s="70">
        <f t="shared" ref="W108:X108" si="155">W92-W107</f>
        <v>647.69999999999993</v>
      </c>
      <c r="X108" s="70">
        <f t="shared" si="155"/>
        <v>593.19999999999993</v>
      </c>
      <c r="Y108" s="70">
        <f t="shared" ref="Y108:Z108" si="156">Y92-Y107</f>
        <v>637.79999999999995</v>
      </c>
      <c r="Z108" s="70">
        <f t="shared" si="156"/>
        <v>544.5</v>
      </c>
      <c r="AA108" s="70">
        <f t="shared" ref="AA108" si="157">AA92-AA107</f>
        <v>446.7</v>
      </c>
      <c r="AB108" s="70">
        <f t="shared" si="151"/>
        <v>463.6</v>
      </c>
      <c r="AC108" s="70">
        <f t="shared" si="151"/>
        <v>558.70000000000005</v>
      </c>
      <c r="AD108" s="70">
        <f t="shared" si="151"/>
        <v>562.79999999999995</v>
      </c>
      <c r="AE108" s="70">
        <f t="shared" si="151"/>
        <v>597</v>
      </c>
      <c r="AF108" s="70">
        <f t="shared" si="151"/>
        <v>618.29999999999995</v>
      </c>
      <c r="AG108" s="100"/>
      <c r="AH108" s="48">
        <f t="shared" si="68"/>
        <v>731.5</v>
      </c>
      <c r="AI108" s="49">
        <f t="shared" si="69"/>
        <v>0</v>
      </c>
    </row>
    <row r="109" spans="1:64" x14ac:dyDescent="0.25">
      <c r="A109" s="112" t="s">
        <v>132</v>
      </c>
      <c r="B109" s="113">
        <v>50.01</v>
      </c>
      <c r="C109" s="113">
        <v>49.99</v>
      </c>
      <c r="D109" s="113">
        <v>49.99</v>
      </c>
      <c r="E109" s="113">
        <v>50.036999999999999</v>
      </c>
      <c r="F109" s="113">
        <v>49.960999999999999</v>
      </c>
      <c r="G109" s="113">
        <v>49.984999999999999</v>
      </c>
      <c r="H109" s="113">
        <v>49.960999999999999</v>
      </c>
      <c r="I109" s="113">
        <v>50.07</v>
      </c>
      <c r="J109" s="113">
        <v>49.932000000000002</v>
      </c>
      <c r="K109" s="113">
        <v>50.027999999999999</v>
      </c>
      <c r="L109" s="113">
        <v>50.027999999999999</v>
      </c>
      <c r="M109" s="113">
        <v>50.061999999999998</v>
      </c>
      <c r="N109" s="113">
        <v>49.948</v>
      </c>
      <c r="O109" s="113">
        <v>49.954999999999998</v>
      </c>
      <c r="P109" s="113">
        <v>49.954999999999998</v>
      </c>
      <c r="Q109" s="113">
        <v>49.98</v>
      </c>
      <c r="R109" s="113">
        <v>50.023000000000003</v>
      </c>
      <c r="S109" s="113">
        <v>49.96</v>
      </c>
      <c r="T109" s="113">
        <v>49.94</v>
      </c>
      <c r="U109" s="113">
        <v>49.97</v>
      </c>
      <c r="V109" s="113">
        <v>50.02</v>
      </c>
      <c r="W109" s="113">
        <v>50.03</v>
      </c>
      <c r="X109" s="113">
        <v>50.05</v>
      </c>
      <c r="Y109" s="113">
        <v>50.05</v>
      </c>
      <c r="Z109" s="113">
        <v>49.94</v>
      </c>
      <c r="AA109" s="113">
        <v>50.01</v>
      </c>
      <c r="AB109" s="113">
        <v>50</v>
      </c>
      <c r="AC109" s="113">
        <v>49.898000000000003</v>
      </c>
      <c r="AD109" s="113">
        <v>49.898000000000003</v>
      </c>
      <c r="AE109" s="113">
        <v>49.999000000000002</v>
      </c>
      <c r="AF109" s="113">
        <v>49.878</v>
      </c>
      <c r="AG109" s="114"/>
      <c r="AH109" s="48">
        <f t="shared" si="68"/>
        <v>50.07</v>
      </c>
      <c r="AI109" s="49">
        <f t="shared" si="69"/>
        <v>49.878</v>
      </c>
    </row>
    <row r="110" spans="1:64" x14ac:dyDescent="0.25">
      <c r="A110" s="115" t="s">
        <v>133</v>
      </c>
      <c r="B110" s="75">
        <v>125.7</v>
      </c>
      <c r="C110" s="75">
        <v>129</v>
      </c>
      <c r="D110" s="75">
        <v>129</v>
      </c>
      <c r="E110" s="75">
        <v>131.30000000000001</v>
      </c>
      <c r="F110" s="75">
        <v>127.5</v>
      </c>
      <c r="G110" s="75">
        <v>127.2</v>
      </c>
      <c r="H110" s="75">
        <v>125.9</v>
      </c>
      <c r="I110" s="75">
        <v>124.6</v>
      </c>
      <c r="J110" s="75">
        <v>124.6</v>
      </c>
      <c r="K110" s="75">
        <v>127.5</v>
      </c>
      <c r="L110" s="75">
        <v>127.5</v>
      </c>
      <c r="M110" s="75">
        <v>126.3</v>
      </c>
      <c r="N110" s="75">
        <v>126.1</v>
      </c>
      <c r="O110" s="75">
        <v>125.9</v>
      </c>
      <c r="P110" s="75">
        <v>125.9</v>
      </c>
      <c r="Q110" s="75">
        <v>122.5</v>
      </c>
      <c r="R110" s="75">
        <v>124.9</v>
      </c>
      <c r="S110" s="75">
        <v>125.4</v>
      </c>
      <c r="T110" s="75">
        <v>124.3</v>
      </c>
      <c r="U110" s="75">
        <v>122.8</v>
      </c>
      <c r="V110" s="75">
        <v>122.8</v>
      </c>
      <c r="W110" s="75">
        <v>125.2</v>
      </c>
      <c r="X110" s="75">
        <v>126.9</v>
      </c>
      <c r="Y110" s="75">
        <v>126.8</v>
      </c>
      <c r="Z110" s="75">
        <v>125.5</v>
      </c>
      <c r="AA110" s="75">
        <v>125.5</v>
      </c>
      <c r="AB110" s="75">
        <v>127.6</v>
      </c>
      <c r="AC110" s="75">
        <v>128.30000000000001</v>
      </c>
      <c r="AD110" s="75">
        <v>128.30000000000001</v>
      </c>
      <c r="AE110" s="75">
        <v>127.7</v>
      </c>
      <c r="AF110" s="75">
        <v>128.4</v>
      </c>
      <c r="AG110" s="116"/>
      <c r="AH110" s="48">
        <f t="shared" si="68"/>
        <v>131.30000000000001</v>
      </c>
      <c r="AI110" s="49">
        <f t="shared" si="69"/>
        <v>122.5</v>
      </c>
    </row>
    <row r="111" spans="1:64" x14ac:dyDescent="0.25">
      <c r="A111" s="115" t="s">
        <v>134</v>
      </c>
      <c r="B111" s="75">
        <v>129.30000000000001</v>
      </c>
      <c r="C111" s="75">
        <v>132.9</v>
      </c>
      <c r="D111" s="75">
        <v>132.9</v>
      </c>
      <c r="E111" s="75">
        <v>134.6</v>
      </c>
      <c r="F111" s="75">
        <v>131.1</v>
      </c>
      <c r="G111" s="75">
        <v>130.9</v>
      </c>
      <c r="H111" s="75">
        <v>130.1</v>
      </c>
      <c r="I111" s="75">
        <v>129</v>
      </c>
      <c r="J111" s="75">
        <v>128.1</v>
      </c>
      <c r="K111" s="75">
        <v>129.9</v>
      </c>
      <c r="L111" s="75">
        <v>129.9</v>
      </c>
      <c r="M111" s="75">
        <v>128.19999999999999</v>
      </c>
      <c r="N111" s="75">
        <v>127.9</v>
      </c>
      <c r="O111" s="75">
        <v>128</v>
      </c>
      <c r="P111" s="75">
        <v>128</v>
      </c>
      <c r="Q111" s="75">
        <v>125.8</v>
      </c>
      <c r="R111" s="75">
        <v>127.8</v>
      </c>
      <c r="S111" s="75">
        <v>128.30000000000001</v>
      </c>
      <c r="T111" s="75">
        <v>127.5</v>
      </c>
      <c r="U111" s="75">
        <v>125.8</v>
      </c>
      <c r="V111" s="75">
        <v>125.8</v>
      </c>
      <c r="W111" s="75">
        <v>127.8</v>
      </c>
      <c r="X111" s="75">
        <v>129</v>
      </c>
      <c r="Y111" s="75">
        <v>129</v>
      </c>
      <c r="Z111" s="75">
        <v>127.5</v>
      </c>
      <c r="AA111" s="75">
        <v>127.5</v>
      </c>
      <c r="AB111" s="75">
        <v>129.5</v>
      </c>
      <c r="AC111" s="75">
        <v>130.6</v>
      </c>
      <c r="AD111" s="75">
        <v>130.6</v>
      </c>
      <c r="AE111" s="75">
        <v>130.6</v>
      </c>
      <c r="AF111" s="75">
        <v>131.69999999999999</v>
      </c>
      <c r="AG111" s="116"/>
      <c r="AH111" s="48">
        <f t="shared" si="68"/>
        <v>134.6</v>
      </c>
      <c r="AI111" s="49">
        <f t="shared" si="69"/>
        <v>125.8</v>
      </c>
    </row>
    <row r="112" spans="1:64" x14ac:dyDescent="0.25">
      <c r="A112" s="115" t="s">
        <v>135</v>
      </c>
      <c r="B112" s="75">
        <v>129.6</v>
      </c>
      <c r="C112" s="75">
        <v>131</v>
      </c>
      <c r="D112" s="75">
        <v>131</v>
      </c>
      <c r="E112" s="75">
        <v>132</v>
      </c>
      <c r="F112" s="75">
        <v>130.80000000000001</v>
      </c>
      <c r="G112" s="75">
        <v>131.30000000000001</v>
      </c>
      <c r="H112" s="75">
        <v>129.4</v>
      </c>
      <c r="I112" s="75">
        <v>129</v>
      </c>
      <c r="J112" s="75">
        <v>125.9</v>
      </c>
      <c r="K112" s="75">
        <v>125.1</v>
      </c>
      <c r="L112" s="75">
        <v>125.1</v>
      </c>
      <c r="M112" s="75">
        <v>125.3</v>
      </c>
      <c r="N112" s="75">
        <v>129.1</v>
      </c>
      <c r="O112" s="75">
        <v>122.8</v>
      </c>
      <c r="P112" s="75">
        <v>122.8</v>
      </c>
      <c r="Q112" s="75">
        <v>123.9</v>
      </c>
      <c r="R112" s="75">
        <v>126.3</v>
      </c>
      <c r="S112" s="75">
        <v>126.1</v>
      </c>
      <c r="T112" s="75">
        <v>128.19999999999999</v>
      </c>
      <c r="U112" s="75">
        <v>125.8</v>
      </c>
      <c r="V112" s="75">
        <v>125.8</v>
      </c>
      <c r="W112" s="75">
        <v>128.9</v>
      </c>
      <c r="X112" s="75">
        <v>130.1</v>
      </c>
      <c r="Y112" s="75">
        <v>130.1</v>
      </c>
      <c r="Z112" s="75">
        <v>124.5</v>
      </c>
      <c r="AA112" s="75">
        <v>124.5</v>
      </c>
      <c r="AB112" s="75">
        <v>129</v>
      </c>
      <c r="AC112" s="75">
        <v>130.30000000000001</v>
      </c>
      <c r="AD112" s="75">
        <v>130.30000000000001</v>
      </c>
      <c r="AE112" s="75">
        <v>129.69999999999999</v>
      </c>
      <c r="AF112" s="75">
        <v>130.9</v>
      </c>
      <c r="AG112" s="116"/>
      <c r="AH112" s="48">
        <f t="shared" si="68"/>
        <v>132</v>
      </c>
      <c r="AI112" s="49">
        <f t="shared" si="69"/>
        <v>122.8</v>
      </c>
    </row>
    <row r="113" spans="1:35" x14ac:dyDescent="0.25">
      <c r="A113" s="117" t="s">
        <v>136</v>
      </c>
      <c r="B113" s="75">
        <v>131.6</v>
      </c>
      <c r="C113" s="75">
        <v>133</v>
      </c>
      <c r="D113" s="75">
        <v>133</v>
      </c>
      <c r="E113" s="75">
        <v>134.1</v>
      </c>
      <c r="F113" s="75">
        <v>133.30000000000001</v>
      </c>
      <c r="G113" s="75">
        <v>133.6</v>
      </c>
      <c r="H113" s="75">
        <v>131</v>
      </c>
      <c r="I113" s="75">
        <v>131.69999999999999</v>
      </c>
      <c r="J113" s="75">
        <v>127.8</v>
      </c>
      <c r="K113" s="75">
        <v>126.4</v>
      </c>
      <c r="L113" s="75">
        <v>126.4</v>
      </c>
      <c r="M113" s="75">
        <v>124.3</v>
      </c>
      <c r="N113" s="75">
        <v>129.5</v>
      </c>
      <c r="O113" s="75">
        <v>123.8</v>
      </c>
      <c r="P113" s="75">
        <v>123.8</v>
      </c>
      <c r="Q113" s="75">
        <v>125.6</v>
      </c>
      <c r="R113" s="75">
        <v>128.19999999999999</v>
      </c>
      <c r="S113" s="75">
        <v>127.7</v>
      </c>
      <c r="T113" s="75">
        <v>129.5</v>
      </c>
      <c r="U113" s="75">
        <v>126.4</v>
      </c>
      <c r="V113" s="75">
        <v>126.4</v>
      </c>
      <c r="W113" s="75">
        <v>130.9</v>
      </c>
      <c r="X113" s="75">
        <v>130.1</v>
      </c>
      <c r="Y113" s="75">
        <v>130.1</v>
      </c>
      <c r="Z113" s="75">
        <v>124.4</v>
      </c>
      <c r="AA113" s="75">
        <v>124.4</v>
      </c>
      <c r="AB113" s="75">
        <v>131</v>
      </c>
      <c r="AC113" s="75">
        <v>132.19999999999999</v>
      </c>
      <c r="AD113" s="75">
        <v>132.19999999999999</v>
      </c>
      <c r="AE113" s="75">
        <v>131.69999999999999</v>
      </c>
      <c r="AF113" s="75">
        <v>132.80000000000001</v>
      </c>
      <c r="AG113" s="116"/>
      <c r="AH113" s="48">
        <f t="shared" si="68"/>
        <v>134.1</v>
      </c>
      <c r="AI113" s="49">
        <f t="shared" si="69"/>
        <v>123.8</v>
      </c>
    </row>
    <row r="114" spans="1:35" x14ac:dyDescent="0.25">
      <c r="A114" s="117" t="s">
        <v>137</v>
      </c>
      <c r="B114" s="118">
        <v>126.74</v>
      </c>
      <c r="C114" s="118">
        <v>135</v>
      </c>
      <c r="D114" s="118">
        <v>135</v>
      </c>
      <c r="E114" s="118">
        <v>136.4</v>
      </c>
      <c r="F114" s="118">
        <v>131.19999999999999</v>
      </c>
      <c r="G114" s="118">
        <v>130.6</v>
      </c>
      <c r="H114" s="118">
        <v>131.19999999999999</v>
      </c>
      <c r="I114" s="118">
        <v>130.1</v>
      </c>
      <c r="J114" s="118">
        <v>131.1</v>
      </c>
      <c r="K114" s="118">
        <v>135.5</v>
      </c>
      <c r="L114" s="118">
        <v>135.5</v>
      </c>
      <c r="M114" s="118">
        <v>134</v>
      </c>
      <c r="N114" s="118">
        <v>129.9</v>
      </c>
      <c r="O114" s="118">
        <v>131.9</v>
      </c>
      <c r="P114" s="118">
        <v>131.9</v>
      </c>
      <c r="Q114" s="118">
        <v>130.1</v>
      </c>
      <c r="R114" s="118">
        <v>130.6</v>
      </c>
      <c r="S114" s="118">
        <v>131.19999999999999</v>
      </c>
      <c r="T114" s="118">
        <v>130</v>
      </c>
      <c r="U114" s="118">
        <v>130.19999999999999</v>
      </c>
      <c r="V114" s="118">
        <v>130.19999999999999</v>
      </c>
      <c r="W114" s="118">
        <v>134.1</v>
      </c>
      <c r="X114" s="118">
        <v>135.4</v>
      </c>
      <c r="Y114" s="118">
        <v>135.4</v>
      </c>
      <c r="Z114" s="118">
        <v>135.5</v>
      </c>
      <c r="AA114" s="118">
        <v>135.5</v>
      </c>
      <c r="AB114" s="118">
        <v>131</v>
      </c>
      <c r="AC114" s="118">
        <v>132.6</v>
      </c>
      <c r="AD114" s="118">
        <v>132.6</v>
      </c>
      <c r="AE114" s="118">
        <v>132.1</v>
      </c>
      <c r="AF114" s="118">
        <v>131.80000000000001</v>
      </c>
      <c r="AG114" s="119"/>
      <c r="AH114" s="48">
        <f t="shared" si="68"/>
        <v>136.4</v>
      </c>
      <c r="AI114" s="49">
        <f t="shared" si="69"/>
        <v>126.74</v>
      </c>
    </row>
    <row r="115" spans="1:35" x14ac:dyDescent="0.25">
      <c r="A115" s="115" t="s">
        <v>138</v>
      </c>
      <c r="B115" s="75">
        <v>133</v>
      </c>
      <c r="C115" s="75">
        <v>131</v>
      </c>
      <c r="D115" s="75">
        <v>131</v>
      </c>
      <c r="E115" s="75">
        <v>131.9</v>
      </c>
      <c r="F115" s="75">
        <v>131</v>
      </c>
      <c r="G115" s="75">
        <v>129.30000000000001</v>
      </c>
      <c r="H115" s="75">
        <v>130.30000000000001</v>
      </c>
      <c r="I115" s="75">
        <v>130</v>
      </c>
      <c r="J115" s="75">
        <v>127.6</v>
      </c>
      <c r="K115" s="75">
        <v>126.3</v>
      </c>
      <c r="L115" s="75">
        <v>126.3</v>
      </c>
      <c r="M115" s="75">
        <v>132</v>
      </c>
      <c r="N115" s="75">
        <v>129.9</v>
      </c>
      <c r="O115" s="75">
        <v>130.19999999999999</v>
      </c>
      <c r="P115" s="75">
        <v>130.19999999999999</v>
      </c>
      <c r="Q115" s="75">
        <v>131.19999999999999</v>
      </c>
      <c r="R115" s="75">
        <v>129</v>
      </c>
      <c r="S115" s="75">
        <v>132.19999999999999</v>
      </c>
      <c r="T115" s="75">
        <v>131</v>
      </c>
      <c r="U115" s="75">
        <v>129</v>
      </c>
      <c r="V115" s="75">
        <v>129</v>
      </c>
      <c r="W115" s="75">
        <v>129</v>
      </c>
      <c r="X115" s="75">
        <v>130.6</v>
      </c>
      <c r="Y115" s="75">
        <v>130.6</v>
      </c>
      <c r="Z115" s="75">
        <v>131.19999999999999</v>
      </c>
      <c r="AA115" s="75">
        <v>131.19999999999999</v>
      </c>
      <c r="AB115" s="75">
        <v>133.69999999999999</v>
      </c>
      <c r="AC115" s="75">
        <v>129</v>
      </c>
      <c r="AD115" s="75">
        <v>129</v>
      </c>
      <c r="AE115" s="75">
        <v>131.69999999999999</v>
      </c>
      <c r="AF115" s="75">
        <v>132.5</v>
      </c>
      <c r="AG115" s="116"/>
      <c r="AH115" s="48">
        <f t="shared" si="68"/>
        <v>133.69999999999999</v>
      </c>
      <c r="AI115" s="49">
        <f t="shared" si="69"/>
        <v>126.3</v>
      </c>
    </row>
    <row r="116" spans="1:35" ht="15.75" thickBot="1" x14ac:dyDescent="0.3">
      <c r="A116" s="115" t="s">
        <v>139</v>
      </c>
      <c r="B116" s="104">
        <v>65.599999999999994</v>
      </c>
      <c r="C116" s="104">
        <v>67</v>
      </c>
      <c r="D116" s="104">
        <v>67</v>
      </c>
      <c r="E116" s="104">
        <v>67.900000000000006</v>
      </c>
      <c r="F116" s="104">
        <v>66.2</v>
      </c>
      <c r="G116" s="104">
        <v>65.900000000000006</v>
      </c>
      <c r="H116" s="104">
        <v>65.400000000000006</v>
      </c>
      <c r="I116" s="104">
        <v>65</v>
      </c>
      <c r="J116" s="104">
        <v>65</v>
      </c>
      <c r="K116" s="104">
        <v>65.2</v>
      </c>
      <c r="L116" s="104">
        <v>65.2</v>
      </c>
      <c r="M116" s="104">
        <v>64.5</v>
      </c>
      <c r="N116" s="104">
        <v>64.3</v>
      </c>
      <c r="O116" s="104">
        <v>64.099999999999994</v>
      </c>
      <c r="P116" s="104">
        <v>64.099999999999994</v>
      </c>
      <c r="Q116" s="104">
        <v>63</v>
      </c>
      <c r="R116" s="104">
        <v>64.2</v>
      </c>
      <c r="S116" s="104">
        <v>64.599999999999994</v>
      </c>
      <c r="T116" s="104">
        <v>64.099999999999994</v>
      </c>
      <c r="U116" s="104">
        <v>63.4</v>
      </c>
      <c r="V116" s="104">
        <v>63.4</v>
      </c>
      <c r="W116" s="104">
        <v>64.400000000000006</v>
      </c>
      <c r="X116" s="104">
        <v>65</v>
      </c>
      <c r="Y116" s="104">
        <v>65</v>
      </c>
      <c r="Z116" s="104">
        <v>64</v>
      </c>
      <c r="AA116" s="104">
        <v>64</v>
      </c>
      <c r="AB116" s="104">
        <v>65</v>
      </c>
      <c r="AC116" s="104">
        <v>65.7</v>
      </c>
      <c r="AD116" s="104">
        <v>65.7</v>
      </c>
      <c r="AE116" s="104">
        <v>65.7</v>
      </c>
      <c r="AF116" s="104">
        <v>66.3</v>
      </c>
      <c r="AG116" s="120"/>
      <c r="AH116" s="48">
        <f t="shared" si="68"/>
        <v>67.900000000000006</v>
      </c>
      <c r="AI116" s="49">
        <f t="shared" si="69"/>
        <v>63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68"/>
        <v>0</v>
      </c>
      <c r="AI117" s="49">
        <f t="shared" si="69"/>
        <v>0</v>
      </c>
    </row>
    <row r="118" spans="1:35" ht="15.75" thickBot="1" x14ac:dyDescent="0.3">
      <c r="A118" s="122" t="s">
        <v>141</v>
      </c>
      <c r="B118" s="123">
        <f t="shared" ref="B118:C118" si="158">SUM(B22,B28,B31:B32,B66,B68:B69,B71,B73,B119:B123,B155,B161,B167,B176,B178,B190,B197,B200:B201,B208,B210,B212,B216:B218,B220:B222,B227,B233:B234,B236:B238,B246,B251)</f>
        <v>158.34</v>
      </c>
      <c r="C118" s="123">
        <f t="shared" si="158"/>
        <v>138.34</v>
      </c>
      <c r="D118" s="123">
        <f t="shared" ref="D118:O118" si="159">SUM(D22,D28,D31:D32,D66,D68:D69,D71,D73,D119:D123,D155,D161,D167,D176,D178,D190,D197,D200:D201,D208,D210,D212,D216:D218,D220:D222,D227,D233:D234,D236:D238,D246,D251)</f>
        <v>138.34</v>
      </c>
      <c r="E118" s="123">
        <f t="shared" si="159"/>
        <v>137.24</v>
      </c>
      <c r="F118" s="123">
        <f t="shared" si="159"/>
        <v>137.64000000000001</v>
      </c>
      <c r="G118" s="123">
        <f t="shared" si="159"/>
        <v>160.80000000000001</v>
      </c>
      <c r="H118" s="123">
        <f t="shared" si="159"/>
        <v>191.14000000000001</v>
      </c>
      <c r="I118" s="123">
        <f t="shared" si="159"/>
        <v>217.74</v>
      </c>
      <c r="J118" s="123">
        <f t="shared" si="159"/>
        <v>271.56</v>
      </c>
      <c r="K118" s="123">
        <f t="shared" si="159"/>
        <v>312.14000000000004</v>
      </c>
      <c r="L118" s="123">
        <f t="shared" ref="L118" si="160">SUM(L22,L28,L31:L32,L66,L68:L69,L71,L73,L119:L123,L155,L161,L167,L176,L178,L190,L197,L200:L201,L208,L210,L212,L216:L218,L220:L222,L227,L233:L234,L236:L238,L246,L251)</f>
        <v>312.14000000000004</v>
      </c>
      <c r="M118" s="123">
        <f t="shared" si="159"/>
        <v>352.04</v>
      </c>
      <c r="N118" s="123">
        <f t="shared" si="159"/>
        <v>325.95999999999998</v>
      </c>
      <c r="O118" s="123">
        <f t="shared" si="159"/>
        <v>302.3</v>
      </c>
      <c r="P118" s="123">
        <v>42</v>
      </c>
      <c r="Q118" s="123">
        <f t="shared" ref="Q118:AF118" si="161">SUM(Q22,Q28,Q31:Q32,Q66,Q68:Q69,Q71,Q73,Q119:Q123,Q155,Q161,Q167,Q176,Q178,Q190,Q197,Q200:Q201,Q208,Q210,Q212,Q216:Q218,Q220:Q222,Q227,Q233:Q234,Q236:Q238,Q246,Q251)</f>
        <v>307.54000000000002</v>
      </c>
      <c r="R118" s="123">
        <f t="shared" si="161"/>
        <v>297.64000000000004</v>
      </c>
      <c r="S118" s="123">
        <f t="shared" ref="S118:T118" si="162">SUM(S22,S28,S31:S32,S66,S68:S69,S71,S73,S119:S123,S155,S161,S167,S176,S178,S190,S197,S200:S201,S208,S210,S212,S216:S218,S220:S222,S227,S233:S234,S236:S238,S246,S251)</f>
        <v>292.56</v>
      </c>
      <c r="T118" s="123">
        <f t="shared" si="162"/>
        <v>290.92</v>
      </c>
      <c r="U118" s="123">
        <f t="shared" ref="U118:V118" si="163">SUM(U22,U28,U31:U32,U66,U68:U69,U71,U73,U119:U123,U155,U161,U167,U176,U178,U190,U197,U200:U201,U208,U210,U212,U216:U218,U220:U222,U227,U233:U234,U236:U238,U246,U251)</f>
        <v>243.74</v>
      </c>
      <c r="V118" s="123">
        <f t="shared" si="163"/>
        <v>312.36</v>
      </c>
      <c r="W118" s="123">
        <f t="shared" ref="W118:X118" si="164">SUM(W22,W28,W31:W32,W66,W68:W69,W71,W73,W119:W123,W155,W161,W167,W176,W178,W190,W197,W200:W201,W208,W210,W212,W216:W218,W220:W222,W227,W233:W234,W236:W238,W246,W251)</f>
        <v>313.26000000000005</v>
      </c>
      <c r="X118" s="123">
        <f t="shared" si="164"/>
        <v>322.66000000000003</v>
      </c>
      <c r="Y118" s="123">
        <f t="shared" ref="Y118:Z118" si="165">SUM(Y22,Y28,Y31:Y32,Y66,Y68:Y69,Y71,Y73,Y119:Y123,Y155,Y161,Y167,Y176,Y178,Y190,Y197,Y200:Y201,Y208,Y210,Y212,Y216:Y218,Y220:Y222,Y227,Y233:Y234,Y236:Y238,Y246,Y251)</f>
        <v>375.40000000000003</v>
      </c>
      <c r="Z118" s="123">
        <f t="shared" si="165"/>
        <v>389.82</v>
      </c>
      <c r="AA118" s="123">
        <f t="shared" ref="AA118" si="166">SUM(AA22,AA28,AA31:AA32,AA66,AA68:AA69,AA71,AA73,AA119:AA123,AA155,AA161,AA167,AA176,AA178,AA190,AA197,AA200:AA201,AA208,AA210,AA212,AA216:AA218,AA220:AA222,AA227,AA233:AA234,AA236:AA238,AA246,AA251)</f>
        <v>376.5</v>
      </c>
      <c r="AB118" s="123">
        <f>SUM(AB22,AB28,AB31:AB32,AB66,AB68:AB69,AB71,AB73,AB119:AB123,AB155,AB161,AB167,AB176,AB178,AB190,AB197,AB200:AB201,AB208,AB210,AB212,AB216:AB218,AB220:AB222,AB227,AB233:AB234,AB236:AB238,AB246,AB251)</f>
        <v>272.23999999999995</v>
      </c>
      <c r="AC118" s="123">
        <f>SUM(AC22,AC28,AC31:AC32,AC66,AC68:AC69,AC71,AC73,AC119:AC123,AC155,AC161,AC167,AC176,AC178,AC190,AC197,AC200:AC201,AC208,AC210,AC212,AC216:AC218,AC220:AC222,AC227,AC233:AC234,AC236:AC238,AC246,AC251)</f>
        <v>298.45999999999998</v>
      </c>
      <c r="AD118" s="123">
        <f>SUM(AD22,AD28,AD31:AD32,AD66,AD68:AD69,AD71,AD73,AD119:AD123,AD155,AD161,AD167,AD176,AD178,AD190,AD197,AD200:AD201,AD208,AD210,AD212,AD216:AD218,AD220:AD222,AD227,AD233:AD234,AD236:AD238,AD246,AD251)</f>
        <v>298.45999999999998</v>
      </c>
      <c r="AE118" s="123">
        <f t="shared" si="161"/>
        <v>220.86</v>
      </c>
      <c r="AF118" s="123">
        <f t="shared" si="161"/>
        <v>185.04</v>
      </c>
      <c r="AG118" s="124"/>
      <c r="AH118" s="48">
        <f t="shared" si="68"/>
        <v>389.82</v>
      </c>
      <c r="AI118" s="49">
        <f t="shared" si="69"/>
        <v>42</v>
      </c>
    </row>
    <row r="119" spans="1:35" x14ac:dyDescent="0.25">
      <c r="A119" s="125" t="s">
        <v>142</v>
      </c>
      <c r="B119" s="126">
        <v>-20</v>
      </c>
      <c r="C119" s="126">
        <v>-15</v>
      </c>
      <c r="D119" s="126">
        <v>-15</v>
      </c>
      <c r="E119" s="126">
        <v>-13.2</v>
      </c>
      <c r="F119" s="126">
        <v>-25.1</v>
      </c>
      <c r="G119" s="126">
        <v>-23.8</v>
      </c>
      <c r="H119" s="126">
        <v>1.2</v>
      </c>
      <c r="I119" s="126">
        <v>18</v>
      </c>
      <c r="J119" s="126">
        <v>30</v>
      </c>
      <c r="K119" s="126">
        <v>31</v>
      </c>
      <c r="L119" s="126">
        <v>31</v>
      </c>
      <c r="M119" s="126">
        <v>35</v>
      </c>
      <c r="N119" s="126">
        <v>15.3</v>
      </c>
      <c r="O119" s="126">
        <v>6.7</v>
      </c>
      <c r="P119" s="126">
        <v>6.7</v>
      </c>
      <c r="Q119" s="126">
        <v>15.9</v>
      </c>
      <c r="R119" s="126">
        <v>14.4</v>
      </c>
      <c r="S119" s="126">
        <v>12.6</v>
      </c>
      <c r="T119" s="126">
        <v>17.5</v>
      </c>
      <c r="U119" s="126">
        <v>10</v>
      </c>
      <c r="V119" s="126">
        <v>12.5</v>
      </c>
      <c r="W119" s="126">
        <v>8.5</v>
      </c>
      <c r="X119" s="126">
        <v>7.9</v>
      </c>
      <c r="Y119" s="126">
        <v>35.200000000000003</v>
      </c>
      <c r="Z119" s="126">
        <v>34.299999999999997</v>
      </c>
      <c r="AA119" s="126">
        <v>26.9</v>
      </c>
      <c r="AB119" s="126">
        <v>11</v>
      </c>
      <c r="AC119" s="126">
        <v>10.8</v>
      </c>
      <c r="AD119" s="126">
        <v>10.8</v>
      </c>
      <c r="AE119" s="126">
        <v>-8.1999999999999993</v>
      </c>
      <c r="AF119" s="126">
        <v>-20</v>
      </c>
      <c r="AG119" s="127">
        <v>75</v>
      </c>
      <c r="AH119" s="48">
        <f t="shared" si="68"/>
        <v>35.200000000000003</v>
      </c>
      <c r="AI119" s="49">
        <f t="shared" si="69"/>
        <v>-25.1</v>
      </c>
    </row>
    <row r="120" spans="1:35" x14ac:dyDescent="0.25">
      <c r="A120" s="128" t="s">
        <v>143</v>
      </c>
      <c r="B120" s="129">
        <v>-32</v>
      </c>
      <c r="C120" s="129">
        <v>-26</v>
      </c>
      <c r="D120" s="129">
        <v>-26</v>
      </c>
      <c r="E120" s="129">
        <v>-21.8</v>
      </c>
      <c r="F120" s="129">
        <v>-38</v>
      </c>
      <c r="G120" s="129">
        <v>-36.200000000000003</v>
      </c>
      <c r="H120" s="129">
        <v>-0.5</v>
      </c>
      <c r="I120" s="129">
        <v>24</v>
      </c>
      <c r="J120" s="129">
        <v>39.5</v>
      </c>
      <c r="K120" s="129">
        <v>45</v>
      </c>
      <c r="L120" s="129">
        <v>45</v>
      </c>
      <c r="M120" s="129">
        <v>51</v>
      </c>
      <c r="N120" s="129">
        <v>23.3</v>
      </c>
      <c r="O120" s="129">
        <v>8.8000000000000007</v>
      </c>
      <c r="P120" s="129">
        <v>8.8000000000000007</v>
      </c>
      <c r="Q120" s="129">
        <v>15.9</v>
      </c>
      <c r="R120" s="129">
        <v>14.1</v>
      </c>
      <c r="S120" s="129">
        <v>12.8</v>
      </c>
      <c r="T120" s="129">
        <v>19.7</v>
      </c>
      <c r="U120" s="129">
        <v>7.4</v>
      </c>
      <c r="V120" s="129">
        <v>11.4</v>
      </c>
      <c r="W120" s="129">
        <v>8.8000000000000007</v>
      </c>
      <c r="X120" s="129">
        <v>8</v>
      </c>
      <c r="Y120" s="129">
        <v>43.6</v>
      </c>
      <c r="Z120" s="129">
        <v>41.5</v>
      </c>
      <c r="AA120" s="129">
        <v>33.200000000000003</v>
      </c>
      <c r="AB120" s="129">
        <v>12.8</v>
      </c>
      <c r="AC120" s="129">
        <v>13.4</v>
      </c>
      <c r="AD120" s="129">
        <v>13.4</v>
      </c>
      <c r="AE120" s="129">
        <v>-16.2</v>
      </c>
      <c r="AF120" s="129">
        <v>-32</v>
      </c>
      <c r="AG120" s="127">
        <v>240</v>
      </c>
      <c r="AH120" s="48">
        <f t="shared" si="68"/>
        <v>51</v>
      </c>
      <c r="AI120" s="49">
        <f t="shared" si="69"/>
        <v>-38</v>
      </c>
    </row>
    <row r="121" spans="1:35" x14ac:dyDescent="0.25">
      <c r="A121" s="128" t="s">
        <v>144</v>
      </c>
      <c r="B121" s="129">
        <v>13</v>
      </c>
      <c r="C121" s="129">
        <v>0</v>
      </c>
      <c r="D121" s="129">
        <v>0</v>
      </c>
      <c r="E121" s="129">
        <v>-6</v>
      </c>
      <c r="F121" s="129">
        <v>3</v>
      </c>
      <c r="G121" s="129">
        <v>10</v>
      </c>
      <c r="H121" s="129">
        <v>-10</v>
      </c>
      <c r="I121" s="129">
        <v>-19</v>
      </c>
      <c r="J121" s="129">
        <v>-15</v>
      </c>
      <c r="K121" s="129">
        <v>8</v>
      </c>
      <c r="L121" s="129">
        <v>8</v>
      </c>
      <c r="M121" s="129">
        <v>22</v>
      </c>
      <c r="N121" s="129">
        <v>36</v>
      </c>
      <c r="O121" s="129">
        <v>43</v>
      </c>
      <c r="P121" s="129">
        <v>43</v>
      </c>
      <c r="Q121" s="129">
        <f>12.4+13.2</f>
        <v>25.6</v>
      </c>
      <c r="R121" s="129">
        <v>24</v>
      </c>
      <c r="S121" s="129">
        <v>29</v>
      </c>
      <c r="T121" s="129">
        <v>25</v>
      </c>
      <c r="U121" s="129">
        <v>35</v>
      </c>
      <c r="V121" s="129">
        <v>41</v>
      </c>
      <c r="W121" s="129">
        <v>41</v>
      </c>
      <c r="X121" s="129">
        <v>49</v>
      </c>
      <c r="Y121" s="129">
        <v>46</v>
      </c>
      <c r="Z121" s="129">
        <v>49</v>
      </c>
      <c r="AA121" s="129">
        <v>50</v>
      </c>
      <c r="AB121" s="129">
        <v>46</v>
      </c>
      <c r="AC121" s="129">
        <v>37</v>
      </c>
      <c r="AD121" s="129">
        <v>37</v>
      </c>
      <c r="AE121" s="129">
        <v>18</v>
      </c>
      <c r="AF121" s="129">
        <v>15</v>
      </c>
      <c r="AG121" s="127">
        <v>240</v>
      </c>
      <c r="AH121" s="48">
        <f t="shared" si="68"/>
        <v>50</v>
      </c>
      <c r="AI121" s="49">
        <f t="shared" si="69"/>
        <v>-19</v>
      </c>
    </row>
    <row r="122" spans="1:35" ht="15.75" thickBot="1" x14ac:dyDescent="0.3">
      <c r="A122" s="128" t="s">
        <v>145</v>
      </c>
      <c r="B122" s="129">
        <v>0</v>
      </c>
      <c r="C122" s="129">
        <v>-8</v>
      </c>
      <c r="D122" s="129">
        <v>-8</v>
      </c>
      <c r="E122" s="129">
        <v>-5.0999999999999996</v>
      </c>
      <c r="F122" s="129">
        <v>-8</v>
      </c>
      <c r="G122" s="129">
        <v>-3.1</v>
      </c>
      <c r="H122" s="129">
        <v>-5.3</v>
      </c>
      <c r="I122" s="129">
        <v>-3</v>
      </c>
      <c r="J122" s="129">
        <v>11</v>
      </c>
      <c r="K122" s="129">
        <v>22</v>
      </c>
      <c r="L122" s="129">
        <v>22</v>
      </c>
      <c r="M122" s="129">
        <v>28</v>
      </c>
      <c r="N122" s="129">
        <v>19</v>
      </c>
      <c r="O122" s="129">
        <v>18</v>
      </c>
      <c r="P122" s="129">
        <v>18</v>
      </c>
      <c r="Q122" s="129">
        <v>8.4</v>
      </c>
      <c r="R122" s="129">
        <v>8</v>
      </c>
      <c r="S122" s="129">
        <v>12.1</v>
      </c>
      <c r="T122" s="129">
        <v>4.3</v>
      </c>
      <c r="U122" s="129">
        <v>7</v>
      </c>
      <c r="V122" s="129">
        <v>15.1</v>
      </c>
      <c r="W122" s="129">
        <v>13</v>
      </c>
      <c r="X122" s="129">
        <v>15.6</v>
      </c>
      <c r="Y122" s="129">
        <v>19</v>
      </c>
      <c r="Z122" s="129">
        <v>24.3</v>
      </c>
      <c r="AA122" s="129">
        <v>23.6</v>
      </c>
      <c r="AB122" s="129">
        <v>21.2</v>
      </c>
      <c r="AC122" s="129">
        <v>15</v>
      </c>
      <c r="AD122" s="129">
        <v>15</v>
      </c>
      <c r="AE122" s="129">
        <v>5</v>
      </c>
      <c r="AF122" s="129">
        <v>4.7</v>
      </c>
      <c r="AG122" s="127">
        <v>60</v>
      </c>
      <c r="AH122" s="48">
        <f t="shared" si="68"/>
        <v>28</v>
      </c>
      <c r="AI122" s="49">
        <f t="shared" si="69"/>
        <v>-8</v>
      </c>
    </row>
    <row r="123" spans="1:35" x14ac:dyDescent="0.25">
      <c r="A123" s="125" t="s">
        <v>146</v>
      </c>
      <c r="B123" s="130">
        <v>110</v>
      </c>
      <c r="C123" s="130">
        <v>100</v>
      </c>
      <c r="D123" s="130">
        <v>100</v>
      </c>
      <c r="E123" s="130">
        <f>60*1.6</f>
        <v>96</v>
      </c>
      <c r="F123" s="130">
        <f>74*1.6</f>
        <v>118.4</v>
      </c>
      <c r="G123" s="130">
        <f>79.1*1.6</f>
        <v>126.56</v>
      </c>
      <c r="H123" s="130">
        <f>74*1.6</f>
        <v>118.4</v>
      </c>
      <c r="I123" s="130">
        <f>69*1.6</f>
        <v>110.4</v>
      </c>
      <c r="J123" s="130">
        <f>74.2*1.6</f>
        <v>118.72000000000001</v>
      </c>
      <c r="K123" s="130">
        <f>74*1.6</f>
        <v>118.4</v>
      </c>
      <c r="L123" s="130">
        <f>74*1.6</f>
        <v>118.4</v>
      </c>
      <c r="M123" s="130">
        <f>80*1.6</f>
        <v>128</v>
      </c>
      <c r="N123" s="130">
        <f>88*1.64</f>
        <v>144.32</v>
      </c>
      <c r="O123" s="130">
        <f>84*1.64</f>
        <v>137.76</v>
      </c>
      <c r="P123" s="130">
        <f>84*1.64</f>
        <v>137.76</v>
      </c>
      <c r="Q123" s="130">
        <f>90*1.6</f>
        <v>144</v>
      </c>
      <c r="R123" s="130">
        <f>85*1.64</f>
        <v>139.4</v>
      </c>
      <c r="S123" s="130">
        <f>86.2*1.6</f>
        <v>137.92000000000002</v>
      </c>
      <c r="T123" s="130">
        <f>85.3*1.6</f>
        <v>136.47999999999999</v>
      </c>
      <c r="U123" s="130">
        <v>96.2</v>
      </c>
      <c r="V123" s="130">
        <f>90.2*1.6</f>
        <v>144.32000000000002</v>
      </c>
      <c r="W123" s="130">
        <f>96.7*1.6</f>
        <v>154.72000000000003</v>
      </c>
      <c r="X123" s="130">
        <f>97.2*1.6</f>
        <v>155.52000000000001</v>
      </c>
      <c r="Y123" s="130">
        <f>90.6*1.6</f>
        <v>144.96</v>
      </c>
      <c r="Z123" s="130">
        <f>96.3*1.6</f>
        <v>154.08000000000001</v>
      </c>
      <c r="AA123" s="130">
        <f>97.6*1.6</f>
        <v>156.16</v>
      </c>
      <c r="AB123" s="130">
        <v>95.1</v>
      </c>
      <c r="AC123" s="130">
        <f>83*1.64</f>
        <v>136.12</v>
      </c>
      <c r="AD123" s="130">
        <f>83*1.64</f>
        <v>136.12</v>
      </c>
      <c r="AE123" s="130">
        <f>83*1.64</f>
        <v>136.12</v>
      </c>
      <c r="AF123" s="130">
        <f>80*1.64</f>
        <v>131.19999999999999</v>
      </c>
      <c r="AG123" s="131">
        <v>120</v>
      </c>
      <c r="AH123" s="48">
        <f t="shared" si="68"/>
        <v>156.16</v>
      </c>
      <c r="AI123" s="49">
        <f t="shared" si="69"/>
        <v>95.1</v>
      </c>
    </row>
    <row r="124" spans="1:35" x14ac:dyDescent="0.25">
      <c r="A124" s="128" t="s">
        <v>147</v>
      </c>
      <c r="B124" s="130">
        <v>88</v>
      </c>
      <c r="C124" s="130">
        <v>82</v>
      </c>
      <c r="D124" s="130">
        <v>82</v>
      </c>
      <c r="E124" s="130">
        <v>70</v>
      </c>
      <c r="F124" s="130">
        <v>81</v>
      </c>
      <c r="G124" s="130">
        <v>86.1</v>
      </c>
      <c r="H124" s="130">
        <v>82</v>
      </c>
      <c r="I124" s="130">
        <v>78</v>
      </c>
      <c r="J124" s="130">
        <v>81.400000000000006</v>
      </c>
      <c r="K124" s="130">
        <v>80</v>
      </c>
      <c r="L124" s="130">
        <v>80</v>
      </c>
      <c r="M124" s="130">
        <v>86</v>
      </c>
      <c r="N124" s="130">
        <v>94.5</v>
      </c>
      <c r="O124" s="130">
        <v>90</v>
      </c>
      <c r="P124" s="130">
        <v>90</v>
      </c>
      <c r="Q124" s="130">
        <v>94.2</v>
      </c>
      <c r="R124" s="130">
        <v>89.4</v>
      </c>
      <c r="S124" s="130">
        <v>89.3</v>
      </c>
      <c r="T124" s="130">
        <v>88.1</v>
      </c>
      <c r="U124" s="130">
        <v>98.5</v>
      </c>
      <c r="V124" s="130">
        <v>93.1</v>
      </c>
      <c r="W124" s="130">
        <v>98.3</v>
      </c>
      <c r="X124" s="130">
        <v>99.1</v>
      </c>
      <c r="Y124" s="130">
        <v>92.9</v>
      </c>
      <c r="Z124" s="130">
        <v>98.7</v>
      </c>
      <c r="AA124" s="130">
        <v>99.6</v>
      </c>
      <c r="AB124" s="130">
        <v>98.8</v>
      </c>
      <c r="AC124" s="130">
        <v>89</v>
      </c>
      <c r="AD124" s="130">
        <v>89</v>
      </c>
      <c r="AE124" s="130">
        <v>89</v>
      </c>
      <c r="AF124" s="130">
        <v>86</v>
      </c>
      <c r="AG124" s="131"/>
      <c r="AH124" s="48"/>
      <c r="AI124" s="49"/>
    </row>
    <row r="125" spans="1:35" x14ac:dyDescent="0.25">
      <c r="A125" s="128" t="s">
        <v>148</v>
      </c>
      <c r="B125" s="130">
        <v>73</v>
      </c>
      <c r="C125" s="130">
        <v>61</v>
      </c>
      <c r="D125" s="130">
        <v>61</v>
      </c>
      <c r="E125" s="130">
        <v>54.2</v>
      </c>
      <c r="F125" s="130">
        <v>69</v>
      </c>
      <c r="G125" s="130">
        <v>65.2</v>
      </c>
      <c r="H125" s="130">
        <v>49</v>
      </c>
      <c r="I125" s="130">
        <v>29</v>
      </c>
      <c r="J125" s="130">
        <v>15</v>
      </c>
      <c r="K125" s="130">
        <v>-7</v>
      </c>
      <c r="L125" s="130">
        <v>-7</v>
      </c>
      <c r="M125" s="130">
        <v>-18</v>
      </c>
      <c r="N125" s="130">
        <v>8</v>
      </c>
      <c r="O125" s="130">
        <v>20</v>
      </c>
      <c r="P125" s="130">
        <v>20</v>
      </c>
      <c r="Q125" s="130">
        <v>30.5</v>
      </c>
      <c r="R125" s="130">
        <v>31</v>
      </c>
      <c r="S125" s="130">
        <v>26.3</v>
      </c>
      <c r="T125" s="130">
        <v>23.6</v>
      </c>
      <c r="U125" s="130">
        <v>32.299999999999997</v>
      </c>
      <c r="V125" s="130">
        <v>20.100000000000001</v>
      </c>
      <c r="W125" s="130">
        <v>19.899999999999999</v>
      </c>
      <c r="X125" s="130">
        <v>18.7</v>
      </c>
      <c r="Y125" s="130">
        <v>-18.899999999999999</v>
      </c>
      <c r="Z125" s="130">
        <v>-16.8</v>
      </c>
      <c r="AA125" s="130">
        <v>-6</v>
      </c>
      <c r="AB125" s="130">
        <v>17.2</v>
      </c>
      <c r="AC125" s="130">
        <v>11.8</v>
      </c>
      <c r="AD125" s="130">
        <v>11.8</v>
      </c>
      <c r="AE125" s="130">
        <v>52</v>
      </c>
      <c r="AF125" s="130">
        <v>66.900000000000006</v>
      </c>
      <c r="AG125" s="131"/>
      <c r="AH125" s="48"/>
      <c r="AI125" s="49"/>
    </row>
    <row r="126" spans="1:35" ht="15.75" thickBot="1" x14ac:dyDescent="0.3">
      <c r="A126" s="128" t="s">
        <v>149</v>
      </c>
      <c r="B126" s="130">
        <v>96</v>
      </c>
      <c r="C126" s="130">
        <v>86</v>
      </c>
      <c r="D126" s="130">
        <v>86</v>
      </c>
      <c r="E126" s="130">
        <v>69.400000000000006</v>
      </c>
      <c r="F126" s="130">
        <v>89</v>
      </c>
      <c r="G126" s="130">
        <v>92</v>
      </c>
      <c r="H126" s="130">
        <v>98</v>
      </c>
      <c r="I126" s="130">
        <v>93</v>
      </c>
      <c r="J126" s="130">
        <v>95</v>
      </c>
      <c r="K126" s="130">
        <v>89</v>
      </c>
      <c r="L126" s="130">
        <v>89</v>
      </c>
      <c r="M126" s="130">
        <v>83</v>
      </c>
      <c r="N126" s="130">
        <v>96</v>
      </c>
      <c r="O126" s="130">
        <v>85.4</v>
      </c>
      <c r="P126" s="130">
        <v>85.4</v>
      </c>
      <c r="Q126" s="130">
        <v>97.8</v>
      </c>
      <c r="R126" s="130">
        <v>93.6</v>
      </c>
      <c r="S126" s="130">
        <v>97.1</v>
      </c>
      <c r="T126" s="130">
        <v>97.6</v>
      </c>
      <c r="U126" s="130">
        <v>99.2</v>
      </c>
      <c r="V126" s="130">
        <v>93.7</v>
      </c>
      <c r="W126" s="130">
        <v>100</v>
      </c>
      <c r="X126" s="130">
        <v>89.7</v>
      </c>
      <c r="Y126" s="130">
        <v>80.400000000000006</v>
      </c>
      <c r="Z126" s="130">
        <v>82.4</v>
      </c>
      <c r="AA126" s="130">
        <v>83</v>
      </c>
      <c r="AB126" s="130">
        <v>93.1</v>
      </c>
      <c r="AC126" s="130">
        <v>86</v>
      </c>
      <c r="AD126" s="130">
        <v>86</v>
      </c>
      <c r="AE126" s="130">
        <v>97</v>
      </c>
      <c r="AF126" s="130">
        <v>95</v>
      </c>
      <c r="AG126" s="127"/>
      <c r="AH126" s="48">
        <f>MAX(B126:AF126)</f>
        <v>100</v>
      </c>
      <c r="AI126" s="49">
        <f>MIN(B126:AF126)</f>
        <v>69.400000000000006</v>
      </c>
    </row>
    <row r="127" spans="1:35" x14ac:dyDescent="0.25">
      <c r="A127" s="125" t="s">
        <v>305</v>
      </c>
      <c r="B127" s="130">
        <v>26</v>
      </c>
      <c r="C127" s="130">
        <v>26</v>
      </c>
      <c r="D127" s="130">
        <v>26</v>
      </c>
      <c r="E127" s="130">
        <v>-18</v>
      </c>
      <c r="F127" s="130">
        <v>6</v>
      </c>
      <c r="G127" s="130">
        <v>2</v>
      </c>
      <c r="H127" s="130">
        <v>0</v>
      </c>
      <c r="I127" s="130">
        <v>-5</v>
      </c>
      <c r="J127" s="130">
        <v>-21</v>
      </c>
      <c r="K127" s="130">
        <v>-16</v>
      </c>
      <c r="L127" s="130">
        <v>-16</v>
      </c>
      <c r="M127" s="130">
        <v>-38</v>
      </c>
      <c r="N127" s="130">
        <v>-30</v>
      </c>
      <c r="O127" s="130">
        <v>12</v>
      </c>
      <c r="P127" s="130">
        <v>12</v>
      </c>
      <c r="Q127" s="130">
        <v>-7.2</v>
      </c>
      <c r="R127" s="130">
        <v>28</v>
      </c>
      <c r="S127" s="130">
        <v>24.3</v>
      </c>
      <c r="T127" s="130">
        <v>22.1</v>
      </c>
      <c r="U127" s="130">
        <v>7.5</v>
      </c>
      <c r="V127" s="130">
        <v>7.1</v>
      </c>
      <c r="W127" s="130">
        <v>-16.100000000000001</v>
      </c>
      <c r="X127" s="130">
        <v>-37.9</v>
      </c>
      <c r="Y127" s="130">
        <v>-38.5</v>
      </c>
      <c r="Z127" s="130">
        <v>-95.4</v>
      </c>
      <c r="AA127" s="130">
        <v>-84.8</v>
      </c>
      <c r="AB127" s="130">
        <v>-86</v>
      </c>
      <c r="AC127" s="130">
        <v>-14</v>
      </c>
      <c r="AD127" s="130">
        <v>-14</v>
      </c>
      <c r="AE127" s="130">
        <v>-2</v>
      </c>
      <c r="AF127" s="130">
        <v>38</v>
      </c>
      <c r="AG127" s="127"/>
      <c r="AH127" s="48">
        <f>MAX(B127:AF127)</f>
        <v>38</v>
      </c>
      <c r="AI127" s="49">
        <f>MIN(B127:AF127)</f>
        <v>-95.4</v>
      </c>
    </row>
    <row r="128" spans="1:35" x14ac:dyDescent="0.25">
      <c r="A128" s="128" t="s">
        <v>151</v>
      </c>
      <c r="B128" s="118">
        <v>51</v>
      </c>
      <c r="C128" s="118">
        <v>48</v>
      </c>
      <c r="D128" s="118">
        <v>48</v>
      </c>
      <c r="E128" s="118">
        <v>49</v>
      </c>
      <c r="F128" s="118">
        <v>45</v>
      </c>
      <c r="G128" s="118">
        <v>33</v>
      </c>
      <c r="H128" s="118">
        <v>28</v>
      </c>
      <c r="I128" s="118">
        <v>18</v>
      </c>
      <c r="J128" s="118">
        <v>10.3</v>
      </c>
      <c r="K128" s="118">
        <v>4</v>
      </c>
      <c r="L128" s="118">
        <v>4</v>
      </c>
      <c r="M128" s="118">
        <v>-14</v>
      </c>
      <c r="N128" s="118">
        <v>-0.2</v>
      </c>
      <c r="O128" s="118">
        <v>-0.7</v>
      </c>
      <c r="P128" s="118">
        <v>-0.7</v>
      </c>
      <c r="Q128" s="118">
        <v>-7.3</v>
      </c>
      <c r="R128" s="118">
        <v>2.9</v>
      </c>
      <c r="S128" s="118">
        <v>6.7</v>
      </c>
      <c r="T128" s="118">
        <v>1.4</v>
      </c>
      <c r="U128" s="118">
        <v>-6.2</v>
      </c>
      <c r="V128" s="118">
        <v>-12.5</v>
      </c>
      <c r="W128" s="118">
        <v>-6.4</v>
      </c>
      <c r="X128" s="118">
        <v>-12.6</v>
      </c>
      <c r="Y128" s="118">
        <v>-26.9</v>
      </c>
      <c r="Z128" s="118">
        <v>-26.3</v>
      </c>
      <c r="AA128" s="118">
        <v>-2.8</v>
      </c>
      <c r="AB128" s="118">
        <v>-11</v>
      </c>
      <c r="AC128" s="118">
        <v>-5.5</v>
      </c>
      <c r="AD128" s="118">
        <v>-5.5</v>
      </c>
      <c r="AE128" s="118">
        <v>7</v>
      </c>
      <c r="AF128" s="118">
        <v>11.2</v>
      </c>
      <c r="AG128" s="127"/>
      <c r="AH128" s="48">
        <f>MAX(B128:AF128)</f>
        <v>51</v>
      </c>
      <c r="AI128" s="49">
        <f>MIN(B128:AF128)</f>
        <v>-26.9</v>
      </c>
    </row>
    <row r="129" spans="1:37" x14ac:dyDescent="0.25">
      <c r="A129" s="128" t="s">
        <v>306</v>
      </c>
      <c r="B129" s="118">
        <v>74</v>
      </c>
      <c r="C129" s="118">
        <v>51</v>
      </c>
      <c r="D129" s="118">
        <v>51</v>
      </c>
      <c r="E129" s="118">
        <v>46</v>
      </c>
      <c r="F129" s="118">
        <v>49</v>
      </c>
      <c r="G129" s="118">
        <v>53</v>
      </c>
      <c r="H129" s="118">
        <v>60</v>
      </c>
      <c r="I129" s="118">
        <v>69</v>
      </c>
      <c r="J129" s="118">
        <v>92</v>
      </c>
      <c r="K129" s="118">
        <v>89</v>
      </c>
      <c r="L129" s="118">
        <v>89</v>
      </c>
      <c r="M129" s="118">
        <v>108</v>
      </c>
      <c r="N129" s="118">
        <v>93</v>
      </c>
      <c r="O129" s="118">
        <v>97</v>
      </c>
      <c r="P129" s="118">
        <v>97</v>
      </c>
      <c r="Q129" s="118">
        <v>101.5</v>
      </c>
      <c r="R129" s="118">
        <v>86</v>
      </c>
      <c r="S129" s="118">
        <v>89.9</v>
      </c>
      <c r="T129" s="118">
        <v>86.9</v>
      </c>
      <c r="U129" s="118">
        <v>97.4</v>
      </c>
      <c r="V129" s="118">
        <v>96.6</v>
      </c>
      <c r="W129" s="118">
        <v>93.6</v>
      </c>
      <c r="X129" s="118">
        <v>94.3</v>
      </c>
      <c r="Y129" s="118">
        <v>113.9</v>
      </c>
      <c r="Z129" s="118">
        <v>113</v>
      </c>
      <c r="AA129" s="118">
        <v>101.2</v>
      </c>
      <c r="AB129" s="118">
        <v>102</v>
      </c>
      <c r="AC129" s="118">
        <v>95</v>
      </c>
      <c r="AD129" s="118">
        <v>95</v>
      </c>
      <c r="AE129" s="118">
        <v>76</v>
      </c>
      <c r="AF129" s="118">
        <v>72</v>
      </c>
      <c r="AG129" s="127"/>
      <c r="AH129" s="48">
        <f>MAX(B129:AF129)</f>
        <v>113.9</v>
      </c>
      <c r="AI129" s="49">
        <f>MIN(B129:AF129)</f>
        <v>46</v>
      </c>
    </row>
    <row r="130" spans="1:37" ht="15.75" thickBot="1" x14ac:dyDescent="0.3">
      <c r="A130" s="128" t="s">
        <v>153</v>
      </c>
      <c r="B130" s="118">
        <v>60</v>
      </c>
      <c r="C130" s="118">
        <v>59</v>
      </c>
      <c r="D130" s="118">
        <v>59</v>
      </c>
      <c r="E130" s="118">
        <v>55</v>
      </c>
      <c r="F130" s="118">
        <v>61</v>
      </c>
      <c r="G130" s="118">
        <v>64</v>
      </c>
      <c r="H130" s="118">
        <v>67</v>
      </c>
      <c r="I130" s="118">
        <v>79</v>
      </c>
      <c r="J130" s="118">
        <v>86</v>
      </c>
      <c r="K130" s="118">
        <v>98</v>
      </c>
      <c r="L130" s="118">
        <v>98</v>
      </c>
      <c r="M130" s="118">
        <v>116</v>
      </c>
      <c r="N130" s="118">
        <v>101</v>
      </c>
      <c r="O130" s="118">
        <v>105</v>
      </c>
      <c r="P130" s="118">
        <v>105</v>
      </c>
      <c r="Q130" s="118">
        <v>109.6</v>
      </c>
      <c r="R130" s="118">
        <v>95</v>
      </c>
      <c r="S130" s="118">
        <v>91.4</v>
      </c>
      <c r="T130" s="118">
        <v>94</v>
      </c>
      <c r="U130" s="118">
        <v>101.6</v>
      </c>
      <c r="V130" s="118">
        <v>101.7</v>
      </c>
      <c r="W130" s="118">
        <v>101.2</v>
      </c>
      <c r="X130" s="118">
        <v>99.8</v>
      </c>
      <c r="Y130" s="118">
        <v>117.1</v>
      </c>
      <c r="Z130" s="118">
        <v>119.9</v>
      </c>
      <c r="AA130" s="118">
        <v>111.5</v>
      </c>
      <c r="AB130" s="118">
        <v>110.6</v>
      </c>
      <c r="AC130" s="118">
        <v>108</v>
      </c>
      <c r="AD130" s="118">
        <v>108</v>
      </c>
      <c r="AE130" s="118">
        <v>86</v>
      </c>
      <c r="AF130" s="118">
        <v>80</v>
      </c>
      <c r="AG130" s="127"/>
      <c r="AH130" s="48">
        <f>MAX(B130:AF130)</f>
        <v>119.9</v>
      </c>
      <c r="AI130" s="49">
        <f>MIN(B130:AF130)</f>
        <v>55</v>
      </c>
    </row>
    <row r="131" spans="1:37" x14ac:dyDescent="0.25">
      <c r="A131" s="132" t="s">
        <v>154</v>
      </c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4"/>
      <c r="AG131" s="44"/>
      <c r="AH131" s="48"/>
      <c r="AI131" s="49"/>
    </row>
    <row r="132" spans="1:37" x14ac:dyDescent="0.25">
      <c r="A132" s="135" t="s">
        <v>155</v>
      </c>
      <c r="B132" s="136">
        <v>1985.7</v>
      </c>
      <c r="C132" s="136">
        <v>1985.9</v>
      </c>
      <c r="D132" s="136">
        <v>1986</v>
      </c>
      <c r="E132" s="136">
        <v>1986.05</v>
      </c>
      <c r="F132" s="136">
        <v>1986.15</v>
      </c>
      <c r="G132" s="136">
        <v>1986.2</v>
      </c>
      <c r="H132" s="136"/>
      <c r="I132" s="136">
        <v>1986.15</v>
      </c>
      <c r="J132" s="136"/>
      <c r="K132" s="136">
        <v>1986.22</v>
      </c>
      <c r="L132" s="136">
        <v>1986.4</v>
      </c>
      <c r="M132" s="136">
        <v>1986.08</v>
      </c>
      <c r="N132" s="136">
        <v>1985.88</v>
      </c>
      <c r="O132" s="136">
        <v>1985.7</v>
      </c>
      <c r="P132" s="136">
        <v>1985.57</v>
      </c>
      <c r="Q132" s="136">
        <v>1985.55</v>
      </c>
      <c r="R132" s="136">
        <v>1985.58</v>
      </c>
      <c r="S132" s="136">
        <v>1985.64</v>
      </c>
      <c r="T132" s="136">
        <v>1985.64</v>
      </c>
      <c r="U132" s="136">
        <v>1985.63</v>
      </c>
      <c r="V132" s="136">
        <v>1985.65</v>
      </c>
      <c r="W132" s="136"/>
      <c r="X132" s="136">
        <v>1985.4</v>
      </c>
      <c r="Y132" s="136"/>
      <c r="Z132" s="136">
        <v>1985.1</v>
      </c>
      <c r="AA132" s="136"/>
      <c r="AB132" s="136">
        <v>1984.232</v>
      </c>
      <c r="AC132" s="136"/>
      <c r="AD132" s="136">
        <v>1984.15</v>
      </c>
      <c r="AE132" s="136">
        <v>1984.08</v>
      </c>
      <c r="AF132" s="137">
        <v>1984.15</v>
      </c>
      <c r="AG132" s="138"/>
      <c r="AH132" s="48"/>
      <c r="AI132" s="49"/>
    </row>
    <row r="133" spans="1:37" x14ac:dyDescent="0.25">
      <c r="A133" s="135" t="s">
        <v>156</v>
      </c>
      <c r="B133" s="139">
        <v>519.07000000000005</v>
      </c>
      <c r="C133" s="139">
        <v>519.65</v>
      </c>
      <c r="D133" s="139">
        <v>520.02</v>
      </c>
      <c r="E133" s="139">
        <v>520.34</v>
      </c>
      <c r="F133" s="139">
        <v>520.66</v>
      </c>
      <c r="G133" s="139">
        <v>521</v>
      </c>
      <c r="H133" s="139"/>
      <c r="I133" s="139">
        <v>521.17999999999995</v>
      </c>
      <c r="J133" s="139"/>
      <c r="K133" s="139">
        <v>520.72</v>
      </c>
      <c r="L133" s="139">
        <v>520.39</v>
      </c>
      <c r="M133" s="139">
        <v>520.16</v>
      </c>
      <c r="N133" s="139">
        <v>520.1</v>
      </c>
      <c r="O133" s="139">
        <v>520.24</v>
      </c>
      <c r="P133" s="139">
        <v>520.37</v>
      </c>
      <c r="Q133" s="139">
        <v>520.36</v>
      </c>
      <c r="R133" s="139">
        <v>520.38</v>
      </c>
      <c r="S133" s="139">
        <v>520.4</v>
      </c>
      <c r="T133" s="139">
        <v>520.48</v>
      </c>
      <c r="U133" s="139">
        <v>520.54999999999995</v>
      </c>
      <c r="V133" s="139">
        <v>520.58000000000004</v>
      </c>
      <c r="W133" s="139"/>
      <c r="X133" s="139">
        <v>520.41999999999996</v>
      </c>
      <c r="Y133" s="139"/>
      <c r="Z133" s="139">
        <v>520.05999999999995</v>
      </c>
      <c r="AA133" s="139"/>
      <c r="AB133" s="139">
        <v>519.54999999999995</v>
      </c>
      <c r="AC133" s="139"/>
      <c r="AD133" s="139">
        <v>519.20000000000005</v>
      </c>
      <c r="AE133" s="139">
        <v>518.98</v>
      </c>
      <c r="AF133" s="140">
        <v>519.04</v>
      </c>
      <c r="AG133" s="138"/>
      <c r="AH133" s="48"/>
      <c r="AI133" s="49"/>
    </row>
    <row r="134" spans="1:37" x14ac:dyDescent="0.25">
      <c r="A134" s="135" t="s">
        <v>158</v>
      </c>
      <c r="B134" s="139">
        <v>622.66999999999996</v>
      </c>
      <c r="C134" s="139">
        <v>622.99</v>
      </c>
      <c r="D134" s="139">
        <v>623.20000000000005</v>
      </c>
      <c r="E134" s="139">
        <v>623.59</v>
      </c>
      <c r="F134" s="139">
        <v>623.89</v>
      </c>
      <c r="G134" s="139">
        <v>624.22</v>
      </c>
      <c r="H134" s="139"/>
      <c r="I134" s="139">
        <v>624.14</v>
      </c>
      <c r="J134" s="139"/>
      <c r="K134" s="139">
        <v>623.6</v>
      </c>
      <c r="L134" s="139">
        <v>623.29</v>
      </c>
      <c r="M134" s="139"/>
      <c r="N134" s="139">
        <v>622.9</v>
      </c>
      <c r="O134" s="139">
        <v>622.4</v>
      </c>
      <c r="P134" s="139">
        <v>623.1</v>
      </c>
      <c r="Q134" s="139">
        <v>623.19000000000005</v>
      </c>
      <c r="R134" s="139">
        <v>623.05999999999995</v>
      </c>
      <c r="S134" s="139">
        <v>623.04</v>
      </c>
      <c r="T134" s="139">
        <v>622.9</v>
      </c>
      <c r="U134" s="139">
        <v>622.76</v>
      </c>
      <c r="V134" s="139">
        <v>622.55999999999995</v>
      </c>
      <c r="W134" s="139"/>
      <c r="X134" s="139">
        <v>622.55999999999995</v>
      </c>
      <c r="Y134" s="139"/>
      <c r="Z134" s="139">
        <v>622.32000000000005</v>
      </c>
      <c r="AA134" s="139"/>
      <c r="AB134" s="139">
        <v>621.59</v>
      </c>
      <c r="AC134" s="139"/>
      <c r="AD134" s="139">
        <v>621.37</v>
      </c>
      <c r="AE134" s="139">
        <v>622.09</v>
      </c>
      <c r="AF134" s="140">
        <v>622.65</v>
      </c>
      <c r="AG134" s="138"/>
      <c r="AH134" s="48"/>
      <c r="AI134" s="49"/>
    </row>
    <row r="135" spans="1:37" x14ac:dyDescent="0.25">
      <c r="A135" s="135" t="s">
        <v>159</v>
      </c>
      <c r="B135" s="139">
        <v>335.38</v>
      </c>
      <c r="C135" s="139">
        <v>335.86</v>
      </c>
      <c r="D135" s="139">
        <v>336.32</v>
      </c>
      <c r="E135" s="139">
        <v>336.56</v>
      </c>
      <c r="F135" s="139">
        <v>336.77</v>
      </c>
      <c r="G135" s="139">
        <v>336.98</v>
      </c>
      <c r="H135" s="139"/>
      <c r="I135" s="139">
        <v>336.93</v>
      </c>
      <c r="J135" s="139"/>
      <c r="K135" s="139">
        <v>336.47</v>
      </c>
      <c r="L135" s="139">
        <v>336.13</v>
      </c>
      <c r="M135" s="139"/>
      <c r="N135" s="139">
        <v>335.39</v>
      </c>
      <c r="O135" s="139"/>
      <c r="P135" s="139">
        <v>334.87</v>
      </c>
      <c r="Q135" s="139">
        <v>334.6</v>
      </c>
      <c r="R135" s="139">
        <v>334.72</v>
      </c>
      <c r="S135" s="139">
        <v>334.89</v>
      </c>
      <c r="T135" s="139">
        <v>334.92</v>
      </c>
      <c r="U135" s="139">
        <v>334.9</v>
      </c>
      <c r="V135" s="139">
        <v>334.82</v>
      </c>
      <c r="W135" s="139"/>
      <c r="X135" s="139">
        <v>334.81</v>
      </c>
      <c r="Y135" s="139"/>
      <c r="Z135" s="139">
        <v>334.72</v>
      </c>
      <c r="AA135" s="139"/>
      <c r="AB135" s="139">
        <v>334.49</v>
      </c>
      <c r="AC135" s="139"/>
      <c r="AD135" s="139">
        <v>334.41</v>
      </c>
      <c r="AE135" s="139">
        <v>334.46</v>
      </c>
      <c r="AF135" s="140">
        <v>334.62</v>
      </c>
      <c r="AG135" s="138"/>
      <c r="AH135" s="48"/>
      <c r="AI135" s="49"/>
    </row>
    <row r="136" spans="1:37" x14ac:dyDescent="0.25">
      <c r="A136" s="135" t="s">
        <v>160</v>
      </c>
      <c r="B136" s="139">
        <v>882.9</v>
      </c>
      <c r="C136" s="139">
        <v>883.8</v>
      </c>
      <c r="D136" s="139">
        <v>884.5</v>
      </c>
      <c r="E136" s="139">
        <v>885.2</v>
      </c>
      <c r="F136" s="139">
        <v>885.8</v>
      </c>
      <c r="G136" s="139">
        <v>886.4</v>
      </c>
      <c r="H136" s="139"/>
      <c r="I136" s="139">
        <v>886.8</v>
      </c>
      <c r="J136" s="139"/>
      <c r="K136" s="139">
        <v>886.8</v>
      </c>
      <c r="L136" s="139"/>
      <c r="M136" s="139">
        <v>886.4</v>
      </c>
      <c r="N136" s="139">
        <v>885.4</v>
      </c>
      <c r="O136" s="139">
        <v>884.2</v>
      </c>
      <c r="P136" s="139">
        <v>884.1</v>
      </c>
      <c r="Q136" s="139">
        <v>884.1</v>
      </c>
      <c r="R136" s="139">
        <v>884.6</v>
      </c>
      <c r="S136" s="139">
        <v>885.2</v>
      </c>
      <c r="T136" s="139">
        <v>885.8</v>
      </c>
      <c r="U136" s="139">
        <v>886.2</v>
      </c>
      <c r="V136" s="139">
        <v>886.1</v>
      </c>
      <c r="W136" s="139"/>
      <c r="X136" s="139">
        <v>885.8</v>
      </c>
      <c r="Y136" s="139"/>
      <c r="Z136" s="139">
        <v>884.5</v>
      </c>
      <c r="AA136" s="139"/>
      <c r="AB136" s="139">
        <v>883.7</v>
      </c>
      <c r="AC136" s="139"/>
      <c r="AD136" s="139">
        <v>883.8</v>
      </c>
      <c r="AE136" s="139">
        <v>883.9</v>
      </c>
      <c r="AF136" s="140">
        <v>884.2</v>
      </c>
      <c r="AG136" s="138"/>
      <c r="AH136" s="48"/>
      <c r="AI136" s="49"/>
    </row>
    <row r="137" spans="1:37" ht="15.75" thickBot="1" x14ac:dyDescent="0.3">
      <c r="A137" s="135" t="s">
        <v>161</v>
      </c>
      <c r="B137" s="141">
        <v>1519.55</v>
      </c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  <c r="AF137" s="142"/>
      <c r="AG137" s="138"/>
      <c r="AH137" s="48"/>
      <c r="AI137" s="49"/>
    </row>
    <row r="138" spans="1:37" ht="15.75" thickBot="1" x14ac:dyDescent="0.3">
      <c r="A138" s="143" t="s">
        <v>162</v>
      </c>
      <c r="B138" s="144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167">SUM(B139:B243)</f>
        <v>0</v>
      </c>
      <c r="C244" s="160">
        <f t="shared" si="167"/>
        <v>0</v>
      </c>
      <c r="D244" s="160">
        <f t="shared" si="167"/>
        <v>0</v>
      </c>
      <c r="E244" s="160">
        <f t="shared" si="167"/>
        <v>0</v>
      </c>
      <c r="F244" s="160">
        <f t="shared" si="167"/>
        <v>0</v>
      </c>
      <c r="G244" s="160">
        <f t="shared" si="167"/>
        <v>0</v>
      </c>
      <c r="H244" s="160">
        <f t="shared" si="167"/>
        <v>0</v>
      </c>
      <c r="I244" s="160">
        <f t="shared" si="167"/>
        <v>0</v>
      </c>
      <c r="J244" s="160">
        <f t="shared" si="167"/>
        <v>0</v>
      </c>
      <c r="K244" s="160">
        <f t="shared" si="167"/>
        <v>0</v>
      </c>
      <c r="L244" s="160">
        <f t="shared" si="167"/>
        <v>0</v>
      </c>
      <c r="M244" s="160">
        <f t="shared" si="167"/>
        <v>0</v>
      </c>
      <c r="N244" s="160">
        <f t="shared" si="167"/>
        <v>0</v>
      </c>
      <c r="O244" s="160">
        <f t="shared" si="167"/>
        <v>0</v>
      </c>
      <c r="P244" s="160">
        <f t="shared" si="167"/>
        <v>0</v>
      </c>
      <c r="Q244" s="160">
        <f t="shared" si="167"/>
        <v>0</v>
      </c>
      <c r="R244" s="160">
        <f t="shared" si="167"/>
        <v>0</v>
      </c>
      <c r="S244" s="160">
        <f t="shared" si="167"/>
        <v>0</v>
      </c>
      <c r="T244" s="160">
        <f t="shared" si="167"/>
        <v>0</v>
      </c>
      <c r="U244" s="160">
        <f t="shared" si="167"/>
        <v>0</v>
      </c>
      <c r="V244" s="160">
        <f t="shared" si="167"/>
        <v>0</v>
      </c>
      <c r="W244" s="160">
        <f t="shared" si="167"/>
        <v>0</v>
      </c>
      <c r="X244" s="160">
        <f t="shared" si="167"/>
        <v>0</v>
      </c>
      <c r="Y244" s="160">
        <f t="shared" si="167"/>
        <v>0</v>
      </c>
      <c r="Z244" s="160">
        <f t="shared" si="167"/>
        <v>0</v>
      </c>
      <c r="AA244" s="160">
        <f t="shared" si="167"/>
        <v>0</v>
      </c>
      <c r="AB244" s="160">
        <f t="shared" si="167"/>
        <v>0</v>
      </c>
      <c r="AC244" s="160">
        <f t="shared" si="167"/>
        <v>0</v>
      </c>
      <c r="AD244" s="160">
        <f t="shared" si="167"/>
        <v>0</v>
      </c>
      <c r="AE244" s="160">
        <f t="shared" si="167"/>
        <v>0</v>
      </c>
      <c r="AF244" s="161">
        <f t="shared" si="167"/>
        <v>0</v>
      </c>
      <c r="AG244" s="162">
        <f t="shared" si="167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168">AF246</f>
        <v>0.3</v>
      </c>
      <c r="C246" s="165">
        <v>0.3</v>
      </c>
      <c r="D246" s="165">
        <f t="shared" ref="D246:S251" si="169">C246</f>
        <v>0.3</v>
      </c>
      <c r="E246" s="165">
        <f t="shared" si="169"/>
        <v>0.3</v>
      </c>
      <c r="F246" s="165">
        <f t="shared" si="169"/>
        <v>0.3</v>
      </c>
      <c r="G246" s="165">
        <f t="shared" si="169"/>
        <v>0.3</v>
      </c>
      <c r="H246" s="165">
        <f t="shared" si="169"/>
        <v>0.3</v>
      </c>
      <c r="I246" s="165">
        <f t="shared" si="169"/>
        <v>0.3</v>
      </c>
      <c r="J246" s="165">
        <f t="shared" si="169"/>
        <v>0.3</v>
      </c>
      <c r="K246" s="165">
        <f t="shared" si="169"/>
        <v>0.3</v>
      </c>
      <c r="L246" s="165">
        <f t="shared" si="169"/>
        <v>0.3</v>
      </c>
      <c r="M246" s="165">
        <f t="shared" si="169"/>
        <v>0.3</v>
      </c>
      <c r="N246" s="165">
        <f t="shared" si="169"/>
        <v>0.3</v>
      </c>
      <c r="O246" s="165">
        <f t="shared" si="169"/>
        <v>0.3</v>
      </c>
      <c r="P246" s="165">
        <f t="shared" si="169"/>
        <v>0.3</v>
      </c>
      <c r="Q246" s="165">
        <f t="shared" si="169"/>
        <v>0.3</v>
      </c>
      <c r="R246" s="165">
        <f t="shared" si="169"/>
        <v>0.3</v>
      </c>
      <c r="S246" s="165">
        <f t="shared" si="169"/>
        <v>0.3</v>
      </c>
      <c r="T246" s="165">
        <f t="shared" ref="T246:AF251" si="170">S246</f>
        <v>0.3</v>
      </c>
      <c r="U246" s="165">
        <f t="shared" si="170"/>
        <v>0.3</v>
      </c>
      <c r="V246" s="165">
        <f t="shared" si="170"/>
        <v>0.3</v>
      </c>
      <c r="W246" s="165">
        <f t="shared" si="170"/>
        <v>0.3</v>
      </c>
      <c r="X246" s="165">
        <f t="shared" si="170"/>
        <v>0.3</v>
      </c>
      <c r="Y246" s="165">
        <f t="shared" si="170"/>
        <v>0.3</v>
      </c>
      <c r="Z246" s="165">
        <f t="shared" si="170"/>
        <v>0.3</v>
      </c>
      <c r="AA246" s="165">
        <f t="shared" si="170"/>
        <v>0.3</v>
      </c>
      <c r="AB246" s="165">
        <f t="shared" si="170"/>
        <v>0.3</v>
      </c>
      <c r="AC246" s="165">
        <f t="shared" si="170"/>
        <v>0.3</v>
      </c>
      <c r="AD246" s="165">
        <f t="shared" si="170"/>
        <v>0.3</v>
      </c>
      <c r="AE246" s="165">
        <f t="shared" si="170"/>
        <v>0.3</v>
      </c>
      <c r="AF246" s="165">
        <f t="shared" si="170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168"/>
        <v>0.4</v>
      </c>
      <c r="C247" s="151">
        <v>0.4</v>
      </c>
      <c r="D247" s="151">
        <f t="shared" si="169"/>
        <v>0.4</v>
      </c>
      <c r="E247" s="151">
        <f t="shared" si="169"/>
        <v>0.4</v>
      </c>
      <c r="F247" s="151">
        <f t="shared" si="169"/>
        <v>0.4</v>
      </c>
      <c r="G247" s="151">
        <f t="shared" si="169"/>
        <v>0.4</v>
      </c>
      <c r="H247" s="151">
        <f t="shared" si="169"/>
        <v>0.4</v>
      </c>
      <c r="I247" s="151">
        <f t="shared" si="169"/>
        <v>0.4</v>
      </c>
      <c r="J247" s="151">
        <f t="shared" si="169"/>
        <v>0.4</v>
      </c>
      <c r="K247" s="151">
        <f t="shared" si="169"/>
        <v>0.4</v>
      </c>
      <c r="L247" s="151">
        <f t="shared" si="169"/>
        <v>0.4</v>
      </c>
      <c r="M247" s="151">
        <f t="shared" si="169"/>
        <v>0.4</v>
      </c>
      <c r="N247" s="151">
        <f t="shared" si="169"/>
        <v>0.4</v>
      </c>
      <c r="O247" s="151">
        <f t="shared" si="169"/>
        <v>0.4</v>
      </c>
      <c r="P247" s="151">
        <f t="shared" si="169"/>
        <v>0.4</v>
      </c>
      <c r="Q247" s="151">
        <f t="shared" si="169"/>
        <v>0.4</v>
      </c>
      <c r="R247" s="151">
        <f t="shared" si="169"/>
        <v>0.4</v>
      </c>
      <c r="S247" s="151">
        <f t="shared" si="169"/>
        <v>0.4</v>
      </c>
      <c r="T247" s="151">
        <f t="shared" si="170"/>
        <v>0.4</v>
      </c>
      <c r="U247" s="151">
        <f t="shared" si="170"/>
        <v>0.4</v>
      </c>
      <c r="V247" s="151">
        <f t="shared" si="170"/>
        <v>0.4</v>
      </c>
      <c r="W247" s="151">
        <f t="shared" si="170"/>
        <v>0.4</v>
      </c>
      <c r="X247" s="151">
        <f t="shared" si="170"/>
        <v>0.4</v>
      </c>
      <c r="Y247" s="151">
        <f t="shared" si="170"/>
        <v>0.4</v>
      </c>
      <c r="Z247" s="151">
        <f t="shared" si="170"/>
        <v>0.4</v>
      </c>
      <c r="AA247" s="151">
        <f t="shared" si="170"/>
        <v>0.4</v>
      </c>
      <c r="AB247" s="151">
        <f t="shared" si="170"/>
        <v>0.4</v>
      </c>
      <c r="AC247" s="151">
        <f t="shared" si="170"/>
        <v>0.4</v>
      </c>
      <c r="AD247" s="151">
        <f t="shared" si="170"/>
        <v>0.4</v>
      </c>
      <c r="AE247" s="151">
        <f t="shared" si="170"/>
        <v>0.4</v>
      </c>
      <c r="AF247" s="151">
        <f t="shared" si="170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168"/>
        <v>1.5</v>
      </c>
      <c r="C248" s="151">
        <v>1.5</v>
      </c>
      <c r="D248" s="151">
        <f t="shared" si="169"/>
        <v>1.5</v>
      </c>
      <c r="E248" s="151">
        <f t="shared" si="169"/>
        <v>1.5</v>
      </c>
      <c r="F248" s="151">
        <f t="shared" si="169"/>
        <v>1.5</v>
      </c>
      <c r="G248" s="151">
        <f t="shared" si="169"/>
        <v>1.5</v>
      </c>
      <c r="H248" s="151">
        <f t="shared" si="169"/>
        <v>1.5</v>
      </c>
      <c r="I248" s="151">
        <f t="shared" si="169"/>
        <v>1.5</v>
      </c>
      <c r="J248" s="151">
        <f t="shared" si="169"/>
        <v>1.5</v>
      </c>
      <c r="K248" s="151">
        <f t="shared" si="169"/>
        <v>1.5</v>
      </c>
      <c r="L248" s="151">
        <f t="shared" si="169"/>
        <v>1.5</v>
      </c>
      <c r="M248" s="151">
        <f t="shared" si="169"/>
        <v>1.5</v>
      </c>
      <c r="N248" s="151">
        <f t="shared" si="169"/>
        <v>1.5</v>
      </c>
      <c r="O248" s="151">
        <f t="shared" si="169"/>
        <v>1.5</v>
      </c>
      <c r="P248" s="151">
        <f t="shared" si="169"/>
        <v>1.5</v>
      </c>
      <c r="Q248" s="151">
        <f t="shared" si="169"/>
        <v>1.5</v>
      </c>
      <c r="R248" s="151">
        <f t="shared" si="169"/>
        <v>1.5</v>
      </c>
      <c r="S248" s="151">
        <f t="shared" si="169"/>
        <v>1.5</v>
      </c>
      <c r="T248" s="151">
        <f t="shared" si="170"/>
        <v>1.5</v>
      </c>
      <c r="U248" s="151">
        <f t="shared" si="170"/>
        <v>1.5</v>
      </c>
      <c r="V248" s="151">
        <f t="shared" si="170"/>
        <v>1.5</v>
      </c>
      <c r="W248" s="151">
        <f t="shared" si="170"/>
        <v>1.5</v>
      </c>
      <c r="X248" s="151">
        <f t="shared" si="170"/>
        <v>1.5</v>
      </c>
      <c r="Y248" s="151">
        <f t="shared" si="170"/>
        <v>1.5</v>
      </c>
      <c r="Z248" s="151">
        <f t="shared" si="170"/>
        <v>1.5</v>
      </c>
      <c r="AA248" s="151">
        <f t="shared" si="170"/>
        <v>1.5</v>
      </c>
      <c r="AB248" s="151">
        <f t="shared" si="170"/>
        <v>1.5</v>
      </c>
      <c r="AC248" s="151">
        <f t="shared" si="170"/>
        <v>1.5</v>
      </c>
      <c r="AD248" s="151">
        <f t="shared" si="170"/>
        <v>1.5</v>
      </c>
      <c r="AE248" s="151">
        <f t="shared" si="170"/>
        <v>1.5</v>
      </c>
      <c r="AF248" s="151">
        <f t="shared" si="170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168"/>
        <v>0.3</v>
      </c>
      <c r="C249" s="151">
        <v>0.3</v>
      </c>
      <c r="D249" s="151">
        <f t="shared" si="169"/>
        <v>0.3</v>
      </c>
      <c r="E249" s="151">
        <f t="shared" si="169"/>
        <v>0.3</v>
      </c>
      <c r="F249" s="151">
        <f t="shared" si="169"/>
        <v>0.3</v>
      </c>
      <c r="G249" s="151">
        <f t="shared" si="169"/>
        <v>0.3</v>
      </c>
      <c r="H249" s="151">
        <f t="shared" si="169"/>
        <v>0.3</v>
      </c>
      <c r="I249" s="151">
        <f t="shared" si="169"/>
        <v>0.3</v>
      </c>
      <c r="J249" s="151">
        <f t="shared" si="169"/>
        <v>0.3</v>
      </c>
      <c r="K249" s="151">
        <f t="shared" si="169"/>
        <v>0.3</v>
      </c>
      <c r="L249" s="151">
        <f t="shared" si="169"/>
        <v>0.3</v>
      </c>
      <c r="M249" s="151">
        <f t="shared" si="169"/>
        <v>0.3</v>
      </c>
      <c r="N249" s="151">
        <f t="shared" si="169"/>
        <v>0.3</v>
      </c>
      <c r="O249" s="151">
        <f t="shared" si="169"/>
        <v>0.3</v>
      </c>
      <c r="P249" s="151">
        <f t="shared" si="169"/>
        <v>0.3</v>
      </c>
      <c r="Q249" s="151">
        <f t="shared" si="169"/>
        <v>0.3</v>
      </c>
      <c r="R249" s="151">
        <f t="shared" si="169"/>
        <v>0.3</v>
      </c>
      <c r="S249" s="151">
        <f t="shared" si="169"/>
        <v>0.3</v>
      </c>
      <c r="T249" s="151">
        <f t="shared" si="170"/>
        <v>0.3</v>
      </c>
      <c r="U249" s="151">
        <f t="shared" si="170"/>
        <v>0.3</v>
      </c>
      <c r="V249" s="151">
        <f t="shared" si="170"/>
        <v>0.3</v>
      </c>
      <c r="W249" s="151">
        <f t="shared" si="170"/>
        <v>0.3</v>
      </c>
      <c r="X249" s="151">
        <f t="shared" si="170"/>
        <v>0.3</v>
      </c>
      <c r="Y249" s="151">
        <f t="shared" si="170"/>
        <v>0.3</v>
      </c>
      <c r="Z249" s="151">
        <f t="shared" si="170"/>
        <v>0.3</v>
      </c>
      <c r="AA249" s="151">
        <f t="shared" si="170"/>
        <v>0.3</v>
      </c>
      <c r="AB249" s="151">
        <f t="shared" si="170"/>
        <v>0.3</v>
      </c>
      <c r="AC249" s="151">
        <f t="shared" si="170"/>
        <v>0.3</v>
      </c>
      <c r="AD249" s="151">
        <f t="shared" si="170"/>
        <v>0.3</v>
      </c>
      <c r="AE249" s="151">
        <f t="shared" si="170"/>
        <v>0.3</v>
      </c>
      <c r="AF249" s="151">
        <f t="shared" si="170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168"/>
        <v>0.4</v>
      </c>
      <c r="C250" s="151">
        <v>0.4</v>
      </c>
      <c r="D250" s="151">
        <f t="shared" si="169"/>
        <v>0.4</v>
      </c>
      <c r="E250" s="151">
        <f t="shared" si="169"/>
        <v>0.4</v>
      </c>
      <c r="F250" s="151">
        <f t="shared" si="169"/>
        <v>0.4</v>
      </c>
      <c r="G250" s="151">
        <f t="shared" si="169"/>
        <v>0.4</v>
      </c>
      <c r="H250" s="151">
        <f t="shared" si="169"/>
        <v>0.4</v>
      </c>
      <c r="I250" s="151">
        <f t="shared" si="169"/>
        <v>0.4</v>
      </c>
      <c r="J250" s="151">
        <f t="shared" si="169"/>
        <v>0.4</v>
      </c>
      <c r="K250" s="151">
        <f t="shared" si="169"/>
        <v>0.4</v>
      </c>
      <c r="L250" s="151">
        <f t="shared" si="169"/>
        <v>0.4</v>
      </c>
      <c r="M250" s="151">
        <f t="shared" si="169"/>
        <v>0.4</v>
      </c>
      <c r="N250" s="151">
        <f t="shared" si="169"/>
        <v>0.4</v>
      </c>
      <c r="O250" s="151">
        <f t="shared" si="169"/>
        <v>0.4</v>
      </c>
      <c r="P250" s="151">
        <f t="shared" si="169"/>
        <v>0.4</v>
      </c>
      <c r="Q250" s="151">
        <f t="shared" si="169"/>
        <v>0.4</v>
      </c>
      <c r="R250" s="151">
        <f t="shared" si="169"/>
        <v>0.4</v>
      </c>
      <c r="S250" s="151">
        <f t="shared" si="169"/>
        <v>0.4</v>
      </c>
      <c r="T250" s="151">
        <f t="shared" si="170"/>
        <v>0.4</v>
      </c>
      <c r="U250" s="151">
        <f t="shared" si="170"/>
        <v>0.4</v>
      </c>
      <c r="V250" s="151">
        <f t="shared" si="170"/>
        <v>0.4</v>
      </c>
      <c r="W250" s="151">
        <f t="shared" si="170"/>
        <v>0.4</v>
      </c>
      <c r="X250" s="151">
        <f t="shared" si="170"/>
        <v>0.4</v>
      </c>
      <c r="Y250" s="151">
        <f t="shared" si="170"/>
        <v>0.4</v>
      </c>
      <c r="Z250" s="151">
        <f t="shared" si="170"/>
        <v>0.4</v>
      </c>
      <c r="AA250" s="151">
        <f t="shared" si="170"/>
        <v>0.4</v>
      </c>
      <c r="AB250" s="151">
        <f t="shared" si="170"/>
        <v>0.4</v>
      </c>
      <c r="AC250" s="151">
        <f t="shared" si="170"/>
        <v>0.4</v>
      </c>
      <c r="AD250" s="151">
        <f t="shared" si="170"/>
        <v>0.4</v>
      </c>
      <c r="AE250" s="151">
        <f t="shared" si="170"/>
        <v>0.4</v>
      </c>
      <c r="AF250" s="151">
        <f t="shared" si="170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168"/>
        <v>0.64</v>
      </c>
      <c r="C251" s="156">
        <v>0.64</v>
      </c>
      <c r="D251" s="156">
        <f t="shared" si="169"/>
        <v>0.64</v>
      </c>
      <c r="E251" s="156">
        <f t="shared" si="169"/>
        <v>0.64</v>
      </c>
      <c r="F251" s="156">
        <f t="shared" si="169"/>
        <v>0.64</v>
      </c>
      <c r="G251" s="156">
        <f t="shared" si="169"/>
        <v>0.64</v>
      </c>
      <c r="H251" s="156">
        <f t="shared" si="169"/>
        <v>0.64</v>
      </c>
      <c r="I251" s="156">
        <f t="shared" si="169"/>
        <v>0.64</v>
      </c>
      <c r="J251" s="156">
        <f t="shared" si="169"/>
        <v>0.64</v>
      </c>
      <c r="K251" s="156">
        <f t="shared" si="169"/>
        <v>0.64</v>
      </c>
      <c r="L251" s="156">
        <f t="shared" si="169"/>
        <v>0.64</v>
      </c>
      <c r="M251" s="156">
        <f t="shared" si="169"/>
        <v>0.64</v>
      </c>
      <c r="N251" s="156">
        <f t="shared" si="169"/>
        <v>0.64</v>
      </c>
      <c r="O251" s="156">
        <f t="shared" si="169"/>
        <v>0.64</v>
      </c>
      <c r="P251" s="156">
        <f t="shared" si="169"/>
        <v>0.64</v>
      </c>
      <c r="Q251" s="156">
        <f t="shared" si="169"/>
        <v>0.64</v>
      </c>
      <c r="R251" s="156">
        <f t="shared" si="169"/>
        <v>0.64</v>
      </c>
      <c r="S251" s="156">
        <f t="shared" si="169"/>
        <v>0.64</v>
      </c>
      <c r="T251" s="156">
        <f t="shared" si="170"/>
        <v>0.64</v>
      </c>
      <c r="U251" s="156">
        <f t="shared" si="170"/>
        <v>0.64</v>
      </c>
      <c r="V251" s="156">
        <f t="shared" si="170"/>
        <v>0.64</v>
      </c>
      <c r="W251" s="156">
        <f t="shared" si="170"/>
        <v>0.64</v>
      </c>
      <c r="X251" s="156">
        <f t="shared" si="170"/>
        <v>0.64</v>
      </c>
      <c r="Y251" s="156">
        <f t="shared" si="170"/>
        <v>0.64</v>
      </c>
      <c r="Z251" s="156">
        <f t="shared" si="170"/>
        <v>0.64</v>
      </c>
      <c r="AA251" s="156">
        <f t="shared" si="170"/>
        <v>0.64</v>
      </c>
      <c r="AB251" s="156">
        <f t="shared" si="170"/>
        <v>0.64</v>
      </c>
      <c r="AC251" s="156">
        <f t="shared" si="170"/>
        <v>0.64</v>
      </c>
      <c r="AD251" s="156">
        <f t="shared" si="170"/>
        <v>0.64</v>
      </c>
      <c r="AE251" s="156">
        <f t="shared" si="170"/>
        <v>0.64</v>
      </c>
      <c r="AF251" s="156">
        <f t="shared" si="170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171">SUM(B246:B251)</f>
        <v>3.54</v>
      </c>
      <c r="C252" s="160">
        <f t="shared" si="171"/>
        <v>3.54</v>
      </c>
      <c r="D252" s="160">
        <f t="shared" si="171"/>
        <v>3.54</v>
      </c>
      <c r="E252" s="160">
        <f t="shared" si="171"/>
        <v>3.54</v>
      </c>
      <c r="F252" s="160">
        <f t="shared" si="171"/>
        <v>3.54</v>
      </c>
      <c r="G252" s="160">
        <f t="shared" si="171"/>
        <v>3.54</v>
      </c>
      <c r="H252" s="160">
        <f t="shared" si="171"/>
        <v>3.54</v>
      </c>
      <c r="I252" s="160">
        <f t="shared" si="171"/>
        <v>3.54</v>
      </c>
      <c r="J252" s="160">
        <f t="shared" si="171"/>
        <v>3.54</v>
      </c>
      <c r="K252" s="160">
        <f t="shared" si="171"/>
        <v>3.54</v>
      </c>
      <c r="L252" s="160">
        <f t="shared" si="171"/>
        <v>3.54</v>
      </c>
      <c r="M252" s="160">
        <f t="shared" si="171"/>
        <v>3.54</v>
      </c>
      <c r="N252" s="160">
        <f t="shared" si="171"/>
        <v>3.54</v>
      </c>
      <c r="O252" s="160">
        <f t="shared" si="171"/>
        <v>3.54</v>
      </c>
      <c r="P252" s="160">
        <f t="shared" si="171"/>
        <v>3.54</v>
      </c>
      <c r="Q252" s="160">
        <f t="shared" si="171"/>
        <v>3.54</v>
      </c>
      <c r="R252" s="160">
        <f t="shared" si="171"/>
        <v>3.54</v>
      </c>
      <c r="S252" s="160">
        <f t="shared" si="171"/>
        <v>3.54</v>
      </c>
      <c r="T252" s="160">
        <f t="shared" si="171"/>
        <v>3.54</v>
      </c>
      <c r="U252" s="160">
        <f t="shared" si="171"/>
        <v>3.54</v>
      </c>
      <c r="V252" s="160">
        <f t="shared" si="171"/>
        <v>3.54</v>
      </c>
      <c r="W252" s="160">
        <f t="shared" si="171"/>
        <v>3.54</v>
      </c>
      <c r="X252" s="160">
        <f t="shared" si="171"/>
        <v>3.54</v>
      </c>
      <c r="Y252" s="160">
        <f t="shared" si="171"/>
        <v>3.54</v>
      </c>
      <c r="Z252" s="160">
        <f t="shared" si="171"/>
        <v>3.54</v>
      </c>
      <c r="AA252" s="160">
        <f t="shared" si="171"/>
        <v>3.54</v>
      </c>
      <c r="AB252" s="160">
        <f t="shared" si="171"/>
        <v>3.54</v>
      </c>
      <c r="AC252" s="160">
        <f t="shared" si="171"/>
        <v>3.54</v>
      </c>
      <c r="AD252" s="160">
        <f t="shared" si="171"/>
        <v>3.54</v>
      </c>
      <c r="AE252" s="160">
        <f t="shared" si="171"/>
        <v>3.54</v>
      </c>
      <c r="AF252" s="160">
        <f t="shared" si="171"/>
        <v>3.54</v>
      </c>
      <c r="AG252" s="170">
        <f t="shared" si="171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1592.99</v>
      </c>
      <c r="C256" s="173">
        <f>INDEX(G9:N9,1,MATCH(MAX(G99:N99),G99:N99,0))</f>
        <v>0.33333333333333331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2080/10/9)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2950" priority="90">
      <formula>$AH11=0</formula>
    </cfRule>
  </conditionalFormatting>
  <conditionalFormatting sqref="A132:A253">
    <cfRule type="expression" dxfId="2949" priority="91">
      <formula>$AH132=0</formula>
    </cfRule>
  </conditionalFormatting>
  <conditionalFormatting sqref="B8">
    <cfRule type="expression" dxfId="2948" priority="152">
      <formula>C$9&gt;=20/24</formula>
    </cfRule>
    <cfRule type="expression" dxfId="2947" priority="149">
      <formula>AND(C$9&gt;=14/24,C$9&lt;20/24)</formula>
    </cfRule>
    <cfRule type="expression" dxfId="2946" priority="150">
      <formula>AND(C$9&gt;=8/24,C$9&lt;14/24)</formula>
    </cfRule>
    <cfRule type="expression" dxfId="2945" priority="151">
      <formula>C$9&lt;8/24</formula>
    </cfRule>
  </conditionalFormatting>
  <conditionalFormatting sqref="B11:Y52 D59:O61 D59:D68 B59:C74 D63:Y74 Z69:AF74 B77:AF99 B9:AF10 B101:AF117 B119:AF137 B244:AF244 B246:B252">
    <cfRule type="expression" dxfId="2944" priority="41">
      <formula>B$9&gt;=20/24</formula>
    </cfRule>
  </conditionalFormatting>
  <conditionalFormatting sqref="B11:Y80 AB58:AF61 Z58:AA80 AB62:AG62 AB63:AF80 AG80">
    <cfRule type="expression" dxfId="2943" priority="40">
      <formula>B11&gt;$AG11</formula>
    </cfRule>
  </conditionalFormatting>
  <conditionalFormatting sqref="B9:AF10 B11:Y52 D59:O61 D59:D68 B59:C74 D63:Y74 Z69:AF74 B77:AF99 B101:AF117 B119:AF137 B244:AF244 B246:B252">
    <cfRule type="expression" dxfId="2942" priority="43">
      <formula>AND(B$9&gt;=8/24,B$9&lt;14/24)</formula>
    </cfRule>
    <cfRule type="expression" dxfId="2941" priority="42">
      <formula>AND(B$9&gt;=14/24,B$9&lt;20/24)</formula>
    </cfRule>
  </conditionalFormatting>
  <conditionalFormatting sqref="B9:AF10 B11:Y57 D59:O61 D59:D68 B59:C74 D63:Y74 Z69:AF74 B77:AF99 B101:AF117 B119:AF137 B244:AF244 B246:B252">
    <cfRule type="expression" dxfId="2940" priority="44">
      <formula>B$9&lt;8/24</formula>
    </cfRule>
  </conditionalFormatting>
  <conditionalFormatting sqref="D246:AF252">
    <cfRule type="expression" dxfId="2939" priority="137">
      <formula>D$9&lt;8/24</formula>
    </cfRule>
    <cfRule type="expression" dxfId="2938" priority="135">
      <formula>AND(D$9&gt;=14/24,D$9&lt;20/24)</formula>
    </cfRule>
    <cfRule type="expression" dxfId="2937" priority="134">
      <formula>D$9&gt;=20/24</formula>
    </cfRule>
    <cfRule type="expression" dxfId="2936" priority="136">
      <formula>AND(D$9&gt;=8/24,D$9&lt;14/24)</formula>
    </cfRule>
  </conditionalFormatting>
  <conditionalFormatting sqref="E59:AF68">
    <cfRule type="expression" dxfId="2935" priority="49">
      <formula>E$9&gt;=20/24</formula>
    </cfRule>
    <cfRule type="expression" dxfId="2934" priority="50">
      <formula>AND(E$9&gt;=14/24,E$9&lt;20/24)</formula>
    </cfRule>
    <cfRule type="expression" dxfId="2933" priority="51">
      <formula>AND(E$9&gt;=8/24,E$9&lt;14/24)</formula>
    </cfRule>
    <cfRule type="expression" dxfId="2932" priority="52">
      <formula>E$9&lt;8/24</formula>
    </cfRule>
  </conditionalFormatting>
  <conditionalFormatting sqref="F63:Y65">
    <cfRule type="expression" dxfId="2931" priority="84">
      <formula>AND(F$9&gt;=8/24,F$9&lt;14/24)</formula>
    </cfRule>
    <cfRule type="expression" dxfId="2930" priority="82">
      <formula>F$9&gt;=20/24</formula>
    </cfRule>
    <cfRule type="expression" dxfId="2929" priority="83">
      <formula>AND(F$9&gt;=14/24,F$9&lt;20/24)</formula>
    </cfRule>
    <cfRule type="expression" dxfId="2928" priority="85">
      <formula>F$9&lt;8/24</formula>
    </cfRule>
  </conditionalFormatting>
  <conditionalFormatting sqref="M8 S8 AB8">
    <cfRule type="expression" dxfId="2927" priority="143">
      <formula>N$9&lt;8/24</formula>
    </cfRule>
    <cfRule type="expression" dxfId="2926" priority="142">
      <formula>AND(N$9&gt;=8/24,N$9&lt;14/24)</formula>
    </cfRule>
    <cfRule type="expression" dxfId="2925" priority="141">
      <formula>AND(N$9&gt;=14/24,N$9&lt;20/24)</formula>
    </cfRule>
  </conditionalFormatting>
  <conditionalFormatting sqref="M63:Y67">
    <cfRule type="expression" dxfId="2924" priority="89">
      <formula>M$9&lt;8/24</formula>
    </cfRule>
    <cfRule type="expression" dxfId="2923" priority="86">
      <formula>M$9&gt;=20/24</formula>
    </cfRule>
    <cfRule type="expression" dxfId="2922" priority="87">
      <formula>AND(M$9&gt;=14/24,M$9&lt;20/24)</formula>
    </cfRule>
    <cfRule type="expression" dxfId="2921" priority="88">
      <formula>AND(M$9&gt;=8/24,M$9&lt;14/24)</formula>
    </cfRule>
  </conditionalFormatting>
  <conditionalFormatting sqref="M68:Y68">
    <cfRule type="expression" dxfId="2920" priority="80">
      <formula>AND(M$9&gt;=8/24,M$9&lt;14/24)</formula>
    </cfRule>
    <cfRule type="expression" dxfId="2919" priority="81">
      <formula>M$9&lt;8/24</formula>
    </cfRule>
    <cfRule type="expression" dxfId="2918" priority="78">
      <formula>M$9&gt;=20/24</formula>
    </cfRule>
    <cfRule type="expression" dxfId="2917" priority="79">
      <formula>AND(M$9&gt;=14/24,M$9&lt;20/24)</formula>
    </cfRule>
  </conditionalFormatting>
  <conditionalFormatting sqref="O3:P3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916" priority="140">
      <formula>N$9&gt;=20/24</formula>
    </cfRule>
  </conditionalFormatting>
  <conditionalFormatting sqref="S8">
    <cfRule type="expression" dxfId="2915" priority="130">
      <formula>U$9&lt;8/24</formula>
    </cfRule>
    <cfRule type="expression" dxfId="2914" priority="129">
      <formula>AND(U$9&gt;=8/24,U$9&lt;14/24)</formula>
    </cfRule>
    <cfRule type="expression" dxfId="2913" priority="128">
      <formula>AND(U$9&gt;=14/24,U$9&lt;20/24)</formula>
    </cfRule>
    <cfRule type="expression" dxfId="2912" priority="127">
      <formula>U$9&gt;=20/24</formula>
    </cfRule>
  </conditionalFormatting>
  <conditionalFormatting sqref="V3 AB3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Z11:AF52">
    <cfRule type="expression" dxfId="2911" priority="58">
      <formula>Z11&gt;$AG11</formula>
    </cfRule>
    <cfRule type="expression" dxfId="2910" priority="60">
      <formula>AND(Z$9&gt;=14/24,Z$9&lt;20/24)</formula>
    </cfRule>
    <cfRule type="expression" dxfId="2909" priority="61">
      <formula>AND(Z$9&gt;=8/24,Z$9&lt;14/24)</formula>
    </cfRule>
    <cfRule type="expression" dxfId="2908" priority="62">
      <formula>Z$9&lt;8/24</formula>
    </cfRule>
    <cfRule type="expression" dxfId="2907" priority="59">
      <formula>Z$9&gt;=20/24</formula>
    </cfRule>
  </conditionalFormatting>
  <conditionalFormatting sqref="Z53:AF54 B53:Y57">
    <cfRule type="expression" dxfId="2906" priority="38">
      <formula>AND(B$9&gt;=14/24,B$9&lt;20/24)</formula>
    </cfRule>
    <cfRule type="expression" dxfId="2905" priority="37">
      <formula>B$9&gt;=20/24</formula>
    </cfRule>
    <cfRule type="expression" dxfId="2904" priority="39">
      <formula>AND(B$9&gt;=8/24,B$9&lt;14/24)</formula>
    </cfRule>
  </conditionalFormatting>
  <conditionalFormatting sqref="Z53:AF55">
    <cfRule type="expression" dxfId="2903" priority="77">
      <formula>Z53&gt;$AG53</formula>
    </cfRule>
  </conditionalFormatting>
  <conditionalFormatting sqref="Z53:AF57">
    <cfRule type="expression" dxfId="2902" priority="76">
      <formula>Z$9&lt;8/24</formula>
    </cfRule>
  </conditionalFormatting>
  <conditionalFormatting sqref="Z55:AF57">
    <cfRule type="expression" dxfId="2901" priority="64">
      <formula>Z$9&gt;=20/24</formula>
    </cfRule>
    <cfRule type="expression" dxfId="2900" priority="65">
      <formula>AND(Z$9&gt;=14/24,Z$9&lt;20/24)</formula>
    </cfRule>
    <cfRule type="expression" dxfId="2899" priority="66">
      <formula>AND(Z$9&gt;=8/24,Z$9&lt;14/24)</formula>
    </cfRule>
  </conditionalFormatting>
  <conditionalFormatting sqref="Z56:AF57">
    <cfRule type="expression" dxfId="2898" priority="63">
      <formula>Z56&gt;$AG56</formula>
    </cfRule>
  </conditionalFormatting>
  <conditionalFormatting sqref="AB8">
    <cfRule type="expression" dxfId="2897" priority="124">
      <formula>AND(AD$9&gt;=14/24,AD$9&lt;20/24)</formula>
    </cfRule>
    <cfRule type="expression" dxfId="2896" priority="123">
      <formula>AD$9&gt;=20/24</formula>
    </cfRule>
    <cfRule type="expression" dxfId="2895" priority="126">
      <formula>AD$9&lt;8/24</formula>
    </cfRule>
    <cfRule type="expression" dxfId="2894" priority="125">
      <formula>AND(AD$9&gt;=8/24,AD$9&lt;14/24)</formula>
    </cfRule>
  </conditionalFormatting>
  <conditionalFormatting sqref="AG58">
    <cfRule type="expression" dxfId="2893" priority="118">
      <formula>AG58&gt;$AG58</formula>
    </cfRule>
  </conditionalFormatting>
  <conditionalFormatting sqref="AG62">
    <cfRule type="expression" dxfId="2892" priority="102">
      <formula>AND(AG$9&gt;=14/24,AG$9&lt;20/24)</formula>
    </cfRule>
    <cfRule type="expression" dxfId="2891" priority="103">
      <formula>AND(AG$9&gt;=8/24,AG$9&lt;14/24)</formula>
    </cfRule>
    <cfRule type="expression" dxfId="2890" priority="104">
      <formula>AG$9&lt;8/24</formula>
    </cfRule>
    <cfRule type="expression" dxfId="2889" priority="101">
      <formula>AG$9&gt;=20/24</formula>
    </cfRule>
  </conditionalFormatting>
  <conditionalFormatting sqref="AG75:AG76">
    <cfRule type="expression" dxfId="2888" priority="96">
      <formula>AG75&gt;$AG75</formula>
    </cfRule>
  </conditionalFormatting>
  <conditionalFormatting sqref="AG80">
    <cfRule type="expression" dxfId="2887" priority="97">
      <formula>AG$9&gt;=20/24</formula>
    </cfRule>
    <cfRule type="expression" dxfId="2886" priority="98">
      <formula>AND(AG$9&gt;=14/24,AG$9&lt;20/24)</formula>
    </cfRule>
    <cfRule type="expression" dxfId="2885" priority="99">
      <formula>AND(AG$9&gt;=8/24,AG$9&lt;14/24)</formula>
    </cfRule>
    <cfRule type="expression" dxfId="2884" priority="100">
      <formula>AG$9&lt;8/24</formula>
    </cfRule>
  </conditionalFormatting>
  <conditionalFormatting sqref="AG97">
    <cfRule type="expression" dxfId="2883" priority="119">
      <formula>AG$9&gt;=20/24</formula>
    </cfRule>
    <cfRule type="expression" dxfId="2882" priority="122">
      <formula>AG$9&lt;8/24</formula>
    </cfRule>
    <cfRule type="expression" dxfId="2881" priority="120">
      <formula>AND(AG$9&gt;=14/24,AG$9&lt;20/24)</formula>
    </cfRule>
    <cfRule type="expression" dxfId="2880" priority="121">
      <formula>AND(AG$9&gt;=8/24,AG$9&lt;14/24)</formula>
    </cfRule>
  </conditionalFormatting>
  <conditionalFormatting sqref="AL4:AL6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879" priority="146">
      <formula>AND(AJ$9&gt;=8/24,AJ$9&lt;14/24)</formula>
    </cfRule>
    <cfRule type="expression" dxfId="2878" priority="144">
      <formula>AJ$9&gt;=20/24</formula>
    </cfRule>
    <cfRule type="expression" dxfId="2877" priority="145">
      <formula>AND(AJ$9&gt;=14/24,AJ$9&lt;20/24)</formula>
    </cfRule>
    <cfRule type="expression" dxfId="2876" priority="147">
      <formula>AJ$9&lt;8/24</formula>
    </cfRule>
  </conditionalFormatting>
  <conditionalFormatting sqref="AL88:AN88 AL94:AN94">
    <cfRule type="expression" dxfId="2875" priority="111">
      <formula>AL$9&gt;=20/24</formula>
    </cfRule>
    <cfRule type="expression" dxfId="2874" priority="112">
      <formula>AND(AL$9&gt;=14/24,AL$9&lt;20/24)</formula>
    </cfRule>
    <cfRule type="expression" dxfId="2873" priority="113">
      <formula>AND(AL$9&gt;=8/24,AL$9&lt;14/24)</formula>
    </cfRule>
    <cfRule type="expression" dxfId="2872" priority="114">
      <formula>AL$9&lt;8/24</formula>
    </cfRule>
  </conditionalFormatting>
  <conditionalFormatting sqref="AM15:AM21 AN16:AR21">
    <cfRule type="expression" dxfId="2871" priority="13">
      <formula>AX$9&gt;=20/24</formula>
    </cfRule>
    <cfRule type="expression" dxfId="2870" priority="14">
      <formula>AND(AX$9&gt;=14/24,AX$9&lt;20/24)</formula>
    </cfRule>
    <cfRule type="expression" dxfId="2869" priority="16">
      <formula>AX$9&lt;8/24</formula>
    </cfRule>
    <cfRule type="expression" dxfId="2868" priority="15">
      <formula>AND(AX$9&gt;=8/24,AX$9&lt;14/24)</formula>
    </cfRule>
  </conditionalFormatting>
  <conditionalFormatting sqref="AN89:AN92">
    <cfRule type="expression" dxfId="2867" priority="110">
      <formula>AN$9&lt;8/24</formula>
    </cfRule>
    <cfRule type="expression" dxfId="2866" priority="107">
      <formula>AN$9&gt;=20/24</formula>
    </cfRule>
    <cfRule type="expression" dxfId="2865" priority="109">
      <formula>AND(AN$9&gt;=8/24,AN$9&lt;14/24)</formula>
    </cfRule>
    <cfRule type="expression" dxfId="2864" priority="108">
      <formula>AND(AN$9&gt;=14/24,AN$9&lt;20/24)</formula>
    </cfRule>
  </conditionalFormatting>
  <conditionalFormatting sqref="AN15:AR15">
    <cfRule type="expression" dxfId="2863" priority="3">
      <formula>AND(U$9&gt;=8/24,U$9&lt;14/24)</formula>
    </cfRule>
    <cfRule type="expression" dxfId="2862" priority="4">
      <formula>U$9&lt;8/24</formula>
    </cfRule>
    <cfRule type="expression" dxfId="2861" priority="2">
      <formula>AND(U$9&gt;=14/24,U$9&lt;20/24)</formula>
    </cfRule>
    <cfRule type="expression" dxfId="2860" priority="1">
      <formula>U$9&gt;=20/24</formula>
    </cfRule>
  </conditionalFormatting>
  <conditionalFormatting sqref="AS15">
    <cfRule type="expression" dxfId="2859" priority="10">
      <formula>AND(AA$9&gt;=14/24,AA$9&lt;20/24)</formula>
    </cfRule>
    <cfRule type="expression" dxfId="2858" priority="11">
      <formula>AND(AA$9&gt;=8/24,AA$9&lt;14/24)</formula>
    </cfRule>
    <cfRule type="expression" dxfId="2857" priority="9">
      <formula>AA$9&gt;=20/24</formula>
    </cfRule>
    <cfRule type="expression" dxfId="2856" priority="12">
      <formula>AA$9&lt;8/24</formula>
    </cfRule>
  </conditionalFormatting>
  <conditionalFormatting sqref="AS16:AS21">
    <cfRule type="expression" dxfId="2855" priority="19">
      <formula>AND(BE$9&gt;=8/24,BE$9&lt;14/24)</formula>
    </cfRule>
    <cfRule type="expression" dxfId="2854" priority="18">
      <formula>AND(BE$9&gt;=14/24,BE$9&lt;20/24)</formula>
    </cfRule>
    <cfRule type="expression" dxfId="2853" priority="17">
      <formula>BE$9&gt;=20/24</formula>
    </cfRule>
    <cfRule type="expression" dxfId="2852" priority="20">
      <formula>BE$9&lt;8/24</formula>
    </cfRule>
  </conditionalFormatting>
  <conditionalFormatting sqref="AT15 AX15">
    <cfRule type="expression" dxfId="2851" priority="21">
      <formula>AC$9&gt;=20/24</formula>
    </cfRule>
    <cfRule type="expression" dxfId="2850" priority="24">
      <formula>AC$9&lt;8/24</formula>
    </cfRule>
    <cfRule type="expression" dxfId="2849" priority="23">
      <formula>AND(AC$9&gt;=8/24,AC$9&lt;14/24)</formula>
    </cfRule>
    <cfRule type="expression" dxfId="2848" priority="22">
      <formula>AND(AC$9&gt;=14/24,AC$9&lt;20/24)</formula>
    </cfRule>
  </conditionalFormatting>
  <conditionalFormatting sqref="AT16:AT21">
    <cfRule type="expression" dxfId="2847" priority="28">
      <formula>BG$9&lt;8/24</formula>
    </cfRule>
    <cfRule type="expression" dxfId="2846" priority="25">
      <formula>BG$9&gt;=20/24</formula>
    </cfRule>
    <cfRule type="expression" dxfId="2845" priority="27">
      <formula>AND(BG$9&gt;=8/24,BG$9&lt;14/24)</formula>
    </cfRule>
    <cfRule type="expression" dxfId="2844" priority="26">
      <formula>AND(BG$9&gt;=14/24,BG$9&lt;20/24)</formula>
    </cfRule>
  </conditionalFormatting>
  <conditionalFormatting sqref="AU15:AV15">
    <cfRule type="expression" dxfId="2843" priority="32">
      <formula>AE$9&lt;8/24</formula>
    </cfRule>
    <cfRule type="expression" dxfId="2842" priority="31">
      <formula>AND(AE$9&gt;=8/24,AE$9&lt;14/24)</formula>
    </cfRule>
    <cfRule type="expression" dxfId="2841" priority="30">
      <formula>AND(AE$9&gt;=14/24,AE$9&lt;20/24)</formula>
    </cfRule>
    <cfRule type="expression" dxfId="2840" priority="29">
      <formula>AE$9&gt;=20/24</formula>
    </cfRule>
  </conditionalFormatting>
  <conditionalFormatting sqref="AU16:AX21">
    <cfRule type="expression" dxfId="2839" priority="34">
      <formula>AND(BI$9&gt;=14/24,BI$9&lt;20/24)</formula>
    </cfRule>
    <cfRule type="expression" dxfId="2838" priority="33">
      <formula>BI$9&gt;=20/24</formula>
    </cfRule>
    <cfRule type="expression" dxfId="2837" priority="36">
      <formula>BI$9&lt;8/24</formula>
    </cfRule>
    <cfRule type="expression" dxfId="2836" priority="35">
      <formula>AND(BI$9&gt;=8/24,BI$9&lt;14/24)</formula>
    </cfRule>
  </conditionalFormatting>
  <conditionalFormatting sqref="AW15">
    <cfRule type="expression" dxfId="2835" priority="8">
      <formula>B$9&lt;8/24</formula>
    </cfRule>
    <cfRule type="expression" dxfId="2834" priority="7">
      <formula>AND(B$9&gt;=8/24,B$9&lt;14/24)</formula>
    </cfRule>
    <cfRule type="expression" dxfId="2833" priority="6">
      <formula>AND(B$9&gt;=14/24,B$9&lt;20/24)</formula>
    </cfRule>
    <cfRule type="expression" dxfId="2832" priority="5">
      <formula>B$9&gt;=20/24</formula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4314-4B9D-4163-85DA-B81ACEA7010F}">
  <sheetPr codeName="Sheet11"/>
  <dimension ref="A1:CJ294"/>
  <sheetViews>
    <sheetView zoomScale="110" zoomScaleNormal="110" workbookViewId="0">
      <pane xSplit="1" ySplit="10" topLeftCell="B115" activePane="bottomRight" state="frozen"/>
      <selection activeCell="Z63" sqref="Z63"/>
      <selection pane="topRight" activeCell="Z63" sqref="Z63"/>
      <selection pane="bottomLeft" activeCell="Z63" sqref="Z63"/>
      <selection pane="bottomRight" activeCell="AK120" sqref="AK12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2080/10/10</v>
      </c>
      <c r="C4" s="214"/>
      <c r="D4" s="214"/>
      <c r="E4" s="215" t="str">
        <f ca="1">"2080/"&amp;"10/"&amp;INT(MID(CELL("filename",G6),FIND("]",CELL("filename",G6))+1,200))</f>
        <v>2080/10/10</v>
      </c>
      <c r="F4" s="215"/>
      <c r="G4" s="215"/>
      <c r="H4" s="215" t="str">
        <f ca="1">TEXT(E4,"dddd")</f>
        <v>Thursday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576.79999999999995</v>
      </c>
      <c r="C5" s="30">
        <f t="shared" ref="C5:AE5" si="0">D92</f>
        <v>584.70000000000005</v>
      </c>
      <c r="D5" s="30">
        <f t="shared" si="0"/>
        <v>577.29999999999995</v>
      </c>
      <c r="E5" s="30">
        <f t="shared" si="0"/>
        <v>518.4</v>
      </c>
      <c r="F5" s="30">
        <f t="shared" si="0"/>
        <v>513</v>
      </c>
      <c r="G5" s="30">
        <f t="shared" si="0"/>
        <v>502.2</v>
      </c>
      <c r="H5" s="30">
        <f t="shared" si="0"/>
        <v>549.9</v>
      </c>
      <c r="I5" s="30">
        <f t="shared" si="0"/>
        <v>445.5</v>
      </c>
      <c r="J5" s="30">
        <f t="shared" si="0"/>
        <v>386.6</v>
      </c>
      <c r="K5" s="30">
        <f t="shared" si="0"/>
        <v>376.85</v>
      </c>
      <c r="L5" s="30">
        <f t="shared" si="0"/>
        <v>408.6</v>
      </c>
      <c r="M5" s="30">
        <f t="shared" si="0"/>
        <v>506.3</v>
      </c>
      <c r="N5" s="30">
        <f t="shared" si="0"/>
        <v>462.4</v>
      </c>
      <c r="O5" s="30">
        <f t="shared" si="0"/>
        <v>455</v>
      </c>
      <c r="P5" s="30">
        <f t="shared" si="0"/>
        <v>511</v>
      </c>
      <c r="Q5" s="30">
        <f t="shared" si="0"/>
        <v>511.3</v>
      </c>
      <c r="R5" s="30">
        <f t="shared" si="0"/>
        <v>494.59999999999997</v>
      </c>
      <c r="S5" s="30">
        <f t="shared" si="0"/>
        <v>590</v>
      </c>
      <c r="T5" s="30">
        <f t="shared" si="0"/>
        <v>449.70000000000005</v>
      </c>
      <c r="U5" s="30">
        <f t="shared" si="0"/>
        <v>425.70000000000005</v>
      </c>
      <c r="V5" s="30">
        <f t="shared" si="0"/>
        <v>444.2</v>
      </c>
      <c r="W5" s="30">
        <f t="shared" si="0"/>
        <v>410.4</v>
      </c>
      <c r="X5" s="30">
        <f t="shared" si="0"/>
        <v>455</v>
      </c>
      <c r="Y5" s="30">
        <f t="shared" si="0"/>
        <v>443.9</v>
      </c>
      <c r="Z5" s="30">
        <f t="shared" si="0"/>
        <v>349.8</v>
      </c>
      <c r="AA5" s="30">
        <f t="shared" si="0"/>
        <v>225.39999999999998</v>
      </c>
      <c r="AB5" s="30">
        <f t="shared" si="0"/>
        <v>312.7</v>
      </c>
      <c r="AC5" s="30">
        <f t="shared" si="0"/>
        <v>339.90000000000003</v>
      </c>
      <c r="AD5" s="30">
        <f t="shared" si="0"/>
        <v>434.7</v>
      </c>
      <c r="AE5" s="30">
        <f t="shared" si="0"/>
        <v>404.1</v>
      </c>
      <c r="AF5" s="30">
        <f>B92</f>
        <v>607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1486MW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Load=1081</v>
      </c>
      <c r="B7" s="35">
        <f>B100</f>
        <v>1226.5900000000001</v>
      </c>
      <c r="C7" s="35">
        <f t="shared" ref="C7:AF7" si="1">C100</f>
        <v>1146.3899999999999</v>
      </c>
      <c r="D7" s="35">
        <f t="shared" si="1"/>
        <v>1154.29</v>
      </c>
      <c r="E7" s="35">
        <f t="shared" si="1"/>
        <v>1158.19</v>
      </c>
      <c r="F7" s="35">
        <f t="shared" si="1"/>
        <v>1154.29</v>
      </c>
      <c r="G7" s="35">
        <f t="shared" si="1"/>
        <v>1168.99</v>
      </c>
      <c r="H7" s="35">
        <f t="shared" si="1"/>
        <v>1215.8900000000001</v>
      </c>
      <c r="I7" s="35">
        <f t="shared" si="1"/>
        <v>1283.99</v>
      </c>
      <c r="J7" s="35">
        <f t="shared" si="1"/>
        <v>1325.3899999999999</v>
      </c>
      <c r="K7" s="35">
        <f t="shared" si="1"/>
        <v>1459.5900000000001</v>
      </c>
      <c r="L7" s="35">
        <f t="shared" si="1"/>
        <v>1477.1399999999999</v>
      </c>
      <c r="M7" s="35">
        <f t="shared" si="1"/>
        <v>1486.29</v>
      </c>
      <c r="N7" s="35">
        <f t="shared" si="1"/>
        <v>1404.39</v>
      </c>
      <c r="O7" s="35">
        <f t="shared" si="1"/>
        <v>1360.5900000000001</v>
      </c>
      <c r="P7" s="35">
        <f t="shared" si="1"/>
        <v>1178.49</v>
      </c>
      <c r="Q7" s="35">
        <f t="shared" si="1"/>
        <v>1160.19</v>
      </c>
      <c r="R7" s="35">
        <f t="shared" si="1"/>
        <v>1143.5900000000001</v>
      </c>
      <c r="S7" s="35">
        <f t="shared" si="1"/>
        <v>1080.79</v>
      </c>
      <c r="T7" s="35">
        <f t="shared" si="1"/>
        <v>1177.99</v>
      </c>
      <c r="U7" s="35">
        <f t="shared" si="1"/>
        <v>1212.19</v>
      </c>
      <c r="V7" s="35">
        <f t="shared" si="1"/>
        <v>1182.0900000000001</v>
      </c>
      <c r="W7" s="35">
        <f t="shared" si="1"/>
        <v>1252.3900000000001</v>
      </c>
      <c r="X7" s="35">
        <f t="shared" si="1"/>
        <v>1301.3900000000001</v>
      </c>
      <c r="Y7" s="35">
        <f t="shared" si="1"/>
        <v>1452.69</v>
      </c>
      <c r="Z7" s="35">
        <f t="shared" si="1"/>
        <v>1488.19</v>
      </c>
      <c r="AA7" s="35">
        <f t="shared" si="1"/>
        <v>1457.79</v>
      </c>
      <c r="AB7" s="35">
        <f t="shared" si="1"/>
        <v>1376.69</v>
      </c>
      <c r="AC7" s="35">
        <f t="shared" si="1"/>
        <v>1358.49</v>
      </c>
      <c r="AD7" s="35">
        <f t="shared" si="1"/>
        <v>1286.0900000000001</v>
      </c>
      <c r="AE7" s="35">
        <f t="shared" si="1"/>
        <v>1144.0899999999999</v>
      </c>
      <c r="AF7" s="35">
        <f t="shared" si="1"/>
        <v>1103.69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1486.29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1486.29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30</v>
      </c>
      <c r="C11" s="46">
        <v>30</v>
      </c>
      <c r="D11" s="46">
        <v>30</v>
      </c>
      <c r="E11" s="46">
        <v>29</v>
      </c>
      <c r="F11" s="46">
        <v>29</v>
      </c>
      <c r="G11" s="46">
        <v>29</v>
      </c>
      <c r="H11" s="46">
        <v>29</v>
      </c>
      <c r="I11" s="46">
        <v>29</v>
      </c>
      <c r="J11" s="46">
        <v>29</v>
      </c>
      <c r="K11" s="46">
        <v>29</v>
      </c>
      <c r="L11" s="46">
        <v>29</v>
      </c>
      <c r="M11" s="46">
        <v>29</v>
      </c>
      <c r="N11" s="46">
        <v>28.5</v>
      </c>
      <c r="O11" s="46">
        <v>28.5</v>
      </c>
      <c r="P11" s="46">
        <v>28.5</v>
      </c>
      <c r="Q11" s="46">
        <v>27.6</v>
      </c>
      <c r="R11" s="46">
        <v>27</v>
      </c>
      <c r="S11" s="46">
        <v>27</v>
      </c>
      <c r="T11" s="46">
        <v>27</v>
      </c>
      <c r="U11" s="46">
        <v>27</v>
      </c>
      <c r="V11" s="46">
        <v>27</v>
      </c>
      <c r="W11" s="46">
        <v>27</v>
      </c>
      <c r="X11" s="46">
        <v>27</v>
      </c>
      <c r="Y11" s="46">
        <v>27</v>
      </c>
      <c r="Z11" s="46">
        <v>27</v>
      </c>
      <c r="AA11" s="46">
        <v>27</v>
      </c>
      <c r="AB11" s="46">
        <v>27</v>
      </c>
      <c r="AC11" s="46">
        <v>27</v>
      </c>
      <c r="AD11" s="46">
        <v>27</v>
      </c>
      <c r="AE11" s="46">
        <v>27</v>
      </c>
      <c r="AF11" s="46">
        <v>27</v>
      </c>
      <c r="AG11" s="47">
        <v>86</v>
      </c>
      <c r="AH11" s="48">
        <f t="shared" ref="AH11:AH16" si="2">MAX(B11:AF11)</f>
        <v>30</v>
      </c>
      <c r="AI11" s="49">
        <f t="shared" ref="AI11:AI16" si="3">MIN(B11:AF11)</f>
        <v>27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8</v>
      </c>
      <c r="C12" s="46">
        <v>8</v>
      </c>
      <c r="D12" s="46">
        <v>8</v>
      </c>
      <c r="E12" s="46">
        <v>8</v>
      </c>
      <c r="F12" s="46">
        <v>8</v>
      </c>
      <c r="G12" s="46">
        <v>8</v>
      </c>
      <c r="H12" s="46">
        <v>8</v>
      </c>
      <c r="I12" s="46">
        <v>8</v>
      </c>
      <c r="J12" s="46">
        <v>8</v>
      </c>
      <c r="K12" s="46">
        <v>8</v>
      </c>
      <c r="L12" s="46">
        <v>8</v>
      </c>
      <c r="M12" s="46">
        <v>8</v>
      </c>
      <c r="N12" s="46">
        <v>8</v>
      </c>
      <c r="O12" s="46">
        <v>8</v>
      </c>
      <c r="P12" s="46">
        <v>8</v>
      </c>
      <c r="Q12" s="46">
        <v>8</v>
      </c>
      <c r="R12" s="46">
        <v>8</v>
      </c>
      <c r="S12" s="46">
        <v>8</v>
      </c>
      <c r="T12" s="46">
        <v>8</v>
      </c>
      <c r="U12" s="46">
        <v>8</v>
      </c>
      <c r="V12" s="46">
        <v>8</v>
      </c>
      <c r="W12" s="46">
        <v>8</v>
      </c>
      <c r="X12" s="46">
        <v>8</v>
      </c>
      <c r="Y12" s="46">
        <v>8</v>
      </c>
      <c r="Z12" s="46">
        <v>8</v>
      </c>
      <c r="AA12" s="46">
        <v>8</v>
      </c>
      <c r="AB12" s="46">
        <v>8</v>
      </c>
      <c r="AC12" s="46">
        <v>8</v>
      </c>
      <c r="AD12" s="46">
        <v>8</v>
      </c>
      <c r="AE12" s="46">
        <v>8</v>
      </c>
      <c r="AF12" s="46">
        <v>8</v>
      </c>
      <c r="AG12" s="50">
        <v>54</v>
      </c>
      <c r="AH12" s="48">
        <f t="shared" si="2"/>
        <v>8</v>
      </c>
      <c r="AI12" s="49">
        <f t="shared" si="3"/>
        <v>8</v>
      </c>
      <c r="AK12" s="51"/>
      <c r="AL12" s="52" t="str">
        <f ca="1">MID(CELL("filename",C7),FIND("]",CELL("filename",C7))+1,600)</f>
        <v>10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10</v>
      </c>
      <c r="C13" s="46">
        <v>10</v>
      </c>
      <c r="D13" s="46">
        <v>10</v>
      </c>
      <c r="E13" s="46">
        <v>10</v>
      </c>
      <c r="F13" s="46">
        <v>10</v>
      </c>
      <c r="G13" s="46">
        <v>10</v>
      </c>
      <c r="H13" s="46">
        <v>10</v>
      </c>
      <c r="I13" s="46">
        <v>10</v>
      </c>
      <c r="J13" s="46">
        <v>10</v>
      </c>
      <c r="K13" s="46">
        <v>10</v>
      </c>
      <c r="L13" s="46">
        <v>10</v>
      </c>
      <c r="M13" s="46">
        <v>10</v>
      </c>
      <c r="N13" s="46">
        <v>10</v>
      </c>
      <c r="O13" s="46">
        <v>10</v>
      </c>
      <c r="P13" s="46">
        <v>10</v>
      </c>
      <c r="Q13" s="46">
        <v>10</v>
      </c>
      <c r="R13" s="46">
        <v>10</v>
      </c>
      <c r="S13" s="46">
        <v>10</v>
      </c>
      <c r="T13" s="46">
        <v>10</v>
      </c>
      <c r="U13" s="46">
        <v>10</v>
      </c>
      <c r="V13" s="46">
        <v>10</v>
      </c>
      <c r="W13" s="46">
        <v>10</v>
      </c>
      <c r="X13" s="46">
        <v>10</v>
      </c>
      <c r="Y13" s="46">
        <v>10</v>
      </c>
      <c r="Z13" s="46">
        <v>10</v>
      </c>
      <c r="AA13" s="46">
        <v>10</v>
      </c>
      <c r="AB13" s="46">
        <v>10</v>
      </c>
      <c r="AC13" s="46">
        <v>10</v>
      </c>
      <c r="AD13" s="46">
        <v>10</v>
      </c>
      <c r="AE13" s="46">
        <v>10</v>
      </c>
      <c r="AF13" s="46">
        <v>10</v>
      </c>
      <c r="AG13" s="50">
        <v>54</v>
      </c>
      <c r="AH13" s="48">
        <f t="shared" si="2"/>
        <v>10</v>
      </c>
      <c r="AI13" s="49">
        <f t="shared" si="3"/>
        <v>10</v>
      </c>
      <c r="AK13" s="51"/>
      <c r="AL13" s="52" t="str">
        <f ca="1">"Daily Load Curve(Excluding of Export) of Nepal ("&amp;A4&amp;" "&amp;B4&amp;")"</f>
        <v>Daily Load Curve(Excluding of Export) of Nepal (Nepali Date: 2080/10/10)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10.6</v>
      </c>
      <c r="C14" s="46">
        <v>10.6</v>
      </c>
      <c r="D14" s="46">
        <v>10.6</v>
      </c>
      <c r="E14" s="46">
        <v>16.2</v>
      </c>
      <c r="F14" s="46">
        <v>16.2</v>
      </c>
      <c r="G14" s="46">
        <v>16.2</v>
      </c>
      <c r="H14" s="46">
        <v>16.2</v>
      </c>
      <c r="I14" s="46">
        <v>16.2</v>
      </c>
      <c r="J14" s="46">
        <v>16.2</v>
      </c>
      <c r="K14" s="46">
        <v>16.2</v>
      </c>
      <c r="L14" s="46">
        <v>16.2</v>
      </c>
      <c r="M14" s="46">
        <v>16.2</v>
      </c>
      <c r="N14" s="46">
        <v>16.2</v>
      </c>
      <c r="O14" s="46">
        <v>16.2</v>
      </c>
      <c r="P14" s="46">
        <v>16.2</v>
      </c>
      <c r="Q14" s="46">
        <v>16.2</v>
      </c>
      <c r="R14" s="46">
        <v>16.2</v>
      </c>
      <c r="S14" s="46">
        <v>16.2</v>
      </c>
      <c r="T14" s="46">
        <v>16.2</v>
      </c>
      <c r="U14" s="46">
        <v>16.2</v>
      </c>
      <c r="V14" s="46">
        <v>16.2</v>
      </c>
      <c r="W14" s="46">
        <v>16.2</v>
      </c>
      <c r="X14" s="46">
        <v>16.2</v>
      </c>
      <c r="Y14" s="46">
        <v>16.2</v>
      </c>
      <c r="Z14" s="46">
        <v>16.2</v>
      </c>
      <c r="AA14" s="46">
        <v>16.2</v>
      </c>
      <c r="AB14" s="46">
        <v>16.2</v>
      </c>
      <c r="AC14" s="46">
        <v>16.2</v>
      </c>
      <c r="AD14" s="46">
        <v>16.2</v>
      </c>
      <c r="AE14" s="46">
        <v>16.2</v>
      </c>
      <c r="AF14" s="46">
        <v>16.2</v>
      </c>
      <c r="AG14" s="47">
        <v>52.4</v>
      </c>
      <c r="AH14" s="48">
        <f t="shared" si="2"/>
        <v>16.2</v>
      </c>
      <c r="AI14" s="49">
        <f t="shared" si="3"/>
        <v>10.6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26.9</v>
      </c>
      <c r="C15" s="46">
        <v>26.9</v>
      </c>
      <c r="D15" s="46">
        <v>26.9</v>
      </c>
      <c r="E15" s="46">
        <v>27.6</v>
      </c>
      <c r="F15" s="46">
        <v>27.6</v>
      </c>
      <c r="G15" s="46">
        <v>27.6</v>
      </c>
      <c r="H15" s="46">
        <v>27.6</v>
      </c>
      <c r="I15" s="46">
        <v>27.6</v>
      </c>
      <c r="J15" s="46">
        <v>27.6</v>
      </c>
      <c r="K15" s="46">
        <v>27.6</v>
      </c>
      <c r="L15" s="46">
        <v>27.6</v>
      </c>
      <c r="M15" s="46">
        <v>27.6</v>
      </c>
      <c r="N15" s="46">
        <v>27.6</v>
      </c>
      <c r="O15" s="46">
        <v>27.6</v>
      </c>
      <c r="P15" s="46">
        <v>27.6</v>
      </c>
      <c r="Q15" s="46">
        <v>27.6</v>
      </c>
      <c r="R15" s="46">
        <v>27.6</v>
      </c>
      <c r="S15" s="46">
        <v>27.6</v>
      </c>
      <c r="T15" s="46">
        <v>27.6</v>
      </c>
      <c r="U15" s="46">
        <v>27.6</v>
      </c>
      <c r="V15" s="46">
        <v>27.6</v>
      </c>
      <c r="W15" s="46">
        <v>27.6</v>
      </c>
      <c r="X15" s="46">
        <v>27.6</v>
      </c>
      <c r="Y15" s="46">
        <v>27.6</v>
      </c>
      <c r="Z15" s="53">
        <v>27.6</v>
      </c>
      <c r="AA15" s="53">
        <v>27.6</v>
      </c>
      <c r="AB15" s="53">
        <v>27.6</v>
      </c>
      <c r="AC15" s="53">
        <v>27.6</v>
      </c>
      <c r="AD15" s="53">
        <v>27.6</v>
      </c>
      <c r="AE15" s="53">
        <v>27.6</v>
      </c>
      <c r="AF15" s="53">
        <v>27.6</v>
      </c>
      <c r="AG15" s="50">
        <v>50</v>
      </c>
      <c r="AH15" s="48">
        <f t="shared" si="2"/>
        <v>27.6</v>
      </c>
      <c r="AI15" s="49">
        <f t="shared" si="3"/>
        <v>26.9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15.3</v>
      </c>
      <c r="C16" s="46">
        <v>15.3</v>
      </c>
      <c r="D16" s="46">
        <v>15.3</v>
      </c>
      <c r="E16" s="46">
        <v>15.3</v>
      </c>
      <c r="F16" s="46">
        <v>15.3</v>
      </c>
      <c r="G16" s="46">
        <v>15.3</v>
      </c>
      <c r="H16" s="46">
        <v>15.3</v>
      </c>
      <c r="I16" s="46">
        <v>15.3</v>
      </c>
      <c r="J16" s="46">
        <v>15.3</v>
      </c>
      <c r="K16" s="46">
        <v>15.3</v>
      </c>
      <c r="L16" s="46">
        <v>15.3</v>
      </c>
      <c r="M16" s="46">
        <v>0</v>
      </c>
      <c r="N16" s="46">
        <v>0</v>
      </c>
      <c r="O16" s="46">
        <v>0</v>
      </c>
      <c r="P16" s="46">
        <v>0</v>
      </c>
      <c r="Q16" s="46">
        <v>0</v>
      </c>
      <c r="R16" s="46">
        <v>0</v>
      </c>
      <c r="S16" s="46">
        <v>0</v>
      </c>
      <c r="T16" s="46">
        <v>0</v>
      </c>
      <c r="U16" s="46">
        <v>0</v>
      </c>
      <c r="V16" s="46">
        <v>0</v>
      </c>
      <c r="W16" s="46">
        <v>0</v>
      </c>
      <c r="X16" s="46">
        <v>0</v>
      </c>
      <c r="Y16" s="46">
        <v>0</v>
      </c>
      <c r="Z16" s="46">
        <v>0</v>
      </c>
      <c r="AA16" s="46">
        <v>0</v>
      </c>
      <c r="AB16" s="46">
        <v>10</v>
      </c>
      <c r="AC16" s="46">
        <v>10</v>
      </c>
      <c r="AD16" s="46">
        <v>10</v>
      </c>
      <c r="AE16" s="46">
        <v>10</v>
      </c>
      <c r="AF16" s="46">
        <v>10</v>
      </c>
      <c r="AG16" s="50">
        <v>45</v>
      </c>
      <c r="AH16" s="48">
        <f t="shared" si="2"/>
        <v>15.3</v>
      </c>
      <c r="AI16" s="49">
        <f t="shared" si="3"/>
        <v>0</v>
      </c>
      <c r="AK16" s="51"/>
      <c r="AL16" s="54" t="s">
        <v>7</v>
      </c>
      <c r="AM16" s="59">
        <f>B58</f>
        <v>457.85</v>
      </c>
      <c r="AN16" s="59">
        <f t="shared" ref="AN16:AR16" si="4">C58</f>
        <v>457.85</v>
      </c>
      <c r="AO16" s="59">
        <f t="shared" si="4"/>
        <v>457.85</v>
      </c>
      <c r="AP16" s="59">
        <f t="shared" si="4"/>
        <v>469.15000000000003</v>
      </c>
      <c r="AQ16" s="59">
        <f t="shared" si="4"/>
        <v>469.15000000000003</v>
      </c>
      <c r="AR16" s="59">
        <f t="shared" si="4"/>
        <v>469.15000000000003</v>
      </c>
      <c r="AS16" s="59">
        <f>I58</f>
        <v>451.75000000000006</v>
      </c>
      <c r="AT16" s="59">
        <f>K58</f>
        <v>446.75</v>
      </c>
      <c r="AU16" s="59">
        <f t="shared" ref="AU16:AX16" si="5">M58</f>
        <v>441.15000000000003</v>
      </c>
      <c r="AV16" s="59">
        <f t="shared" si="5"/>
        <v>432.85</v>
      </c>
      <c r="AW16" s="59">
        <f t="shared" si="5"/>
        <v>432.85</v>
      </c>
      <c r="AX16" s="59">
        <f t="shared" si="5"/>
        <v>440.65000000000003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14</v>
      </c>
      <c r="C17" s="46">
        <v>14</v>
      </c>
      <c r="D17" s="46">
        <v>14</v>
      </c>
      <c r="E17" s="46">
        <v>14</v>
      </c>
      <c r="F17" s="46">
        <v>14</v>
      </c>
      <c r="G17" s="46">
        <v>14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>
        <v>0</v>
      </c>
      <c r="O17" s="46">
        <v>0</v>
      </c>
      <c r="P17" s="46">
        <v>0</v>
      </c>
      <c r="Q17" s="46">
        <v>0</v>
      </c>
      <c r="R17" s="46">
        <v>0</v>
      </c>
      <c r="S17" s="46">
        <v>0</v>
      </c>
      <c r="T17" s="46">
        <v>0</v>
      </c>
      <c r="U17" s="46">
        <v>0</v>
      </c>
      <c r="V17" s="46">
        <v>0</v>
      </c>
      <c r="W17" s="46">
        <v>0</v>
      </c>
      <c r="X17" s="46">
        <v>0</v>
      </c>
      <c r="Y17" s="46">
        <v>0</v>
      </c>
      <c r="Z17" s="46">
        <v>0</v>
      </c>
      <c r="AA17" s="46">
        <v>0</v>
      </c>
      <c r="AB17" s="46">
        <v>0</v>
      </c>
      <c r="AC17" s="46">
        <v>0</v>
      </c>
      <c r="AD17" s="46">
        <v>0</v>
      </c>
      <c r="AE17" s="46">
        <v>0</v>
      </c>
      <c r="AF17" s="46">
        <v>0</v>
      </c>
      <c r="AG17" s="50">
        <v>44</v>
      </c>
      <c r="AH17" s="48">
        <f>MAX(B17:AG17)</f>
        <v>44</v>
      </c>
      <c r="AI17" s="49">
        <f>MIN(B17:AG17)</f>
        <v>0</v>
      </c>
      <c r="AK17" s="51"/>
      <c r="AL17" s="54" t="s">
        <v>27</v>
      </c>
      <c r="AM17" s="59">
        <f>B62</f>
        <v>55.9</v>
      </c>
      <c r="AN17" s="59">
        <f t="shared" ref="AN17:AR17" si="6">C62</f>
        <v>35.9</v>
      </c>
      <c r="AO17" s="59">
        <f t="shared" si="6"/>
        <v>35.9</v>
      </c>
      <c r="AP17" s="59">
        <f t="shared" si="6"/>
        <v>35.9</v>
      </c>
      <c r="AQ17" s="59">
        <f t="shared" si="6"/>
        <v>90.9</v>
      </c>
      <c r="AR17" s="59">
        <f t="shared" si="6"/>
        <v>70.900000000000006</v>
      </c>
      <c r="AS17" s="59">
        <f>I62</f>
        <v>36</v>
      </c>
      <c r="AT17" s="59">
        <f>K62</f>
        <v>147</v>
      </c>
      <c r="AU17" s="59">
        <f t="shared" ref="AU17:AX17" si="7">M62</f>
        <v>167.5</v>
      </c>
      <c r="AV17" s="59">
        <f t="shared" si="7"/>
        <v>65.900000000000006</v>
      </c>
      <c r="AW17" s="59">
        <f t="shared" si="7"/>
        <v>66</v>
      </c>
      <c r="AX17" s="59">
        <f t="shared" si="7"/>
        <v>66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7</v>
      </c>
      <c r="C18" s="46">
        <v>7</v>
      </c>
      <c r="D18" s="46">
        <v>7</v>
      </c>
      <c r="E18" s="46">
        <v>10.3</v>
      </c>
      <c r="F18" s="46">
        <v>10.3</v>
      </c>
      <c r="G18" s="46">
        <v>10.3</v>
      </c>
      <c r="H18" s="46">
        <v>10.3</v>
      </c>
      <c r="I18" s="46">
        <v>10.3</v>
      </c>
      <c r="J18" s="46">
        <v>10.3</v>
      </c>
      <c r="K18" s="46">
        <v>10.3</v>
      </c>
      <c r="L18" s="46">
        <v>10.3</v>
      </c>
      <c r="M18" s="46">
        <v>7</v>
      </c>
      <c r="N18" s="46">
        <v>7</v>
      </c>
      <c r="O18" s="46">
        <v>7</v>
      </c>
      <c r="P18" s="46">
        <v>7</v>
      </c>
      <c r="Q18" s="46">
        <v>7</v>
      </c>
      <c r="R18" s="46">
        <v>7</v>
      </c>
      <c r="S18" s="46">
        <v>7</v>
      </c>
      <c r="T18" s="46">
        <v>7</v>
      </c>
      <c r="U18" s="46">
        <v>7</v>
      </c>
      <c r="V18" s="46">
        <v>7</v>
      </c>
      <c r="W18" s="46">
        <v>7</v>
      </c>
      <c r="X18" s="46">
        <v>7</v>
      </c>
      <c r="Y18" s="46">
        <v>7</v>
      </c>
      <c r="Z18" s="46">
        <v>7</v>
      </c>
      <c r="AA18" s="46">
        <v>7</v>
      </c>
      <c r="AB18" s="46">
        <v>7</v>
      </c>
      <c r="AC18" s="46">
        <v>7</v>
      </c>
      <c r="AD18" s="46">
        <v>7</v>
      </c>
      <c r="AE18" s="46">
        <v>7</v>
      </c>
      <c r="AF18" s="46">
        <v>7</v>
      </c>
      <c r="AG18" s="50">
        <v>42</v>
      </c>
      <c r="AH18" s="48">
        <f t="shared" ref="AH18:AH81" si="8">MAX(B18:AF18)</f>
        <v>10.3</v>
      </c>
      <c r="AI18" s="49">
        <f t="shared" ref="AI18:AI81" si="9">MIN(B18:AF18)</f>
        <v>7</v>
      </c>
      <c r="AK18" s="51"/>
      <c r="AL18" s="54" t="s">
        <v>29</v>
      </c>
      <c r="AM18" s="59">
        <f>B76</f>
        <v>105.84</v>
      </c>
      <c r="AN18" s="59">
        <f t="shared" ref="AN18:AR18" si="10">C76</f>
        <v>75.84</v>
      </c>
      <c r="AO18" s="59">
        <f t="shared" si="10"/>
        <v>75.84</v>
      </c>
      <c r="AP18" s="59">
        <f t="shared" si="10"/>
        <v>75.84</v>
      </c>
      <c r="AQ18" s="59">
        <f t="shared" si="10"/>
        <v>75.84</v>
      </c>
      <c r="AR18" s="59">
        <f t="shared" si="10"/>
        <v>115.94</v>
      </c>
      <c r="AS18" s="59">
        <f>I76</f>
        <v>166.34</v>
      </c>
      <c r="AT18" s="59">
        <f>K76</f>
        <v>229.23999999999998</v>
      </c>
      <c r="AU18" s="59">
        <f t="shared" ref="AU18:AX18" si="11">M76</f>
        <v>219.03999999999996</v>
      </c>
      <c r="AV18" s="59">
        <f t="shared" si="11"/>
        <v>219.34</v>
      </c>
      <c r="AW18" s="59">
        <f t="shared" si="11"/>
        <v>219.34</v>
      </c>
      <c r="AX18" s="59">
        <f t="shared" si="11"/>
        <v>216.84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11</v>
      </c>
      <c r="C19" s="46">
        <v>11</v>
      </c>
      <c r="D19" s="46">
        <v>11</v>
      </c>
      <c r="E19" s="46">
        <v>14.5</v>
      </c>
      <c r="F19" s="46">
        <v>14.5</v>
      </c>
      <c r="G19" s="46">
        <v>14.5</v>
      </c>
      <c r="H19" s="46">
        <v>14.5</v>
      </c>
      <c r="I19" s="46">
        <v>14.5</v>
      </c>
      <c r="J19" s="46">
        <v>14.5</v>
      </c>
      <c r="K19" s="46">
        <v>14.5</v>
      </c>
      <c r="L19" s="46">
        <v>14.5</v>
      </c>
      <c r="M19" s="46">
        <v>14.5</v>
      </c>
      <c r="N19" s="46">
        <v>14.5</v>
      </c>
      <c r="O19" s="46">
        <v>14.5</v>
      </c>
      <c r="P19" s="46">
        <v>14.5</v>
      </c>
      <c r="Q19" s="46">
        <v>14.5</v>
      </c>
      <c r="R19" s="46">
        <v>14.5</v>
      </c>
      <c r="S19" s="46">
        <v>14.5</v>
      </c>
      <c r="T19" s="46">
        <v>14.5</v>
      </c>
      <c r="U19" s="46">
        <v>14.5</v>
      </c>
      <c r="V19" s="46">
        <v>14.5</v>
      </c>
      <c r="W19" s="46">
        <v>14.5</v>
      </c>
      <c r="X19" s="46">
        <v>14.5</v>
      </c>
      <c r="Y19" s="46">
        <v>14.5</v>
      </c>
      <c r="Z19" s="46">
        <v>14.5</v>
      </c>
      <c r="AA19" s="46">
        <v>14.5</v>
      </c>
      <c r="AB19" s="46">
        <v>14.5</v>
      </c>
      <c r="AC19" s="46">
        <v>14.5</v>
      </c>
      <c r="AD19" s="46">
        <v>14.5</v>
      </c>
      <c r="AE19" s="46">
        <v>14.5</v>
      </c>
      <c r="AF19" s="46">
        <v>14.5</v>
      </c>
      <c r="AG19" s="50">
        <v>38.46</v>
      </c>
      <c r="AH19" s="48">
        <f t="shared" si="8"/>
        <v>14.5</v>
      </c>
      <c r="AI19" s="49">
        <f t="shared" si="9"/>
        <v>11</v>
      </c>
      <c r="AK19" s="51"/>
      <c r="AL19" s="54" t="s">
        <v>31</v>
      </c>
      <c r="AM19" s="59">
        <f>B92</f>
        <v>607</v>
      </c>
      <c r="AN19" s="59">
        <f t="shared" ref="AN19:AR19" si="12">C92</f>
        <v>576.79999999999995</v>
      </c>
      <c r="AO19" s="59">
        <f t="shared" si="12"/>
        <v>584.70000000000005</v>
      </c>
      <c r="AP19" s="59">
        <f t="shared" si="12"/>
        <v>577.29999999999995</v>
      </c>
      <c r="AQ19" s="59">
        <f t="shared" si="12"/>
        <v>518.4</v>
      </c>
      <c r="AR19" s="59">
        <f t="shared" si="12"/>
        <v>513</v>
      </c>
      <c r="AS19" s="59">
        <f>I92</f>
        <v>549.9</v>
      </c>
      <c r="AT19" s="59">
        <f>K92</f>
        <v>386.6</v>
      </c>
      <c r="AU19" s="59">
        <f t="shared" ref="AU19:AX19" si="13">M92</f>
        <v>408.6</v>
      </c>
      <c r="AV19" s="59">
        <f t="shared" si="13"/>
        <v>506.3</v>
      </c>
      <c r="AW19" s="59">
        <f t="shared" si="13"/>
        <v>462.4</v>
      </c>
      <c r="AX19" s="59">
        <f t="shared" si="13"/>
        <v>455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7.8</v>
      </c>
      <c r="C20" s="46">
        <v>7.8</v>
      </c>
      <c r="D20" s="46">
        <v>7.8</v>
      </c>
      <c r="E20" s="46">
        <v>7.8</v>
      </c>
      <c r="F20" s="46">
        <v>7.8</v>
      </c>
      <c r="G20" s="46">
        <v>7.8</v>
      </c>
      <c r="H20" s="46">
        <v>7.8</v>
      </c>
      <c r="I20" s="46">
        <v>7.8</v>
      </c>
      <c r="J20" s="46">
        <v>7.8</v>
      </c>
      <c r="K20" s="46">
        <v>7.8</v>
      </c>
      <c r="L20" s="46">
        <v>7.8</v>
      </c>
      <c r="M20" s="46">
        <v>7.8</v>
      </c>
      <c r="N20" s="46">
        <v>0</v>
      </c>
      <c r="O20" s="46">
        <v>0</v>
      </c>
      <c r="P20" s="46">
        <v>7.8</v>
      </c>
      <c r="Q20" s="46">
        <v>7.8</v>
      </c>
      <c r="R20" s="46">
        <v>7.8</v>
      </c>
      <c r="S20" s="46">
        <v>7.8</v>
      </c>
      <c r="T20" s="46">
        <v>7.8</v>
      </c>
      <c r="U20" s="46">
        <v>7.8</v>
      </c>
      <c r="V20" s="46">
        <v>7.8</v>
      </c>
      <c r="W20" s="46">
        <v>7.8</v>
      </c>
      <c r="X20" s="46">
        <v>7.8</v>
      </c>
      <c r="Y20" s="46">
        <v>7.8</v>
      </c>
      <c r="Z20" s="46">
        <v>7.8</v>
      </c>
      <c r="AA20" s="46">
        <v>7.8</v>
      </c>
      <c r="AB20" s="46">
        <v>7.8</v>
      </c>
      <c r="AC20" s="46">
        <v>7.8</v>
      </c>
      <c r="AD20" s="46">
        <v>7.8</v>
      </c>
      <c r="AE20" s="46">
        <v>7.8</v>
      </c>
      <c r="AF20" s="46">
        <v>7.8</v>
      </c>
      <c r="AG20" s="50">
        <v>38.46</v>
      </c>
      <c r="AH20" s="48">
        <f t="shared" si="8"/>
        <v>7.8</v>
      </c>
      <c r="AI20" s="49">
        <f t="shared" si="9"/>
        <v>0</v>
      </c>
      <c r="AK20" s="51"/>
      <c r="AL20" s="54" t="s">
        <v>33</v>
      </c>
      <c r="AM20" s="59">
        <f>B80</f>
        <v>0</v>
      </c>
      <c r="AN20" s="59">
        <f t="shared" ref="AN20:AR20" si="14">C80</f>
        <v>0</v>
      </c>
      <c r="AO20" s="59">
        <f t="shared" si="14"/>
        <v>0</v>
      </c>
      <c r="AP20" s="59">
        <f t="shared" si="14"/>
        <v>0</v>
      </c>
      <c r="AQ20" s="59">
        <f t="shared" si="14"/>
        <v>0</v>
      </c>
      <c r="AR20" s="59">
        <f t="shared" si="14"/>
        <v>0</v>
      </c>
      <c r="AS20" s="59">
        <f>I80</f>
        <v>0</v>
      </c>
      <c r="AT20" s="59">
        <f>K80</f>
        <v>0</v>
      </c>
      <c r="AU20" s="59">
        <f t="shared" ref="AU20:AX20" si="15">M80</f>
        <v>0</v>
      </c>
      <c r="AV20" s="59">
        <f t="shared" si="15"/>
        <v>0</v>
      </c>
      <c r="AW20" s="59">
        <f t="shared" si="15"/>
        <v>0</v>
      </c>
      <c r="AX20" s="59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13</v>
      </c>
      <c r="C21" s="46">
        <v>13</v>
      </c>
      <c r="D21" s="46">
        <v>13</v>
      </c>
      <c r="E21" s="46">
        <v>13</v>
      </c>
      <c r="F21" s="46">
        <v>13</v>
      </c>
      <c r="G21" s="46">
        <v>13</v>
      </c>
      <c r="H21" s="46">
        <v>13</v>
      </c>
      <c r="I21" s="46">
        <v>13</v>
      </c>
      <c r="J21" s="46">
        <v>13</v>
      </c>
      <c r="K21" s="46">
        <v>13</v>
      </c>
      <c r="L21" s="46">
        <v>13</v>
      </c>
      <c r="M21" s="46">
        <v>13</v>
      </c>
      <c r="N21" s="46">
        <v>13</v>
      </c>
      <c r="O21" s="46">
        <v>13</v>
      </c>
      <c r="P21" s="46">
        <v>13</v>
      </c>
      <c r="Q21" s="46">
        <v>13</v>
      </c>
      <c r="R21" s="46">
        <v>13</v>
      </c>
      <c r="S21" s="46">
        <v>13</v>
      </c>
      <c r="T21" s="46">
        <v>13</v>
      </c>
      <c r="U21" s="46">
        <v>13</v>
      </c>
      <c r="V21" s="46">
        <v>13</v>
      </c>
      <c r="W21" s="46">
        <v>13</v>
      </c>
      <c r="X21" s="46">
        <v>13</v>
      </c>
      <c r="Y21" s="46">
        <v>13</v>
      </c>
      <c r="Z21" s="46">
        <v>13</v>
      </c>
      <c r="AA21" s="46">
        <v>13</v>
      </c>
      <c r="AB21" s="46">
        <v>13</v>
      </c>
      <c r="AC21" s="46">
        <v>13</v>
      </c>
      <c r="AD21" s="46">
        <v>13</v>
      </c>
      <c r="AE21" s="46">
        <v>13</v>
      </c>
      <c r="AF21" s="46">
        <v>13</v>
      </c>
      <c r="AG21" s="50">
        <v>36</v>
      </c>
      <c r="AH21" s="48">
        <f t="shared" si="8"/>
        <v>13</v>
      </c>
      <c r="AI21" s="49">
        <f t="shared" si="9"/>
        <v>13</v>
      </c>
      <c r="AK21" s="51"/>
      <c r="AL21" s="54" t="s">
        <v>35</v>
      </c>
      <c r="AM21" s="59">
        <f>B98</f>
        <v>0</v>
      </c>
      <c r="AN21" s="59">
        <f t="shared" ref="AN21:AR21" si="16">C98</f>
        <v>0</v>
      </c>
      <c r="AO21" s="59">
        <f t="shared" si="16"/>
        <v>0</v>
      </c>
      <c r="AP21" s="59">
        <f t="shared" si="16"/>
        <v>0</v>
      </c>
      <c r="AQ21" s="59">
        <f t="shared" si="16"/>
        <v>0</v>
      </c>
      <c r="AR21" s="59">
        <f t="shared" si="16"/>
        <v>0</v>
      </c>
      <c r="AS21" s="59">
        <f>I98</f>
        <v>80</v>
      </c>
      <c r="AT21" s="59">
        <f>K98</f>
        <v>250</v>
      </c>
      <c r="AU21" s="59">
        <f t="shared" ref="AU21:AX21" si="17">M98</f>
        <v>250</v>
      </c>
      <c r="AV21" s="59">
        <f t="shared" si="17"/>
        <v>180</v>
      </c>
      <c r="AW21" s="59">
        <f t="shared" si="17"/>
        <v>180</v>
      </c>
      <c r="AX21" s="59">
        <f t="shared" si="17"/>
        <v>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7.2</v>
      </c>
      <c r="C22" s="46">
        <v>7.2</v>
      </c>
      <c r="D22" s="46">
        <v>7.2</v>
      </c>
      <c r="E22" s="46">
        <v>6.4</v>
      </c>
      <c r="F22" s="46">
        <v>6.4</v>
      </c>
      <c r="G22" s="46">
        <v>6.4</v>
      </c>
      <c r="H22" s="46">
        <v>6.4</v>
      </c>
      <c r="I22" s="46">
        <v>6.4</v>
      </c>
      <c r="J22" s="46">
        <v>6.4</v>
      </c>
      <c r="K22" s="46">
        <v>6.4</v>
      </c>
      <c r="L22" s="46">
        <v>6.4</v>
      </c>
      <c r="M22" s="46">
        <v>6.4</v>
      </c>
      <c r="N22" s="46">
        <v>6.4</v>
      </c>
      <c r="O22" s="46">
        <v>6.4</v>
      </c>
      <c r="P22" s="46">
        <v>6.4</v>
      </c>
      <c r="Q22" s="46">
        <v>6.4</v>
      </c>
      <c r="R22" s="46">
        <v>6.4</v>
      </c>
      <c r="S22" s="46">
        <v>6.4</v>
      </c>
      <c r="T22" s="46">
        <v>6.4</v>
      </c>
      <c r="U22" s="46">
        <v>6.4</v>
      </c>
      <c r="V22" s="46">
        <v>6.4</v>
      </c>
      <c r="W22" s="46">
        <v>6.4</v>
      </c>
      <c r="X22" s="46">
        <v>6.4</v>
      </c>
      <c r="Y22" s="46">
        <v>6.4</v>
      </c>
      <c r="Z22" s="46">
        <v>6.4</v>
      </c>
      <c r="AA22" s="46">
        <v>6.4</v>
      </c>
      <c r="AB22" s="46">
        <v>6.4</v>
      </c>
      <c r="AC22" s="46">
        <v>6.4</v>
      </c>
      <c r="AD22" s="46">
        <v>6.4</v>
      </c>
      <c r="AE22" s="46">
        <v>6.4</v>
      </c>
      <c r="AF22" s="46">
        <v>6.4</v>
      </c>
      <c r="AG22" s="60">
        <v>30</v>
      </c>
      <c r="AH22" s="48">
        <f t="shared" si="8"/>
        <v>7.2</v>
      </c>
      <c r="AI22" s="49">
        <f t="shared" si="9"/>
        <v>6.4</v>
      </c>
      <c r="AK22" s="51"/>
      <c r="AL22" s="61" t="s">
        <v>37</v>
      </c>
      <c r="AM22" s="62">
        <f>SUM(AM16:AM21)</f>
        <v>1226.5900000000001</v>
      </c>
      <c r="AN22" s="62">
        <f t="shared" ref="AN22:AX22" si="18">SUM(AN16:AN21)</f>
        <v>1146.3899999999999</v>
      </c>
      <c r="AO22" s="62">
        <f t="shared" si="18"/>
        <v>1154.29</v>
      </c>
      <c r="AP22" s="62">
        <f t="shared" si="18"/>
        <v>1158.19</v>
      </c>
      <c r="AQ22" s="62">
        <f t="shared" si="18"/>
        <v>1154.29</v>
      </c>
      <c r="AR22" s="62">
        <f t="shared" si="18"/>
        <v>1168.99</v>
      </c>
      <c r="AS22" s="62">
        <f t="shared" si="18"/>
        <v>1283.99</v>
      </c>
      <c r="AT22" s="62">
        <f t="shared" si="18"/>
        <v>1459.5900000000001</v>
      </c>
      <c r="AU22" s="62">
        <f t="shared" si="18"/>
        <v>1486.29</v>
      </c>
      <c r="AV22" s="62">
        <f t="shared" si="18"/>
        <v>1404.39</v>
      </c>
      <c r="AW22" s="62">
        <f t="shared" si="18"/>
        <v>1360.5900000000001</v>
      </c>
      <c r="AX22" s="62">
        <f t="shared" si="18"/>
        <v>1178.49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5.5</v>
      </c>
      <c r="C23" s="46">
        <v>5.5</v>
      </c>
      <c r="D23" s="46">
        <v>5.5</v>
      </c>
      <c r="E23" s="46">
        <v>5.5</v>
      </c>
      <c r="F23" s="46">
        <v>5.5</v>
      </c>
      <c r="G23" s="46">
        <v>5.5</v>
      </c>
      <c r="H23" s="46">
        <v>5.5</v>
      </c>
      <c r="I23" s="46">
        <v>5.5</v>
      </c>
      <c r="J23" s="46">
        <v>5.5</v>
      </c>
      <c r="K23" s="46">
        <v>5.5</v>
      </c>
      <c r="L23" s="46">
        <v>5.5</v>
      </c>
      <c r="M23" s="46">
        <v>5.5</v>
      </c>
      <c r="N23" s="46">
        <v>5.5</v>
      </c>
      <c r="O23" s="46">
        <v>5.5</v>
      </c>
      <c r="P23" s="46">
        <v>5.5</v>
      </c>
      <c r="Q23" s="46">
        <v>5.5</v>
      </c>
      <c r="R23" s="46">
        <v>5.5</v>
      </c>
      <c r="S23" s="46">
        <v>5.5</v>
      </c>
      <c r="T23" s="46">
        <v>5.5</v>
      </c>
      <c r="U23" s="46">
        <v>5.5</v>
      </c>
      <c r="V23" s="46">
        <v>5.5</v>
      </c>
      <c r="W23" s="46">
        <v>5.5</v>
      </c>
      <c r="X23" s="46">
        <v>5.5</v>
      </c>
      <c r="Y23" s="46">
        <v>5.5</v>
      </c>
      <c r="Z23" s="46">
        <v>5.5</v>
      </c>
      <c r="AA23" s="46">
        <v>5.5</v>
      </c>
      <c r="AB23" s="46">
        <v>5.5</v>
      </c>
      <c r="AC23" s="46">
        <v>5.5</v>
      </c>
      <c r="AD23" s="46">
        <v>5.5</v>
      </c>
      <c r="AE23" s="46">
        <v>5.5</v>
      </c>
      <c r="AF23" s="46">
        <v>5.5</v>
      </c>
      <c r="AG23" s="50">
        <v>24.2</v>
      </c>
      <c r="AH23" s="48">
        <f t="shared" si="8"/>
        <v>5.5</v>
      </c>
      <c r="AI23" s="49">
        <f t="shared" si="9"/>
        <v>5.5</v>
      </c>
      <c r="AK23" s="51"/>
      <c r="AL23" s="61" t="s">
        <v>39</v>
      </c>
      <c r="AM23" s="62">
        <f>B107*-1</f>
        <v>0</v>
      </c>
      <c r="AN23" s="62">
        <f t="shared" ref="AN23:AR23" si="19">C107*-1</f>
        <v>0</v>
      </c>
      <c r="AO23" s="62">
        <f t="shared" si="19"/>
        <v>0</v>
      </c>
      <c r="AP23" s="62">
        <f t="shared" si="19"/>
        <v>0</v>
      </c>
      <c r="AQ23" s="62">
        <f t="shared" si="19"/>
        <v>0</v>
      </c>
      <c r="AR23" s="62">
        <f t="shared" si="19"/>
        <v>0</v>
      </c>
      <c r="AS23" s="62">
        <f>I107*-1</f>
        <v>0</v>
      </c>
      <c r="AT23" s="62">
        <f>K107*-1</f>
        <v>0</v>
      </c>
      <c r="AU23" s="62">
        <f t="shared" ref="AU23:AX23" si="20">M107*-1</f>
        <v>0</v>
      </c>
      <c r="AV23" s="62">
        <f t="shared" si="20"/>
        <v>0</v>
      </c>
      <c r="AW23" s="62">
        <f t="shared" si="20"/>
        <v>0</v>
      </c>
      <c r="AX23" s="62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5.7</v>
      </c>
      <c r="C24" s="46">
        <v>5.7</v>
      </c>
      <c r="D24" s="46">
        <v>5.7</v>
      </c>
      <c r="E24" s="46">
        <v>5.7</v>
      </c>
      <c r="F24" s="46">
        <v>5.7</v>
      </c>
      <c r="G24" s="46">
        <v>5.7</v>
      </c>
      <c r="H24" s="46">
        <v>5.7</v>
      </c>
      <c r="I24" s="46">
        <v>5.7</v>
      </c>
      <c r="J24" s="46">
        <v>5.7</v>
      </c>
      <c r="K24" s="46">
        <v>5.7</v>
      </c>
      <c r="L24" s="46">
        <v>5.7</v>
      </c>
      <c r="M24" s="46">
        <v>5.7</v>
      </c>
      <c r="N24" s="46">
        <v>5.7</v>
      </c>
      <c r="O24" s="46">
        <v>5.7</v>
      </c>
      <c r="P24" s="46">
        <v>5.7</v>
      </c>
      <c r="Q24" s="46">
        <v>5.7</v>
      </c>
      <c r="R24" s="46">
        <v>5.7</v>
      </c>
      <c r="S24" s="46">
        <v>5.7</v>
      </c>
      <c r="T24" s="46">
        <v>5.7</v>
      </c>
      <c r="U24" s="46">
        <v>5.7</v>
      </c>
      <c r="V24" s="46">
        <v>5.7</v>
      </c>
      <c r="W24" s="46">
        <v>5.7</v>
      </c>
      <c r="X24" s="46">
        <v>5.7</v>
      </c>
      <c r="Y24" s="46">
        <v>5.7</v>
      </c>
      <c r="Z24" s="46">
        <v>5.7</v>
      </c>
      <c r="AA24" s="46">
        <v>5.7</v>
      </c>
      <c r="AB24" s="46">
        <v>5.7</v>
      </c>
      <c r="AC24" s="46">
        <v>5.7</v>
      </c>
      <c r="AD24" s="46">
        <v>5.7</v>
      </c>
      <c r="AE24" s="46">
        <v>5.7</v>
      </c>
      <c r="AF24" s="46">
        <v>5.7</v>
      </c>
      <c r="AG24" s="50">
        <v>28</v>
      </c>
      <c r="AH24" s="48">
        <f t="shared" si="8"/>
        <v>5.7</v>
      </c>
      <c r="AI24" s="49">
        <f t="shared" si="9"/>
        <v>5.7</v>
      </c>
      <c r="AK24" s="51"/>
      <c r="AL24" s="61" t="s">
        <v>41</v>
      </c>
      <c r="AM24" s="62">
        <f>AM22+AM23</f>
        <v>1226.5900000000001</v>
      </c>
      <c r="AN24" s="62">
        <f t="shared" ref="AN24:AX24" si="21">AN22+AN23</f>
        <v>1146.3899999999999</v>
      </c>
      <c r="AO24" s="62">
        <f t="shared" si="21"/>
        <v>1154.29</v>
      </c>
      <c r="AP24" s="62">
        <f t="shared" si="21"/>
        <v>1158.19</v>
      </c>
      <c r="AQ24" s="62">
        <f t="shared" si="21"/>
        <v>1154.29</v>
      </c>
      <c r="AR24" s="62">
        <f t="shared" si="21"/>
        <v>1168.99</v>
      </c>
      <c r="AS24" s="62">
        <f t="shared" si="21"/>
        <v>1283.99</v>
      </c>
      <c r="AT24" s="62">
        <f t="shared" si="21"/>
        <v>1459.5900000000001</v>
      </c>
      <c r="AU24" s="62">
        <f t="shared" si="21"/>
        <v>1486.29</v>
      </c>
      <c r="AV24" s="62">
        <f t="shared" si="21"/>
        <v>1404.39</v>
      </c>
      <c r="AW24" s="62">
        <f t="shared" si="21"/>
        <v>1360.5900000000001</v>
      </c>
      <c r="AX24" s="62">
        <f t="shared" si="21"/>
        <v>1178.49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6.4</v>
      </c>
      <c r="C25" s="46">
        <v>6.4</v>
      </c>
      <c r="D25" s="46">
        <v>6.4</v>
      </c>
      <c r="E25" s="46">
        <v>6.4</v>
      </c>
      <c r="F25" s="46">
        <v>6.4</v>
      </c>
      <c r="G25" s="46">
        <v>6.4</v>
      </c>
      <c r="H25" s="46">
        <v>6.4</v>
      </c>
      <c r="I25" s="46">
        <v>6.4</v>
      </c>
      <c r="J25" s="46">
        <v>6.4</v>
      </c>
      <c r="K25" s="46">
        <v>6.4</v>
      </c>
      <c r="L25" s="46">
        <v>6.4</v>
      </c>
      <c r="M25" s="46">
        <v>6.4</v>
      </c>
      <c r="N25" s="46">
        <v>6.4</v>
      </c>
      <c r="O25" s="46">
        <v>6.4</v>
      </c>
      <c r="P25" s="46">
        <v>6.4</v>
      </c>
      <c r="Q25" s="46">
        <v>6.4</v>
      </c>
      <c r="R25" s="46">
        <v>6.4</v>
      </c>
      <c r="S25" s="46">
        <v>6.4</v>
      </c>
      <c r="T25" s="46">
        <v>6.4</v>
      </c>
      <c r="U25" s="46">
        <v>6.4</v>
      </c>
      <c r="V25" s="46">
        <v>6.4</v>
      </c>
      <c r="W25" s="46">
        <v>6.4</v>
      </c>
      <c r="X25" s="46">
        <v>6.4</v>
      </c>
      <c r="Y25" s="46">
        <v>6.4</v>
      </c>
      <c r="Z25" s="46">
        <v>6.4</v>
      </c>
      <c r="AA25" s="46">
        <v>6.4</v>
      </c>
      <c r="AB25" s="46">
        <v>6.4</v>
      </c>
      <c r="AC25" s="46">
        <v>6.4</v>
      </c>
      <c r="AD25" s="46">
        <v>6.4</v>
      </c>
      <c r="AE25" s="46">
        <v>6.4</v>
      </c>
      <c r="AF25" s="46">
        <v>6.4</v>
      </c>
      <c r="AG25" s="60">
        <v>30</v>
      </c>
      <c r="AH25" s="48">
        <f t="shared" si="8"/>
        <v>6.4</v>
      </c>
      <c r="AI25" s="49">
        <f t="shared" si="9"/>
        <v>6.4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8.4</v>
      </c>
      <c r="C26" s="46">
        <v>8.4</v>
      </c>
      <c r="D26" s="46">
        <v>8.4</v>
      </c>
      <c r="E26" s="46">
        <v>8.4</v>
      </c>
      <c r="F26" s="46">
        <v>8.4</v>
      </c>
      <c r="G26" s="46">
        <v>8.4</v>
      </c>
      <c r="H26" s="46">
        <v>8.4</v>
      </c>
      <c r="I26" s="46">
        <v>5</v>
      </c>
      <c r="J26" s="46">
        <v>0</v>
      </c>
      <c r="K26" s="46">
        <v>0</v>
      </c>
      <c r="L26" s="46">
        <v>13</v>
      </c>
      <c r="M26" s="46">
        <v>13</v>
      </c>
      <c r="N26" s="46">
        <v>13</v>
      </c>
      <c r="O26" s="46">
        <v>13</v>
      </c>
      <c r="P26" s="46">
        <v>13</v>
      </c>
      <c r="Q26" s="46">
        <v>13</v>
      </c>
      <c r="R26" s="46">
        <v>13</v>
      </c>
      <c r="S26" s="46">
        <v>13</v>
      </c>
      <c r="T26" s="46">
        <v>13</v>
      </c>
      <c r="U26" s="46">
        <v>13</v>
      </c>
      <c r="V26" s="46">
        <v>13</v>
      </c>
      <c r="W26" s="46">
        <v>13</v>
      </c>
      <c r="X26" s="46">
        <v>13</v>
      </c>
      <c r="Y26" s="46">
        <v>13</v>
      </c>
      <c r="Z26" s="46">
        <v>13</v>
      </c>
      <c r="AA26" s="46">
        <v>13</v>
      </c>
      <c r="AB26" s="46">
        <v>13</v>
      </c>
      <c r="AC26" s="46">
        <v>13</v>
      </c>
      <c r="AD26" s="46">
        <v>13</v>
      </c>
      <c r="AE26" s="46">
        <v>13</v>
      </c>
      <c r="AF26" s="46">
        <v>13</v>
      </c>
      <c r="AG26" s="50">
        <v>25</v>
      </c>
      <c r="AH26" s="48">
        <f t="shared" si="8"/>
        <v>13</v>
      </c>
      <c r="AI26" s="49">
        <f t="shared" si="9"/>
        <v>0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5</v>
      </c>
      <c r="N27" s="46">
        <v>5</v>
      </c>
      <c r="O27" s="46">
        <v>5</v>
      </c>
      <c r="P27" s="46">
        <v>5</v>
      </c>
      <c r="Q27" s="46">
        <v>5</v>
      </c>
      <c r="R27" s="46">
        <v>5</v>
      </c>
      <c r="S27" s="46">
        <v>5</v>
      </c>
      <c r="T27" s="46">
        <v>5</v>
      </c>
      <c r="U27" s="46">
        <v>5</v>
      </c>
      <c r="V27" s="46">
        <v>5</v>
      </c>
      <c r="W27" s="46">
        <v>5</v>
      </c>
      <c r="X27" s="46">
        <v>5</v>
      </c>
      <c r="Y27" s="46">
        <v>5</v>
      </c>
      <c r="Z27" s="46">
        <v>5</v>
      </c>
      <c r="AA27" s="46">
        <v>5</v>
      </c>
      <c r="AB27" s="46">
        <v>5</v>
      </c>
      <c r="AC27" s="46">
        <v>5</v>
      </c>
      <c r="AD27" s="46">
        <v>5</v>
      </c>
      <c r="AE27" s="46">
        <v>5</v>
      </c>
      <c r="AF27" s="46">
        <v>5</v>
      </c>
      <c r="AG27" s="50">
        <v>25</v>
      </c>
      <c r="AH27" s="48">
        <f t="shared" si="8"/>
        <v>5</v>
      </c>
      <c r="AI27" s="49">
        <f t="shared" si="9"/>
        <v>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6</v>
      </c>
      <c r="C28" s="46">
        <v>6</v>
      </c>
      <c r="D28" s="46">
        <v>6</v>
      </c>
      <c r="E28" s="46">
        <v>6</v>
      </c>
      <c r="F28" s="46">
        <v>6</v>
      </c>
      <c r="G28" s="46">
        <v>6</v>
      </c>
      <c r="H28" s="46">
        <v>6</v>
      </c>
      <c r="I28" s="46">
        <v>6</v>
      </c>
      <c r="J28" s="46">
        <v>6</v>
      </c>
      <c r="K28" s="46">
        <v>6</v>
      </c>
      <c r="L28" s="46">
        <v>6</v>
      </c>
      <c r="M28" s="46">
        <v>6</v>
      </c>
      <c r="N28" s="46">
        <v>6</v>
      </c>
      <c r="O28" s="46">
        <v>6</v>
      </c>
      <c r="P28" s="46">
        <v>6</v>
      </c>
      <c r="Q28" s="46">
        <v>6</v>
      </c>
      <c r="R28" s="46">
        <v>6</v>
      </c>
      <c r="S28" s="46">
        <v>6</v>
      </c>
      <c r="T28" s="46">
        <v>6</v>
      </c>
      <c r="U28" s="46">
        <v>6</v>
      </c>
      <c r="V28" s="46">
        <v>6</v>
      </c>
      <c r="W28" s="46">
        <v>6</v>
      </c>
      <c r="X28" s="46">
        <v>6</v>
      </c>
      <c r="Y28" s="46">
        <v>6</v>
      </c>
      <c r="Z28" s="46">
        <v>6</v>
      </c>
      <c r="AA28" s="46">
        <v>6</v>
      </c>
      <c r="AB28" s="46">
        <v>6</v>
      </c>
      <c r="AC28" s="46">
        <v>6</v>
      </c>
      <c r="AD28" s="46">
        <v>6</v>
      </c>
      <c r="AE28" s="46">
        <v>6</v>
      </c>
      <c r="AF28" s="46">
        <v>6</v>
      </c>
      <c r="AG28" s="50">
        <v>25</v>
      </c>
      <c r="AH28" s="48">
        <f t="shared" si="8"/>
        <v>6</v>
      </c>
      <c r="AI28" s="49">
        <f t="shared" si="9"/>
        <v>6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6.8</v>
      </c>
      <c r="C29" s="46">
        <v>6.8</v>
      </c>
      <c r="D29" s="46">
        <v>6.8</v>
      </c>
      <c r="E29" s="46">
        <v>6.8</v>
      </c>
      <c r="F29" s="46">
        <v>6.8</v>
      </c>
      <c r="G29" s="46">
        <v>6.8</v>
      </c>
      <c r="H29" s="46">
        <v>6.8</v>
      </c>
      <c r="I29" s="46">
        <v>6.8</v>
      </c>
      <c r="J29" s="46">
        <v>6.8</v>
      </c>
      <c r="K29" s="46">
        <v>6.8</v>
      </c>
      <c r="L29" s="46">
        <v>6.8</v>
      </c>
      <c r="M29" s="46">
        <v>6.8</v>
      </c>
      <c r="N29" s="46">
        <v>6.8</v>
      </c>
      <c r="O29" s="46">
        <v>6.8</v>
      </c>
      <c r="P29" s="46">
        <v>6.8</v>
      </c>
      <c r="Q29" s="46">
        <v>6.8</v>
      </c>
      <c r="R29" s="46">
        <v>6.8</v>
      </c>
      <c r="S29" s="46">
        <v>6.8</v>
      </c>
      <c r="T29" s="46">
        <v>6.8</v>
      </c>
      <c r="U29" s="46">
        <v>6.8</v>
      </c>
      <c r="V29" s="46">
        <v>6.8</v>
      </c>
      <c r="W29" s="46">
        <v>6.8</v>
      </c>
      <c r="X29" s="46">
        <v>6.8</v>
      </c>
      <c r="Y29" s="46">
        <v>6.8</v>
      </c>
      <c r="Z29" s="46">
        <v>6.8</v>
      </c>
      <c r="AA29" s="46">
        <v>6.8</v>
      </c>
      <c r="AB29" s="46">
        <v>6.8</v>
      </c>
      <c r="AC29" s="46">
        <v>6.8</v>
      </c>
      <c r="AD29" s="46">
        <v>6.8</v>
      </c>
      <c r="AE29" s="46">
        <v>6.8</v>
      </c>
      <c r="AF29" s="46">
        <v>6.8</v>
      </c>
      <c r="AG29" s="50">
        <v>25</v>
      </c>
      <c r="AH29" s="48">
        <f t="shared" si="8"/>
        <v>6.8</v>
      </c>
      <c r="AI29" s="49">
        <f t="shared" si="9"/>
        <v>6.8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7.5</v>
      </c>
      <c r="C30" s="46">
        <v>7.5</v>
      </c>
      <c r="D30" s="46">
        <v>7.5</v>
      </c>
      <c r="E30" s="46">
        <v>7.5</v>
      </c>
      <c r="F30" s="46">
        <v>7.5</v>
      </c>
      <c r="G30" s="46">
        <v>7.5</v>
      </c>
      <c r="H30" s="46">
        <v>7.5</v>
      </c>
      <c r="I30" s="46">
        <v>7.5</v>
      </c>
      <c r="J30" s="46">
        <v>7.5</v>
      </c>
      <c r="K30" s="46">
        <v>7.5</v>
      </c>
      <c r="L30" s="46">
        <v>7.5</v>
      </c>
      <c r="M30" s="46">
        <v>7.5</v>
      </c>
      <c r="N30" s="46">
        <v>7.5</v>
      </c>
      <c r="O30" s="46">
        <v>7.5</v>
      </c>
      <c r="P30" s="46">
        <v>7.5</v>
      </c>
      <c r="Q30" s="46">
        <v>7.5</v>
      </c>
      <c r="R30" s="46">
        <v>7.5</v>
      </c>
      <c r="S30" s="46">
        <v>7.5</v>
      </c>
      <c r="T30" s="46">
        <v>7.5</v>
      </c>
      <c r="U30" s="46">
        <v>7.5</v>
      </c>
      <c r="V30" s="46">
        <v>7.5</v>
      </c>
      <c r="W30" s="46">
        <v>7.5</v>
      </c>
      <c r="X30" s="46">
        <v>7.5</v>
      </c>
      <c r="Y30" s="46">
        <v>7.5</v>
      </c>
      <c r="Z30" s="46">
        <v>7.5</v>
      </c>
      <c r="AA30" s="46">
        <v>7.5</v>
      </c>
      <c r="AB30" s="46">
        <v>7.5</v>
      </c>
      <c r="AC30" s="46">
        <v>7.5</v>
      </c>
      <c r="AD30" s="46">
        <v>7.5</v>
      </c>
      <c r="AE30" s="46">
        <v>7.5</v>
      </c>
      <c r="AF30" s="46">
        <v>7.5</v>
      </c>
      <c r="AG30" s="50">
        <v>23.5</v>
      </c>
      <c r="AH30" s="48">
        <f t="shared" si="8"/>
        <v>7.5</v>
      </c>
      <c r="AI30" s="49">
        <f t="shared" si="9"/>
        <v>7.5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>
        <v>3</v>
      </c>
      <c r="V31" s="46">
        <v>3</v>
      </c>
      <c r="W31" s="46">
        <v>3</v>
      </c>
      <c r="X31" s="46">
        <v>3</v>
      </c>
      <c r="Y31" s="46">
        <v>3</v>
      </c>
      <c r="Z31" s="46">
        <v>3</v>
      </c>
      <c r="AA31" s="46">
        <v>3</v>
      </c>
      <c r="AB31" s="46">
        <v>3</v>
      </c>
      <c r="AC31" s="46">
        <v>3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8"/>
        <v>3</v>
      </c>
      <c r="AI31" s="49">
        <f t="shared" si="9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5.5</v>
      </c>
      <c r="Q32" s="46">
        <v>5.5</v>
      </c>
      <c r="R32" s="46">
        <v>5.5</v>
      </c>
      <c r="S32" s="46">
        <v>5.5</v>
      </c>
      <c r="T32" s="46">
        <v>5.5</v>
      </c>
      <c r="U32" s="46">
        <v>5.5</v>
      </c>
      <c r="V32" s="46">
        <v>5.5</v>
      </c>
      <c r="W32" s="46">
        <v>5.5</v>
      </c>
      <c r="X32" s="46">
        <v>5.5</v>
      </c>
      <c r="Y32" s="46">
        <v>5.5</v>
      </c>
      <c r="Z32" s="46">
        <v>5.5</v>
      </c>
      <c r="AA32" s="46">
        <v>5.5</v>
      </c>
      <c r="AB32" s="46">
        <v>5.5</v>
      </c>
      <c r="AC32" s="46">
        <v>5.5</v>
      </c>
      <c r="AD32" s="46">
        <v>5.5</v>
      </c>
      <c r="AE32" s="46">
        <v>5.5</v>
      </c>
      <c r="AF32" s="46">
        <v>5.5</v>
      </c>
      <c r="AG32" s="50">
        <v>22.1</v>
      </c>
      <c r="AH32" s="48">
        <f t="shared" si="8"/>
        <v>5.5</v>
      </c>
      <c r="AI32" s="49">
        <f t="shared" si="9"/>
        <v>5.5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6</v>
      </c>
      <c r="C33" s="46">
        <v>6</v>
      </c>
      <c r="D33" s="46">
        <v>6</v>
      </c>
      <c r="E33" s="46">
        <v>6</v>
      </c>
      <c r="F33" s="46">
        <v>6</v>
      </c>
      <c r="G33" s="46">
        <v>6</v>
      </c>
      <c r="H33" s="46">
        <v>6</v>
      </c>
      <c r="I33" s="46">
        <v>6</v>
      </c>
      <c r="J33" s="46">
        <v>6</v>
      </c>
      <c r="K33" s="46">
        <v>6</v>
      </c>
      <c r="L33" s="46">
        <v>6</v>
      </c>
      <c r="M33" s="46">
        <v>6</v>
      </c>
      <c r="N33" s="46">
        <v>6</v>
      </c>
      <c r="O33" s="46">
        <v>6</v>
      </c>
      <c r="P33" s="46">
        <v>6</v>
      </c>
      <c r="Q33" s="46">
        <v>6</v>
      </c>
      <c r="R33" s="46">
        <v>6</v>
      </c>
      <c r="S33" s="46">
        <v>6</v>
      </c>
      <c r="T33" s="46">
        <v>6</v>
      </c>
      <c r="U33" s="46">
        <v>6</v>
      </c>
      <c r="V33" s="46">
        <v>6</v>
      </c>
      <c r="W33" s="46">
        <v>6</v>
      </c>
      <c r="X33" s="46">
        <v>6</v>
      </c>
      <c r="Y33" s="46">
        <v>6</v>
      </c>
      <c r="Z33" s="46">
        <v>6</v>
      </c>
      <c r="AA33" s="46">
        <v>6</v>
      </c>
      <c r="AB33" s="46">
        <v>6</v>
      </c>
      <c r="AC33" s="46">
        <v>6</v>
      </c>
      <c r="AD33" s="46">
        <v>6</v>
      </c>
      <c r="AE33" s="46">
        <v>6</v>
      </c>
      <c r="AF33" s="46">
        <v>6</v>
      </c>
      <c r="AG33" s="50">
        <v>22</v>
      </c>
      <c r="AH33" s="48">
        <f t="shared" si="8"/>
        <v>6</v>
      </c>
      <c r="AI33" s="49">
        <f t="shared" si="9"/>
        <v>6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10.8</v>
      </c>
      <c r="C34" s="46">
        <v>10.8</v>
      </c>
      <c r="D34" s="46">
        <v>10.8</v>
      </c>
      <c r="E34" s="46">
        <v>10.8</v>
      </c>
      <c r="F34" s="46">
        <v>10.8</v>
      </c>
      <c r="G34" s="46">
        <v>10.8</v>
      </c>
      <c r="H34" s="46">
        <v>10.8</v>
      </c>
      <c r="I34" s="46">
        <v>10.8</v>
      </c>
      <c r="J34" s="46">
        <v>10.8</v>
      </c>
      <c r="K34" s="46">
        <v>10.8</v>
      </c>
      <c r="L34" s="46">
        <v>10.8</v>
      </c>
      <c r="M34" s="46">
        <v>10.8</v>
      </c>
      <c r="N34" s="46">
        <v>10.8</v>
      </c>
      <c r="O34" s="46">
        <v>10.8</v>
      </c>
      <c r="P34" s="46">
        <v>10.8</v>
      </c>
      <c r="Q34" s="46">
        <v>10.8</v>
      </c>
      <c r="R34" s="46">
        <v>10.8</v>
      </c>
      <c r="S34" s="46">
        <v>10.8</v>
      </c>
      <c r="T34" s="46">
        <v>10.8</v>
      </c>
      <c r="U34" s="46">
        <v>10.8</v>
      </c>
      <c r="V34" s="46">
        <v>10.8</v>
      </c>
      <c r="W34" s="46">
        <v>10.8</v>
      </c>
      <c r="X34" s="46">
        <v>10.8</v>
      </c>
      <c r="Y34" s="46">
        <v>10.8</v>
      </c>
      <c r="Z34" s="46">
        <v>10.8</v>
      </c>
      <c r="AA34" s="46">
        <v>10.8</v>
      </c>
      <c r="AB34" s="46">
        <v>10.8</v>
      </c>
      <c r="AC34" s="46">
        <v>10.8</v>
      </c>
      <c r="AD34" s="46">
        <v>10.8</v>
      </c>
      <c r="AE34" s="46">
        <v>10.8</v>
      </c>
      <c r="AF34" s="46">
        <v>10.8</v>
      </c>
      <c r="AG34" s="50">
        <v>22</v>
      </c>
      <c r="AH34" s="48">
        <f t="shared" si="8"/>
        <v>10.8</v>
      </c>
      <c r="AI34" s="49">
        <f t="shared" si="9"/>
        <v>10.8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8"/>
        <v>4</v>
      </c>
      <c r="AI35" s="49">
        <f t="shared" si="9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>
        <v>4</v>
      </c>
      <c r="V36" s="46">
        <v>4</v>
      </c>
      <c r="W36" s="46">
        <v>4</v>
      </c>
      <c r="X36" s="46">
        <v>4</v>
      </c>
      <c r="Y36" s="46">
        <v>4</v>
      </c>
      <c r="Z36" s="46">
        <v>4</v>
      </c>
      <c r="AA36" s="46">
        <v>4</v>
      </c>
      <c r="AB36" s="46">
        <v>4</v>
      </c>
      <c r="AC36" s="46">
        <v>4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8"/>
        <v>4</v>
      </c>
      <c r="AI36" s="49">
        <f t="shared" si="9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>
        <v>5.7</v>
      </c>
      <c r="V37" s="46">
        <v>5.7</v>
      </c>
      <c r="W37" s="46">
        <v>5.7</v>
      </c>
      <c r="X37" s="46">
        <v>5.7</v>
      </c>
      <c r="Y37" s="46">
        <v>5.7</v>
      </c>
      <c r="Z37" s="46">
        <v>5.7</v>
      </c>
      <c r="AA37" s="46">
        <v>5.7</v>
      </c>
      <c r="AB37" s="46">
        <v>5.7</v>
      </c>
      <c r="AC37" s="46">
        <v>5.7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8"/>
        <v>5.7</v>
      </c>
      <c r="AI37" s="49">
        <f t="shared" si="9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7.2</v>
      </c>
      <c r="Q38" s="46">
        <v>7.2</v>
      </c>
      <c r="R38" s="46">
        <v>7.2</v>
      </c>
      <c r="S38" s="46">
        <v>7.2</v>
      </c>
      <c r="T38" s="46">
        <v>7.2</v>
      </c>
      <c r="U38" s="46">
        <v>7.2</v>
      </c>
      <c r="V38" s="46">
        <v>7.2</v>
      </c>
      <c r="W38" s="46">
        <v>7.2</v>
      </c>
      <c r="X38" s="46">
        <v>7.2</v>
      </c>
      <c r="Y38" s="46">
        <v>7.2</v>
      </c>
      <c r="Z38" s="46">
        <v>7.2</v>
      </c>
      <c r="AA38" s="46">
        <v>7.2</v>
      </c>
      <c r="AB38" s="46">
        <v>7.2</v>
      </c>
      <c r="AC38" s="46">
        <v>7.2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8"/>
        <v>7.2</v>
      </c>
      <c r="AI38" s="49">
        <f t="shared" si="9"/>
        <v>7.2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0</v>
      </c>
      <c r="C40" s="46">
        <v>0</v>
      </c>
      <c r="D40" s="46">
        <v>0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46">
        <v>0</v>
      </c>
      <c r="P40" s="46">
        <v>0</v>
      </c>
      <c r="Q40" s="46">
        <v>0</v>
      </c>
      <c r="R40" s="46">
        <v>0</v>
      </c>
      <c r="S40" s="46">
        <v>0</v>
      </c>
      <c r="T40" s="46">
        <v>0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6">
        <v>0</v>
      </c>
      <c r="AD40" s="46">
        <v>0</v>
      </c>
      <c r="AE40" s="46">
        <v>0</v>
      </c>
      <c r="AF40" s="46">
        <v>0</v>
      </c>
      <c r="AG40" s="50">
        <v>14.9</v>
      </c>
      <c r="AH40" s="48">
        <f t="shared" si="8"/>
        <v>0</v>
      </c>
      <c r="AI40" s="49">
        <f t="shared" si="9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8"/>
        <v>4</v>
      </c>
      <c r="AI41" s="49">
        <f t="shared" si="9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>
        <v>1.8</v>
      </c>
      <c r="V42" s="46">
        <v>1.8</v>
      </c>
      <c r="W42" s="46">
        <v>1.8</v>
      </c>
      <c r="X42" s="46">
        <v>1.8</v>
      </c>
      <c r="Y42" s="46">
        <v>1.8</v>
      </c>
      <c r="Z42" s="46">
        <v>1.8</v>
      </c>
      <c r="AA42" s="46">
        <v>1.8</v>
      </c>
      <c r="AB42" s="46">
        <v>1.8</v>
      </c>
      <c r="AC42" s="46">
        <v>1.8</v>
      </c>
      <c r="AD42" s="46">
        <v>1.8</v>
      </c>
      <c r="AE42" s="46">
        <v>1.8</v>
      </c>
      <c r="AF42" s="46">
        <v>1.8</v>
      </c>
      <c r="AG42" s="50">
        <v>13.6</v>
      </c>
      <c r="AH42" s="48">
        <f t="shared" si="8"/>
        <v>1.8</v>
      </c>
      <c r="AI42" s="49">
        <f t="shared" si="9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>
        <v>3.8</v>
      </c>
      <c r="V43" s="46">
        <v>3.8</v>
      </c>
      <c r="W43" s="46">
        <v>3.8</v>
      </c>
      <c r="X43" s="46">
        <v>3.8</v>
      </c>
      <c r="Y43" s="46">
        <v>3.8</v>
      </c>
      <c r="Z43" s="46">
        <v>3.8</v>
      </c>
      <c r="AA43" s="46">
        <v>3.8</v>
      </c>
      <c r="AB43" s="46">
        <v>3.8</v>
      </c>
      <c r="AC43" s="46">
        <v>3.8</v>
      </c>
      <c r="AD43" s="46">
        <v>3.8</v>
      </c>
      <c r="AE43" s="46">
        <v>3.8</v>
      </c>
      <c r="AF43" s="46">
        <v>3.8</v>
      </c>
      <c r="AG43" s="50">
        <v>13</v>
      </c>
      <c r="AH43" s="48">
        <f t="shared" si="8"/>
        <v>3.8</v>
      </c>
      <c r="AI43" s="49">
        <f t="shared" si="9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2.5</v>
      </c>
      <c r="C44" s="46">
        <v>2.5</v>
      </c>
      <c r="D44" s="46">
        <v>2.5</v>
      </c>
      <c r="E44" s="46">
        <v>2.5</v>
      </c>
      <c r="F44" s="46">
        <v>2.5</v>
      </c>
      <c r="G44" s="46">
        <v>2.5</v>
      </c>
      <c r="H44" s="46">
        <v>2.5</v>
      </c>
      <c r="I44" s="46">
        <v>2.5</v>
      </c>
      <c r="J44" s="46">
        <v>2.5</v>
      </c>
      <c r="K44" s="46">
        <v>2.5</v>
      </c>
      <c r="L44" s="46">
        <v>2.5</v>
      </c>
      <c r="M44" s="46">
        <v>2.5</v>
      </c>
      <c r="N44" s="46">
        <v>2.5</v>
      </c>
      <c r="O44" s="46">
        <v>2.5</v>
      </c>
      <c r="P44" s="46">
        <v>2.5</v>
      </c>
      <c r="Q44" s="46">
        <v>2.5</v>
      </c>
      <c r="R44" s="46">
        <v>2.5</v>
      </c>
      <c r="S44" s="46">
        <v>2.5</v>
      </c>
      <c r="T44" s="46">
        <v>2.5</v>
      </c>
      <c r="U44" s="46">
        <v>2.5</v>
      </c>
      <c r="V44" s="46">
        <v>2.5</v>
      </c>
      <c r="W44" s="46">
        <v>2.5</v>
      </c>
      <c r="X44" s="46">
        <v>2.5</v>
      </c>
      <c r="Y44" s="46">
        <v>2.5</v>
      </c>
      <c r="Z44" s="46">
        <v>2.5</v>
      </c>
      <c r="AA44" s="46">
        <v>2.5</v>
      </c>
      <c r="AB44" s="46">
        <v>2.5</v>
      </c>
      <c r="AC44" s="46">
        <v>2.5</v>
      </c>
      <c r="AD44" s="46">
        <v>2.5</v>
      </c>
      <c r="AE44" s="46">
        <v>2.5</v>
      </c>
      <c r="AF44" s="46">
        <v>2.5</v>
      </c>
      <c r="AG44" s="50">
        <v>12</v>
      </c>
      <c r="AH44" s="48">
        <f t="shared" si="8"/>
        <v>2.5</v>
      </c>
      <c r="AI44" s="49">
        <f t="shared" si="9"/>
        <v>2.5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>
        <v>9</v>
      </c>
      <c r="V45" s="46">
        <v>9</v>
      </c>
      <c r="W45" s="46">
        <v>9</v>
      </c>
      <c r="X45" s="46">
        <v>9</v>
      </c>
      <c r="Y45" s="46">
        <v>9</v>
      </c>
      <c r="Z45" s="46">
        <v>9</v>
      </c>
      <c r="AA45" s="46">
        <v>9</v>
      </c>
      <c r="AB45" s="46">
        <v>9</v>
      </c>
      <c r="AC45" s="46">
        <v>9</v>
      </c>
      <c r="AD45" s="46">
        <v>9</v>
      </c>
      <c r="AE45" s="46">
        <v>9</v>
      </c>
      <c r="AF45" s="46">
        <v>9</v>
      </c>
      <c r="AG45" s="50">
        <v>12</v>
      </c>
      <c r="AH45" s="48">
        <f t="shared" si="8"/>
        <v>9</v>
      </c>
      <c r="AI45" s="49">
        <f t="shared" si="9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>
        <v>3.5</v>
      </c>
      <c r="V47" s="46">
        <v>3.5</v>
      </c>
      <c r="W47" s="46">
        <v>3.5</v>
      </c>
      <c r="X47" s="46">
        <v>3.5</v>
      </c>
      <c r="Y47" s="46">
        <v>3.5</v>
      </c>
      <c r="Z47" s="46">
        <v>3.5</v>
      </c>
      <c r="AA47" s="46">
        <v>3.5</v>
      </c>
      <c r="AB47" s="46">
        <v>3.5</v>
      </c>
      <c r="AC47" s="46">
        <v>3.5</v>
      </c>
      <c r="AD47" s="46">
        <v>3.5</v>
      </c>
      <c r="AE47" s="46">
        <v>3.5</v>
      </c>
      <c r="AF47" s="46">
        <v>3.5</v>
      </c>
      <c r="AG47" s="63">
        <v>22</v>
      </c>
      <c r="AH47" s="48">
        <f t="shared" si="8"/>
        <v>3.5</v>
      </c>
      <c r="AI47" s="49">
        <f t="shared" si="9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>
        <v>5</v>
      </c>
      <c r="V48" s="46">
        <v>5</v>
      </c>
      <c r="W48" s="46">
        <v>5</v>
      </c>
      <c r="X48" s="46">
        <v>5</v>
      </c>
      <c r="Y48" s="46">
        <v>5</v>
      </c>
      <c r="Z48" s="46">
        <v>5</v>
      </c>
      <c r="AA48" s="46">
        <v>5</v>
      </c>
      <c r="AB48" s="46">
        <v>5</v>
      </c>
      <c r="AC48" s="46">
        <v>5</v>
      </c>
      <c r="AD48" s="46">
        <v>5</v>
      </c>
      <c r="AE48" s="46">
        <v>5</v>
      </c>
      <c r="AF48" s="46">
        <v>5</v>
      </c>
      <c r="AG48" s="60">
        <v>11.88</v>
      </c>
      <c r="AH48" s="48">
        <f t="shared" si="8"/>
        <v>5</v>
      </c>
      <c r="AI48" s="49">
        <f t="shared" si="9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5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4" t="s">
        <v>67</v>
      </c>
      <c r="B50" s="46">
        <v>2.4500000000000002</v>
      </c>
      <c r="C50" s="46">
        <v>2.4500000000000002</v>
      </c>
      <c r="D50" s="46">
        <v>2.4500000000000002</v>
      </c>
      <c r="E50" s="46">
        <v>2.4500000000000002</v>
      </c>
      <c r="F50" s="46">
        <v>2.4500000000000002</v>
      </c>
      <c r="G50" s="46">
        <v>2.4500000000000002</v>
      </c>
      <c r="H50" s="46">
        <v>2.4500000000000002</v>
      </c>
      <c r="I50" s="46">
        <v>2.4500000000000002</v>
      </c>
      <c r="J50" s="46">
        <v>2.4500000000000002</v>
      </c>
      <c r="K50" s="46">
        <v>2.4500000000000002</v>
      </c>
      <c r="L50" s="46">
        <v>2.4500000000000002</v>
      </c>
      <c r="M50" s="46">
        <v>2.4500000000000002</v>
      </c>
      <c r="N50" s="46">
        <v>2.4500000000000002</v>
      </c>
      <c r="O50" s="46">
        <v>2.4500000000000002</v>
      </c>
      <c r="P50" s="46">
        <v>2.4500000000000002</v>
      </c>
      <c r="Q50" s="46">
        <v>2.4500000000000002</v>
      </c>
      <c r="R50" s="46">
        <v>2.4500000000000002</v>
      </c>
      <c r="S50" s="46">
        <v>2.4500000000000002</v>
      </c>
      <c r="T50" s="46">
        <v>2.4500000000000002</v>
      </c>
      <c r="U50" s="46">
        <v>2.4500000000000002</v>
      </c>
      <c r="V50" s="46">
        <v>2.4500000000000002</v>
      </c>
      <c r="W50" s="46">
        <v>2.4500000000000002</v>
      </c>
      <c r="X50" s="46">
        <v>2.4500000000000002</v>
      </c>
      <c r="Y50" s="46">
        <v>2.4500000000000002</v>
      </c>
      <c r="Z50" s="46">
        <v>2.4500000000000002</v>
      </c>
      <c r="AA50" s="46">
        <v>2.4500000000000002</v>
      </c>
      <c r="AB50" s="46">
        <v>2.4500000000000002</v>
      </c>
      <c r="AC50" s="46">
        <v>2.4500000000000002</v>
      </c>
      <c r="AD50" s="46">
        <v>2.4500000000000002</v>
      </c>
      <c r="AE50" s="46">
        <v>2.4500000000000002</v>
      </c>
      <c r="AF50" s="46">
        <v>2.4500000000000002</v>
      </c>
      <c r="AG50" s="65">
        <v>11</v>
      </c>
      <c r="AH50" s="48">
        <f t="shared" si="8"/>
        <v>2.4500000000000002</v>
      </c>
      <c r="AI50" s="49">
        <f t="shared" si="9"/>
        <v>2.4500000000000002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65">
        <v>11</v>
      </c>
      <c r="AH51" s="48">
        <f t="shared" si="8"/>
        <v>3</v>
      </c>
      <c r="AI51" s="49">
        <f t="shared" si="9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5">
        <v>10</v>
      </c>
      <c r="AH52" s="48">
        <f t="shared" si="8"/>
        <v>4</v>
      </c>
      <c r="AI52" s="49">
        <f t="shared" si="9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>
        <v>4.5</v>
      </c>
      <c r="V53" s="46">
        <v>4.5</v>
      </c>
      <c r="W53" s="46">
        <v>4.5</v>
      </c>
      <c r="X53" s="46">
        <v>4.5</v>
      </c>
      <c r="Y53" s="46">
        <v>4.5</v>
      </c>
      <c r="Z53" s="46">
        <v>4.5</v>
      </c>
      <c r="AA53" s="46">
        <v>4.5</v>
      </c>
      <c r="AB53" s="46">
        <v>4.5</v>
      </c>
      <c r="AC53" s="46">
        <v>4.5</v>
      </c>
      <c r="AD53" s="46">
        <v>4.5</v>
      </c>
      <c r="AE53" s="46">
        <v>4.5</v>
      </c>
      <c r="AF53" s="46">
        <v>4.5</v>
      </c>
      <c r="AG53" s="65">
        <v>10</v>
      </c>
      <c r="AH53" s="48">
        <f t="shared" si="8"/>
        <v>4.5</v>
      </c>
      <c r="AI53" s="49">
        <f t="shared" si="9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5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5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>
        <v>150</v>
      </c>
      <c r="W56" s="67">
        <v>150</v>
      </c>
      <c r="X56" s="67">
        <v>150</v>
      </c>
      <c r="Y56" s="67">
        <v>150</v>
      </c>
      <c r="Z56" s="67">
        <v>150</v>
      </c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8" t="s">
        <v>74</v>
      </c>
      <c r="B57" s="67">
        <v>45</v>
      </c>
      <c r="C57" s="67">
        <v>45</v>
      </c>
      <c r="D57" s="67">
        <v>45</v>
      </c>
      <c r="E57" s="67">
        <v>45</v>
      </c>
      <c r="F57" s="67">
        <v>45</v>
      </c>
      <c r="G57" s="67">
        <v>43</v>
      </c>
      <c r="H57" s="67">
        <v>48</v>
      </c>
      <c r="I57" s="67">
        <v>48</v>
      </c>
      <c r="J57" s="67">
        <v>46</v>
      </c>
      <c r="K57" s="67">
        <v>46</v>
      </c>
      <c r="L57" s="67">
        <v>48</v>
      </c>
      <c r="M57" s="67">
        <v>48</v>
      </c>
      <c r="N57" s="53">
        <f>41.1+21</f>
        <v>62.1</v>
      </c>
      <c r="O57" s="53">
        <f>41.1+21</f>
        <v>62.1</v>
      </c>
      <c r="P57" s="53">
        <f>41.1+21</f>
        <v>62.1</v>
      </c>
      <c r="Q57" s="53">
        <f>44.8+19.3</f>
        <v>64.099999999999994</v>
      </c>
      <c r="R57" s="53">
        <f>44.3+19.1</f>
        <v>63.4</v>
      </c>
      <c r="S57" s="53">
        <v>59.8</v>
      </c>
      <c r="T57" s="53">
        <v>57.1</v>
      </c>
      <c r="U57" s="53">
        <v>74.8</v>
      </c>
      <c r="V57" s="53">
        <v>72.2</v>
      </c>
      <c r="W57" s="53">
        <v>72.2</v>
      </c>
      <c r="X57" s="53">
        <v>72.2</v>
      </c>
      <c r="Y57" s="53">
        <v>72.2</v>
      </c>
      <c r="Z57" s="67">
        <v>66.8</v>
      </c>
      <c r="AA57" s="67">
        <v>64.5</v>
      </c>
      <c r="AB57" s="67">
        <v>64.5</v>
      </c>
      <c r="AC57" s="67">
        <v>64.5</v>
      </c>
      <c r="AD57" s="67">
        <v>64.5</v>
      </c>
      <c r="AE57" s="67">
        <v>64.5</v>
      </c>
      <c r="AF57" s="67">
        <v>64.5</v>
      </c>
      <c r="AG57" s="65">
        <v>240</v>
      </c>
      <c r="AH57" s="48">
        <f t="shared" si="8"/>
        <v>74.8</v>
      </c>
      <c r="AI57" s="49">
        <f t="shared" si="9"/>
        <v>43</v>
      </c>
      <c r="AK57" s="51"/>
    </row>
    <row r="58" spans="1:88" ht="15.75" thickBot="1" x14ac:dyDescent="0.3">
      <c r="A58" s="69" t="s">
        <v>75</v>
      </c>
      <c r="B58" s="70">
        <f t="shared" ref="B58:AF58" si="22">SUM(B11:B56)</f>
        <v>457.85</v>
      </c>
      <c r="C58" s="70">
        <f t="shared" si="22"/>
        <v>457.85</v>
      </c>
      <c r="D58" s="70">
        <f t="shared" si="22"/>
        <v>457.85</v>
      </c>
      <c r="E58" s="70">
        <f t="shared" si="22"/>
        <v>469.15000000000003</v>
      </c>
      <c r="F58" s="70">
        <f t="shared" si="22"/>
        <v>469.15000000000003</v>
      </c>
      <c r="G58" s="70">
        <f t="shared" si="22"/>
        <v>469.15000000000003</v>
      </c>
      <c r="H58" s="70">
        <f t="shared" si="22"/>
        <v>455.15000000000003</v>
      </c>
      <c r="I58" s="70">
        <f t="shared" si="22"/>
        <v>451.75000000000006</v>
      </c>
      <c r="J58" s="70">
        <f t="shared" si="22"/>
        <v>446.75</v>
      </c>
      <c r="K58" s="70">
        <f t="shared" si="22"/>
        <v>446.75</v>
      </c>
      <c r="L58" s="70">
        <f t="shared" si="22"/>
        <v>459.75000000000006</v>
      </c>
      <c r="M58" s="70">
        <f t="shared" si="22"/>
        <v>441.15000000000003</v>
      </c>
      <c r="N58" s="70">
        <f t="shared" si="22"/>
        <v>432.85</v>
      </c>
      <c r="O58" s="70">
        <f t="shared" si="22"/>
        <v>432.85</v>
      </c>
      <c r="P58" s="70">
        <f t="shared" ref="P58" si="23">SUM(P11:P56)</f>
        <v>440.65000000000003</v>
      </c>
      <c r="Q58" s="70">
        <f t="shared" si="22"/>
        <v>439.75</v>
      </c>
      <c r="R58" s="70">
        <f t="shared" si="22"/>
        <v>439.15000000000003</v>
      </c>
      <c r="S58" s="70">
        <f t="shared" ref="S58:T58" si="24">SUM(S11:S56)</f>
        <v>439.15000000000003</v>
      </c>
      <c r="T58" s="70">
        <f t="shared" si="24"/>
        <v>439.15000000000003</v>
      </c>
      <c r="U58" s="70">
        <f t="shared" ref="U58:V58" si="25">SUM(U11:U56)</f>
        <v>439.15000000000003</v>
      </c>
      <c r="V58" s="70">
        <f t="shared" si="25"/>
        <v>439.15000000000003</v>
      </c>
      <c r="W58" s="70">
        <f t="shared" ref="W58:X58" si="26">SUM(W11:W56)</f>
        <v>439.15000000000003</v>
      </c>
      <c r="X58" s="70">
        <f t="shared" si="26"/>
        <v>439.15000000000003</v>
      </c>
      <c r="Y58" s="70">
        <f t="shared" ref="Y58:Z58" si="27">SUM(Y11:Y56)</f>
        <v>439.15000000000003</v>
      </c>
      <c r="Z58" s="70">
        <f t="shared" si="27"/>
        <v>439.15000000000003</v>
      </c>
      <c r="AA58" s="70">
        <f t="shared" ref="AA58" si="28">SUM(AA11:AA56)</f>
        <v>439.15000000000003</v>
      </c>
      <c r="AB58" s="70">
        <f t="shared" si="22"/>
        <v>449.15000000000003</v>
      </c>
      <c r="AC58" s="70">
        <f t="shared" si="22"/>
        <v>449.15000000000003</v>
      </c>
      <c r="AD58" s="70">
        <f t="shared" si="22"/>
        <v>449.15000000000003</v>
      </c>
      <c r="AE58" s="70">
        <f t="shared" si="22"/>
        <v>449.15000000000003</v>
      </c>
      <c r="AF58" s="70">
        <f t="shared" si="22"/>
        <v>449.15000000000003</v>
      </c>
      <c r="AG58" s="71">
        <f>SUM(AG14:AG56)</f>
        <v>1042.4000000000001</v>
      </c>
      <c r="AH58" s="48">
        <f t="shared" si="8"/>
        <v>469.15000000000003</v>
      </c>
      <c r="AI58" s="49">
        <f t="shared" si="9"/>
        <v>432.85</v>
      </c>
      <c r="AK58" s="51"/>
    </row>
    <row r="59" spans="1:88" x14ac:dyDescent="0.25">
      <c r="A59" s="72" t="s">
        <v>76</v>
      </c>
      <c r="B59" s="46">
        <v>20</v>
      </c>
      <c r="C59" s="46">
        <v>0</v>
      </c>
      <c r="D59" s="46">
        <v>0</v>
      </c>
      <c r="E59" s="46">
        <v>0</v>
      </c>
      <c r="F59" s="46">
        <v>55</v>
      </c>
      <c r="G59" s="46">
        <v>35</v>
      </c>
      <c r="H59" s="46">
        <v>15</v>
      </c>
      <c r="I59" s="46">
        <v>0</v>
      </c>
      <c r="J59" s="46">
        <v>76</v>
      </c>
      <c r="K59" s="46">
        <v>111</v>
      </c>
      <c r="L59" s="46">
        <v>83</v>
      </c>
      <c r="M59" s="46">
        <v>131.5</v>
      </c>
      <c r="N59" s="73">
        <v>30</v>
      </c>
      <c r="O59" s="73">
        <v>30</v>
      </c>
      <c r="P59" s="73">
        <v>30</v>
      </c>
      <c r="Q59" s="73">
        <v>30</v>
      </c>
      <c r="R59" s="73">
        <v>30</v>
      </c>
      <c r="S59" s="73">
        <v>15</v>
      </c>
      <c r="T59" s="73">
        <v>0</v>
      </c>
      <c r="U59" s="73">
        <v>70</v>
      </c>
      <c r="V59" s="73">
        <v>60</v>
      </c>
      <c r="W59" s="73">
        <v>100</v>
      </c>
      <c r="X59" s="73">
        <v>160</v>
      </c>
      <c r="Y59" s="73">
        <v>241</v>
      </c>
      <c r="Z59" s="46">
        <v>270</v>
      </c>
      <c r="AA59" s="46">
        <v>251</v>
      </c>
      <c r="AB59" s="46">
        <v>291.39999999999998</v>
      </c>
      <c r="AC59" s="46">
        <v>220</v>
      </c>
      <c r="AD59" s="46">
        <v>130</v>
      </c>
      <c r="AE59" s="46">
        <v>17</v>
      </c>
      <c r="AF59" s="46">
        <v>30.1</v>
      </c>
      <c r="AG59" s="60">
        <v>456</v>
      </c>
      <c r="AH59" s="48">
        <f t="shared" si="8"/>
        <v>291.39999999999998</v>
      </c>
      <c r="AI59" s="49">
        <f t="shared" si="9"/>
        <v>0</v>
      </c>
      <c r="AK59" s="51"/>
    </row>
    <row r="60" spans="1:88" x14ac:dyDescent="0.25">
      <c r="A60" s="74" t="s">
        <v>77</v>
      </c>
      <c r="B60" s="75">
        <v>27</v>
      </c>
      <c r="C60" s="75">
        <v>27</v>
      </c>
      <c r="D60" s="75">
        <v>27</v>
      </c>
      <c r="E60" s="75">
        <v>27</v>
      </c>
      <c r="F60" s="75">
        <v>27</v>
      </c>
      <c r="G60" s="75">
        <v>27</v>
      </c>
      <c r="H60" s="75">
        <v>27</v>
      </c>
      <c r="I60" s="75">
        <v>27</v>
      </c>
      <c r="J60" s="75">
        <v>27</v>
      </c>
      <c r="K60" s="75">
        <v>27</v>
      </c>
      <c r="L60" s="75">
        <v>27</v>
      </c>
      <c r="M60" s="75">
        <v>27</v>
      </c>
      <c r="N60" s="75">
        <v>27</v>
      </c>
      <c r="O60" s="75">
        <v>27</v>
      </c>
      <c r="P60" s="75">
        <v>27</v>
      </c>
      <c r="Q60" s="75">
        <v>27</v>
      </c>
      <c r="R60" s="75">
        <v>27</v>
      </c>
      <c r="S60" s="75">
        <v>27</v>
      </c>
      <c r="T60" s="75">
        <v>27</v>
      </c>
      <c r="U60" s="75">
        <v>27</v>
      </c>
      <c r="V60" s="75">
        <v>27</v>
      </c>
      <c r="W60" s="75">
        <v>27</v>
      </c>
      <c r="X60" s="75">
        <v>27</v>
      </c>
      <c r="Y60" s="75">
        <v>27</v>
      </c>
      <c r="Z60" s="75">
        <v>27</v>
      </c>
      <c r="AA60" s="75">
        <v>27</v>
      </c>
      <c r="AB60" s="75">
        <v>27</v>
      </c>
      <c r="AC60" s="75">
        <v>27</v>
      </c>
      <c r="AD60" s="75">
        <v>27</v>
      </c>
      <c r="AE60" s="75">
        <v>27</v>
      </c>
      <c r="AF60" s="75">
        <v>27</v>
      </c>
      <c r="AG60" s="65">
        <v>60</v>
      </c>
      <c r="AH60" s="48">
        <f t="shared" si="8"/>
        <v>27</v>
      </c>
      <c r="AI60" s="49">
        <f t="shared" si="9"/>
        <v>27</v>
      </c>
      <c r="AK60" s="51"/>
    </row>
    <row r="61" spans="1:88" ht="15.75" thickBot="1" x14ac:dyDescent="0.3">
      <c r="A61" s="76" t="s">
        <v>78</v>
      </c>
      <c r="B61" s="77">
        <v>8.9</v>
      </c>
      <c r="C61" s="77">
        <v>8.9</v>
      </c>
      <c r="D61" s="77">
        <v>8.9</v>
      </c>
      <c r="E61" s="77">
        <v>8.9</v>
      </c>
      <c r="F61" s="77">
        <v>8.9</v>
      </c>
      <c r="G61" s="77">
        <v>8.9</v>
      </c>
      <c r="H61" s="77">
        <v>8.9</v>
      </c>
      <c r="I61" s="77">
        <v>9</v>
      </c>
      <c r="J61" s="77">
        <v>9</v>
      </c>
      <c r="K61" s="77">
        <v>9</v>
      </c>
      <c r="L61" s="77">
        <v>9</v>
      </c>
      <c r="M61" s="77">
        <v>9</v>
      </c>
      <c r="N61" s="77">
        <v>8.9</v>
      </c>
      <c r="O61" s="77">
        <v>9</v>
      </c>
      <c r="P61" s="77">
        <v>9</v>
      </c>
      <c r="Q61" s="77">
        <v>9</v>
      </c>
      <c r="R61" s="77">
        <v>9</v>
      </c>
      <c r="S61" s="77">
        <v>9</v>
      </c>
      <c r="T61" s="77">
        <v>9</v>
      </c>
      <c r="U61" s="77">
        <v>9</v>
      </c>
      <c r="V61" s="77">
        <v>9</v>
      </c>
      <c r="W61" s="77">
        <v>9</v>
      </c>
      <c r="X61" s="77">
        <v>9</v>
      </c>
      <c r="Y61" s="77">
        <v>9</v>
      </c>
      <c r="Z61" s="77">
        <v>9</v>
      </c>
      <c r="AA61" s="77">
        <v>9</v>
      </c>
      <c r="AB61" s="77">
        <v>10.3</v>
      </c>
      <c r="AC61" s="77">
        <v>10.3</v>
      </c>
      <c r="AD61" s="77">
        <v>10.3</v>
      </c>
      <c r="AE61" s="77">
        <v>12.2</v>
      </c>
      <c r="AF61" s="77">
        <v>12.2</v>
      </c>
      <c r="AG61" s="78">
        <v>22.1</v>
      </c>
      <c r="AH61" s="48">
        <f t="shared" si="8"/>
        <v>12.2</v>
      </c>
      <c r="AI61" s="49">
        <f t="shared" si="9"/>
        <v>8.9</v>
      </c>
      <c r="AK61" s="51"/>
    </row>
    <row r="62" spans="1:88" ht="15.75" thickBot="1" x14ac:dyDescent="0.3">
      <c r="A62" s="79" t="s">
        <v>79</v>
      </c>
      <c r="B62" s="70">
        <f t="shared" ref="B62:AG62" si="29">SUM(B59:B61)</f>
        <v>55.9</v>
      </c>
      <c r="C62" s="70">
        <f t="shared" si="29"/>
        <v>35.9</v>
      </c>
      <c r="D62" s="70">
        <f t="shared" si="29"/>
        <v>35.9</v>
      </c>
      <c r="E62" s="70">
        <f t="shared" si="29"/>
        <v>35.9</v>
      </c>
      <c r="F62" s="70">
        <f t="shared" si="29"/>
        <v>90.9</v>
      </c>
      <c r="G62" s="70">
        <f t="shared" si="29"/>
        <v>70.900000000000006</v>
      </c>
      <c r="H62" s="70">
        <f t="shared" si="29"/>
        <v>50.9</v>
      </c>
      <c r="I62" s="70">
        <f t="shared" si="29"/>
        <v>36</v>
      </c>
      <c r="J62" s="70">
        <f t="shared" si="29"/>
        <v>112</v>
      </c>
      <c r="K62" s="70">
        <f t="shared" si="29"/>
        <v>147</v>
      </c>
      <c r="L62" s="70">
        <f t="shared" si="29"/>
        <v>119</v>
      </c>
      <c r="M62" s="70">
        <f t="shared" si="29"/>
        <v>167.5</v>
      </c>
      <c r="N62" s="70">
        <f t="shared" si="29"/>
        <v>65.900000000000006</v>
      </c>
      <c r="O62" s="70">
        <f t="shared" si="29"/>
        <v>66</v>
      </c>
      <c r="P62" s="70">
        <f t="shared" ref="P62" si="30">SUM(P59:P61)</f>
        <v>66</v>
      </c>
      <c r="Q62" s="70">
        <f t="shared" si="29"/>
        <v>66</v>
      </c>
      <c r="R62" s="70">
        <f t="shared" si="29"/>
        <v>66</v>
      </c>
      <c r="S62" s="70">
        <f t="shared" ref="S62:T62" si="31">SUM(S59:S61)</f>
        <v>51</v>
      </c>
      <c r="T62" s="70">
        <f t="shared" si="31"/>
        <v>36</v>
      </c>
      <c r="U62" s="70">
        <f t="shared" ref="U62:V62" si="32">SUM(U59:U61)</f>
        <v>106</v>
      </c>
      <c r="V62" s="70">
        <f t="shared" si="32"/>
        <v>96</v>
      </c>
      <c r="W62" s="70">
        <f t="shared" ref="W62:X62" si="33">SUM(W59:W61)</f>
        <v>136</v>
      </c>
      <c r="X62" s="70">
        <f t="shared" si="33"/>
        <v>196</v>
      </c>
      <c r="Y62" s="70">
        <f t="shared" ref="Y62:Z62" si="34">SUM(Y59:Y61)</f>
        <v>277</v>
      </c>
      <c r="Z62" s="70">
        <f t="shared" si="34"/>
        <v>306</v>
      </c>
      <c r="AA62" s="70">
        <f t="shared" ref="AA62" si="35">SUM(AA59:AA61)</f>
        <v>287</v>
      </c>
      <c r="AB62" s="70">
        <f t="shared" si="29"/>
        <v>328.7</v>
      </c>
      <c r="AC62" s="70">
        <f t="shared" si="29"/>
        <v>257.3</v>
      </c>
      <c r="AD62" s="70">
        <f t="shared" si="29"/>
        <v>167.3</v>
      </c>
      <c r="AE62" s="70">
        <f t="shared" si="29"/>
        <v>56.2</v>
      </c>
      <c r="AF62" s="70">
        <f t="shared" si="29"/>
        <v>69.3</v>
      </c>
      <c r="AG62" s="71">
        <f t="shared" si="29"/>
        <v>538.1</v>
      </c>
      <c r="AH62" s="48">
        <f t="shared" si="8"/>
        <v>328.7</v>
      </c>
      <c r="AI62" s="49">
        <f t="shared" si="9"/>
        <v>35.9</v>
      </c>
      <c r="AK62" s="51"/>
    </row>
    <row r="63" spans="1:88" x14ac:dyDescent="0.25">
      <c r="A63" s="45" t="s">
        <v>80</v>
      </c>
      <c r="B63" s="46">
        <v>30</v>
      </c>
      <c r="C63" s="46">
        <v>0</v>
      </c>
      <c r="D63" s="46">
        <v>0</v>
      </c>
      <c r="E63" s="46">
        <v>0</v>
      </c>
      <c r="F63" s="46">
        <v>0</v>
      </c>
      <c r="G63" s="46">
        <v>0</v>
      </c>
      <c r="H63" s="46">
        <v>0</v>
      </c>
      <c r="I63" s="46">
        <v>30</v>
      </c>
      <c r="J63" s="46">
        <v>90.6</v>
      </c>
      <c r="K63" s="46">
        <v>61</v>
      </c>
      <c r="L63" s="46">
        <v>48.8</v>
      </c>
      <c r="M63" s="46">
        <v>35.799999999999997</v>
      </c>
      <c r="N63" s="46">
        <v>36</v>
      </c>
      <c r="O63" s="46">
        <v>28.2</v>
      </c>
      <c r="P63" s="46">
        <v>30</v>
      </c>
      <c r="Q63" s="46">
        <v>30</v>
      </c>
      <c r="R63" s="46">
        <v>30.3</v>
      </c>
      <c r="S63" s="46">
        <v>0</v>
      </c>
      <c r="T63" s="46">
        <v>0</v>
      </c>
      <c r="U63" s="46">
        <v>30.6</v>
      </c>
      <c r="V63" s="46">
        <v>45.6</v>
      </c>
      <c r="W63" s="46">
        <v>45.4</v>
      </c>
      <c r="X63" s="46">
        <v>45.7</v>
      </c>
      <c r="Y63" s="46">
        <v>81</v>
      </c>
      <c r="Z63" s="46">
        <v>97.7</v>
      </c>
      <c r="AA63" s="46">
        <v>142.69999999999999</v>
      </c>
      <c r="AB63" s="46">
        <v>143.19999999999999</v>
      </c>
      <c r="AC63" s="46">
        <v>131.4</v>
      </c>
      <c r="AD63" s="46">
        <v>131.19999999999999</v>
      </c>
      <c r="AE63" s="46">
        <v>60</v>
      </c>
      <c r="AF63" s="46">
        <v>61</v>
      </c>
      <c r="AG63" s="60">
        <v>144</v>
      </c>
      <c r="AH63" s="48">
        <f t="shared" si="8"/>
        <v>143.19999999999999</v>
      </c>
      <c r="AI63" s="49">
        <f t="shared" si="9"/>
        <v>0</v>
      </c>
      <c r="AK63" s="51"/>
    </row>
    <row r="64" spans="1:88" x14ac:dyDescent="0.25">
      <c r="A64" s="64" t="s">
        <v>81</v>
      </c>
      <c r="B64" s="75">
        <v>0</v>
      </c>
      <c r="C64" s="75">
        <v>0</v>
      </c>
      <c r="D64" s="75">
        <v>0</v>
      </c>
      <c r="E64" s="75">
        <v>0</v>
      </c>
      <c r="F64" s="75">
        <v>0</v>
      </c>
      <c r="G64" s="75">
        <v>22.6</v>
      </c>
      <c r="H64" s="75">
        <v>21.6</v>
      </c>
      <c r="I64" s="75">
        <v>26.9</v>
      </c>
      <c r="J64" s="75">
        <v>36.200000000000003</v>
      </c>
      <c r="K64" s="75">
        <v>45.5</v>
      </c>
      <c r="L64" s="75">
        <v>58</v>
      </c>
      <c r="M64" s="75">
        <v>58.4</v>
      </c>
      <c r="N64" s="75">
        <v>49.5</v>
      </c>
      <c r="O64" s="75">
        <v>50.7</v>
      </c>
      <c r="P64" s="75">
        <v>45</v>
      </c>
      <c r="Q64" s="75">
        <v>0</v>
      </c>
      <c r="R64" s="75">
        <v>0</v>
      </c>
      <c r="S64" s="75">
        <v>0</v>
      </c>
      <c r="T64" s="75">
        <v>0</v>
      </c>
      <c r="U64" s="75">
        <v>34.799999999999997</v>
      </c>
      <c r="V64" s="75">
        <v>24.9</v>
      </c>
      <c r="W64" s="75">
        <v>24.8</v>
      </c>
      <c r="X64" s="75">
        <v>45.1</v>
      </c>
      <c r="Y64" s="75">
        <v>45</v>
      </c>
      <c r="Z64" s="46">
        <v>45.9</v>
      </c>
      <c r="AA64" s="46">
        <v>69.7</v>
      </c>
      <c r="AB64" s="46">
        <v>69.900000000000006</v>
      </c>
      <c r="AC64" s="46">
        <v>69.3</v>
      </c>
      <c r="AD64" s="46">
        <v>60.3</v>
      </c>
      <c r="AE64" s="46">
        <v>24.5</v>
      </c>
      <c r="AF64" s="46">
        <v>25.1</v>
      </c>
      <c r="AG64" s="65">
        <v>70</v>
      </c>
      <c r="AH64" s="48">
        <f t="shared" si="8"/>
        <v>69.900000000000006</v>
      </c>
      <c r="AI64" s="49">
        <f t="shared" si="9"/>
        <v>0</v>
      </c>
      <c r="AK64" s="51"/>
    </row>
    <row r="65" spans="1:75" x14ac:dyDescent="0.25">
      <c r="A65" s="64" t="s">
        <v>82</v>
      </c>
      <c r="B65" s="75">
        <v>0</v>
      </c>
      <c r="C65" s="75">
        <v>0</v>
      </c>
      <c r="D65" s="75">
        <v>0</v>
      </c>
      <c r="E65" s="75">
        <v>0</v>
      </c>
      <c r="F65" s="75">
        <v>0</v>
      </c>
      <c r="G65" s="75">
        <v>17.5</v>
      </c>
      <c r="H65" s="75">
        <v>17.7</v>
      </c>
      <c r="I65" s="75">
        <v>17.8</v>
      </c>
      <c r="J65" s="75">
        <v>24</v>
      </c>
      <c r="K65" s="75">
        <v>33</v>
      </c>
      <c r="L65" s="75">
        <v>45</v>
      </c>
      <c r="M65" s="75">
        <v>33.1</v>
      </c>
      <c r="N65" s="75">
        <v>33.299999999999997</v>
      </c>
      <c r="O65" s="75">
        <v>33.299999999999997</v>
      </c>
      <c r="P65" s="75">
        <v>35</v>
      </c>
      <c r="Q65" s="75">
        <v>16.899999999999999</v>
      </c>
      <c r="R65" s="75">
        <v>0</v>
      </c>
      <c r="S65" s="75">
        <v>0</v>
      </c>
      <c r="T65" s="75">
        <v>17.399999999999999</v>
      </c>
      <c r="U65" s="75">
        <v>53.8</v>
      </c>
      <c r="V65" s="75">
        <v>60.7</v>
      </c>
      <c r="W65" s="75">
        <v>60.5</v>
      </c>
      <c r="X65" s="75">
        <v>60.6</v>
      </c>
      <c r="Y65" s="75">
        <v>50.5</v>
      </c>
      <c r="Z65" s="46">
        <v>50.5</v>
      </c>
      <c r="AA65" s="46">
        <v>69.2</v>
      </c>
      <c r="AB65" s="46">
        <v>68.400000000000006</v>
      </c>
      <c r="AC65" s="46">
        <v>62.2</v>
      </c>
      <c r="AD65" s="46">
        <v>61.8</v>
      </c>
      <c r="AE65" s="46">
        <v>45.4</v>
      </c>
      <c r="AF65" s="46">
        <v>21.2</v>
      </c>
      <c r="AG65" s="65">
        <v>69</v>
      </c>
      <c r="AH65" s="48">
        <f t="shared" si="8"/>
        <v>69.2</v>
      </c>
      <c r="AI65" s="49">
        <f t="shared" si="9"/>
        <v>0</v>
      </c>
      <c r="AK65" s="51"/>
    </row>
    <row r="66" spans="1:75" x14ac:dyDescent="0.25">
      <c r="A66" s="64" t="s">
        <v>83</v>
      </c>
      <c r="B66" s="75">
        <v>33</v>
      </c>
      <c r="C66" s="75">
        <v>33</v>
      </c>
      <c r="D66" s="75">
        <v>33</v>
      </c>
      <c r="E66" s="75">
        <v>33</v>
      </c>
      <c r="F66" s="75">
        <v>33</v>
      </c>
      <c r="G66" s="75">
        <v>33</v>
      </c>
      <c r="H66" s="75">
        <v>35</v>
      </c>
      <c r="I66" s="75">
        <v>34.299999999999997</v>
      </c>
      <c r="J66" s="75">
        <v>34</v>
      </c>
      <c r="K66" s="67">
        <v>34</v>
      </c>
      <c r="L66" s="67">
        <v>34</v>
      </c>
      <c r="M66" s="67">
        <v>34</v>
      </c>
      <c r="N66" s="75">
        <v>34</v>
      </c>
      <c r="O66" s="75">
        <v>34</v>
      </c>
      <c r="P66" s="75">
        <v>34.299999999999997</v>
      </c>
      <c r="Q66" s="75">
        <v>34</v>
      </c>
      <c r="R66" s="75">
        <v>34.299999999999997</v>
      </c>
      <c r="S66" s="75">
        <v>34.299999999999997</v>
      </c>
      <c r="T66" s="75">
        <v>34.299999999999997</v>
      </c>
      <c r="U66" s="75">
        <v>34.299999999999997</v>
      </c>
      <c r="V66" s="75">
        <v>34.299999999999997</v>
      </c>
      <c r="W66" s="75">
        <v>34.299999999999997</v>
      </c>
      <c r="X66" s="75">
        <v>32.200000000000003</v>
      </c>
      <c r="Y66" s="75">
        <v>32.200000000000003</v>
      </c>
      <c r="Z66" s="46">
        <v>32.200000000000003</v>
      </c>
      <c r="AA66" s="46">
        <v>32.200000000000003</v>
      </c>
      <c r="AB66" s="46">
        <v>34.299999999999997</v>
      </c>
      <c r="AC66" s="46">
        <v>36.299999999999997</v>
      </c>
      <c r="AD66" s="46">
        <v>36.299999999999997</v>
      </c>
      <c r="AE66" s="46">
        <v>34</v>
      </c>
      <c r="AF66" s="46">
        <v>33.700000000000003</v>
      </c>
      <c r="AG66" s="65">
        <v>60</v>
      </c>
      <c r="AH66" s="48">
        <f t="shared" si="8"/>
        <v>36.299999999999997</v>
      </c>
      <c r="AI66" s="49">
        <f t="shared" si="9"/>
        <v>32.200000000000003</v>
      </c>
      <c r="AK66" s="51"/>
    </row>
    <row r="67" spans="1:75" x14ac:dyDescent="0.25">
      <c r="A67" s="64" t="s">
        <v>84</v>
      </c>
      <c r="B67" s="46">
        <v>0</v>
      </c>
      <c r="C67" s="46">
        <v>0</v>
      </c>
      <c r="D67" s="46">
        <v>0</v>
      </c>
      <c r="E67" s="46">
        <v>0</v>
      </c>
      <c r="F67" s="46">
        <v>0</v>
      </c>
      <c r="G67" s="46">
        <v>0</v>
      </c>
      <c r="H67" s="75">
        <v>10.5</v>
      </c>
      <c r="I67" s="75">
        <v>14.5</v>
      </c>
      <c r="J67" s="75">
        <v>15</v>
      </c>
      <c r="K67" s="75">
        <v>10.6</v>
      </c>
      <c r="L67" s="67">
        <v>15</v>
      </c>
      <c r="M67" s="67">
        <v>10.6</v>
      </c>
      <c r="N67" s="75">
        <v>14.8</v>
      </c>
      <c r="O67" s="75">
        <v>14.8</v>
      </c>
      <c r="P67" s="75">
        <v>10</v>
      </c>
      <c r="Q67" s="75">
        <v>10</v>
      </c>
      <c r="R67" s="75">
        <v>10</v>
      </c>
      <c r="S67" s="75">
        <v>10.5</v>
      </c>
      <c r="T67" s="75">
        <v>10.5</v>
      </c>
      <c r="U67" s="75">
        <v>14.5</v>
      </c>
      <c r="V67" s="75">
        <v>10</v>
      </c>
      <c r="W67" s="75">
        <v>22.9</v>
      </c>
      <c r="X67" s="75">
        <v>27.7</v>
      </c>
      <c r="Y67" s="75">
        <v>28.3</v>
      </c>
      <c r="Z67" s="46">
        <v>28.3</v>
      </c>
      <c r="AA67" s="46">
        <v>23.5</v>
      </c>
      <c r="AB67" s="46">
        <v>10.7</v>
      </c>
      <c r="AC67" s="46">
        <v>0</v>
      </c>
      <c r="AD67" s="46">
        <v>0</v>
      </c>
      <c r="AE67" s="46">
        <v>0</v>
      </c>
      <c r="AF67" s="46">
        <v>0</v>
      </c>
      <c r="AG67" s="65">
        <v>30</v>
      </c>
      <c r="AH67" s="48">
        <f t="shared" si="8"/>
        <v>28.3</v>
      </c>
      <c r="AI67" s="49">
        <f t="shared" si="9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</row>
    <row r="68" spans="1:75" x14ac:dyDescent="0.25">
      <c r="A68" s="64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0.6</v>
      </c>
      <c r="L68" s="75">
        <v>1.2</v>
      </c>
      <c r="M68" s="75">
        <v>2.6</v>
      </c>
      <c r="N68" s="75">
        <v>7.2</v>
      </c>
      <c r="O68" s="75">
        <v>13.8</v>
      </c>
      <c r="P68" s="75">
        <v>18</v>
      </c>
      <c r="Q68" s="75">
        <v>8</v>
      </c>
      <c r="R68" s="75">
        <v>8</v>
      </c>
      <c r="S68" s="75">
        <v>6.7</v>
      </c>
      <c r="T68" s="75">
        <v>6.1</v>
      </c>
      <c r="U68" s="75">
        <v>4.8</v>
      </c>
      <c r="V68" s="75">
        <v>1.2</v>
      </c>
      <c r="W68" s="75">
        <v>0.6</v>
      </c>
      <c r="X68" s="75">
        <v>0</v>
      </c>
      <c r="Y68" s="75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5">
        <v>25</v>
      </c>
      <c r="AH68" s="48">
        <f t="shared" si="8"/>
        <v>18</v>
      </c>
      <c r="AI68" s="49">
        <f t="shared" si="9"/>
        <v>0</v>
      </c>
      <c r="AK68" s="51"/>
      <c r="AY68" s="1" t="s">
        <v>86</v>
      </c>
      <c r="AZ68" s="81">
        <f>ROUND(C81,0)</f>
        <v>47</v>
      </c>
      <c r="BA68" s="80">
        <f t="shared" ref="BA68:BD72" si="36">D81</f>
        <v>43.5</v>
      </c>
      <c r="BB68" s="80">
        <f t="shared" si="36"/>
        <v>44</v>
      </c>
      <c r="BC68" s="80">
        <f t="shared" si="36"/>
        <v>47</v>
      </c>
      <c r="BD68" s="80">
        <f t="shared" si="36"/>
        <v>47</v>
      </c>
      <c r="BE68" s="81">
        <f>I81</f>
        <v>50.9</v>
      </c>
      <c r="BF68" s="81">
        <f>K81</f>
        <v>51.4</v>
      </c>
      <c r="BG68" s="81">
        <f t="shared" ref="BG68:BP72" si="37">M81</f>
        <v>55.3</v>
      </c>
      <c r="BH68" s="81">
        <f t="shared" si="37"/>
        <v>59.5</v>
      </c>
      <c r="BI68" s="81">
        <f t="shared" si="37"/>
        <v>53.8</v>
      </c>
      <c r="BJ68" s="81">
        <f t="shared" si="37"/>
        <v>45</v>
      </c>
      <c r="BK68" s="81">
        <f t="shared" si="37"/>
        <v>40</v>
      </c>
      <c r="BL68" s="81">
        <f t="shared" si="37"/>
        <v>40.299999999999997</v>
      </c>
      <c r="BM68" s="81">
        <f t="shared" si="37"/>
        <v>46.2</v>
      </c>
      <c r="BN68" s="81">
        <f t="shared" si="37"/>
        <v>51.7</v>
      </c>
      <c r="BO68" s="81">
        <f t="shared" si="37"/>
        <v>60</v>
      </c>
      <c r="BP68" s="81">
        <f t="shared" si="37"/>
        <v>45.1</v>
      </c>
      <c r="BQ68" s="81">
        <f>X81</f>
        <v>39.700000000000003</v>
      </c>
      <c r="BR68" s="81">
        <f>Z81</f>
        <v>54.2</v>
      </c>
      <c r="BS68" s="80">
        <f>AB81</f>
        <v>46.1</v>
      </c>
      <c r="BT68" s="80">
        <f>AD81</f>
        <v>50.1</v>
      </c>
      <c r="BU68" s="80">
        <f>AE81</f>
        <v>66</v>
      </c>
      <c r="BV68" s="80">
        <f>AF81</f>
        <v>57.1</v>
      </c>
      <c r="BW68" s="80">
        <f>B81</f>
        <v>52</v>
      </c>
    </row>
    <row r="69" spans="1:75" x14ac:dyDescent="0.25">
      <c r="A69" s="64" t="s">
        <v>87</v>
      </c>
      <c r="B69" s="75">
        <v>16.5</v>
      </c>
      <c r="C69" s="75">
        <v>16.5</v>
      </c>
      <c r="D69" s="75">
        <v>16.5</v>
      </c>
      <c r="E69" s="75">
        <v>16.5</v>
      </c>
      <c r="F69" s="75">
        <v>16.5</v>
      </c>
      <c r="G69" s="75">
        <v>16.5</v>
      </c>
      <c r="H69" s="75">
        <v>16.5</v>
      </c>
      <c r="I69" s="75">
        <v>16.5</v>
      </c>
      <c r="J69" s="75">
        <v>16.5</v>
      </c>
      <c r="K69" s="75">
        <v>16.5</v>
      </c>
      <c r="L69" s="75">
        <v>16.5</v>
      </c>
      <c r="M69" s="75">
        <v>16.5</v>
      </c>
      <c r="N69" s="75">
        <v>16.5</v>
      </c>
      <c r="O69" s="75">
        <v>16.5</v>
      </c>
      <c r="P69" s="75">
        <v>16.5</v>
      </c>
      <c r="Q69" s="75">
        <v>16.5</v>
      </c>
      <c r="R69" s="75">
        <v>16.5</v>
      </c>
      <c r="S69" s="75">
        <v>16.5</v>
      </c>
      <c r="T69" s="75">
        <v>16.5</v>
      </c>
      <c r="U69" s="75">
        <v>16.5</v>
      </c>
      <c r="V69" s="75">
        <v>16.5</v>
      </c>
      <c r="W69" s="75">
        <v>16.5</v>
      </c>
      <c r="X69" s="75">
        <v>16.5</v>
      </c>
      <c r="Y69" s="75">
        <v>16.5</v>
      </c>
      <c r="Z69" s="75">
        <v>16.5</v>
      </c>
      <c r="AA69" s="75">
        <v>16.5</v>
      </c>
      <c r="AB69" s="75">
        <v>15</v>
      </c>
      <c r="AC69" s="75">
        <v>15</v>
      </c>
      <c r="AD69" s="75">
        <v>15</v>
      </c>
      <c r="AE69" s="75">
        <v>15</v>
      </c>
      <c r="AF69" s="75">
        <v>15</v>
      </c>
      <c r="AG69" s="65">
        <v>24</v>
      </c>
      <c r="AH69" s="48">
        <f t="shared" si="8"/>
        <v>16.5</v>
      </c>
      <c r="AI69" s="49">
        <f t="shared" si="9"/>
        <v>15</v>
      </c>
      <c r="AK69" s="51"/>
      <c r="AY69" s="1" t="s">
        <v>88</v>
      </c>
      <c r="AZ69" s="81">
        <f>ROUND(C82,0)</f>
        <v>0</v>
      </c>
      <c r="BA69" s="80">
        <f t="shared" si="36"/>
        <v>0</v>
      </c>
      <c r="BB69" s="80">
        <f t="shared" si="36"/>
        <v>0</v>
      </c>
      <c r="BC69" s="80">
        <f t="shared" si="36"/>
        <v>0</v>
      </c>
      <c r="BD69" s="80">
        <f t="shared" si="36"/>
        <v>0</v>
      </c>
      <c r="BE69" s="81">
        <f t="shared" ref="BE69:BE72" si="38">I82</f>
        <v>0</v>
      </c>
      <c r="BF69" s="81">
        <f t="shared" ref="BF69:BF72" si="39">K82</f>
        <v>0</v>
      </c>
      <c r="BG69" s="81">
        <f t="shared" si="37"/>
        <v>0</v>
      </c>
      <c r="BH69" s="81">
        <f t="shared" si="37"/>
        <v>0</v>
      </c>
      <c r="BI69" s="81">
        <f t="shared" si="37"/>
        <v>0</v>
      </c>
      <c r="BJ69" s="81">
        <f t="shared" si="37"/>
        <v>0</v>
      </c>
      <c r="BK69" s="81">
        <f t="shared" si="37"/>
        <v>0</v>
      </c>
      <c r="BL69" s="81">
        <f t="shared" si="37"/>
        <v>0</v>
      </c>
      <c r="BM69" s="81">
        <f t="shared" si="37"/>
        <v>0</v>
      </c>
      <c r="BN69" s="81">
        <f t="shared" si="37"/>
        <v>0</v>
      </c>
      <c r="BO69" s="81">
        <f t="shared" si="37"/>
        <v>0</v>
      </c>
      <c r="BP69" s="81">
        <f t="shared" si="37"/>
        <v>0</v>
      </c>
      <c r="BQ69" s="81">
        <f t="shared" ref="BQ69:BQ72" si="40">X82</f>
        <v>0</v>
      </c>
      <c r="BR69" s="81">
        <f t="shared" ref="BR69:BR72" si="41">Z82</f>
        <v>0</v>
      </c>
      <c r="BS69" s="80">
        <f t="shared" ref="BS69:BS72" si="42">AB82</f>
        <v>0</v>
      </c>
      <c r="BT69" s="80">
        <f t="shared" ref="BT69:BV72" si="43">AD82</f>
        <v>0</v>
      </c>
      <c r="BU69" s="80">
        <f t="shared" si="43"/>
        <v>0</v>
      </c>
      <c r="BV69" s="80">
        <f t="shared" si="43"/>
        <v>0</v>
      </c>
      <c r="BW69" s="80">
        <f t="shared" ref="BW69:BW72" si="44">B82</f>
        <v>0</v>
      </c>
    </row>
    <row r="70" spans="1:75" x14ac:dyDescent="0.25">
      <c r="A70" s="64" t="s">
        <v>89</v>
      </c>
      <c r="B70" s="75">
        <v>3.5</v>
      </c>
      <c r="C70" s="75">
        <v>3.5</v>
      </c>
      <c r="D70" s="75">
        <v>3.5</v>
      </c>
      <c r="E70" s="75">
        <v>3.5</v>
      </c>
      <c r="F70" s="75">
        <v>3.5</v>
      </c>
      <c r="G70" s="75">
        <v>3.5</v>
      </c>
      <c r="H70" s="75">
        <v>3.5</v>
      </c>
      <c r="I70" s="75">
        <v>3.5</v>
      </c>
      <c r="J70" s="75">
        <v>3.5</v>
      </c>
      <c r="K70" s="75">
        <v>3.5</v>
      </c>
      <c r="L70" s="75">
        <v>3.5</v>
      </c>
      <c r="M70" s="75">
        <v>3.5</v>
      </c>
      <c r="N70" s="75">
        <v>3.5</v>
      </c>
      <c r="O70" s="75">
        <v>3.5</v>
      </c>
      <c r="P70" s="75">
        <v>3.5</v>
      </c>
      <c r="Q70" s="75">
        <v>3.5</v>
      </c>
      <c r="R70" s="75">
        <v>3.5</v>
      </c>
      <c r="S70" s="75">
        <v>3.5</v>
      </c>
      <c r="T70" s="75">
        <v>3.5</v>
      </c>
      <c r="U70" s="75">
        <v>3.5</v>
      </c>
      <c r="V70" s="75">
        <v>3.5</v>
      </c>
      <c r="W70" s="75">
        <v>3.5</v>
      </c>
      <c r="X70" s="75">
        <v>3.5</v>
      </c>
      <c r="Y70" s="75">
        <v>3.5</v>
      </c>
      <c r="Z70" s="75">
        <v>3.5</v>
      </c>
      <c r="AA70" s="75">
        <v>3.5</v>
      </c>
      <c r="AB70" s="75">
        <v>3.5</v>
      </c>
      <c r="AC70" s="75">
        <v>3.5</v>
      </c>
      <c r="AD70" s="75">
        <v>3.5</v>
      </c>
      <c r="AE70" s="75">
        <v>3.5</v>
      </c>
      <c r="AF70" s="75">
        <v>3.5</v>
      </c>
      <c r="AG70" s="65">
        <v>15</v>
      </c>
      <c r="AH70" s="48">
        <f t="shared" si="8"/>
        <v>3.5</v>
      </c>
      <c r="AI70" s="49">
        <f t="shared" si="9"/>
        <v>3.5</v>
      </c>
      <c r="AK70" s="51"/>
      <c r="AL70" s="82"/>
      <c r="AO70" s="82"/>
      <c r="AY70" s="1" t="s">
        <v>90</v>
      </c>
      <c r="AZ70" s="81">
        <f>ROUND(C83,0)</f>
        <v>337</v>
      </c>
      <c r="BA70" s="80">
        <f t="shared" si="36"/>
        <v>325</v>
      </c>
      <c r="BB70" s="80">
        <f t="shared" si="36"/>
        <v>316</v>
      </c>
      <c r="BC70" s="80">
        <f t="shared" si="36"/>
        <v>307</v>
      </c>
      <c r="BD70" s="80">
        <f t="shared" si="36"/>
        <v>302</v>
      </c>
      <c r="BE70" s="81">
        <f t="shared" si="38"/>
        <v>412</v>
      </c>
      <c r="BF70" s="81">
        <f t="shared" si="39"/>
        <v>249</v>
      </c>
      <c r="BG70" s="81">
        <f t="shared" si="37"/>
        <v>268.60000000000002</v>
      </c>
      <c r="BH70" s="81">
        <f t="shared" si="37"/>
        <v>350</v>
      </c>
      <c r="BI70" s="81">
        <f t="shared" si="37"/>
        <v>313.60000000000002</v>
      </c>
      <c r="BJ70" s="81">
        <f t="shared" si="37"/>
        <v>270</v>
      </c>
      <c r="BK70" s="81">
        <f t="shared" si="37"/>
        <v>265</v>
      </c>
      <c r="BL70" s="81">
        <f t="shared" si="37"/>
        <v>264</v>
      </c>
      <c r="BM70" s="81">
        <f t="shared" si="37"/>
        <v>263</v>
      </c>
      <c r="BN70" s="81">
        <f t="shared" si="37"/>
        <v>336.3</v>
      </c>
      <c r="BO70" s="81">
        <f t="shared" si="37"/>
        <v>261.60000000000002</v>
      </c>
      <c r="BP70" s="81">
        <f t="shared" si="37"/>
        <v>262.2</v>
      </c>
      <c r="BQ70" s="81">
        <f t="shared" si="40"/>
        <v>193.2</v>
      </c>
      <c r="BR70" s="81">
        <f t="shared" si="41"/>
        <v>204</v>
      </c>
      <c r="BS70" s="80">
        <f t="shared" si="42"/>
        <v>147.69999999999999</v>
      </c>
      <c r="BT70" s="80">
        <f t="shared" si="43"/>
        <v>260.10000000000002</v>
      </c>
      <c r="BU70" s="80">
        <f t="shared" si="43"/>
        <v>338.8</v>
      </c>
      <c r="BV70" s="80">
        <f t="shared" si="43"/>
        <v>306.5</v>
      </c>
      <c r="BW70" s="80">
        <f t="shared" si="44"/>
        <v>399</v>
      </c>
    </row>
    <row r="71" spans="1:75" s="82" customFormat="1" x14ac:dyDescent="0.25">
      <c r="A71" s="64" t="s">
        <v>91</v>
      </c>
      <c r="B71" s="75">
        <v>9.5</v>
      </c>
      <c r="C71" s="75">
        <v>9.5</v>
      </c>
      <c r="D71" s="75">
        <v>9.5</v>
      </c>
      <c r="E71" s="75">
        <v>9.5</v>
      </c>
      <c r="F71" s="75">
        <v>9.5</v>
      </c>
      <c r="G71" s="75">
        <v>9.5</v>
      </c>
      <c r="H71" s="75">
        <v>9.5</v>
      </c>
      <c r="I71" s="75">
        <v>9.5</v>
      </c>
      <c r="J71" s="75">
        <v>8</v>
      </c>
      <c r="K71" s="75">
        <v>11.2</v>
      </c>
      <c r="L71" s="75">
        <v>11.2</v>
      </c>
      <c r="M71" s="75">
        <v>11.2</v>
      </c>
      <c r="N71" s="75">
        <v>11.2</v>
      </c>
      <c r="O71" s="75">
        <v>11.2</v>
      </c>
      <c r="P71" s="75">
        <v>11.2</v>
      </c>
      <c r="Q71" s="75">
        <v>11.2</v>
      </c>
      <c r="R71" s="75">
        <v>11.2</v>
      </c>
      <c r="S71" s="75">
        <v>11.2</v>
      </c>
      <c r="T71" s="75">
        <v>11.2</v>
      </c>
      <c r="U71" s="75">
        <v>11.2</v>
      </c>
      <c r="V71" s="75">
        <v>11.2</v>
      </c>
      <c r="W71" s="75">
        <v>11.2</v>
      </c>
      <c r="X71" s="75">
        <v>11.2</v>
      </c>
      <c r="Y71" s="75">
        <v>11.2</v>
      </c>
      <c r="Z71" s="75">
        <v>11.2</v>
      </c>
      <c r="AA71" s="75">
        <v>11.2</v>
      </c>
      <c r="AB71" s="75">
        <v>9.1999999999999993</v>
      </c>
      <c r="AC71" s="75">
        <v>9.1999999999999993</v>
      </c>
      <c r="AD71" s="75">
        <v>9.1999999999999993</v>
      </c>
      <c r="AE71" s="75">
        <v>9.1999999999999993</v>
      </c>
      <c r="AF71" s="75">
        <v>9.1999999999999993</v>
      </c>
      <c r="AG71" s="65">
        <v>14.1</v>
      </c>
      <c r="AH71" s="48">
        <f t="shared" si="8"/>
        <v>11.2</v>
      </c>
      <c r="AI71" s="49">
        <f t="shared" si="9"/>
        <v>8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33</v>
      </c>
      <c r="BA71" s="80">
        <f t="shared" si="36"/>
        <v>39.200000000000003</v>
      </c>
      <c r="BB71" s="80">
        <f t="shared" si="36"/>
        <v>48</v>
      </c>
      <c r="BC71" s="80">
        <f t="shared" si="36"/>
        <v>4.4000000000000004</v>
      </c>
      <c r="BD71" s="80">
        <f t="shared" si="36"/>
        <v>4.4000000000000004</v>
      </c>
      <c r="BE71" s="81">
        <f t="shared" si="38"/>
        <v>4.9000000000000004</v>
      </c>
      <c r="BF71" s="81">
        <f t="shared" si="39"/>
        <v>4.5999999999999996</v>
      </c>
      <c r="BG71" s="81">
        <f t="shared" si="37"/>
        <v>2.9</v>
      </c>
      <c r="BH71" s="81">
        <f t="shared" si="37"/>
        <v>6.1</v>
      </c>
      <c r="BI71" s="81">
        <f t="shared" si="37"/>
        <v>5</v>
      </c>
      <c r="BJ71" s="81">
        <f t="shared" si="37"/>
        <v>28</v>
      </c>
      <c r="BK71" s="81">
        <f t="shared" si="37"/>
        <v>43</v>
      </c>
      <c r="BL71" s="81">
        <f t="shared" si="37"/>
        <v>38.6</v>
      </c>
      <c r="BM71" s="81">
        <f t="shared" si="37"/>
        <v>38</v>
      </c>
      <c r="BN71" s="81">
        <f t="shared" si="37"/>
        <v>36.4</v>
      </c>
      <c r="BO71" s="81">
        <f t="shared" si="37"/>
        <v>38.700000000000003</v>
      </c>
      <c r="BP71" s="81">
        <f t="shared" si="37"/>
        <v>34.6</v>
      </c>
      <c r="BQ71" s="81">
        <f t="shared" si="40"/>
        <v>38.299999999999997</v>
      </c>
      <c r="BR71" s="81">
        <f t="shared" si="41"/>
        <v>36</v>
      </c>
      <c r="BS71" s="80">
        <f t="shared" si="42"/>
        <v>31.6</v>
      </c>
      <c r="BT71" s="80">
        <f t="shared" si="43"/>
        <v>29.7</v>
      </c>
      <c r="BU71" s="80">
        <f t="shared" si="43"/>
        <v>29.9</v>
      </c>
      <c r="BV71" s="80">
        <f t="shared" si="43"/>
        <v>40.5</v>
      </c>
      <c r="BW71" s="80">
        <f t="shared" si="44"/>
        <v>45</v>
      </c>
    </row>
    <row r="72" spans="1:75" x14ac:dyDescent="0.25">
      <c r="A72" s="83" t="s">
        <v>93</v>
      </c>
      <c r="B72" s="75">
        <v>3.3</v>
      </c>
      <c r="C72" s="75">
        <v>3.3</v>
      </c>
      <c r="D72" s="75">
        <v>3.3</v>
      </c>
      <c r="E72" s="75">
        <v>3.3</v>
      </c>
      <c r="F72" s="75">
        <v>3.3</v>
      </c>
      <c r="G72" s="75">
        <v>3.3</v>
      </c>
      <c r="H72" s="75">
        <v>3.3</v>
      </c>
      <c r="I72" s="75">
        <v>3.3</v>
      </c>
      <c r="J72" s="75">
        <v>3.3</v>
      </c>
      <c r="K72" s="75">
        <v>3.3</v>
      </c>
      <c r="L72" s="75">
        <v>3.3</v>
      </c>
      <c r="M72" s="75">
        <v>3.3</v>
      </c>
      <c r="N72" s="75">
        <v>3.3</v>
      </c>
      <c r="O72" s="75">
        <v>3.3</v>
      </c>
      <c r="P72" s="75">
        <v>3.3</v>
      </c>
      <c r="Q72" s="75">
        <v>3.3</v>
      </c>
      <c r="R72" s="75">
        <v>3.3</v>
      </c>
      <c r="S72" s="75">
        <v>3.3</v>
      </c>
      <c r="T72" s="75">
        <v>3.3</v>
      </c>
      <c r="U72" s="75">
        <v>3.3</v>
      </c>
      <c r="V72" s="75">
        <v>3.3</v>
      </c>
      <c r="W72" s="75">
        <v>3.3</v>
      </c>
      <c r="X72" s="75">
        <v>3.3</v>
      </c>
      <c r="Y72" s="75">
        <v>3.3</v>
      </c>
      <c r="Z72" s="75">
        <v>3.3</v>
      </c>
      <c r="AA72" s="75">
        <v>3.3</v>
      </c>
      <c r="AB72" s="75">
        <v>2.4</v>
      </c>
      <c r="AC72" s="75">
        <v>2.4</v>
      </c>
      <c r="AD72" s="75">
        <v>2.4</v>
      </c>
      <c r="AE72" s="75">
        <v>2.4</v>
      </c>
      <c r="AF72" s="75">
        <v>2.4</v>
      </c>
      <c r="AG72" s="65">
        <v>14</v>
      </c>
      <c r="AH72" s="48">
        <f t="shared" si="8"/>
        <v>3.3</v>
      </c>
      <c r="AI72" s="49">
        <f t="shared" si="9"/>
        <v>2.4</v>
      </c>
      <c r="AK72" s="51"/>
      <c r="AY72" s="1" t="s">
        <v>94</v>
      </c>
      <c r="AZ72" s="81">
        <f>ROUND(C85,0)</f>
        <v>108</v>
      </c>
      <c r="BA72" s="80">
        <f t="shared" si="36"/>
        <v>125</v>
      </c>
      <c r="BB72" s="80">
        <f t="shared" si="36"/>
        <v>114.5</v>
      </c>
      <c r="BC72" s="80">
        <f t="shared" si="36"/>
        <v>107</v>
      </c>
      <c r="BD72" s="80">
        <f t="shared" si="36"/>
        <v>105.7</v>
      </c>
      <c r="BE72" s="81">
        <f t="shared" si="38"/>
        <v>28.9</v>
      </c>
      <c r="BF72" s="81">
        <f t="shared" si="39"/>
        <v>36.6</v>
      </c>
      <c r="BG72" s="81">
        <f t="shared" si="37"/>
        <v>19.2</v>
      </c>
      <c r="BH72" s="81">
        <f t="shared" si="37"/>
        <v>20.7</v>
      </c>
      <c r="BI72" s="81">
        <f t="shared" si="37"/>
        <v>21.4</v>
      </c>
      <c r="BJ72" s="81">
        <f t="shared" si="37"/>
        <v>50</v>
      </c>
      <c r="BK72" s="81">
        <f t="shared" si="37"/>
        <v>96</v>
      </c>
      <c r="BL72" s="81">
        <f t="shared" si="37"/>
        <v>105.7</v>
      </c>
      <c r="BM72" s="81">
        <f t="shared" si="37"/>
        <v>85.2</v>
      </c>
      <c r="BN72" s="81">
        <f t="shared" si="37"/>
        <v>100.6</v>
      </c>
      <c r="BO72" s="81">
        <f t="shared" si="37"/>
        <v>14.5</v>
      </c>
      <c r="BP72" s="81">
        <f t="shared" si="37"/>
        <v>14.8</v>
      </c>
      <c r="BQ72" s="81">
        <f t="shared" si="40"/>
        <v>71.7</v>
      </c>
      <c r="BR72" s="81">
        <f t="shared" si="41"/>
        <v>83.2</v>
      </c>
      <c r="BS72" s="80">
        <f t="shared" si="42"/>
        <v>0</v>
      </c>
      <c r="BT72" s="80">
        <f t="shared" si="43"/>
        <v>0</v>
      </c>
      <c r="BU72" s="80">
        <f t="shared" si="43"/>
        <v>0</v>
      </c>
      <c r="BV72" s="80">
        <f t="shared" si="43"/>
        <v>0</v>
      </c>
      <c r="BW72" s="80">
        <f t="shared" si="44"/>
        <v>111</v>
      </c>
    </row>
    <row r="73" spans="1:75" x14ac:dyDescent="0.25">
      <c r="A73" s="64" t="s">
        <v>95</v>
      </c>
      <c r="B73" s="75">
        <v>4.5</v>
      </c>
      <c r="C73" s="75">
        <v>4.5</v>
      </c>
      <c r="D73" s="75">
        <v>4.5</v>
      </c>
      <c r="E73" s="75">
        <v>4.5</v>
      </c>
      <c r="F73" s="75">
        <v>4.5</v>
      </c>
      <c r="G73" s="75">
        <v>4.5</v>
      </c>
      <c r="H73" s="75">
        <v>4.5</v>
      </c>
      <c r="I73" s="75">
        <v>4.5</v>
      </c>
      <c r="J73" s="75">
        <v>4.5</v>
      </c>
      <c r="K73" s="75">
        <v>4.5</v>
      </c>
      <c r="L73" s="75">
        <v>4.5</v>
      </c>
      <c r="M73" s="75">
        <v>4.5</v>
      </c>
      <c r="N73" s="75">
        <v>4.5</v>
      </c>
      <c r="O73" s="75">
        <v>4.5</v>
      </c>
      <c r="P73" s="75">
        <v>4.5</v>
      </c>
      <c r="Q73" s="75">
        <v>4.5</v>
      </c>
      <c r="R73" s="75">
        <v>4.5</v>
      </c>
      <c r="S73" s="75">
        <v>4.5</v>
      </c>
      <c r="T73" s="75">
        <v>4.5</v>
      </c>
      <c r="U73" s="75">
        <v>4.5</v>
      </c>
      <c r="V73" s="75">
        <v>4.5</v>
      </c>
      <c r="W73" s="75">
        <v>4.5</v>
      </c>
      <c r="X73" s="75">
        <v>4.5</v>
      </c>
      <c r="Y73" s="75">
        <v>4.5</v>
      </c>
      <c r="Z73" s="75">
        <v>4.5</v>
      </c>
      <c r="AA73" s="75">
        <v>4.5</v>
      </c>
      <c r="AB73" s="75">
        <v>4.5</v>
      </c>
      <c r="AC73" s="75">
        <v>4.5</v>
      </c>
      <c r="AD73" s="75">
        <v>4.5</v>
      </c>
      <c r="AE73" s="75">
        <v>4.5</v>
      </c>
      <c r="AF73" s="75">
        <v>4.5</v>
      </c>
      <c r="AG73" s="65">
        <v>10.050000000000001</v>
      </c>
      <c r="AH73" s="48">
        <f t="shared" si="8"/>
        <v>4.5</v>
      </c>
      <c r="AI73" s="49">
        <f t="shared" si="9"/>
        <v>4.5</v>
      </c>
      <c r="AK73" s="51"/>
      <c r="AY73" s="1" t="s">
        <v>96</v>
      </c>
      <c r="AZ73" s="81">
        <f>ROUND(C91,0)</f>
        <v>52</v>
      </c>
      <c r="BA73" s="81">
        <f>D91</f>
        <v>52</v>
      </c>
      <c r="BB73" s="81">
        <f>E91</f>
        <v>54.8</v>
      </c>
      <c r="BC73" s="81">
        <f>F91</f>
        <v>53</v>
      </c>
      <c r="BD73" s="81">
        <f>G91</f>
        <v>53.9</v>
      </c>
      <c r="BE73" s="81">
        <f>I91</f>
        <v>53.2</v>
      </c>
      <c r="BF73" s="81">
        <f>K91</f>
        <v>45</v>
      </c>
      <c r="BG73" s="81">
        <f t="shared" ref="BG73:BP73" si="45">M91</f>
        <v>62.6</v>
      </c>
      <c r="BH73" s="81">
        <f t="shared" si="45"/>
        <v>70</v>
      </c>
      <c r="BI73" s="81">
        <f t="shared" si="45"/>
        <v>68.599999999999994</v>
      </c>
      <c r="BJ73" s="81">
        <f t="shared" si="45"/>
        <v>62</v>
      </c>
      <c r="BK73" s="81">
        <f t="shared" si="45"/>
        <v>67</v>
      </c>
      <c r="BL73" s="81">
        <f t="shared" si="45"/>
        <v>62.7</v>
      </c>
      <c r="BM73" s="81">
        <f t="shared" si="45"/>
        <v>62.2</v>
      </c>
      <c r="BN73" s="81">
        <f t="shared" si="45"/>
        <v>65</v>
      </c>
      <c r="BO73" s="81">
        <f t="shared" si="45"/>
        <v>74.900000000000006</v>
      </c>
      <c r="BP73" s="81">
        <f t="shared" si="45"/>
        <v>69</v>
      </c>
      <c r="BQ73" s="81">
        <f>X91</f>
        <v>67.5</v>
      </c>
      <c r="BR73" s="81">
        <f>Z91</f>
        <v>66.5</v>
      </c>
      <c r="BS73" s="81">
        <f>AB91</f>
        <v>0</v>
      </c>
      <c r="BT73" s="81">
        <f>AD91</f>
        <v>0</v>
      </c>
      <c r="BU73" s="81">
        <f>AE91</f>
        <v>0</v>
      </c>
      <c r="BV73" s="81">
        <f>AF91</f>
        <v>0</v>
      </c>
      <c r="BW73" s="81">
        <f>B91</f>
        <v>0</v>
      </c>
    </row>
    <row r="74" spans="1:75" x14ac:dyDescent="0.25">
      <c r="A74" s="64" t="s">
        <v>97</v>
      </c>
      <c r="B74" s="75">
        <v>2</v>
      </c>
      <c r="C74" s="75">
        <v>2</v>
      </c>
      <c r="D74" s="75">
        <v>2</v>
      </c>
      <c r="E74" s="75">
        <v>2</v>
      </c>
      <c r="F74" s="75">
        <v>2</v>
      </c>
      <c r="G74" s="75">
        <v>2</v>
      </c>
      <c r="H74" s="75">
        <v>2</v>
      </c>
      <c r="I74" s="75">
        <v>2</v>
      </c>
      <c r="J74" s="75">
        <v>2</v>
      </c>
      <c r="K74" s="75">
        <v>2</v>
      </c>
      <c r="L74" s="75">
        <v>2</v>
      </c>
      <c r="M74" s="75">
        <v>2</v>
      </c>
      <c r="N74" s="75">
        <v>2</v>
      </c>
      <c r="O74" s="75">
        <v>2</v>
      </c>
      <c r="P74" s="75">
        <v>2</v>
      </c>
      <c r="Q74" s="75">
        <v>2</v>
      </c>
      <c r="R74" s="75">
        <v>2</v>
      </c>
      <c r="S74" s="75">
        <v>2</v>
      </c>
      <c r="T74" s="75">
        <v>2</v>
      </c>
      <c r="U74" s="75">
        <v>2</v>
      </c>
      <c r="V74" s="75">
        <v>2</v>
      </c>
      <c r="W74" s="75">
        <v>2</v>
      </c>
      <c r="X74" s="75">
        <v>2</v>
      </c>
      <c r="Y74" s="75">
        <v>2</v>
      </c>
      <c r="Z74" s="75">
        <v>2</v>
      </c>
      <c r="AA74" s="75">
        <v>2</v>
      </c>
      <c r="AB74" s="75">
        <v>2</v>
      </c>
      <c r="AC74" s="75">
        <v>2</v>
      </c>
      <c r="AD74" s="75">
        <v>2</v>
      </c>
      <c r="AE74" s="75">
        <v>2</v>
      </c>
      <c r="AF74" s="75">
        <v>2</v>
      </c>
      <c r="AG74" s="65">
        <v>6.2</v>
      </c>
      <c r="AH74" s="48">
        <f t="shared" si="8"/>
        <v>2</v>
      </c>
      <c r="AI74" s="49">
        <f t="shared" si="9"/>
        <v>2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</row>
    <row r="75" spans="1:75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>
        <v>3.54</v>
      </c>
      <c r="W75" s="84">
        <v>3.54</v>
      </c>
      <c r="X75" s="84">
        <v>3.54</v>
      </c>
      <c r="Y75" s="84">
        <v>3.54</v>
      </c>
      <c r="Z75" s="84">
        <v>3.54</v>
      </c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8"/>
        <v>3.54</v>
      </c>
      <c r="AI75" s="49">
        <f t="shared" si="9"/>
        <v>3.54</v>
      </c>
      <c r="AK75" s="51"/>
      <c r="AZ75" s="81">
        <f>VALUE(AZ68)</f>
        <v>47</v>
      </c>
      <c r="BA75" s="81">
        <f t="shared" ref="BA75:BW75" si="46">VALUE(BA68)</f>
        <v>43.5</v>
      </c>
      <c r="BB75" s="81">
        <f t="shared" si="46"/>
        <v>44</v>
      </c>
      <c r="BC75" s="81">
        <f t="shared" si="46"/>
        <v>47</v>
      </c>
      <c r="BD75" s="81">
        <f t="shared" si="46"/>
        <v>47</v>
      </c>
      <c r="BE75" s="81">
        <f t="shared" si="46"/>
        <v>50.9</v>
      </c>
      <c r="BF75" s="81">
        <f t="shared" si="46"/>
        <v>51.4</v>
      </c>
      <c r="BG75" s="81">
        <f t="shared" si="46"/>
        <v>55.3</v>
      </c>
      <c r="BH75" s="81">
        <f t="shared" si="46"/>
        <v>59.5</v>
      </c>
      <c r="BI75" s="81">
        <f t="shared" si="46"/>
        <v>53.8</v>
      </c>
      <c r="BJ75" s="81">
        <f t="shared" si="46"/>
        <v>45</v>
      </c>
      <c r="BK75" s="81">
        <f t="shared" si="46"/>
        <v>40</v>
      </c>
      <c r="BL75" s="81">
        <f t="shared" si="46"/>
        <v>40.299999999999997</v>
      </c>
      <c r="BM75" s="81">
        <f t="shared" si="46"/>
        <v>46.2</v>
      </c>
      <c r="BN75" s="81">
        <f t="shared" si="46"/>
        <v>51.7</v>
      </c>
      <c r="BO75" s="81">
        <f t="shared" si="46"/>
        <v>60</v>
      </c>
      <c r="BP75" s="81">
        <f t="shared" si="46"/>
        <v>45.1</v>
      </c>
      <c r="BQ75" s="81">
        <f t="shared" si="46"/>
        <v>39.700000000000003</v>
      </c>
      <c r="BR75" s="81">
        <f t="shared" si="46"/>
        <v>54.2</v>
      </c>
      <c r="BS75" s="81">
        <f t="shared" si="46"/>
        <v>46.1</v>
      </c>
      <c r="BT75" s="81">
        <f t="shared" si="46"/>
        <v>50.1</v>
      </c>
      <c r="BU75" s="81">
        <f t="shared" si="46"/>
        <v>66</v>
      </c>
      <c r="BV75" s="81">
        <f t="shared" si="46"/>
        <v>57.1</v>
      </c>
      <c r="BW75" s="81">
        <f t="shared" si="46"/>
        <v>52</v>
      </c>
    </row>
    <row r="76" spans="1:75" ht="15.75" thickBot="1" x14ac:dyDescent="0.3">
      <c r="A76" s="86" t="s">
        <v>99</v>
      </c>
      <c r="B76" s="70">
        <f t="shared" ref="B76:AG76" si="47">SUM(B63:B75)</f>
        <v>105.84</v>
      </c>
      <c r="C76" s="70">
        <f t="shared" si="47"/>
        <v>75.84</v>
      </c>
      <c r="D76" s="70">
        <f t="shared" si="47"/>
        <v>75.84</v>
      </c>
      <c r="E76" s="70">
        <f t="shared" si="47"/>
        <v>75.84</v>
      </c>
      <c r="F76" s="70">
        <f t="shared" si="47"/>
        <v>75.84</v>
      </c>
      <c r="G76" s="70">
        <f t="shared" si="47"/>
        <v>115.94</v>
      </c>
      <c r="H76" s="70">
        <f t="shared" si="47"/>
        <v>127.64</v>
      </c>
      <c r="I76" s="70">
        <f t="shared" si="47"/>
        <v>166.34</v>
      </c>
      <c r="J76" s="70">
        <f t="shared" si="47"/>
        <v>241.14000000000001</v>
      </c>
      <c r="K76" s="70">
        <f t="shared" si="47"/>
        <v>229.23999999999998</v>
      </c>
      <c r="L76" s="70">
        <f t="shared" si="47"/>
        <v>246.54</v>
      </c>
      <c r="M76" s="70">
        <f t="shared" si="47"/>
        <v>219.03999999999996</v>
      </c>
      <c r="N76" s="70">
        <f t="shared" si="47"/>
        <v>219.34</v>
      </c>
      <c r="O76" s="70">
        <f t="shared" si="47"/>
        <v>219.34</v>
      </c>
      <c r="P76" s="70">
        <f t="shared" si="47"/>
        <v>216.84</v>
      </c>
      <c r="Q76" s="70">
        <f t="shared" si="47"/>
        <v>143.44</v>
      </c>
      <c r="R76" s="70">
        <f t="shared" si="47"/>
        <v>127.14</v>
      </c>
      <c r="S76" s="70">
        <f t="shared" ref="S76:T76" si="48">SUM(S63:S75)</f>
        <v>96.04</v>
      </c>
      <c r="T76" s="70">
        <f t="shared" si="48"/>
        <v>112.84</v>
      </c>
      <c r="U76" s="70">
        <f t="shared" ref="U76:V76" si="49">SUM(U63:U75)</f>
        <v>217.34</v>
      </c>
      <c r="V76" s="70">
        <f t="shared" si="49"/>
        <v>221.23999999999998</v>
      </c>
      <c r="W76" s="70">
        <f t="shared" ref="W76:X76" si="50">SUM(W63:W75)</f>
        <v>233.04</v>
      </c>
      <c r="X76" s="70">
        <f t="shared" si="50"/>
        <v>255.84</v>
      </c>
      <c r="Y76" s="70">
        <f t="shared" ref="Y76:Z76" si="51">SUM(Y63:Y75)</f>
        <v>281.54000000000002</v>
      </c>
      <c r="Z76" s="70">
        <f t="shared" si="51"/>
        <v>299.14000000000004</v>
      </c>
      <c r="AA76" s="70">
        <f t="shared" ref="AA76" si="52">SUM(AA63:AA75)</f>
        <v>381.84</v>
      </c>
      <c r="AB76" s="70">
        <f t="shared" si="47"/>
        <v>366.64</v>
      </c>
      <c r="AC76" s="70">
        <f t="shared" si="47"/>
        <v>339.34</v>
      </c>
      <c r="AD76" s="70">
        <f t="shared" si="47"/>
        <v>329.74</v>
      </c>
      <c r="AE76" s="70">
        <f t="shared" si="47"/>
        <v>204.04</v>
      </c>
      <c r="AF76" s="70">
        <f t="shared" si="47"/>
        <v>181.14</v>
      </c>
      <c r="AG76" s="71">
        <f t="shared" si="47"/>
        <v>489.91</v>
      </c>
      <c r="AH76" s="48">
        <f t="shared" si="8"/>
        <v>381.84</v>
      </c>
      <c r="AI76" s="49">
        <f t="shared" si="9"/>
        <v>75.84</v>
      </c>
      <c r="AK76" s="51"/>
      <c r="AZ76" s="81">
        <f t="shared" ref="AZ76:BW80" si="53">VALUE(AZ69)</f>
        <v>0</v>
      </c>
      <c r="BA76" s="81">
        <f t="shared" si="53"/>
        <v>0</v>
      </c>
      <c r="BB76" s="81">
        <f t="shared" si="53"/>
        <v>0</v>
      </c>
      <c r="BC76" s="81">
        <f t="shared" si="53"/>
        <v>0</v>
      </c>
      <c r="BD76" s="81">
        <f t="shared" si="53"/>
        <v>0</v>
      </c>
      <c r="BE76" s="81">
        <f t="shared" si="53"/>
        <v>0</v>
      </c>
      <c r="BF76" s="81">
        <f t="shared" si="53"/>
        <v>0</v>
      </c>
      <c r="BG76" s="81">
        <f t="shared" si="53"/>
        <v>0</v>
      </c>
      <c r="BH76" s="81">
        <f t="shared" si="53"/>
        <v>0</v>
      </c>
      <c r="BI76" s="81">
        <f t="shared" si="53"/>
        <v>0</v>
      </c>
      <c r="BJ76" s="81">
        <f t="shared" si="53"/>
        <v>0</v>
      </c>
      <c r="BK76" s="81">
        <f t="shared" si="53"/>
        <v>0</v>
      </c>
      <c r="BL76" s="81">
        <f t="shared" si="53"/>
        <v>0</v>
      </c>
      <c r="BM76" s="81">
        <f t="shared" si="53"/>
        <v>0</v>
      </c>
      <c r="BN76" s="81">
        <f t="shared" si="53"/>
        <v>0</v>
      </c>
      <c r="BO76" s="81">
        <f t="shared" si="53"/>
        <v>0</v>
      </c>
      <c r="BP76" s="81">
        <f t="shared" si="53"/>
        <v>0</v>
      </c>
      <c r="BQ76" s="81">
        <f t="shared" si="53"/>
        <v>0</v>
      </c>
      <c r="BR76" s="81">
        <f t="shared" si="53"/>
        <v>0</v>
      </c>
      <c r="BS76" s="81">
        <f t="shared" si="53"/>
        <v>0</v>
      </c>
      <c r="BT76" s="81">
        <f t="shared" si="53"/>
        <v>0</v>
      </c>
      <c r="BU76" s="81">
        <f t="shared" si="53"/>
        <v>0</v>
      </c>
      <c r="BV76" s="81">
        <f t="shared" si="53"/>
        <v>0</v>
      </c>
      <c r="BW76" s="81">
        <f t="shared" si="53"/>
        <v>0</v>
      </c>
    </row>
    <row r="77" spans="1:75" x14ac:dyDescent="0.25">
      <c r="A77" s="45" t="s">
        <v>100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>
        <v>0</v>
      </c>
      <c r="AC77" s="46">
        <v>0</v>
      </c>
      <c r="AD77" s="46"/>
      <c r="AE77" s="46"/>
      <c r="AF77" s="46"/>
      <c r="AG77" s="60">
        <v>60</v>
      </c>
      <c r="AH77" s="48">
        <f t="shared" si="8"/>
        <v>0</v>
      </c>
      <c r="AI77" s="49">
        <f t="shared" si="9"/>
        <v>0</v>
      </c>
      <c r="AK77" s="51"/>
      <c r="AZ77" s="81">
        <f t="shared" si="53"/>
        <v>337</v>
      </c>
      <c r="BA77" s="81">
        <f t="shared" si="53"/>
        <v>325</v>
      </c>
      <c r="BB77" s="81">
        <f t="shared" si="53"/>
        <v>316</v>
      </c>
      <c r="BC77" s="81">
        <f t="shared" si="53"/>
        <v>307</v>
      </c>
      <c r="BD77" s="81">
        <f t="shared" si="53"/>
        <v>302</v>
      </c>
      <c r="BE77" s="81">
        <f t="shared" si="53"/>
        <v>412</v>
      </c>
      <c r="BF77" s="81">
        <f t="shared" si="53"/>
        <v>249</v>
      </c>
      <c r="BG77" s="81">
        <f t="shared" si="53"/>
        <v>268.60000000000002</v>
      </c>
      <c r="BH77" s="81">
        <f t="shared" si="53"/>
        <v>350</v>
      </c>
      <c r="BI77" s="81">
        <f t="shared" si="53"/>
        <v>313.60000000000002</v>
      </c>
      <c r="BJ77" s="81">
        <f t="shared" si="53"/>
        <v>270</v>
      </c>
      <c r="BK77" s="81">
        <f t="shared" si="53"/>
        <v>265</v>
      </c>
      <c r="BL77" s="81">
        <f t="shared" si="53"/>
        <v>264</v>
      </c>
      <c r="BM77" s="81">
        <f t="shared" si="53"/>
        <v>263</v>
      </c>
      <c r="BN77" s="81">
        <f t="shared" si="53"/>
        <v>336.3</v>
      </c>
      <c r="BO77" s="81">
        <f t="shared" si="53"/>
        <v>261.60000000000002</v>
      </c>
      <c r="BP77" s="81">
        <f t="shared" si="53"/>
        <v>262.2</v>
      </c>
      <c r="BQ77" s="81">
        <f t="shared" si="53"/>
        <v>193.2</v>
      </c>
      <c r="BR77" s="81">
        <f t="shared" si="53"/>
        <v>204</v>
      </c>
      <c r="BS77" s="81">
        <f t="shared" si="53"/>
        <v>147.69999999999999</v>
      </c>
      <c r="BT77" s="81">
        <f t="shared" si="53"/>
        <v>260.10000000000002</v>
      </c>
      <c r="BU77" s="81">
        <f t="shared" si="53"/>
        <v>338.8</v>
      </c>
      <c r="BV77" s="81">
        <f t="shared" si="53"/>
        <v>306.5</v>
      </c>
      <c r="BW77" s="81">
        <f t="shared" si="53"/>
        <v>399</v>
      </c>
    </row>
    <row r="78" spans="1:75" x14ac:dyDescent="0.25">
      <c r="A78" s="64" t="s">
        <v>101</v>
      </c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>
        <v>5</v>
      </c>
      <c r="AC78" s="75">
        <v>0</v>
      </c>
      <c r="AD78" s="75"/>
      <c r="AE78" s="75"/>
      <c r="AF78" s="75"/>
      <c r="AG78" s="65">
        <v>32</v>
      </c>
      <c r="AH78" s="48">
        <f t="shared" si="8"/>
        <v>5</v>
      </c>
      <c r="AI78" s="49">
        <f t="shared" si="9"/>
        <v>0</v>
      </c>
      <c r="AK78" s="51"/>
      <c r="AZ78" s="81">
        <f t="shared" si="53"/>
        <v>33</v>
      </c>
      <c r="BA78" s="81">
        <f t="shared" si="53"/>
        <v>39.200000000000003</v>
      </c>
      <c r="BB78" s="81">
        <f t="shared" si="53"/>
        <v>48</v>
      </c>
      <c r="BC78" s="81">
        <f t="shared" si="53"/>
        <v>4.4000000000000004</v>
      </c>
      <c r="BD78" s="81">
        <f t="shared" si="53"/>
        <v>4.4000000000000004</v>
      </c>
      <c r="BE78" s="81">
        <f t="shared" si="53"/>
        <v>4.9000000000000004</v>
      </c>
      <c r="BF78" s="81">
        <f t="shared" si="53"/>
        <v>4.5999999999999996</v>
      </c>
      <c r="BG78" s="81">
        <f t="shared" si="53"/>
        <v>2.9</v>
      </c>
      <c r="BH78" s="81">
        <f t="shared" si="53"/>
        <v>6.1</v>
      </c>
      <c r="BI78" s="81">
        <f t="shared" si="53"/>
        <v>5</v>
      </c>
      <c r="BJ78" s="81">
        <f t="shared" si="53"/>
        <v>28</v>
      </c>
      <c r="BK78" s="81">
        <f t="shared" si="53"/>
        <v>43</v>
      </c>
      <c r="BL78" s="81">
        <f t="shared" si="53"/>
        <v>38.6</v>
      </c>
      <c r="BM78" s="81">
        <f t="shared" si="53"/>
        <v>38</v>
      </c>
      <c r="BN78" s="81">
        <f t="shared" si="53"/>
        <v>36.4</v>
      </c>
      <c r="BO78" s="81">
        <f t="shared" si="53"/>
        <v>38.700000000000003</v>
      </c>
      <c r="BP78" s="81">
        <f t="shared" si="53"/>
        <v>34.6</v>
      </c>
      <c r="BQ78" s="81">
        <f t="shared" si="53"/>
        <v>38.299999999999997</v>
      </c>
      <c r="BR78" s="81">
        <f t="shared" si="53"/>
        <v>36</v>
      </c>
      <c r="BS78" s="81">
        <f t="shared" si="53"/>
        <v>31.6</v>
      </c>
      <c r="BT78" s="81">
        <f t="shared" si="53"/>
        <v>29.7</v>
      </c>
      <c r="BU78" s="81">
        <f t="shared" si="53"/>
        <v>29.9</v>
      </c>
      <c r="BV78" s="81">
        <f t="shared" si="53"/>
        <v>40.5</v>
      </c>
      <c r="BW78" s="81">
        <f t="shared" si="53"/>
        <v>45</v>
      </c>
    </row>
    <row r="79" spans="1:75" ht="15.75" thickBot="1" x14ac:dyDescent="0.3">
      <c r="A79" s="83" t="s">
        <v>102</v>
      </c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>
        <v>1.8</v>
      </c>
      <c r="AC79" s="77">
        <v>0</v>
      </c>
      <c r="AD79" s="77"/>
      <c r="AE79" s="77"/>
      <c r="AF79" s="77"/>
      <c r="AG79" s="78">
        <v>14</v>
      </c>
      <c r="AH79" s="48">
        <f t="shared" si="8"/>
        <v>1.8</v>
      </c>
      <c r="AI79" s="49">
        <f t="shared" si="9"/>
        <v>0</v>
      </c>
      <c r="AK79" s="51"/>
      <c r="AZ79" s="81">
        <f t="shared" si="53"/>
        <v>108</v>
      </c>
      <c r="BA79" s="81">
        <f t="shared" si="53"/>
        <v>125</v>
      </c>
      <c r="BB79" s="81">
        <f t="shared" si="53"/>
        <v>114.5</v>
      </c>
      <c r="BC79" s="81">
        <f t="shared" si="53"/>
        <v>107</v>
      </c>
      <c r="BD79" s="81">
        <f t="shared" si="53"/>
        <v>105.7</v>
      </c>
      <c r="BE79" s="81">
        <f t="shared" si="53"/>
        <v>28.9</v>
      </c>
      <c r="BF79" s="81">
        <f t="shared" si="53"/>
        <v>36.6</v>
      </c>
      <c r="BG79" s="81">
        <f t="shared" si="53"/>
        <v>19.2</v>
      </c>
      <c r="BH79" s="81">
        <f t="shared" si="53"/>
        <v>20.7</v>
      </c>
      <c r="BI79" s="81">
        <f t="shared" si="53"/>
        <v>21.4</v>
      </c>
      <c r="BJ79" s="81">
        <f t="shared" si="53"/>
        <v>50</v>
      </c>
      <c r="BK79" s="81">
        <f t="shared" si="53"/>
        <v>96</v>
      </c>
      <c r="BL79" s="81">
        <f t="shared" si="53"/>
        <v>105.7</v>
      </c>
      <c r="BM79" s="81">
        <f t="shared" si="53"/>
        <v>85.2</v>
      </c>
      <c r="BN79" s="81">
        <f t="shared" si="53"/>
        <v>100.6</v>
      </c>
      <c r="BO79" s="81">
        <f t="shared" si="53"/>
        <v>14.5</v>
      </c>
      <c r="BP79" s="81">
        <f t="shared" si="53"/>
        <v>14.8</v>
      </c>
      <c r="BQ79" s="81">
        <f t="shared" si="53"/>
        <v>71.7</v>
      </c>
      <c r="BR79" s="81">
        <f t="shared" si="53"/>
        <v>83.2</v>
      </c>
      <c r="BS79" s="81">
        <f t="shared" si="53"/>
        <v>0</v>
      </c>
      <c r="BT79" s="81">
        <f t="shared" si="53"/>
        <v>0</v>
      </c>
      <c r="BU79" s="81">
        <f t="shared" si="53"/>
        <v>0</v>
      </c>
      <c r="BV79" s="81">
        <f t="shared" si="53"/>
        <v>0</v>
      </c>
      <c r="BW79" s="81">
        <f t="shared" si="53"/>
        <v>111</v>
      </c>
    </row>
    <row r="80" spans="1:75" ht="15.75" thickBot="1" x14ac:dyDescent="0.3">
      <c r="A80" s="86" t="s">
        <v>103</v>
      </c>
      <c r="B80" s="70">
        <f t="shared" ref="B80:AF80" si="54">B77+B78+B79</f>
        <v>0</v>
      </c>
      <c r="C80" s="70">
        <f t="shared" si="54"/>
        <v>0</v>
      </c>
      <c r="D80" s="70">
        <f t="shared" si="54"/>
        <v>0</v>
      </c>
      <c r="E80" s="70">
        <f t="shared" si="54"/>
        <v>0</v>
      </c>
      <c r="F80" s="70">
        <f t="shared" si="54"/>
        <v>0</v>
      </c>
      <c r="G80" s="70">
        <f t="shared" si="54"/>
        <v>0</v>
      </c>
      <c r="H80" s="70">
        <f t="shared" si="54"/>
        <v>0</v>
      </c>
      <c r="I80" s="70">
        <f t="shared" si="54"/>
        <v>0</v>
      </c>
      <c r="J80" s="70">
        <f t="shared" si="54"/>
        <v>0</v>
      </c>
      <c r="K80" s="70">
        <f t="shared" si="54"/>
        <v>0</v>
      </c>
      <c r="L80" s="70">
        <f t="shared" si="54"/>
        <v>0</v>
      </c>
      <c r="M80" s="70">
        <f t="shared" si="54"/>
        <v>0</v>
      </c>
      <c r="N80" s="70">
        <f t="shared" si="54"/>
        <v>0</v>
      </c>
      <c r="O80" s="70">
        <f t="shared" si="54"/>
        <v>0</v>
      </c>
      <c r="P80" s="70">
        <f t="shared" si="54"/>
        <v>0</v>
      </c>
      <c r="Q80" s="70">
        <f t="shared" si="54"/>
        <v>0</v>
      </c>
      <c r="R80" s="70">
        <f t="shared" si="54"/>
        <v>0</v>
      </c>
      <c r="S80" s="70">
        <f t="shared" ref="S80:T80" si="55">S77+S78+S79</f>
        <v>0</v>
      </c>
      <c r="T80" s="70">
        <f t="shared" si="55"/>
        <v>0</v>
      </c>
      <c r="U80" s="70">
        <f t="shared" ref="U80:V80" si="56">U77+U78+U79</f>
        <v>0</v>
      </c>
      <c r="V80" s="70">
        <f t="shared" si="56"/>
        <v>0</v>
      </c>
      <c r="W80" s="70">
        <f t="shared" ref="W80:X80" si="57">W77+W78+W79</f>
        <v>0</v>
      </c>
      <c r="X80" s="70">
        <f t="shared" si="57"/>
        <v>0</v>
      </c>
      <c r="Y80" s="70">
        <f t="shared" ref="Y80:Z80" si="58">Y77+Y78+Y79</f>
        <v>0</v>
      </c>
      <c r="Z80" s="70">
        <f t="shared" si="58"/>
        <v>0</v>
      </c>
      <c r="AA80" s="70">
        <f t="shared" ref="AA80" si="59">AA77+AA78+AA79</f>
        <v>0</v>
      </c>
      <c r="AB80" s="70">
        <f t="shared" si="54"/>
        <v>6.8</v>
      </c>
      <c r="AC80" s="70">
        <f t="shared" si="54"/>
        <v>0</v>
      </c>
      <c r="AD80" s="70">
        <f t="shared" si="54"/>
        <v>0</v>
      </c>
      <c r="AE80" s="70">
        <f t="shared" si="54"/>
        <v>0</v>
      </c>
      <c r="AF80" s="70">
        <f t="shared" si="54"/>
        <v>0</v>
      </c>
      <c r="AG80" s="71">
        <f>SUM(AG77:AG79)</f>
        <v>106</v>
      </c>
      <c r="AH80" s="48">
        <f t="shared" si="8"/>
        <v>6.8</v>
      </c>
      <c r="AI80" s="49">
        <f t="shared" si="9"/>
        <v>0</v>
      </c>
      <c r="AK80" s="51"/>
      <c r="AZ80" s="81">
        <f t="shared" si="53"/>
        <v>52</v>
      </c>
      <c r="BA80" s="81">
        <f t="shared" si="53"/>
        <v>52</v>
      </c>
      <c r="BB80" s="81">
        <f t="shared" si="53"/>
        <v>54.8</v>
      </c>
      <c r="BC80" s="81">
        <f t="shared" si="53"/>
        <v>53</v>
      </c>
      <c r="BD80" s="81">
        <f t="shared" si="53"/>
        <v>53.9</v>
      </c>
      <c r="BE80" s="81">
        <f t="shared" si="53"/>
        <v>53.2</v>
      </c>
      <c r="BF80" s="81">
        <f t="shared" si="53"/>
        <v>45</v>
      </c>
      <c r="BG80" s="81">
        <f t="shared" si="53"/>
        <v>62.6</v>
      </c>
      <c r="BH80" s="81">
        <f t="shared" si="53"/>
        <v>70</v>
      </c>
      <c r="BI80" s="81">
        <f t="shared" si="53"/>
        <v>68.599999999999994</v>
      </c>
      <c r="BJ80" s="81">
        <f t="shared" si="53"/>
        <v>62</v>
      </c>
      <c r="BK80" s="81">
        <f t="shared" si="53"/>
        <v>67</v>
      </c>
      <c r="BL80" s="81">
        <f t="shared" si="53"/>
        <v>62.7</v>
      </c>
      <c r="BM80" s="81">
        <f t="shared" si="53"/>
        <v>62.2</v>
      </c>
      <c r="BN80" s="81">
        <f t="shared" si="53"/>
        <v>65</v>
      </c>
      <c r="BO80" s="81">
        <f t="shared" si="53"/>
        <v>74.900000000000006</v>
      </c>
      <c r="BP80" s="81">
        <f t="shared" si="53"/>
        <v>69</v>
      </c>
      <c r="BQ80" s="81">
        <f t="shared" si="53"/>
        <v>67.5</v>
      </c>
      <c r="BR80" s="81">
        <f t="shared" si="53"/>
        <v>66.5</v>
      </c>
      <c r="BS80" s="81">
        <f t="shared" si="53"/>
        <v>0</v>
      </c>
      <c r="BT80" s="81">
        <f t="shared" si="53"/>
        <v>0</v>
      </c>
      <c r="BU80" s="81">
        <f t="shared" si="53"/>
        <v>0</v>
      </c>
      <c r="BV80" s="81">
        <f t="shared" si="53"/>
        <v>0</v>
      </c>
      <c r="BW80" s="81">
        <f t="shared" si="53"/>
        <v>0</v>
      </c>
    </row>
    <row r="81" spans="1:64" x14ac:dyDescent="0.25">
      <c r="A81" s="45" t="s">
        <v>104</v>
      </c>
      <c r="B81" s="46">
        <v>52</v>
      </c>
      <c r="C81" s="46">
        <v>47</v>
      </c>
      <c r="D81" s="46">
        <v>43.5</v>
      </c>
      <c r="E81" s="46">
        <v>44</v>
      </c>
      <c r="F81" s="46">
        <v>47</v>
      </c>
      <c r="G81" s="46">
        <v>47</v>
      </c>
      <c r="H81" s="46">
        <v>48</v>
      </c>
      <c r="I81" s="46">
        <v>50.9</v>
      </c>
      <c r="J81" s="46">
        <v>50</v>
      </c>
      <c r="K81" s="46">
        <v>51.4</v>
      </c>
      <c r="L81" s="46">
        <v>50</v>
      </c>
      <c r="M81" s="46">
        <v>55.3</v>
      </c>
      <c r="N81" s="46">
        <v>59.5</v>
      </c>
      <c r="O81" s="46">
        <v>53.8</v>
      </c>
      <c r="P81" s="46">
        <v>45</v>
      </c>
      <c r="Q81" s="46">
        <v>40</v>
      </c>
      <c r="R81" s="46">
        <v>40.299999999999997</v>
      </c>
      <c r="S81" s="46">
        <v>46.2</v>
      </c>
      <c r="T81" s="46">
        <v>51.7</v>
      </c>
      <c r="U81" s="46">
        <v>60</v>
      </c>
      <c r="V81" s="46">
        <v>45.1</v>
      </c>
      <c r="W81" s="46">
        <v>44.4</v>
      </c>
      <c r="X81" s="46">
        <v>39.700000000000003</v>
      </c>
      <c r="Y81" s="46">
        <v>45.1</v>
      </c>
      <c r="Z81" s="46">
        <v>54.2</v>
      </c>
      <c r="AA81" s="46">
        <v>43.9</v>
      </c>
      <c r="AB81" s="46">
        <v>46.1</v>
      </c>
      <c r="AC81" s="46">
        <v>59.6</v>
      </c>
      <c r="AD81" s="46">
        <v>50.1</v>
      </c>
      <c r="AE81" s="46">
        <v>66</v>
      </c>
      <c r="AF81" s="46">
        <v>57.1</v>
      </c>
      <c r="AG81" s="60"/>
      <c r="AH81" s="48">
        <f t="shared" si="8"/>
        <v>66</v>
      </c>
      <c r="AI81" s="49">
        <f t="shared" si="9"/>
        <v>39.700000000000003</v>
      </c>
      <c r="AK81" s="51"/>
      <c r="AY81" s="81"/>
    </row>
    <row r="82" spans="1:64" x14ac:dyDescent="0.25">
      <c r="A82" s="64" t="s">
        <v>105</v>
      </c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65"/>
      <c r="AH82" s="48">
        <f t="shared" ref="AH82:AH123" si="60">MAX(B82:AF82)</f>
        <v>0</v>
      </c>
      <c r="AI82" s="49">
        <f t="shared" ref="AI82:AI123" si="61">MIN(B82:AF82)</f>
        <v>0</v>
      </c>
      <c r="AK82" s="51"/>
      <c r="AY82" s="81"/>
      <c r="BF82" s="81"/>
      <c r="BG82" s="81"/>
      <c r="BH82" s="81"/>
      <c r="BI82" s="81"/>
      <c r="BJ82" s="81"/>
      <c r="BK82" s="81"/>
    </row>
    <row r="83" spans="1:64" x14ac:dyDescent="0.25">
      <c r="A83" s="64" t="s">
        <v>106</v>
      </c>
      <c r="B83" s="75">
        <v>399</v>
      </c>
      <c r="C83" s="75">
        <v>337</v>
      </c>
      <c r="D83" s="75">
        <v>325</v>
      </c>
      <c r="E83" s="75">
        <v>316</v>
      </c>
      <c r="F83" s="75">
        <v>307</v>
      </c>
      <c r="G83" s="75">
        <v>302</v>
      </c>
      <c r="H83" s="75">
        <v>371</v>
      </c>
      <c r="I83" s="75">
        <v>412</v>
      </c>
      <c r="J83" s="75">
        <v>307</v>
      </c>
      <c r="K83" s="75">
        <v>249</v>
      </c>
      <c r="L83" s="75">
        <v>270.85000000000002</v>
      </c>
      <c r="M83" s="75">
        <v>268.60000000000002</v>
      </c>
      <c r="N83" s="75">
        <v>350</v>
      </c>
      <c r="O83" s="75">
        <v>313.60000000000002</v>
      </c>
      <c r="P83" s="75">
        <v>270</v>
      </c>
      <c r="Q83" s="75">
        <v>265</v>
      </c>
      <c r="R83" s="75">
        <v>264</v>
      </c>
      <c r="S83" s="75">
        <v>263</v>
      </c>
      <c r="T83" s="75">
        <v>336.3</v>
      </c>
      <c r="U83" s="75">
        <v>261.60000000000002</v>
      </c>
      <c r="V83" s="75">
        <v>262.2</v>
      </c>
      <c r="W83" s="75">
        <v>276.5</v>
      </c>
      <c r="X83" s="75">
        <v>193.2</v>
      </c>
      <c r="Y83" s="75">
        <v>222.3</v>
      </c>
      <c r="Z83" s="75">
        <v>204</v>
      </c>
      <c r="AA83" s="75">
        <v>166.4</v>
      </c>
      <c r="AB83" s="75">
        <v>147.69999999999999</v>
      </c>
      <c r="AC83" s="75">
        <v>221.1</v>
      </c>
      <c r="AD83" s="75">
        <v>260.10000000000002</v>
      </c>
      <c r="AE83" s="75">
        <v>338.8</v>
      </c>
      <c r="AF83" s="75">
        <v>306.5</v>
      </c>
      <c r="AG83" s="87"/>
      <c r="AH83" s="48">
        <f t="shared" si="60"/>
        <v>412</v>
      </c>
      <c r="AI83" s="49">
        <f t="shared" si="61"/>
        <v>147.69999999999999</v>
      </c>
      <c r="AK83" s="51"/>
      <c r="AY83" s="81"/>
      <c r="BF83" s="80"/>
      <c r="BG83" s="80"/>
      <c r="BH83" s="80"/>
      <c r="BI83" s="80"/>
      <c r="BJ83" s="80"/>
      <c r="BK83" s="81"/>
    </row>
    <row r="84" spans="1:64" x14ac:dyDescent="0.25">
      <c r="A84" s="64" t="s">
        <v>107</v>
      </c>
      <c r="B84" s="75">
        <v>45</v>
      </c>
      <c r="C84" s="75">
        <v>32.799999999999997</v>
      </c>
      <c r="D84" s="75">
        <v>39.200000000000003</v>
      </c>
      <c r="E84" s="88">
        <v>48</v>
      </c>
      <c r="F84" s="88">
        <v>4.4000000000000004</v>
      </c>
      <c r="G84" s="88">
        <v>4.4000000000000004</v>
      </c>
      <c r="H84" s="88">
        <v>4.4000000000000004</v>
      </c>
      <c r="I84" s="88">
        <v>4.9000000000000004</v>
      </c>
      <c r="J84" s="88">
        <v>5.5</v>
      </c>
      <c r="K84" s="88">
        <v>4.5999999999999996</v>
      </c>
      <c r="L84" s="88">
        <v>3</v>
      </c>
      <c r="M84" s="88">
        <v>2.9</v>
      </c>
      <c r="N84" s="88">
        <v>6.1</v>
      </c>
      <c r="O84" s="88">
        <v>5</v>
      </c>
      <c r="P84" s="88">
        <v>28</v>
      </c>
      <c r="Q84" s="88">
        <v>43</v>
      </c>
      <c r="R84" s="88">
        <v>38.6</v>
      </c>
      <c r="S84" s="88">
        <v>38</v>
      </c>
      <c r="T84" s="88">
        <v>36.4</v>
      </c>
      <c r="U84" s="88">
        <v>38.700000000000003</v>
      </c>
      <c r="V84" s="88">
        <v>34.6</v>
      </c>
      <c r="W84" s="88">
        <v>39.5</v>
      </c>
      <c r="X84" s="88">
        <v>38.299999999999997</v>
      </c>
      <c r="Y84" s="88">
        <v>37</v>
      </c>
      <c r="Z84" s="88">
        <v>36</v>
      </c>
      <c r="AA84" s="88">
        <v>40.299999999999997</v>
      </c>
      <c r="AB84" s="88">
        <v>31.6</v>
      </c>
      <c r="AC84" s="88">
        <v>32</v>
      </c>
      <c r="AD84" s="88">
        <v>29.7</v>
      </c>
      <c r="AE84" s="88">
        <v>29.9</v>
      </c>
      <c r="AF84" s="88">
        <v>40.5</v>
      </c>
      <c r="AG84" s="87"/>
      <c r="AH84" s="48">
        <f t="shared" si="60"/>
        <v>48</v>
      </c>
      <c r="AI84" s="49">
        <f t="shared" si="61"/>
        <v>2.9</v>
      </c>
      <c r="AK84" s="51"/>
      <c r="AY84" s="81"/>
      <c r="BF84" s="80"/>
      <c r="BG84" s="81">
        <f t="array" ref="BG84:BL107">TRANSPOSE(AZ68:BW73)</f>
        <v>47</v>
      </c>
      <c r="BH84" s="81">
        <v>0</v>
      </c>
      <c r="BI84" s="81">
        <v>337</v>
      </c>
      <c r="BJ84" s="81">
        <v>33</v>
      </c>
      <c r="BK84" s="81">
        <v>108</v>
      </c>
      <c r="BL84" s="81">
        <v>52</v>
      </c>
    </row>
    <row r="85" spans="1:64" x14ac:dyDescent="0.25">
      <c r="A85" s="64" t="s">
        <v>108</v>
      </c>
      <c r="B85" s="46">
        <v>111</v>
      </c>
      <c r="C85" s="46">
        <v>108</v>
      </c>
      <c r="D85" s="46">
        <v>125</v>
      </c>
      <c r="E85" s="46">
        <v>114.5</v>
      </c>
      <c r="F85" s="46">
        <v>107</v>
      </c>
      <c r="G85" s="46">
        <v>105.7</v>
      </c>
      <c r="H85" s="46">
        <v>27.8</v>
      </c>
      <c r="I85" s="46">
        <v>28.9</v>
      </c>
      <c r="J85" s="46">
        <v>32</v>
      </c>
      <c r="K85" s="46">
        <v>36.6</v>
      </c>
      <c r="L85" s="46">
        <v>14</v>
      </c>
      <c r="M85" s="46">
        <v>19.2</v>
      </c>
      <c r="N85" s="46">
        <v>20.7</v>
      </c>
      <c r="O85" s="46">
        <v>21.4</v>
      </c>
      <c r="P85" s="46">
        <v>50</v>
      </c>
      <c r="Q85" s="46">
        <v>96</v>
      </c>
      <c r="R85" s="46">
        <v>105.7</v>
      </c>
      <c r="S85" s="46">
        <v>85.2</v>
      </c>
      <c r="T85" s="46">
        <v>100.6</v>
      </c>
      <c r="U85" s="46">
        <v>14.5</v>
      </c>
      <c r="V85" s="46">
        <v>14.8</v>
      </c>
      <c r="W85" s="46">
        <v>14.3</v>
      </c>
      <c r="X85" s="46">
        <v>71.7</v>
      </c>
      <c r="Y85" s="46">
        <v>72.5</v>
      </c>
      <c r="Z85" s="46">
        <v>83.2</v>
      </c>
      <c r="AA85" s="46">
        <v>99.2</v>
      </c>
      <c r="AB85" s="46">
        <v>0</v>
      </c>
      <c r="AC85" s="46">
        <v>0</v>
      </c>
      <c r="AD85" s="46">
        <v>0</v>
      </c>
      <c r="AE85" s="46">
        <v>0</v>
      </c>
      <c r="AF85" s="46">
        <v>0</v>
      </c>
      <c r="AG85" s="87"/>
      <c r="AH85" s="48">
        <f t="shared" si="60"/>
        <v>125</v>
      </c>
      <c r="AI85" s="49">
        <f t="shared" si="61"/>
        <v>0</v>
      </c>
      <c r="AK85" s="51"/>
      <c r="AY85" s="81"/>
      <c r="BF85" s="80"/>
      <c r="BG85" s="81">
        <v>43.5</v>
      </c>
      <c r="BH85" s="81">
        <v>0</v>
      </c>
      <c r="BI85" s="81">
        <v>325</v>
      </c>
      <c r="BJ85" s="81">
        <v>39.200000000000003</v>
      </c>
      <c r="BK85" s="81">
        <v>125</v>
      </c>
      <c r="BL85" s="81">
        <v>52</v>
      </c>
    </row>
    <row r="86" spans="1:64" x14ac:dyDescent="0.25">
      <c r="A86" s="64" t="s">
        <v>109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7"/>
      <c r="AH86" s="48">
        <f t="shared" si="60"/>
        <v>0</v>
      </c>
      <c r="AI86" s="49">
        <f t="shared" si="61"/>
        <v>0</v>
      </c>
      <c r="AK86" s="51"/>
      <c r="AY86" s="81"/>
      <c r="BF86" s="80"/>
      <c r="BG86" s="81">
        <v>44</v>
      </c>
      <c r="BH86" s="81">
        <v>0</v>
      </c>
      <c r="BI86" s="81">
        <v>316</v>
      </c>
      <c r="BJ86" s="81">
        <v>48</v>
      </c>
      <c r="BK86" s="81">
        <v>114.5</v>
      </c>
      <c r="BL86" s="81">
        <v>54.8</v>
      </c>
    </row>
    <row r="87" spans="1:64" ht="15.75" thickBot="1" x14ac:dyDescent="0.3">
      <c r="A87" s="64" t="s">
        <v>110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7"/>
      <c r="AH87" s="48">
        <f t="shared" si="60"/>
        <v>0</v>
      </c>
      <c r="AI87" s="49">
        <f t="shared" si="61"/>
        <v>0</v>
      </c>
      <c r="AK87" s="51"/>
      <c r="AL87" s="90" t="s">
        <v>111</v>
      </c>
      <c r="AM87" s="90"/>
      <c r="AY87" s="81"/>
      <c r="BF87" s="81"/>
      <c r="BG87" s="81">
        <v>47</v>
      </c>
      <c r="BH87" s="81">
        <v>0</v>
      </c>
      <c r="BI87" s="81">
        <v>307</v>
      </c>
      <c r="BJ87" s="81">
        <v>4.4000000000000004</v>
      </c>
      <c r="BK87" s="81">
        <v>107</v>
      </c>
      <c r="BL87" s="81">
        <v>53</v>
      </c>
    </row>
    <row r="88" spans="1:64" x14ac:dyDescent="0.25">
      <c r="A88" s="64" t="s">
        <v>112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7"/>
      <c r="AH88" s="48">
        <f t="shared" si="60"/>
        <v>0</v>
      </c>
      <c r="AI88" s="49">
        <f t="shared" si="61"/>
        <v>0</v>
      </c>
      <c r="AK88" s="91"/>
      <c r="AL88" s="92"/>
      <c r="AM88" s="92"/>
      <c r="AN88" s="93"/>
      <c r="AY88" s="81"/>
      <c r="BF88" s="81"/>
      <c r="BG88" s="81">
        <v>47</v>
      </c>
      <c r="BH88" s="81">
        <v>0</v>
      </c>
      <c r="BI88" s="81">
        <v>302</v>
      </c>
      <c r="BJ88" s="81">
        <v>4.4000000000000004</v>
      </c>
      <c r="BK88" s="81">
        <v>105.7</v>
      </c>
      <c r="BL88" s="81">
        <v>53.9</v>
      </c>
    </row>
    <row r="89" spans="1:64" x14ac:dyDescent="0.25">
      <c r="A89" s="64" t="s">
        <v>113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7"/>
      <c r="AH89" s="48">
        <f t="shared" si="60"/>
        <v>0</v>
      </c>
      <c r="AI89" s="49">
        <f t="shared" si="61"/>
        <v>0</v>
      </c>
      <c r="AK89" s="94" t="s">
        <v>114</v>
      </c>
      <c r="AL89" s="75"/>
      <c r="AM89" s="88"/>
      <c r="AN89" s="95"/>
      <c r="AY89" s="81"/>
      <c r="BF89" s="81"/>
      <c r="BG89" s="81">
        <v>50.9</v>
      </c>
      <c r="BH89" s="81">
        <v>0</v>
      </c>
      <c r="BI89" s="81">
        <v>412</v>
      </c>
      <c r="BJ89" s="81">
        <v>4.9000000000000004</v>
      </c>
      <c r="BK89" s="81">
        <v>28.9</v>
      </c>
      <c r="BL89" s="81">
        <v>53.2</v>
      </c>
    </row>
    <row r="90" spans="1:64" x14ac:dyDescent="0.25">
      <c r="A90" s="96" t="s">
        <v>115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97"/>
      <c r="AH90" s="48">
        <f t="shared" si="60"/>
        <v>0</v>
      </c>
      <c r="AI90" s="49">
        <f t="shared" si="61"/>
        <v>0</v>
      </c>
      <c r="AK90" s="94" t="s">
        <v>116</v>
      </c>
      <c r="AL90" s="88"/>
      <c r="AM90" s="88"/>
      <c r="AN90" s="95"/>
      <c r="AY90" s="81"/>
      <c r="BF90" s="81"/>
      <c r="BG90" s="81">
        <v>51.4</v>
      </c>
      <c r="BH90" s="81">
        <v>0</v>
      </c>
      <c r="BI90" s="81">
        <v>249</v>
      </c>
      <c r="BJ90" s="81">
        <v>4.5999999999999996</v>
      </c>
      <c r="BK90" s="81">
        <v>36.6</v>
      </c>
      <c r="BL90" s="81">
        <v>45</v>
      </c>
    </row>
    <row r="91" spans="1:64" ht="15.75" thickBot="1" x14ac:dyDescent="0.3">
      <c r="A91" s="96" t="s">
        <v>117</v>
      </c>
      <c r="B91" s="89">
        <v>0</v>
      </c>
      <c r="C91" s="89">
        <v>52</v>
      </c>
      <c r="D91" s="89">
        <v>52</v>
      </c>
      <c r="E91" s="89">
        <v>54.8</v>
      </c>
      <c r="F91" s="89">
        <v>53</v>
      </c>
      <c r="G91" s="89">
        <v>53.9</v>
      </c>
      <c r="H91" s="89">
        <v>51</v>
      </c>
      <c r="I91" s="89">
        <v>53.2</v>
      </c>
      <c r="J91" s="89">
        <v>51</v>
      </c>
      <c r="K91" s="89">
        <v>45</v>
      </c>
      <c r="L91" s="89">
        <v>39</v>
      </c>
      <c r="M91" s="89">
        <v>62.6</v>
      </c>
      <c r="N91" s="89">
        <v>70</v>
      </c>
      <c r="O91" s="89">
        <v>68.599999999999994</v>
      </c>
      <c r="P91" s="89">
        <v>62</v>
      </c>
      <c r="Q91" s="89">
        <v>67</v>
      </c>
      <c r="R91" s="89">
        <v>62.7</v>
      </c>
      <c r="S91" s="89">
        <v>62.2</v>
      </c>
      <c r="T91" s="89">
        <v>65</v>
      </c>
      <c r="U91" s="89">
        <v>74.900000000000006</v>
      </c>
      <c r="V91" s="89">
        <v>69</v>
      </c>
      <c r="W91" s="89">
        <v>69.5</v>
      </c>
      <c r="X91" s="89">
        <v>67.5</v>
      </c>
      <c r="Y91" s="89">
        <v>78.099999999999994</v>
      </c>
      <c r="Z91" s="89">
        <v>66.5</v>
      </c>
      <c r="AA91" s="89">
        <v>0</v>
      </c>
      <c r="AB91" s="89">
        <v>0</v>
      </c>
      <c r="AC91" s="89">
        <v>0</v>
      </c>
      <c r="AD91" s="89">
        <v>0</v>
      </c>
      <c r="AE91" s="89">
        <v>0</v>
      </c>
      <c r="AF91" s="89">
        <v>0</v>
      </c>
      <c r="AG91" s="97"/>
      <c r="AH91" s="48">
        <f t="shared" si="60"/>
        <v>78.099999999999994</v>
      </c>
      <c r="AI91" s="49">
        <f t="shared" si="61"/>
        <v>0</v>
      </c>
      <c r="AK91" s="98"/>
      <c r="AL91" s="46"/>
      <c r="AM91" s="46"/>
      <c r="AN91" s="99"/>
      <c r="AY91" s="81"/>
      <c r="BF91" s="81"/>
      <c r="BG91" s="81">
        <v>55.3</v>
      </c>
      <c r="BH91" s="81">
        <v>0</v>
      </c>
      <c r="BI91" s="81">
        <v>268.60000000000002</v>
      </c>
      <c r="BJ91" s="81">
        <v>2.9</v>
      </c>
      <c r="BK91" s="81">
        <v>19.2</v>
      </c>
      <c r="BL91" s="81">
        <v>62.6</v>
      </c>
    </row>
    <row r="92" spans="1:64" ht="15.75" thickBot="1" x14ac:dyDescent="0.3">
      <c r="A92" s="86" t="s">
        <v>118</v>
      </c>
      <c r="B92" s="70">
        <f t="shared" ref="B92:AF92" si="62">SUMIF(B81:B91,"&gt;0")</f>
        <v>607</v>
      </c>
      <c r="C92" s="70">
        <f t="shared" si="62"/>
        <v>576.79999999999995</v>
      </c>
      <c r="D92" s="70">
        <f t="shared" si="62"/>
        <v>584.70000000000005</v>
      </c>
      <c r="E92" s="70">
        <f t="shared" si="62"/>
        <v>577.29999999999995</v>
      </c>
      <c r="F92" s="70">
        <f t="shared" si="62"/>
        <v>518.4</v>
      </c>
      <c r="G92" s="70">
        <f t="shared" si="62"/>
        <v>513</v>
      </c>
      <c r="H92" s="70">
        <f t="shared" si="62"/>
        <v>502.2</v>
      </c>
      <c r="I92" s="70">
        <f t="shared" si="62"/>
        <v>549.9</v>
      </c>
      <c r="J92" s="70">
        <f t="shared" si="62"/>
        <v>445.5</v>
      </c>
      <c r="K92" s="70">
        <f t="shared" si="62"/>
        <v>386.6</v>
      </c>
      <c r="L92" s="70">
        <f t="shared" si="62"/>
        <v>376.85</v>
      </c>
      <c r="M92" s="70">
        <f t="shared" si="62"/>
        <v>408.6</v>
      </c>
      <c r="N92" s="70">
        <f t="shared" si="62"/>
        <v>506.3</v>
      </c>
      <c r="O92" s="70">
        <f t="shared" si="62"/>
        <v>462.4</v>
      </c>
      <c r="P92" s="70">
        <f t="shared" si="62"/>
        <v>455</v>
      </c>
      <c r="Q92" s="70">
        <f t="shared" si="62"/>
        <v>511</v>
      </c>
      <c r="R92" s="70">
        <f t="shared" si="62"/>
        <v>511.3</v>
      </c>
      <c r="S92" s="70">
        <f t="shared" ref="S92:T92" si="63">SUMIF(S81:S91,"&gt;0")</f>
        <v>494.59999999999997</v>
      </c>
      <c r="T92" s="70">
        <f t="shared" si="63"/>
        <v>590</v>
      </c>
      <c r="U92" s="70">
        <f t="shared" ref="U92:V92" si="64">SUMIF(U81:U91,"&gt;0")</f>
        <v>449.70000000000005</v>
      </c>
      <c r="V92" s="70">
        <f t="shared" si="64"/>
        <v>425.70000000000005</v>
      </c>
      <c r="W92" s="70">
        <f t="shared" ref="W92:X92" si="65">SUMIF(W81:W91,"&gt;0")</f>
        <v>444.2</v>
      </c>
      <c r="X92" s="70">
        <f t="shared" si="65"/>
        <v>410.4</v>
      </c>
      <c r="Y92" s="70">
        <f t="shared" ref="Y92:Z92" si="66">SUMIF(Y81:Y91,"&gt;0")</f>
        <v>455</v>
      </c>
      <c r="Z92" s="70">
        <f t="shared" si="66"/>
        <v>443.9</v>
      </c>
      <c r="AA92" s="70">
        <f t="shared" ref="AA92" si="67">SUMIF(AA81:AA91,"&gt;0")</f>
        <v>349.8</v>
      </c>
      <c r="AB92" s="70">
        <f t="shared" si="62"/>
        <v>225.39999999999998</v>
      </c>
      <c r="AC92" s="70">
        <f t="shared" si="62"/>
        <v>312.7</v>
      </c>
      <c r="AD92" s="70">
        <f t="shared" si="62"/>
        <v>339.90000000000003</v>
      </c>
      <c r="AE92" s="70">
        <f t="shared" si="62"/>
        <v>434.7</v>
      </c>
      <c r="AF92" s="70">
        <f t="shared" si="62"/>
        <v>404.1</v>
      </c>
      <c r="AG92" s="100">
        <f>SUM(AG81:AG91)</f>
        <v>0</v>
      </c>
      <c r="AH92" s="48">
        <f t="shared" si="60"/>
        <v>607</v>
      </c>
      <c r="AI92" s="49">
        <f t="shared" si="61"/>
        <v>225.39999999999998</v>
      </c>
      <c r="AK92" s="98"/>
      <c r="AL92" s="89"/>
      <c r="AM92" s="101"/>
      <c r="AN92" s="202"/>
      <c r="AY92" s="81"/>
      <c r="BF92" s="81"/>
      <c r="BG92" s="81">
        <v>59.5</v>
      </c>
      <c r="BH92" s="81">
        <v>0</v>
      </c>
      <c r="BI92" s="81">
        <v>350</v>
      </c>
      <c r="BJ92" s="81">
        <v>6.1</v>
      </c>
      <c r="BK92" s="81">
        <v>20.7</v>
      </c>
      <c r="BL92" s="81">
        <v>70</v>
      </c>
    </row>
    <row r="93" spans="1:64" x14ac:dyDescent="0.25">
      <c r="A93" s="45" t="s">
        <v>119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60"/>
        <v>0</v>
      </c>
      <c r="AI93" s="49">
        <f t="shared" si="61"/>
        <v>0</v>
      </c>
      <c r="AK93" s="98"/>
      <c r="AL93" s="89"/>
      <c r="AM93" s="89"/>
      <c r="AN93" s="203"/>
      <c r="BF93" s="81"/>
      <c r="BG93" s="81">
        <v>53.8</v>
      </c>
      <c r="BH93" s="81">
        <v>0</v>
      </c>
      <c r="BI93" s="81">
        <v>313.60000000000002</v>
      </c>
      <c r="BJ93" s="81">
        <v>5</v>
      </c>
      <c r="BK93" s="81">
        <v>21.4</v>
      </c>
      <c r="BL93" s="81">
        <v>68.599999999999994</v>
      </c>
    </row>
    <row r="94" spans="1:64" ht="15.75" thickBot="1" x14ac:dyDescent="0.3">
      <c r="A94" s="64" t="s">
        <v>120</v>
      </c>
      <c r="B94" s="89">
        <v>0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60"/>
        <v>0</v>
      </c>
      <c r="AI94" s="49">
        <f t="shared" si="61"/>
        <v>0</v>
      </c>
      <c r="AK94" s="103"/>
      <c r="AL94" s="104"/>
      <c r="AM94" s="104"/>
      <c r="AN94" s="105"/>
      <c r="BF94" s="81"/>
      <c r="BG94" s="81">
        <v>45</v>
      </c>
      <c r="BH94" s="81">
        <v>0</v>
      </c>
      <c r="BI94" s="81">
        <v>270</v>
      </c>
      <c r="BJ94" s="81">
        <v>28</v>
      </c>
      <c r="BK94" s="81">
        <v>50</v>
      </c>
      <c r="BL94" s="81">
        <v>62</v>
      </c>
    </row>
    <row r="95" spans="1:64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0</v>
      </c>
      <c r="Y95" s="106">
        <v>0</v>
      </c>
      <c r="Z95" s="106">
        <v>0</v>
      </c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60"/>
        <v>0</v>
      </c>
      <c r="AI95" s="49">
        <f t="shared" si="61"/>
        <v>0</v>
      </c>
      <c r="BF95" s="81"/>
      <c r="BG95" s="81">
        <v>40</v>
      </c>
      <c r="BH95" s="81">
        <v>0</v>
      </c>
      <c r="BI95" s="81">
        <v>265</v>
      </c>
      <c r="BJ95" s="81">
        <v>43</v>
      </c>
      <c r="BK95" s="81">
        <v>96</v>
      </c>
      <c r="BL95" s="81">
        <v>67</v>
      </c>
    </row>
    <row r="96" spans="1:64" ht="15.75" thickBot="1" x14ac:dyDescent="0.3">
      <c r="A96" s="86" t="s">
        <v>122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100">
        <f>SUM(AG93:AG95)</f>
        <v>55.4</v>
      </c>
      <c r="AH96" s="48">
        <f t="shared" si="60"/>
        <v>0</v>
      </c>
      <c r="AI96" s="49">
        <f t="shared" si="61"/>
        <v>0</v>
      </c>
      <c r="BF96" s="81"/>
      <c r="BG96" s="81">
        <v>40.299999999999997</v>
      </c>
      <c r="BH96" s="81">
        <v>0</v>
      </c>
      <c r="BI96" s="81">
        <v>264</v>
      </c>
      <c r="BJ96" s="81">
        <v>38.6</v>
      </c>
      <c r="BK96" s="81">
        <v>105.7</v>
      </c>
      <c r="BL96" s="81">
        <v>62.7</v>
      </c>
    </row>
    <row r="97" spans="1:64" ht="15.75" thickBot="1" x14ac:dyDescent="0.3">
      <c r="A97" s="86" t="s">
        <v>123</v>
      </c>
      <c r="B97" s="107">
        <f t="shared" ref="B97:AG97" si="68">B58+B62+B80+B76+B92+B96</f>
        <v>1226.5900000000001</v>
      </c>
      <c r="C97" s="107">
        <f t="shared" si="68"/>
        <v>1146.3899999999999</v>
      </c>
      <c r="D97" s="107">
        <f t="shared" si="68"/>
        <v>1154.29</v>
      </c>
      <c r="E97" s="107">
        <f t="shared" si="68"/>
        <v>1158.19</v>
      </c>
      <c r="F97" s="107">
        <f t="shared" si="68"/>
        <v>1154.29</v>
      </c>
      <c r="G97" s="107">
        <f t="shared" si="68"/>
        <v>1168.99</v>
      </c>
      <c r="H97" s="107">
        <f t="shared" si="68"/>
        <v>1135.8900000000001</v>
      </c>
      <c r="I97" s="107">
        <f t="shared" si="68"/>
        <v>1203.99</v>
      </c>
      <c r="J97" s="107">
        <f t="shared" si="68"/>
        <v>1245.3899999999999</v>
      </c>
      <c r="K97" s="107">
        <f t="shared" si="68"/>
        <v>1209.5900000000001</v>
      </c>
      <c r="L97" s="107">
        <f t="shared" si="68"/>
        <v>1202.1399999999999</v>
      </c>
      <c r="M97" s="107">
        <f t="shared" si="68"/>
        <v>1236.29</v>
      </c>
      <c r="N97" s="107">
        <f t="shared" si="68"/>
        <v>1224.3900000000001</v>
      </c>
      <c r="O97" s="107">
        <f t="shared" si="68"/>
        <v>1180.5900000000001</v>
      </c>
      <c r="P97" s="107">
        <f t="shared" si="68"/>
        <v>1178.49</v>
      </c>
      <c r="Q97" s="107">
        <f t="shared" si="68"/>
        <v>1160.19</v>
      </c>
      <c r="R97" s="107">
        <f t="shared" si="68"/>
        <v>1143.5900000000001</v>
      </c>
      <c r="S97" s="107">
        <f t="shared" ref="S97:T97" si="69">S58+S62+S80+S76+S92+S96</f>
        <v>1080.79</v>
      </c>
      <c r="T97" s="107">
        <f t="shared" si="69"/>
        <v>1177.99</v>
      </c>
      <c r="U97" s="107">
        <f t="shared" ref="U97:V97" si="70">U58+U62+U80+U76+U92+U96</f>
        <v>1212.19</v>
      </c>
      <c r="V97" s="107">
        <f t="shared" si="70"/>
        <v>1182.0900000000001</v>
      </c>
      <c r="W97" s="107">
        <f t="shared" ref="W97:X97" si="71">W58+W62+W80+W76+W92+W96</f>
        <v>1252.3900000000001</v>
      </c>
      <c r="X97" s="107">
        <f t="shared" si="71"/>
        <v>1301.3900000000001</v>
      </c>
      <c r="Y97" s="107">
        <f t="shared" ref="Y97:Z97" si="72">Y58+Y62+Y80+Y76+Y92+Y96</f>
        <v>1452.69</v>
      </c>
      <c r="Z97" s="107">
        <f t="shared" si="72"/>
        <v>1488.19</v>
      </c>
      <c r="AA97" s="107">
        <f t="shared" ref="AA97" si="73">AA58+AA62+AA80+AA76+AA92+AA96</f>
        <v>1457.79</v>
      </c>
      <c r="AB97" s="107">
        <f t="shared" si="68"/>
        <v>1376.69</v>
      </c>
      <c r="AC97" s="107">
        <f t="shared" si="68"/>
        <v>1358.49</v>
      </c>
      <c r="AD97" s="107">
        <f t="shared" si="68"/>
        <v>1286.0900000000001</v>
      </c>
      <c r="AE97" s="107">
        <f t="shared" si="68"/>
        <v>1144.0899999999999</v>
      </c>
      <c r="AF97" s="107">
        <f t="shared" si="68"/>
        <v>1103.69</v>
      </c>
      <c r="AG97" s="71">
        <f t="shared" si="68"/>
        <v>2231.81</v>
      </c>
      <c r="AH97" s="48">
        <f t="shared" si="60"/>
        <v>1488.19</v>
      </c>
      <c r="AI97" s="49">
        <f t="shared" si="61"/>
        <v>1080.79</v>
      </c>
      <c r="BF97" s="81"/>
      <c r="BG97" s="81">
        <v>46.2</v>
      </c>
      <c r="BH97" s="81">
        <v>0</v>
      </c>
      <c r="BI97" s="81">
        <v>263</v>
      </c>
      <c r="BJ97" s="81">
        <v>38</v>
      </c>
      <c r="BK97" s="81">
        <v>85.2</v>
      </c>
      <c r="BL97" s="81">
        <v>62.2</v>
      </c>
    </row>
    <row r="98" spans="1:64" ht="15.75" thickBot="1" x14ac:dyDescent="0.3">
      <c r="A98" s="108" t="s">
        <v>124</v>
      </c>
      <c r="B98" s="109"/>
      <c r="C98" s="109"/>
      <c r="D98" s="109"/>
      <c r="E98" s="109"/>
      <c r="F98" s="109"/>
      <c r="G98" s="109"/>
      <c r="H98" s="109">
        <v>80</v>
      </c>
      <c r="I98" s="109">
        <v>80</v>
      </c>
      <c r="J98" s="109">
        <v>80</v>
      </c>
      <c r="K98" s="109">
        <v>250</v>
      </c>
      <c r="L98" s="109">
        <v>275</v>
      </c>
      <c r="M98" s="109">
        <v>250</v>
      </c>
      <c r="N98" s="109">
        <v>180</v>
      </c>
      <c r="O98" s="109">
        <v>180</v>
      </c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0"/>
      <c r="AH98" s="48">
        <f t="shared" si="60"/>
        <v>275</v>
      </c>
      <c r="AI98" s="49">
        <f t="shared" si="61"/>
        <v>80</v>
      </c>
      <c r="BF98" s="81"/>
      <c r="BG98" s="81">
        <v>51.7</v>
      </c>
      <c r="BH98" s="81">
        <v>0</v>
      </c>
      <c r="BI98" s="81">
        <v>336.3</v>
      </c>
      <c r="BJ98" s="81">
        <v>36.4</v>
      </c>
      <c r="BK98" s="81">
        <v>100.6</v>
      </c>
      <c r="BL98" s="81">
        <v>65</v>
      </c>
    </row>
    <row r="99" spans="1:64" ht="15.75" thickBot="1" x14ac:dyDescent="0.3">
      <c r="A99" s="86" t="s">
        <v>125</v>
      </c>
      <c r="B99" s="107">
        <f t="shared" ref="B99:AF99" si="74">B97+B98</f>
        <v>1226.5900000000001</v>
      </c>
      <c r="C99" s="107">
        <f t="shared" si="74"/>
        <v>1146.3899999999999</v>
      </c>
      <c r="D99" s="107">
        <f t="shared" si="74"/>
        <v>1154.29</v>
      </c>
      <c r="E99" s="107">
        <f t="shared" si="74"/>
        <v>1158.19</v>
      </c>
      <c r="F99" s="107">
        <f t="shared" si="74"/>
        <v>1154.29</v>
      </c>
      <c r="G99" s="107">
        <f t="shared" si="74"/>
        <v>1168.99</v>
      </c>
      <c r="H99" s="107">
        <f t="shared" si="74"/>
        <v>1215.8900000000001</v>
      </c>
      <c r="I99" s="107">
        <f t="shared" si="74"/>
        <v>1283.99</v>
      </c>
      <c r="J99" s="107">
        <f t="shared" si="74"/>
        <v>1325.3899999999999</v>
      </c>
      <c r="K99" s="107">
        <f t="shared" si="74"/>
        <v>1459.5900000000001</v>
      </c>
      <c r="L99" s="107">
        <f t="shared" si="74"/>
        <v>1477.1399999999999</v>
      </c>
      <c r="M99" s="107">
        <f t="shared" si="74"/>
        <v>1486.29</v>
      </c>
      <c r="N99" s="107">
        <f t="shared" si="74"/>
        <v>1404.39</v>
      </c>
      <c r="O99" s="107">
        <f t="shared" si="74"/>
        <v>1360.5900000000001</v>
      </c>
      <c r="P99" s="107">
        <f t="shared" si="74"/>
        <v>1178.49</v>
      </c>
      <c r="Q99" s="107">
        <f t="shared" si="74"/>
        <v>1160.19</v>
      </c>
      <c r="R99" s="107">
        <f t="shared" si="74"/>
        <v>1143.5900000000001</v>
      </c>
      <c r="S99" s="107">
        <f t="shared" ref="S99:T99" si="75">S97+S98</f>
        <v>1080.79</v>
      </c>
      <c r="T99" s="107">
        <f t="shared" si="75"/>
        <v>1177.99</v>
      </c>
      <c r="U99" s="107">
        <f t="shared" ref="U99:V99" si="76">U97+U98</f>
        <v>1212.19</v>
      </c>
      <c r="V99" s="107">
        <f t="shared" si="76"/>
        <v>1182.0900000000001</v>
      </c>
      <c r="W99" s="107">
        <f t="shared" ref="W99:X99" si="77">W97+W98</f>
        <v>1252.3900000000001</v>
      </c>
      <c r="X99" s="107">
        <f t="shared" si="77"/>
        <v>1301.3900000000001</v>
      </c>
      <c r="Y99" s="107">
        <f t="shared" ref="Y99:Z99" si="78">Y97+Y98</f>
        <v>1452.69</v>
      </c>
      <c r="Z99" s="107">
        <f t="shared" si="78"/>
        <v>1488.19</v>
      </c>
      <c r="AA99" s="107">
        <f t="shared" ref="AA99" si="79">AA97+AA98</f>
        <v>1457.79</v>
      </c>
      <c r="AB99" s="107">
        <f t="shared" si="74"/>
        <v>1376.69</v>
      </c>
      <c r="AC99" s="107">
        <f t="shared" si="74"/>
        <v>1358.49</v>
      </c>
      <c r="AD99" s="107">
        <f t="shared" si="74"/>
        <v>1286.0900000000001</v>
      </c>
      <c r="AE99" s="107">
        <f t="shared" si="74"/>
        <v>1144.0899999999999</v>
      </c>
      <c r="AF99" s="107">
        <f t="shared" si="74"/>
        <v>1103.69</v>
      </c>
      <c r="AG99" s="100">
        <f>AG96+AG92+AG80+AG76+AG58+AG98</f>
        <v>1693.71</v>
      </c>
      <c r="AH99" s="48">
        <f t="shared" si="60"/>
        <v>1488.19</v>
      </c>
      <c r="AI99" s="49">
        <f t="shared" si="61"/>
        <v>1080.79</v>
      </c>
      <c r="BF99" s="81"/>
      <c r="BG99" s="81">
        <v>60</v>
      </c>
      <c r="BH99" s="81">
        <v>0</v>
      </c>
      <c r="BI99" s="81">
        <v>261.60000000000002</v>
      </c>
      <c r="BJ99" s="81">
        <v>38.700000000000003</v>
      </c>
      <c r="BK99" s="81">
        <v>14.5</v>
      </c>
      <c r="BL99" s="81">
        <v>74.900000000000006</v>
      </c>
    </row>
    <row r="100" spans="1:64" ht="15.75" thickBot="1" x14ac:dyDescent="0.3">
      <c r="A100" s="86" t="s">
        <v>126</v>
      </c>
      <c r="B100" s="107">
        <f t="shared" ref="B100:M100" si="80">B99-(B107)</f>
        <v>1226.5900000000001</v>
      </c>
      <c r="C100" s="107">
        <f t="shared" si="80"/>
        <v>1146.3899999999999</v>
      </c>
      <c r="D100" s="107">
        <f t="shared" si="80"/>
        <v>1154.29</v>
      </c>
      <c r="E100" s="107">
        <f t="shared" si="80"/>
        <v>1158.19</v>
      </c>
      <c r="F100" s="107">
        <f t="shared" si="80"/>
        <v>1154.29</v>
      </c>
      <c r="G100" s="107">
        <f t="shared" si="80"/>
        <v>1168.99</v>
      </c>
      <c r="H100" s="107">
        <f t="shared" si="80"/>
        <v>1215.8900000000001</v>
      </c>
      <c r="I100" s="107">
        <f t="shared" si="80"/>
        <v>1283.99</v>
      </c>
      <c r="J100" s="107">
        <f t="shared" si="80"/>
        <v>1325.3899999999999</v>
      </c>
      <c r="K100" s="107">
        <f t="shared" si="80"/>
        <v>1459.5900000000001</v>
      </c>
      <c r="L100" s="107">
        <f t="shared" si="80"/>
        <v>1477.1399999999999</v>
      </c>
      <c r="M100" s="107">
        <f t="shared" si="80"/>
        <v>1486.29</v>
      </c>
      <c r="N100" s="107">
        <f>N99-(N107)</f>
        <v>1404.39</v>
      </c>
      <c r="O100" s="107">
        <f t="shared" ref="O100:AF100" si="81">O99-(O107)</f>
        <v>1360.5900000000001</v>
      </c>
      <c r="P100" s="107">
        <f t="shared" si="81"/>
        <v>1178.49</v>
      </c>
      <c r="Q100" s="107">
        <f t="shared" si="81"/>
        <v>1160.19</v>
      </c>
      <c r="R100" s="107">
        <f t="shared" si="81"/>
        <v>1143.5900000000001</v>
      </c>
      <c r="S100" s="107">
        <f t="shared" ref="S100:T100" si="82">S99-(S107)</f>
        <v>1080.79</v>
      </c>
      <c r="T100" s="107">
        <f t="shared" si="82"/>
        <v>1177.99</v>
      </c>
      <c r="U100" s="107">
        <f t="shared" ref="U100:V100" si="83">U99-(U107)</f>
        <v>1212.19</v>
      </c>
      <c r="V100" s="107">
        <f t="shared" si="83"/>
        <v>1182.0900000000001</v>
      </c>
      <c r="W100" s="107">
        <f t="shared" ref="W100:X100" si="84">W99-(W107)</f>
        <v>1252.3900000000001</v>
      </c>
      <c r="X100" s="107">
        <f t="shared" si="84"/>
        <v>1301.3900000000001</v>
      </c>
      <c r="Y100" s="107">
        <f t="shared" ref="Y100:Z100" si="85">Y99-(Y107)</f>
        <v>1452.69</v>
      </c>
      <c r="Z100" s="107">
        <f t="shared" si="85"/>
        <v>1488.19</v>
      </c>
      <c r="AA100" s="107">
        <f t="shared" ref="AA100" si="86">AA99-(AA107)</f>
        <v>1457.79</v>
      </c>
      <c r="AB100" s="107">
        <f t="shared" si="81"/>
        <v>1376.69</v>
      </c>
      <c r="AC100" s="107">
        <f t="shared" si="81"/>
        <v>1358.49</v>
      </c>
      <c r="AD100" s="107">
        <f t="shared" si="81"/>
        <v>1286.0900000000001</v>
      </c>
      <c r="AE100" s="107">
        <f t="shared" si="81"/>
        <v>1144.0899999999999</v>
      </c>
      <c r="AF100" s="107">
        <f t="shared" si="81"/>
        <v>1103.69</v>
      </c>
      <c r="AG100" s="100"/>
      <c r="AH100" s="48">
        <f t="shared" si="60"/>
        <v>1488.19</v>
      </c>
      <c r="AI100" s="49">
        <f t="shared" si="61"/>
        <v>1080.79</v>
      </c>
      <c r="BF100" s="81"/>
      <c r="BG100" s="81">
        <v>45.1</v>
      </c>
      <c r="BH100" s="81">
        <v>0</v>
      </c>
      <c r="BI100" s="81">
        <v>262.2</v>
      </c>
      <c r="BJ100" s="81">
        <v>34.6</v>
      </c>
      <c r="BK100" s="81">
        <v>14.8</v>
      </c>
      <c r="BL100" s="81">
        <v>69</v>
      </c>
    </row>
    <row r="101" spans="1:64" x14ac:dyDescent="0.25">
      <c r="A101" s="45" t="s">
        <v>107</v>
      </c>
      <c r="B101" s="88">
        <f t="shared" ref="B101:AF101" si="87">IF(B84&lt;0,B84*-1,0)</f>
        <v>0</v>
      </c>
      <c r="C101" s="88">
        <f t="shared" si="87"/>
        <v>0</v>
      </c>
      <c r="D101" s="88">
        <f t="shared" si="87"/>
        <v>0</v>
      </c>
      <c r="E101" s="88">
        <f t="shared" si="87"/>
        <v>0</v>
      </c>
      <c r="F101" s="88">
        <f t="shared" si="87"/>
        <v>0</v>
      </c>
      <c r="G101" s="88">
        <f t="shared" si="87"/>
        <v>0</v>
      </c>
      <c r="H101" s="88">
        <f t="shared" si="87"/>
        <v>0</v>
      </c>
      <c r="I101" s="88">
        <f t="shared" si="87"/>
        <v>0</v>
      </c>
      <c r="J101" s="88">
        <f t="shared" si="87"/>
        <v>0</v>
      </c>
      <c r="K101" s="88">
        <f t="shared" si="87"/>
        <v>0</v>
      </c>
      <c r="L101" s="88">
        <f t="shared" si="87"/>
        <v>0</v>
      </c>
      <c r="M101" s="88">
        <f t="shared" si="87"/>
        <v>0</v>
      </c>
      <c r="N101" s="88">
        <f t="shared" si="87"/>
        <v>0</v>
      </c>
      <c r="O101" s="88">
        <f t="shared" si="87"/>
        <v>0</v>
      </c>
      <c r="P101" s="88">
        <f t="shared" si="87"/>
        <v>0</v>
      </c>
      <c r="Q101" s="88">
        <f t="shared" si="87"/>
        <v>0</v>
      </c>
      <c r="R101" s="88">
        <f t="shared" si="87"/>
        <v>0</v>
      </c>
      <c r="S101" s="88">
        <f t="shared" ref="S101:T101" si="88">IF(S84&lt;0,S84*-1,0)</f>
        <v>0</v>
      </c>
      <c r="T101" s="88">
        <f t="shared" si="88"/>
        <v>0</v>
      </c>
      <c r="U101" s="88">
        <f t="shared" ref="U101:V101" si="89">IF(U84&lt;0,U84*-1,0)</f>
        <v>0</v>
      </c>
      <c r="V101" s="88">
        <f t="shared" si="89"/>
        <v>0</v>
      </c>
      <c r="W101" s="88">
        <f t="shared" ref="W101:X101" si="90">IF(W84&lt;0,W84*-1,0)</f>
        <v>0</v>
      </c>
      <c r="X101" s="88">
        <f t="shared" si="90"/>
        <v>0</v>
      </c>
      <c r="Y101" s="88">
        <f t="shared" ref="Y101:Z101" si="91">IF(Y84&lt;0,Y84*-1,0)</f>
        <v>0</v>
      </c>
      <c r="Z101" s="88">
        <f t="shared" si="91"/>
        <v>0</v>
      </c>
      <c r="AA101" s="88">
        <f t="shared" ref="AA101" si="92">IF(AA84&lt;0,AA84*-1,0)</f>
        <v>0</v>
      </c>
      <c r="AB101" s="88">
        <f t="shared" si="87"/>
        <v>0</v>
      </c>
      <c r="AC101" s="88">
        <f t="shared" si="87"/>
        <v>0</v>
      </c>
      <c r="AD101" s="88">
        <f t="shared" si="87"/>
        <v>0</v>
      </c>
      <c r="AE101" s="88">
        <f t="shared" si="87"/>
        <v>0</v>
      </c>
      <c r="AF101" s="88">
        <f t="shared" si="87"/>
        <v>0</v>
      </c>
      <c r="AG101" s="60"/>
      <c r="AH101" s="48">
        <f t="shared" si="60"/>
        <v>0</v>
      </c>
      <c r="AI101" s="49">
        <f t="shared" si="61"/>
        <v>0</v>
      </c>
      <c r="BF101" s="80"/>
      <c r="BG101" s="81">
        <v>39.700000000000003</v>
      </c>
      <c r="BH101" s="81">
        <v>0</v>
      </c>
      <c r="BI101" s="81">
        <v>193.2</v>
      </c>
      <c r="BJ101" s="81">
        <v>38.299999999999997</v>
      </c>
      <c r="BK101" s="81">
        <v>71.7</v>
      </c>
      <c r="BL101" s="81">
        <v>67.5</v>
      </c>
    </row>
    <row r="102" spans="1:64" x14ac:dyDescent="0.25">
      <c r="A102" s="64" t="s">
        <v>105</v>
      </c>
      <c r="B102" s="88">
        <f t="shared" ref="B102:AF102" si="93">IF(B82&lt;0,B82*-1,0)</f>
        <v>0</v>
      </c>
      <c r="C102" s="88">
        <f t="shared" si="93"/>
        <v>0</v>
      </c>
      <c r="D102" s="88">
        <f t="shared" si="93"/>
        <v>0</v>
      </c>
      <c r="E102" s="88">
        <f t="shared" si="93"/>
        <v>0</v>
      </c>
      <c r="F102" s="88">
        <f t="shared" si="93"/>
        <v>0</v>
      </c>
      <c r="G102" s="88">
        <f t="shared" si="93"/>
        <v>0</v>
      </c>
      <c r="H102" s="88">
        <f t="shared" si="93"/>
        <v>0</v>
      </c>
      <c r="I102" s="88">
        <f t="shared" si="93"/>
        <v>0</v>
      </c>
      <c r="J102" s="88">
        <f t="shared" si="93"/>
        <v>0</v>
      </c>
      <c r="K102" s="88">
        <f t="shared" si="93"/>
        <v>0</v>
      </c>
      <c r="L102" s="88">
        <f t="shared" si="93"/>
        <v>0</v>
      </c>
      <c r="M102" s="88">
        <f t="shared" si="93"/>
        <v>0</v>
      </c>
      <c r="N102" s="88">
        <f t="shared" si="93"/>
        <v>0</v>
      </c>
      <c r="O102" s="88">
        <f t="shared" si="93"/>
        <v>0</v>
      </c>
      <c r="P102" s="88">
        <f t="shared" si="93"/>
        <v>0</v>
      </c>
      <c r="Q102" s="88">
        <f t="shared" si="93"/>
        <v>0</v>
      </c>
      <c r="R102" s="88">
        <f t="shared" si="93"/>
        <v>0</v>
      </c>
      <c r="S102" s="88">
        <f t="shared" ref="S102:T102" si="94">IF(S82&lt;0,S82*-1,0)</f>
        <v>0</v>
      </c>
      <c r="T102" s="88">
        <f t="shared" si="94"/>
        <v>0</v>
      </c>
      <c r="U102" s="88">
        <f t="shared" ref="U102:V102" si="95">IF(U82&lt;0,U82*-1,0)</f>
        <v>0</v>
      </c>
      <c r="V102" s="88">
        <f t="shared" si="95"/>
        <v>0</v>
      </c>
      <c r="W102" s="88">
        <f t="shared" ref="W102:X102" si="96">IF(W82&lt;0,W82*-1,0)</f>
        <v>0</v>
      </c>
      <c r="X102" s="88">
        <f t="shared" si="96"/>
        <v>0</v>
      </c>
      <c r="Y102" s="88">
        <f t="shared" ref="Y102:Z102" si="97">IF(Y82&lt;0,Y82*-1,0)</f>
        <v>0</v>
      </c>
      <c r="Z102" s="88">
        <f t="shared" si="97"/>
        <v>0</v>
      </c>
      <c r="AA102" s="88">
        <f t="shared" ref="AA102" si="98">IF(AA82&lt;0,AA82*-1,0)</f>
        <v>0</v>
      </c>
      <c r="AB102" s="88">
        <f t="shared" si="93"/>
        <v>0</v>
      </c>
      <c r="AC102" s="88">
        <f t="shared" si="93"/>
        <v>0</v>
      </c>
      <c r="AD102" s="88">
        <f t="shared" si="93"/>
        <v>0</v>
      </c>
      <c r="AE102" s="88">
        <f t="shared" si="93"/>
        <v>0</v>
      </c>
      <c r="AF102" s="88">
        <f t="shared" si="93"/>
        <v>0</v>
      </c>
      <c r="AG102" s="65"/>
      <c r="AH102" s="48">
        <f t="shared" si="60"/>
        <v>0</v>
      </c>
      <c r="AI102" s="49">
        <f t="shared" si="61"/>
        <v>0</v>
      </c>
      <c r="BF102" s="80"/>
      <c r="BG102" s="81">
        <v>54.2</v>
      </c>
      <c r="BH102" s="81">
        <v>0</v>
      </c>
      <c r="BI102" s="81">
        <v>204</v>
      </c>
      <c r="BJ102" s="81">
        <v>36</v>
      </c>
      <c r="BK102" s="81">
        <v>83.2</v>
      </c>
      <c r="BL102" s="81">
        <v>66.5</v>
      </c>
    </row>
    <row r="103" spans="1:64" x14ac:dyDescent="0.25">
      <c r="A103" s="96" t="s">
        <v>127</v>
      </c>
      <c r="B103" s="88">
        <f t="shared" ref="B103:AF103" si="99">IF(B85&lt;0,B85*-1,0)</f>
        <v>0</v>
      </c>
      <c r="C103" s="88">
        <f t="shared" si="99"/>
        <v>0</v>
      </c>
      <c r="D103" s="88">
        <f t="shared" si="99"/>
        <v>0</v>
      </c>
      <c r="E103" s="88">
        <f t="shared" si="99"/>
        <v>0</v>
      </c>
      <c r="F103" s="88">
        <f t="shared" si="99"/>
        <v>0</v>
      </c>
      <c r="G103" s="88">
        <f t="shared" si="99"/>
        <v>0</v>
      </c>
      <c r="H103" s="88">
        <f t="shared" si="99"/>
        <v>0</v>
      </c>
      <c r="I103" s="88">
        <f t="shared" si="99"/>
        <v>0</v>
      </c>
      <c r="J103" s="88">
        <f t="shared" si="99"/>
        <v>0</v>
      </c>
      <c r="K103" s="88">
        <f t="shared" si="99"/>
        <v>0</v>
      </c>
      <c r="L103" s="88">
        <f t="shared" si="99"/>
        <v>0</v>
      </c>
      <c r="M103" s="88">
        <f t="shared" si="99"/>
        <v>0</v>
      </c>
      <c r="N103" s="88">
        <f t="shared" si="99"/>
        <v>0</v>
      </c>
      <c r="O103" s="88">
        <f t="shared" si="99"/>
        <v>0</v>
      </c>
      <c r="P103" s="88">
        <f t="shared" si="99"/>
        <v>0</v>
      </c>
      <c r="Q103" s="88">
        <f t="shared" si="99"/>
        <v>0</v>
      </c>
      <c r="R103" s="88">
        <f t="shared" si="99"/>
        <v>0</v>
      </c>
      <c r="S103" s="88">
        <f t="shared" ref="S103:T103" si="100">IF(S85&lt;0,S85*-1,0)</f>
        <v>0</v>
      </c>
      <c r="T103" s="88">
        <f t="shared" si="100"/>
        <v>0</v>
      </c>
      <c r="U103" s="88">
        <f t="shared" ref="U103:V103" si="101">IF(U85&lt;0,U85*-1,0)</f>
        <v>0</v>
      </c>
      <c r="V103" s="88">
        <f t="shared" si="101"/>
        <v>0</v>
      </c>
      <c r="W103" s="88">
        <f t="shared" ref="W103:X103" si="102">IF(W85&lt;0,W85*-1,0)</f>
        <v>0</v>
      </c>
      <c r="X103" s="88">
        <f t="shared" si="102"/>
        <v>0</v>
      </c>
      <c r="Y103" s="88">
        <f t="shared" ref="Y103:Z103" si="103">IF(Y85&lt;0,Y85*-1,0)</f>
        <v>0</v>
      </c>
      <c r="Z103" s="88">
        <f t="shared" si="103"/>
        <v>0</v>
      </c>
      <c r="AA103" s="88">
        <f t="shared" ref="AA103" si="104">IF(AA85&lt;0,AA85*-1,0)</f>
        <v>0</v>
      </c>
      <c r="AB103" s="88">
        <f t="shared" si="99"/>
        <v>0</v>
      </c>
      <c r="AC103" s="88">
        <f t="shared" si="99"/>
        <v>0</v>
      </c>
      <c r="AD103" s="88">
        <f t="shared" si="99"/>
        <v>0</v>
      </c>
      <c r="AE103" s="88">
        <f t="shared" si="99"/>
        <v>0</v>
      </c>
      <c r="AF103" s="88">
        <f t="shared" si="99"/>
        <v>0</v>
      </c>
      <c r="AG103" s="110"/>
      <c r="AH103" s="48">
        <f t="shared" si="60"/>
        <v>0</v>
      </c>
      <c r="AI103" s="49">
        <f t="shared" si="61"/>
        <v>0</v>
      </c>
      <c r="BF103" s="80"/>
      <c r="BG103" s="81">
        <v>46.1</v>
      </c>
      <c r="BH103" s="81">
        <v>0</v>
      </c>
      <c r="BI103" s="81">
        <v>147.69999999999999</v>
      </c>
      <c r="BJ103" s="81">
        <v>31.6</v>
      </c>
      <c r="BK103" s="81">
        <v>0</v>
      </c>
      <c r="BL103" s="81">
        <v>0</v>
      </c>
    </row>
    <row r="104" spans="1:64" x14ac:dyDescent="0.25">
      <c r="A104" s="96" t="s">
        <v>128</v>
      </c>
      <c r="B104" s="88">
        <f t="shared" ref="B104:AF104" si="105">IF(B83&lt;0,B83*-1,0)</f>
        <v>0</v>
      </c>
      <c r="C104" s="88">
        <f t="shared" si="105"/>
        <v>0</v>
      </c>
      <c r="D104" s="88">
        <f t="shared" si="105"/>
        <v>0</v>
      </c>
      <c r="E104" s="88">
        <f t="shared" si="105"/>
        <v>0</v>
      </c>
      <c r="F104" s="88">
        <f t="shared" si="105"/>
        <v>0</v>
      </c>
      <c r="G104" s="88">
        <f t="shared" si="105"/>
        <v>0</v>
      </c>
      <c r="H104" s="88">
        <f t="shared" si="105"/>
        <v>0</v>
      </c>
      <c r="I104" s="88">
        <f t="shared" si="105"/>
        <v>0</v>
      </c>
      <c r="J104" s="88">
        <f t="shared" si="105"/>
        <v>0</v>
      </c>
      <c r="K104" s="88">
        <f t="shared" si="105"/>
        <v>0</v>
      </c>
      <c r="L104" s="88">
        <f t="shared" si="105"/>
        <v>0</v>
      </c>
      <c r="M104" s="88">
        <f t="shared" si="105"/>
        <v>0</v>
      </c>
      <c r="N104" s="88">
        <f t="shared" si="105"/>
        <v>0</v>
      </c>
      <c r="O104" s="88">
        <f t="shared" si="105"/>
        <v>0</v>
      </c>
      <c r="P104" s="88">
        <f t="shared" si="105"/>
        <v>0</v>
      </c>
      <c r="Q104" s="88">
        <f t="shared" si="105"/>
        <v>0</v>
      </c>
      <c r="R104" s="88">
        <f t="shared" si="105"/>
        <v>0</v>
      </c>
      <c r="S104" s="88">
        <f t="shared" ref="S104:T104" si="106">IF(S83&lt;0,S83*-1,0)</f>
        <v>0</v>
      </c>
      <c r="T104" s="88">
        <f t="shared" si="106"/>
        <v>0</v>
      </c>
      <c r="U104" s="88">
        <f t="shared" ref="U104:V104" si="107">IF(U83&lt;0,U83*-1,0)</f>
        <v>0</v>
      </c>
      <c r="V104" s="88">
        <f t="shared" si="107"/>
        <v>0</v>
      </c>
      <c r="W104" s="88">
        <f t="shared" ref="W104:X104" si="108">IF(W83&lt;0,W83*-1,0)</f>
        <v>0</v>
      </c>
      <c r="X104" s="88">
        <f t="shared" si="108"/>
        <v>0</v>
      </c>
      <c r="Y104" s="88">
        <f t="shared" ref="Y104:Z104" si="109">IF(Y83&lt;0,Y83*-1,0)</f>
        <v>0</v>
      </c>
      <c r="Z104" s="88">
        <f t="shared" si="109"/>
        <v>0</v>
      </c>
      <c r="AA104" s="88">
        <f t="shared" ref="AA104" si="110">IF(AA83&lt;0,AA83*-1,0)</f>
        <v>0</v>
      </c>
      <c r="AB104" s="88">
        <f t="shared" si="105"/>
        <v>0</v>
      </c>
      <c r="AC104" s="88">
        <f t="shared" si="105"/>
        <v>0</v>
      </c>
      <c r="AD104" s="88">
        <f t="shared" si="105"/>
        <v>0</v>
      </c>
      <c r="AE104" s="88">
        <f t="shared" si="105"/>
        <v>0</v>
      </c>
      <c r="AF104" s="88">
        <f t="shared" si="105"/>
        <v>0</v>
      </c>
      <c r="AG104" s="110"/>
      <c r="AH104" s="48">
        <f t="shared" si="60"/>
        <v>0</v>
      </c>
      <c r="AI104" s="49">
        <f t="shared" si="61"/>
        <v>0</v>
      </c>
      <c r="BF104" s="80"/>
      <c r="BG104" s="81">
        <v>50.1</v>
      </c>
      <c r="BH104" s="81">
        <v>0</v>
      </c>
      <c r="BI104" s="81">
        <v>260.10000000000002</v>
      </c>
      <c r="BJ104" s="81">
        <v>29.7</v>
      </c>
      <c r="BK104" s="81">
        <v>0</v>
      </c>
      <c r="BL104" s="81">
        <v>0</v>
      </c>
    </row>
    <row r="105" spans="1:64" x14ac:dyDescent="0.25">
      <c r="A105" s="96" t="s">
        <v>104</v>
      </c>
      <c r="B105" s="88">
        <f t="shared" ref="B105:AF105" si="111">IF(B81&lt;0,B81*-1,0)</f>
        <v>0</v>
      </c>
      <c r="C105" s="88">
        <f t="shared" si="111"/>
        <v>0</v>
      </c>
      <c r="D105" s="88">
        <f t="shared" si="111"/>
        <v>0</v>
      </c>
      <c r="E105" s="88">
        <f t="shared" si="111"/>
        <v>0</v>
      </c>
      <c r="F105" s="88">
        <f t="shared" si="111"/>
        <v>0</v>
      </c>
      <c r="G105" s="88">
        <f t="shared" si="111"/>
        <v>0</v>
      </c>
      <c r="H105" s="88">
        <f t="shared" si="111"/>
        <v>0</v>
      </c>
      <c r="I105" s="88">
        <f t="shared" si="111"/>
        <v>0</v>
      </c>
      <c r="J105" s="88">
        <f t="shared" si="111"/>
        <v>0</v>
      </c>
      <c r="K105" s="88">
        <f t="shared" si="111"/>
        <v>0</v>
      </c>
      <c r="L105" s="88">
        <f t="shared" si="111"/>
        <v>0</v>
      </c>
      <c r="M105" s="88">
        <f t="shared" si="111"/>
        <v>0</v>
      </c>
      <c r="N105" s="88">
        <f t="shared" si="111"/>
        <v>0</v>
      </c>
      <c r="O105" s="88">
        <f t="shared" si="111"/>
        <v>0</v>
      </c>
      <c r="P105" s="88">
        <f t="shared" si="111"/>
        <v>0</v>
      </c>
      <c r="Q105" s="88">
        <f t="shared" si="111"/>
        <v>0</v>
      </c>
      <c r="R105" s="88">
        <f t="shared" si="111"/>
        <v>0</v>
      </c>
      <c r="S105" s="88">
        <f t="shared" ref="S105:T105" si="112">IF(S81&lt;0,S81*-1,0)</f>
        <v>0</v>
      </c>
      <c r="T105" s="88">
        <f t="shared" si="112"/>
        <v>0</v>
      </c>
      <c r="U105" s="88">
        <f t="shared" ref="U105:V105" si="113">IF(U81&lt;0,U81*-1,0)</f>
        <v>0</v>
      </c>
      <c r="V105" s="88">
        <f t="shared" si="113"/>
        <v>0</v>
      </c>
      <c r="W105" s="88">
        <f t="shared" ref="W105:X105" si="114">IF(W81&lt;0,W81*-1,0)</f>
        <v>0</v>
      </c>
      <c r="X105" s="88">
        <f t="shared" si="114"/>
        <v>0</v>
      </c>
      <c r="Y105" s="88">
        <f t="shared" ref="Y105:Z105" si="115">IF(Y81&lt;0,Y81*-1,0)</f>
        <v>0</v>
      </c>
      <c r="Z105" s="88">
        <f t="shared" si="115"/>
        <v>0</v>
      </c>
      <c r="AA105" s="88">
        <f t="shared" ref="AA105" si="116">IF(AA81&lt;0,AA81*-1,0)</f>
        <v>0</v>
      </c>
      <c r="AB105" s="88">
        <f t="shared" si="111"/>
        <v>0</v>
      </c>
      <c r="AC105" s="88">
        <f t="shared" si="111"/>
        <v>0</v>
      </c>
      <c r="AD105" s="88">
        <f t="shared" si="111"/>
        <v>0</v>
      </c>
      <c r="AE105" s="88">
        <f t="shared" si="111"/>
        <v>0</v>
      </c>
      <c r="AF105" s="88">
        <f t="shared" si="111"/>
        <v>0</v>
      </c>
      <c r="AG105" s="110"/>
      <c r="AH105" s="48">
        <f t="shared" si="60"/>
        <v>0</v>
      </c>
      <c r="AI105" s="49">
        <f t="shared" si="61"/>
        <v>0</v>
      </c>
      <c r="BF105" s="80"/>
      <c r="BG105" s="81">
        <v>66</v>
      </c>
      <c r="BH105" s="81">
        <v>0</v>
      </c>
      <c r="BI105" s="81">
        <v>338.8</v>
      </c>
      <c r="BJ105" s="81">
        <v>29.9</v>
      </c>
      <c r="BK105" s="81">
        <v>0</v>
      </c>
      <c r="BL105" s="81">
        <v>0</v>
      </c>
    </row>
    <row r="106" spans="1:64" ht="15.75" thickBot="1" x14ac:dyDescent="0.3">
      <c r="A106" s="96" t="s">
        <v>129</v>
      </c>
      <c r="B106" s="106">
        <v>0</v>
      </c>
      <c r="C106" s="106">
        <v>0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0</v>
      </c>
      <c r="Y106" s="106">
        <v>0</v>
      </c>
      <c r="Z106" s="106">
        <v>0</v>
      </c>
      <c r="AA106" s="106">
        <v>0</v>
      </c>
      <c r="AB106" s="106">
        <v>0</v>
      </c>
      <c r="AC106" s="106">
        <v>0</v>
      </c>
      <c r="AD106" s="106">
        <v>0</v>
      </c>
      <c r="AE106" s="106">
        <v>0</v>
      </c>
      <c r="AF106" s="106">
        <v>0</v>
      </c>
      <c r="AG106" s="97"/>
      <c r="AH106" s="48">
        <f t="shared" si="60"/>
        <v>0</v>
      </c>
      <c r="AI106" s="49">
        <f t="shared" si="61"/>
        <v>0</v>
      </c>
      <c r="BG106" s="81">
        <v>57.1</v>
      </c>
      <c r="BH106" s="81">
        <v>0</v>
      </c>
      <c r="BI106" s="81">
        <v>306.5</v>
      </c>
      <c r="BJ106" s="81">
        <v>40.5</v>
      </c>
      <c r="BK106" s="81">
        <v>0</v>
      </c>
      <c r="BL106" s="81">
        <v>0</v>
      </c>
    </row>
    <row r="107" spans="1:64" ht="15.75" thickBot="1" x14ac:dyDescent="0.3">
      <c r="A107" s="111" t="s">
        <v>130</v>
      </c>
      <c r="B107" s="70">
        <f t="shared" ref="B107:C107" si="117">SUM(B101:B106)</f>
        <v>0</v>
      </c>
      <c r="C107" s="70">
        <f t="shared" si="117"/>
        <v>0</v>
      </c>
      <c r="D107" s="70">
        <f t="shared" ref="D107:AF107" si="118">SUM(D101:D106)</f>
        <v>0</v>
      </c>
      <c r="E107" s="70">
        <f t="shared" si="118"/>
        <v>0</v>
      </c>
      <c r="F107" s="70">
        <f t="shared" si="118"/>
        <v>0</v>
      </c>
      <c r="G107" s="70">
        <f t="shared" si="118"/>
        <v>0</v>
      </c>
      <c r="H107" s="70">
        <f t="shared" si="118"/>
        <v>0</v>
      </c>
      <c r="I107" s="70">
        <f t="shared" si="118"/>
        <v>0</v>
      </c>
      <c r="J107" s="70">
        <f t="shared" si="118"/>
        <v>0</v>
      </c>
      <c r="K107" s="70">
        <f t="shared" si="118"/>
        <v>0</v>
      </c>
      <c r="L107" s="70">
        <f t="shared" si="118"/>
        <v>0</v>
      </c>
      <c r="M107" s="70">
        <f t="shared" si="118"/>
        <v>0</v>
      </c>
      <c r="N107" s="70">
        <f t="shared" si="118"/>
        <v>0</v>
      </c>
      <c r="O107" s="70">
        <f t="shared" si="118"/>
        <v>0</v>
      </c>
      <c r="P107" s="70">
        <f t="shared" si="118"/>
        <v>0</v>
      </c>
      <c r="Q107" s="70">
        <f t="shared" si="118"/>
        <v>0</v>
      </c>
      <c r="R107" s="70">
        <f t="shared" si="118"/>
        <v>0</v>
      </c>
      <c r="S107" s="70">
        <f t="shared" ref="S107:T107" si="119">SUM(S101:S106)</f>
        <v>0</v>
      </c>
      <c r="T107" s="70">
        <f t="shared" si="119"/>
        <v>0</v>
      </c>
      <c r="U107" s="70">
        <f t="shared" ref="U107:V107" si="120">SUM(U101:U106)</f>
        <v>0</v>
      </c>
      <c r="V107" s="70">
        <f t="shared" si="120"/>
        <v>0</v>
      </c>
      <c r="W107" s="70">
        <f t="shared" ref="W107:X107" si="121">SUM(W101:W106)</f>
        <v>0</v>
      </c>
      <c r="X107" s="70">
        <f t="shared" si="121"/>
        <v>0</v>
      </c>
      <c r="Y107" s="70">
        <f t="shared" ref="Y107:Z107" si="122">SUM(Y101:Y106)</f>
        <v>0</v>
      </c>
      <c r="Z107" s="70">
        <f t="shared" si="122"/>
        <v>0</v>
      </c>
      <c r="AA107" s="70">
        <f t="shared" ref="AA107" si="123">SUM(AA101:AA106)</f>
        <v>0</v>
      </c>
      <c r="AB107" s="70">
        <f t="shared" si="118"/>
        <v>0</v>
      </c>
      <c r="AC107" s="70">
        <f t="shared" si="118"/>
        <v>0</v>
      </c>
      <c r="AD107" s="70">
        <f t="shared" si="118"/>
        <v>0</v>
      </c>
      <c r="AE107" s="70">
        <f t="shared" si="118"/>
        <v>0</v>
      </c>
      <c r="AF107" s="70">
        <f t="shared" si="118"/>
        <v>0</v>
      </c>
      <c r="AG107" s="100"/>
      <c r="AH107" s="48">
        <f t="shared" si="60"/>
        <v>0</v>
      </c>
      <c r="AI107" s="49">
        <f t="shared" si="61"/>
        <v>0</v>
      </c>
      <c r="AK107" s="51"/>
      <c r="BG107" s="81">
        <v>52</v>
      </c>
      <c r="BH107" s="81">
        <v>0</v>
      </c>
      <c r="BI107" s="81">
        <v>399</v>
      </c>
      <c r="BJ107" s="81">
        <v>45</v>
      </c>
      <c r="BK107" s="81">
        <v>111</v>
      </c>
      <c r="BL107" s="81">
        <v>0</v>
      </c>
    </row>
    <row r="108" spans="1:64" ht="15.75" thickBot="1" x14ac:dyDescent="0.3">
      <c r="A108" s="86" t="s">
        <v>131</v>
      </c>
      <c r="B108" s="70">
        <f t="shared" ref="B108:AF108" si="124">B92-B107</f>
        <v>607</v>
      </c>
      <c r="C108" s="70">
        <f t="shared" si="124"/>
        <v>576.79999999999995</v>
      </c>
      <c r="D108" s="70">
        <f t="shared" si="124"/>
        <v>584.70000000000005</v>
      </c>
      <c r="E108" s="70">
        <f t="shared" si="124"/>
        <v>577.29999999999995</v>
      </c>
      <c r="F108" s="70">
        <f t="shared" si="124"/>
        <v>518.4</v>
      </c>
      <c r="G108" s="70">
        <f t="shared" si="124"/>
        <v>513</v>
      </c>
      <c r="H108" s="70">
        <f t="shared" si="124"/>
        <v>502.2</v>
      </c>
      <c r="I108" s="70">
        <f t="shared" si="124"/>
        <v>549.9</v>
      </c>
      <c r="J108" s="70">
        <f t="shared" si="124"/>
        <v>445.5</v>
      </c>
      <c r="K108" s="70">
        <f t="shared" si="124"/>
        <v>386.6</v>
      </c>
      <c r="L108" s="70">
        <f t="shared" si="124"/>
        <v>376.85</v>
      </c>
      <c r="M108" s="70">
        <f t="shared" si="124"/>
        <v>408.6</v>
      </c>
      <c r="N108" s="70">
        <f t="shared" si="124"/>
        <v>506.3</v>
      </c>
      <c r="O108" s="70">
        <f t="shared" si="124"/>
        <v>462.4</v>
      </c>
      <c r="P108" s="70">
        <f t="shared" si="124"/>
        <v>455</v>
      </c>
      <c r="Q108" s="70">
        <f t="shared" si="124"/>
        <v>511</v>
      </c>
      <c r="R108" s="70">
        <f t="shared" si="124"/>
        <v>511.3</v>
      </c>
      <c r="S108" s="70">
        <f t="shared" ref="S108:T108" si="125">S92-S107</f>
        <v>494.59999999999997</v>
      </c>
      <c r="T108" s="70">
        <f t="shared" si="125"/>
        <v>590</v>
      </c>
      <c r="U108" s="70">
        <f t="shared" ref="U108:V108" si="126">U92-U107</f>
        <v>449.70000000000005</v>
      </c>
      <c r="V108" s="70">
        <f t="shared" si="126"/>
        <v>425.70000000000005</v>
      </c>
      <c r="W108" s="70">
        <f t="shared" ref="W108:X108" si="127">W92-W107</f>
        <v>444.2</v>
      </c>
      <c r="X108" s="70">
        <f t="shared" si="127"/>
        <v>410.4</v>
      </c>
      <c r="Y108" s="70">
        <f t="shared" ref="Y108:Z108" si="128">Y92-Y107</f>
        <v>455</v>
      </c>
      <c r="Z108" s="70">
        <f t="shared" si="128"/>
        <v>443.9</v>
      </c>
      <c r="AA108" s="70">
        <f t="shared" ref="AA108" si="129">AA92-AA107</f>
        <v>349.8</v>
      </c>
      <c r="AB108" s="70">
        <f t="shared" si="124"/>
        <v>225.39999999999998</v>
      </c>
      <c r="AC108" s="70">
        <f t="shared" si="124"/>
        <v>312.7</v>
      </c>
      <c r="AD108" s="70">
        <f t="shared" si="124"/>
        <v>339.90000000000003</v>
      </c>
      <c r="AE108" s="70">
        <f t="shared" si="124"/>
        <v>434.7</v>
      </c>
      <c r="AF108" s="70">
        <f t="shared" si="124"/>
        <v>404.1</v>
      </c>
      <c r="AG108" s="100"/>
      <c r="AH108" s="48">
        <f t="shared" si="60"/>
        <v>607</v>
      </c>
      <c r="AI108" s="49">
        <f t="shared" si="61"/>
        <v>225.39999999999998</v>
      </c>
    </row>
    <row r="109" spans="1:64" x14ac:dyDescent="0.25">
      <c r="A109" s="112" t="s">
        <v>132</v>
      </c>
      <c r="B109" s="113">
        <v>50.039000000000001</v>
      </c>
      <c r="C109" s="113">
        <v>49.994</v>
      </c>
      <c r="D109" s="113">
        <v>49.98</v>
      </c>
      <c r="E109" s="113">
        <v>50.031999999999996</v>
      </c>
      <c r="F109" s="113">
        <v>49.996000000000002</v>
      </c>
      <c r="G109" s="113">
        <v>50</v>
      </c>
      <c r="H109" s="113">
        <v>49.985999999999997</v>
      </c>
      <c r="I109" s="113">
        <v>50.094999999999999</v>
      </c>
      <c r="J109" s="113">
        <v>50</v>
      </c>
      <c r="K109" s="113">
        <v>50.097999999999999</v>
      </c>
      <c r="L109" s="113">
        <v>50.055</v>
      </c>
      <c r="M109" s="113">
        <v>50.058999999999997</v>
      </c>
      <c r="N109" s="113">
        <v>50.055</v>
      </c>
      <c r="O109" s="113">
        <v>49.929000000000002</v>
      </c>
      <c r="P109" s="113">
        <v>49.911999999999999</v>
      </c>
      <c r="Q109" s="113">
        <v>50.036999999999999</v>
      </c>
      <c r="R109" s="113">
        <v>50.006</v>
      </c>
      <c r="S109" s="113">
        <v>50.01</v>
      </c>
      <c r="T109" s="113">
        <v>50</v>
      </c>
      <c r="U109" s="113">
        <v>50</v>
      </c>
      <c r="V109" s="113">
        <v>49.97</v>
      </c>
      <c r="W109" s="113">
        <v>50.02</v>
      </c>
      <c r="X109" s="113">
        <v>49.97</v>
      </c>
      <c r="Y109" s="113">
        <v>49.91</v>
      </c>
      <c r="Z109" s="113">
        <v>49.97</v>
      </c>
      <c r="AA109" s="113">
        <v>50</v>
      </c>
      <c r="AB109" s="113">
        <v>49.965000000000003</v>
      </c>
      <c r="AC109" s="113">
        <v>49.99</v>
      </c>
      <c r="AD109" s="113">
        <v>50.006</v>
      </c>
      <c r="AE109" s="113">
        <v>49.981000000000002</v>
      </c>
      <c r="AF109" s="113">
        <v>49.954999999999998</v>
      </c>
      <c r="AG109" s="114"/>
      <c r="AH109" s="48">
        <f t="shared" si="60"/>
        <v>50.097999999999999</v>
      </c>
      <c r="AI109" s="49">
        <f t="shared" si="61"/>
        <v>49.91</v>
      </c>
    </row>
    <row r="110" spans="1:64" x14ac:dyDescent="0.25">
      <c r="A110" s="115" t="s">
        <v>133</v>
      </c>
      <c r="B110" s="75">
        <v>129.19999999999999</v>
      </c>
      <c r="C110" s="75">
        <v>130.9</v>
      </c>
      <c r="D110" s="75">
        <v>131.19999999999999</v>
      </c>
      <c r="E110" s="75">
        <v>131.19999999999999</v>
      </c>
      <c r="F110" s="75">
        <v>131.19999999999999</v>
      </c>
      <c r="G110" s="75">
        <v>128</v>
      </c>
      <c r="H110" s="75">
        <v>128</v>
      </c>
      <c r="I110" s="75">
        <v>128</v>
      </c>
      <c r="J110" s="75">
        <v>128</v>
      </c>
      <c r="K110" s="75">
        <v>128</v>
      </c>
      <c r="L110" s="75">
        <v>126.9</v>
      </c>
      <c r="M110" s="75">
        <v>126.1</v>
      </c>
      <c r="N110" s="75">
        <v>125.3</v>
      </c>
      <c r="O110" s="75">
        <v>126.3</v>
      </c>
      <c r="P110" s="75">
        <v>128.9</v>
      </c>
      <c r="Q110" s="75">
        <v>128.4</v>
      </c>
      <c r="R110" s="75">
        <v>126.7</v>
      </c>
      <c r="S110" s="75">
        <v>127.7</v>
      </c>
      <c r="T110" s="75">
        <v>126</v>
      </c>
      <c r="U110" s="75">
        <v>126</v>
      </c>
      <c r="V110" s="75">
        <v>127.7</v>
      </c>
      <c r="W110" s="75">
        <v>127.2</v>
      </c>
      <c r="X110" s="75">
        <v>129.4</v>
      </c>
      <c r="Y110" s="75">
        <v>127.6</v>
      </c>
      <c r="Z110" s="75">
        <v>125.6</v>
      </c>
      <c r="AA110" s="75">
        <v>127.8</v>
      </c>
      <c r="AB110" s="75">
        <v>125.5</v>
      </c>
      <c r="AC110" s="75">
        <v>126.1</v>
      </c>
      <c r="AD110" s="75">
        <v>127.4</v>
      </c>
      <c r="AE110" s="75">
        <v>127.6</v>
      </c>
      <c r="AF110" s="75">
        <v>127.7</v>
      </c>
      <c r="AG110" s="116"/>
      <c r="AH110" s="48">
        <f t="shared" si="60"/>
        <v>131.19999999999999</v>
      </c>
      <c r="AI110" s="49">
        <f t="shared" si="61"/>
        <v>125.3</v>
      </c>
    </row>
    <row r="111" spans="1:64" x14ac:dyDescent="0.25">
      <c r="A111" s="115" t="s">
        <v>134</v>
      </c>
      <c r="B111" s="75">
        <v>132.6</v>
      </c>
      <c r="C111" s="75">
        <v>134</v>
      </c>
      <c r="D111" s="75">
        <v>134.30000000000001</v>
      </c>
      <c r="E111" s="75">
        <v>134.30000000000001</v>
      </c>
      <c r="F111" s="75">
        <v>134.30000000000001</v>
      </c>
      <c r="G111" s="75">
        <v>134.30000000000001</v>
      </c>
      <c r="H111" s="75">
        <v>131.9</v>
      </c>
      <c r="I111" s="75">
        <v>131.9</v>
      </c>
      <c r="J111" s="75">
        <v>131.9</v>
      </c>
      <c r="K111" s="75">
        <v>131.9</v>
      </c>
      <c r="L111" s="75">
        <v>129.69999999999999</v>
      </c>
      <c r="M111" s="75">
        <v>129.19999999999999</v>
      </c>
      <c r="N111" s="75">
        <v>128</v>
      </c>
      <c r="O111" s="75">
        <v>128.80000000000001</v>
      </c>
      <c r="P111" s="75">
        <v>130.9</v>
      </c>
      <c r="Q111" s="75">
        <v>130.4</v>
      </c>
      <c r="R111" s="75">
        <v>128.9</v>
      </c>
      <c r="S111" s="75">
        <v>129.80000000000001</v>
      </c>
      <c r="T111" s="75">
        <v>129.19999999999999</v>
      </c>
      <c r="U111" s="75">
        <v>129.19999999999999</v>
      </c>
      <c r="V111" s="75">
        <v>130.5</v>
      </c>
      <c r="W111" s="75">
        <v>130.1</v>
      </c>
      <c r="X111" s="75">
        <v>131.19999999999999</v>
      </c>
      <c r="Y111" s="75">
        <v>129.5</v>
      </c>
      <c r="Z111" s="75">
        <v>127.5</v>
      </c>
      <c r="AA111" s="75">
        <v>129.69999999999999</v>
      </c>
      <c r="AB111" s="75">
        <v>129.1</v>
      </c>
      <c r="AC111" s="75">
        <v>129.80000000000001</v>
      </c>
      <c r="AD111" s="75">
        <v>131.19999999999999</v>
      </c>
      <c r="AE111" s="75">
        <v>131.6</v>
      </c>
      <c r="AF111" s="75">
        <v>131.9</v>
      </c>
      <c r="AG111" s="116"/>
      <c r="AH111" s="48">
        <f t="shared" si="60"/>
        <v>134.30000000000001</v>
      </c>
      <c r="AI111" s="49">
        <f t="shared" si="61"/>
        <v>127.5</v>
      </c>
    </row>
    <row r="112" spans="1:64" x14ac:dyDescent="0.25">
      <c r="A112" s="115" t="s">
        <v>135</v>
      </c>
      <c r="B112" s="75">
        <v>130.1</v>
      </c>
      <c r="C112" s="75">
        <v>130.4</v>
      </c>
      <c r="D112" s="75">
        <v>132.1</v>
      </c>
      <c r="E112" s="75">
        <v>132.1</v>
      </c>
      <c r="F112" s="75">
        <v>132.1</v>
      </c>
      <c r="G112" s="75">
        <v>132.1</v>
      </c>
      <c r="H112" s="75">
        <v>131</v>
      </c>
      <c r="I112" s="75">
        <v>131</v>
      </c>
      <c r="J112" s="75">
        <v>131</v>
      </c>
      <c r="K112" s="75">
        <v>131</v>
      </c>
      <c r="L112" s="75">
        <v>127</v>
      </c>
      <c r="M112" s="75">
        <v>129.4</v>
      </c>
      <c r="N112" s="75">
        <v>131</v>
      </c>
      <c r="O112" s="75">
        <v>130.19999999999999</v>
      </c>
      <c r="P112" s="75">
        <v>128</v>
      </c>
      <c r="Q112" s="75">
        <v>133.69999999999999</v>
      </c>
      <c r="R112" s="75">
        <v>131.69999999999999</v>
      </c>
      <c r="S112" s="75">
        <v>132.30000000000001</v>
      </c>
      <c r="T112" s="75">
        <v>131</v>
      </c>
      <c r="U112" s="75">
        <v>131</v>
      </c>
      <c r="V112" s="75">
        <v>131</v>
      </c>
      <c r="W112" s="75">
        <v>127.3</v>
      </c>
      <c r="X112" s="75">
        <v>128.6</v>
      </c>
      <c r="Y112" s="75">
        <v>127.6</v>
      </c>
      <c r="Z112" s="75">
        <v>128.30000000000001</v>
      </c>
      <c r="AA112" s="75">
        <v>131</v>
      </c>
      <c r="AB112" s="75">
        <v>131.9</v>
      </c>
      <c r="AC112" s="75">
        <v>131.30000000000001</v>
      </c>
      <c r="AD112" s="75">
        <v>131.19999999999999</v>
      </c>
      <c r="AE112" s="75">
        <v>131.30000000000001</v>
      </c>
      <c r="AF112" s="75">
        <v>131.19999999999999</v>
      </c>
      <c r="AG112" s="116"/>
      <c r="AH112" s="48">
        <f t="shared" si="60"/>
        <v>133.69999999999999</v>
      </c>
      <c r="AI112" s="49">
        <f t="shared" si="61"/>
        <v>127</v>
      </c>
    </row>
    <row r="113" spans="1:35" x14ac:dyDescent="0.25">
      <c r="A113" s="117" t="s">
        <v>136</v>
      </c>
      <c r="B113" s="75">
        <v>132.9</v>
      </c>
      <c r="C113" s="75">
        <v>133.19999999999999</v>
      </c>
      <c r="D113" s="75">
        <v>134.80000000000001</v>
      </c>
      <c r="E113" s="75">
        <v>134.80000000000001</v>
      </c>
      <c r="F113" s="75">
        <v>134.80000000000001</v>
      </c>
      <c r="G113" s="75">
        <v>134.80000000000001</v>
      </c>
      <c r="H113" s="75">
        <v>131.5</v>
      </c>
      <c r="I113" s="75">
        <v>131.5</v>
      </c>
      <c r="J113" s="75">
        <v>131.5</v>
      </c>
      <c r="K113" s="75">
        <v>131.5</v>
      </c>
      <c r="L113" s="75">
        <v>126.6</v>
      </c>
      <c r="M113" s="75">
        <v>129</v>
      </c>
      <c r="N113" s="75">
        <v>131.6</v>
      </c>
      <c r="O113" s="75">
        <v>130.5</v>
      </c>
      <c r="P113" s="75">
        <v>128.5</v>
      </c>
      <c r="Q113" s="75">
        <v>133.80000000000001</v>
      </c>
      <c r="R113" s="75">
        <v>132.4</v>
      </c>
      <c r="S113" s="75">
        <v>132.9</v>
      </c>
      <c r="T113" s="75">
        <v>132.19999999999999</v>
      </c>
      <c r="U113" s="75">
        <v>132.19999999999999</v>
      </c>
      <c r="V113" s="75">
        <v>132.19999999999999</v>
      </c>
      <c r="W113" s="75">
        <v>128.9</v>
      </c>
      <c r="X113" s="75">
        <v>128.9</v>
      </c>
      <c r="Y113" s="75">
        <v>128.19999999999999</v>
      </c>
      <c r="Z113" s="75">
        <v>129.19999999999999</v>
      </c>
      <c r="AA113" s="75">
        <v>131.9</v>
      </c>
      <c r="AB113" s="75">
        <v>132.80000000000001</v>
      </c>
      <c r="AC113" s="75">
        <v>133</v>
      </c>
      <c r="AD113" s="75">
        <v>132.9</v>
      </c>
      <c r="AE113" s="75">
        <v>131.6</v>
      </c>
      <c r="AF113" s="75">
        <v>131.9</v>
      </c>
      <c r="AG113" s="116"/>
      <c r="AH113" s="48">
        <f t="shared" si="60"/>
        <v>134.80000000000001</v>
      </c>
      <c r="AI113" s="49">
        <f t="shared" si="61"/>
        <v>126.6</v>
      </c>
    </row>
    <row r="114" spans="1:35" x14ac:dyDescent="0.25">
      <c r="A114" s="117" t="s">
        <v>137</v>
      </c>
      <c r="B114" s="118">
        <v>134.19999999999999</v>
      </c>
      <c r="C114" s="118">
        <v>133.80000000000001</v>
      </c>
      <c r="D114" s="118">
        <v>134</v>
      </c>
      <c r="E114" s="118">
        <v>134</v>
      </c>
      <c r="F114" s="118">
        <v>134</v>
      </c>
      <c r="G114" s="118">
        <v>134</v>
      </c>
      <c r="H114" s="118">
        <v>131</v>
      </c>
      <c r="I114" s="118">
        <v>131</v>
      </c>
      <c r="J114" s="118">
        <v>131</v>
      </c>
      <c r="K114" s="118">
        <v>131</v>
      </c>
      <c r="L114" s="118">
        <v>131.5</v>
      </c>
      <c r="M114" s="118">
        <v>131.80000000000001</v>
      </c>
      <c r="N114" s="118">
        <v>130.69999999999999</v>
      </c>
      <c r="O114" s="118">
        <v>131.30000000000001</v>
      </c>
      <c r="P114" s="118">
        <v>133.30000000000001</v>
      </c>
      <c r="Q114" s="118">
        <v>130.6</v>
      </c>
      <c r="R114" s="118">
        <v>129.6</v>
      </c>
      <c r="S114" s="118">
        <v>131.4</v>
      </c>
      <c r="T114" s="118">
        <v>131.69999999999999</v>
      </c>
      <c r="U114" s="118">
        <v>131.69999999999999</v>
      </c>
      <c r="V114" s="118">
        <v>131.69999999999999</v>
      </c>
      <c r="W114" s="118">
        <v>132.30000000000001</v>
      </c>
      <c r="X114" s="118">
        <v>135</v>
      </c>
      <c r="Y114" s="118">
        <v>134</v>
      </c>
      <c r="Z114" s="118">
        <v>130.69999999999999</v>
      </c>
      <c r="AA114" s="118">
        <v>131.4</v>
      </c>
      <c r="AB114" s="118">
        <v>133.19999999999999</v>
      </c>
      <c r="AC114" s="118">
        <v>131.4</v>
      </c>
      <c r="AD114" s="118">
        <v>133.30000000000001</v>
      </c>
      <c r="AE114" s="118">
        <v>132.9</v>
      </c>
      <c r="AF114" s="118">
        <v>132.69999999999999</v>
      </c>
      <c r="AG114" s="119"/>
      <c r="AH114" s="48">
        <f t="shared" si="60"/>
        <v>135</v>
      </c>
      <c r="AI114" s="49">
        <f t="shared" si="61"/>
        <v>129.6</v>
      </c>
    </row>
    <row r="115" spans="1:35" x14ac:dyDescent="0.25">
      <c r="A115" s="115" t="s">
        <v>138</v>
      </c>
      <c r="B115" s="75">
        <v>134.4</v>
      </c>
      <c r="C115" s="75">
        <v>136.5</v>
      </c>
      <c r="D115" s="75">
        <v>138.6</v>
      </c>
      <c r="E115" s="75">
        <v>138.6</v>
      </c>
      <c r="F115" s="75">
        <v>138.6</v>
      </c>
      <c r="G115" s="75">
        <v>138.6</v>
      </c>
      <c r="H115" s="75">
        <v>132</v>
      </c>
      <c r="I115" s="75">
        <v>132</v>
      </c>
      <c r="J115" s="75">
        <v>132</v>
      </c>
      <c r="K115" s="75">
        <v>132</v>
      </c>
      <c r="L115" s="75">
        <v>131.80000000000001</v>
      </c>
      <c r="M115" s="75">
        <v>131.80000000000001</v>
      </c>
      <c r="N115" s="75">
        <v>131.5</v>
      </c>
      <c r="O115" s="75">
        <v>130.1</v>
      </c>
      <c r="P115" s="75">
        <v>134</v>
      </c>
      <c r="Q115" s="75">
        <v>129.6</v>
      </c>
      <c r="R115" s="75">
        <v>129.5</v>
      </c>
      <c r="S115" s="75">
        <v>133</v>
      </c>
      <c r="T115" s="75">
        <v>127.2</v>
      </c>
      <c r="U115" s="75">
        <v>127.2</v>
      </c>
      <c r="V115" s="75">
        <v>127.2</v>
      </c>
      <c r="W115" s="75">
        <v>125</v>
      </c>
      <c r="X115" s="75">
        <v>126.6</v>
      </c>
      <c r="Y115" s="75">
        <v>126.8</v>
      </c>
      <c r="Z115" s="75">
        <v>132</v>
      </c>
      <c r="AA115" s="75">
        <v>127</v>
      </c>
      <c r="AB115" s="75">
        <v>131.80000000000001</v>
      </c>
      <c r="AC115" s="75">
        <v>132.6</v>
      </c>
      <c r="AD115" s="75">
        <v>132.30000000000001</v>
      </c>
      <c r="AE115" s="75">
        <v>129.6</v>
      </c>
      <c r="AF115" s="75">
        <v>135.9</v>
      </c>
      <c r="AG115" s="116"/>
      <c r="AH115" s="48">
        <f t="shared" si="60"/>
        <v>138.6</v>
      </c>
      <c r="AI115" s="49">
        <f t="shared" si="61"/>
        <v>125</v>
      </c>
    </row>
    <row r="116" spans="1:35" ht="15.75" thickBot="1" x14ac:dyDescent="0.3">
      <c r="A116" s="115" t="s">
        <v>139</v>
      </c>
      <c r="B116" s="104">
        <v>67.7</v>
      </c>
      <c r="C116" s="104">
        <v>67.7</v>
      </c>
      <c r="D116" s="104">
        <v>67.900000000000006</v>
      </c>
      <c r="E116" s="104">
        <v>67.900000000000006</v>
      </c>
      <c r="F116" s="104">
        <v>67.900000000000006</v>
      </c>
      <c r="G116" s="104">
        <v>66.5</v>
      </c>
      <c r="H116" s="104">
        <v>66.400000000000006</v>
      </c>
      <c r="I116" s="104">
        <v>66.400000000000006</v>
      </c>
      <c r="J116" s="104">
        <v>66</v>
      </c>
      <c r="K116" s="104">
        <v>66</v>
      </c>
      <c r="L116" s="104">
        <v>64.8</v>
      </c>
      <c r="M116" s="104">
        <v>64.900000000000006</v>
      </c>
      <c r="N116" s="104">
        <v>64.3</v>
      </c>
      <c r="O116" s="104">
        <v>64.8</v>
      </c>
      <c r="P116" s="104">
        <v>65.7</v>
      </c>
      <c r="Q116" s="104">
        <v>65.400000000000006</v>
      </c>
      <c r="R116" s="104">
        <v>64.8</v>
      </c>
      <c r="S116" s="104">
        <v>65.3</v>
      </c>
      <c r="T116" s="104">
        <v>65.2</v>
      </c>
      <c r="U116" s="104">
        <v>65.2</v>
      </c>
      <c r="V116" s="104">
        <v>65.2</v>
      </c>
      <c r="W116" s="104">
        <v>65.7</v>
      </c>
      <c r="X116" s="104">
        <v>66.2</v>
      </c>
      <c r="Y116" s="104">
        <v>65.3</v>
      </c>
      <c r="Z116" s="104">
        <v>64.099999999999994</v>
      </c>
      <c r="AA116" s="104">
        <v>65.3</v>
      </c>
      <c r="AB116" s="104">
        <v>65</v>
      </c>
      <c r="AC116" s="104">
        <v>65.400000000000006</v>
      </c>
      <c r="AD116" s="104">
        <v>66</v>
      </c>
      <c r="AE116" s="104">
        <v>66.400000000000006</v>
      </c>
      <c r="AF116" s="104">
        <v>66.5</v>
      </c>
      <c r="AG116" s="120"/>
      <c r="AH116" s="48">
        <f t="shared" si="60"/>
        <v>67.900000000000006</v>
      </c>
      <c r="AI116" s="49">
        <f t="shared" si="61"/>
        <v>64.099999999999994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60"/>
        <v>0</v>
      </c>
      <c r="AI117" s="49">
        <f t="shared" si="61"/>
        <v>0</v>
      </c>
    </row>
    <row r="118" spans="1:35" ht="15.75" thickBot="1" x14ac:dyDescent="0.3">
      <c r="A118" s="122" t="s">
        <v>141</v>
      </c>
      <c r="B118" s="123">
        <f>SUM(B22,B28,B31:B32,B66,B68:B69,B71,B73,B119:B123,B155,B161,B167,B176,B178,B190,B197,B200:B201,B208,B210,B212,B216:B218,B220:B222,B227,B233:B234,B236:B238,B246,B251)</f>
        <v>157.78</v>
      </c>
      <c r="C118" s="123">
        <f>SUM(C22,C28,C31:C32,C66,C68:C69,C71,C73,C119:C123,C155,C161,C167,C176,C178,C190,C197,C200:C201,C208,C210,C212,C216:C218,C220:C222,C227,C233:C234,C236:C238,C246,C251)</f>
        <v>139.86000000000001</v>
      </c>
      <c r="D118" s="123">
        <f t="shared" ref="D118:O118" si="130">SUM(D22,D28,D31:D32,D66,D68:D69,D71,D73,D119:D123,D155,D161,D167,D176,D178,D190,D197,D200:D201,D208,D210,D212,D216:D218,D220:D222,D227,D233:D234,D236:D238,D246,D251)</f>
        <v>135.83999999999997</v>
      </c>
      <c r="E118" s="123">
        <f t="shared" si="130"/>
        <v>125.04</v>
      </c>
      <c r="F118" s="123">
        <f t="shared" si="130"/>
        <v>120.64</v>
      </c>
      <c r="G118" s="123">
        <f t="shared" si="130"/>
        <v>142.74</v>
      </c>
      <c r="H118" s="123">
        <f t="shared" si="130"/>
        <v>169.54</v>
      </c>
      <c r="I118" s="123">
        <f t="shared" si="130"/>
        <v>200.04</v>
      </c>
      <c r="J118" s="123">
        <f t="shared" si="130"/>
        <v>219.84</v>
      </c>
      <c r="K118" s="123">
        <f t="shared" si="130"/>
        <v>254.64</v>
      </c>
      <c r="L118" s="123">
        <f t="shared" si="130"/>
        <v>276.94</v>
      </c>
      <c r="M118" s="123">
        <f t="shared" si="130"/>
        <v>288.83999999999997</v>
      </c>
      <c r="N118" s="123">
        <f t="shared" si="130"/>
        <v>312.94</v>
      </c>
      <c r="O118" s="123">
        <f t="shared" si="130"/>
        <v>310.42500000000001</v>
      </c>
      <c r="P118" s="123">
        <v>42</v>
      </c>
      <c r="Q118" s="123">
        <f>SUM(Q22,Q28,Q31:Q32,Q66,Q68:Q69,Q71,Q73,Q119:Q123,Q155,Q161,Q167,Q176,Q178,Q190,Q197,Q200:Q201,Q208,Q210,Q212,Q216:Q218,Q220:Q222,Q227,Q233:Q234,Q236:Q238,Q246,Q251)</f>
        <v>263.5</v>
      </c>
      <c r="R118" s="123">
        <f t="shared" ref="R118:AF118" si="131">SUM(R22,R28,R31:R32,R66,R68:R69,R71,R73,R119:R123,R155,R161,R167,R176,R178,R190,R197,R200:R201,R208,R210,R212,R216:R218,R220:R222,R227,R233:R234,R236:R238,R246,R251)</f>
        <v>266.94</v>
      </c>
      <c r="S118" s="123">
        <f t="shared" ref="S118:T118" si="132">SUM(S22,S28,S31:S32,S66,S68:S69,S71,S73,S119:S123,S155,S161,S167,S176,S178,S190,S197,S200:S201,S208,S210,S212,S216:S218,S220:S222,S227,S233:S234,S236:S238,S246,S251)</f>
        <v>262.64</v>
      </c>
      <c r="T118" s="123">
        <f t="shared" si="132"/>
        <v>270.33999999999997</v>
      </c>
      <c r="U118" s="123">
        <f t="shared" ref="U118:V118" si="133">SUM(U22,U28,U31:U32,U66,U68:U69,U71,U73,U119:U123,U155,U161,U167,U176,U178,U190,U197,U200:U201,U208,U210,U212,U216:U218,U220:U222,U227,U233:U234,U236:U238,U246,U251)</f>
        <v>279.36</v>
      </c>
      <c r="V118" s="123">
        <f t="shared" si="133"/>
        <v>281.38</v>
      </c>
      <c r="W118" s="123">
        <f t="shared" ref="W118:X118" si="134">SUM(W22,W28,W31:W32,W66,W68:W69,W71,W73,W119:W123,W155,W161,W167,W176,W178,W190,W197,W200:W201,W208,W210,W212,W216:W218,W220:W222,W227,W233:W234,W236:W238,W246,W251)</f>
        <v>294.18</v>
      </c>
      <c r="X118" s="123">
        <f t="shared" si="134"/>
        <v>306.95999999999998</v>
      </c>
      <c r="Y118" s="123">
        <f t="shared" ref="Y118:Z118" si="135">SUM(Y22,Y28,Y31:Y32,Y66,Y68:Y69,Y71,Y73,Y119:Y123,Y155,Y161,Y167,Y176,Y178,Y190,Y197,Y200:Y201,Y208,Y210,Y212,Y216:Y218,Y220:Y222,Y227,Y233:Y234,Y236:Y238,Y246,Y251)</f>
        <v>346.56</v>
      </c>
      <c r="Z118" s="123">
        <f t="shared" si="135"/>
        <v>365.46</v>
      </c>
      <c r="AA118" s="123">
        <f t="shared" ref="AA118" si="136">SUM(AA22,AA28,AA31:AA32,AA66,AA68:AA69,AA71,AA73,AA119:AA123,AA155,AA161,AA167,AA176,AA178,AA190,AA197,AA200:AA201,AA208,AA210,AA212,AA216:AA218,AA220:AA222,AA227,AA233:AA234,AA236:AA238,AA246,AA251)</f>
        <v>353.36</v>
      </c>
      <c r="AB118" s="123">
        <f t="shared" si="131"/>
        <v>311.83300000000003</v>
      </c>
      <c r="AC118" s="123">
        <f t="shared" si="131"/>
        <v>299.62599999999998</v>
      </c>
      <c r="AD118" s="123">
        <f t="shared" si="131"/>
        <v>275.70799999999997</v>
      </c>
      <c r="AE118" s="123">
        <f t="shared" si="131"/>
        <v>207.47299999999998</v>
      </c>
      <c r="AF118" s="123">
        <f t="shared" si="131"/>
        <v>160.37</v>
      </c>
      <c r="AG118" s="124"/>
      <c r="AH118" s="48">
        <f t="shared" si="60"/>
        <v>365.46</v>
      </c>
      <c r="AI118" s="49">
        <f t="shared" si="61"/>
        <v>42</v>
      </c>
    </row>
    <row r="119" spans="1:35" x14ac:dyDescent="0.25">
      <c r="A119" s="125" t="s">
        <v>142</v>
      </c>
      <c r="B119" s="126">
        <v>-2.1</v>
      </c>
      <c r="C119" s="126">
        <v>-9.6</v>
      </c>
      <c r="D119" s="126">
        <v>-9.5</v>
      </c>
      <c r="E119" s="126">
        <v>-10.9</v>
      </c>
      <c r="F119" s="126">
        <v>-21.7</v>
      </c>
      <c r="G119" s="126">
        <v>-14.3</v>
      </c>
      <c r="H119" s="126">
        <v>-14.4</v>
      </c>
      <c r="I119" s="126">
        <v>-18</v>
      </c>
      <c r="J119" s="126">
        <v>-2.2999999999999998</v>
      </c>
      <c r="K119" s="126">
        <v>4.5</v>
      </c>
      <c r="L119" s="126">
        <v>15.7</v>
      </c>
      <c r="M119" s="126">
        <v>13.4</v>
      </c>
      <c r="N119" s="126">
        <v>12.1</v>
      </c>
      <c r="O119" s="126">
        <v>11.7</v>
      </c>
      <c r="P119" s="126">
        <v>19.2</v>
      </c>
      <c r="Q119" s="126">
        <v>-5.7</v>
      </c>
      <c r="R119" s="126">
        <v>-6.5</v>
      </c>
      <c r="S119" s="126">
        <v>-8.9</v>
      </c>
      <c r="T119" s="126">
        <v>-6</v>
      </c>
      <c r="U119" s="126">
        <v>16.600000000000001</v>
      </c>
      <c r="V119" s="126">
        <v>20.399999999999999</v>
      </c>
      <c r="W119" s="126">
        <v>14.9</v>
      </c>
      <c r="X119" s="126">
        <v>18.899999999999999</v>
      </c>
      <c r="Y119" s="126">
        <v>20.7</v>
      </c>
      <c r="Z119" s="126">
        <v>21.4</v>
      </c>
      <c r="AA119" s="126">
        <v>30</v>
      </c>
      <c r="AB119" s="126">
        <v>28.6</v>
      </c>
      <c r="AC119" s="126">
        <v>24.3</v>
      </c>
      <c r="AD119" s="126">
        <v>29.3</v>
      </c>
      <c r="AE119" s="126">
        <v>13.7</v>
      </c>
      <c r="AF119" s="126">
        <v>0.3</v>
      </c>
      <c r="AG119" s="127">
        <v>75</v>
      </c>
      <c r="AH119" s="48">
        <f t="shared" si="60"/>
        <v>30</v>
      </c>
      <c r="AI119" s="49">
        <f t="shared" si="61"/>
        <v>-21.7</v>
      </c>
    </row>
    <row r="120" spans="1:35" x14ac:dyDescent="0.25">
      <c r="A120" s="128" t="s">
        <v>143</v>
      </c>
      <c r="B120" s="129">
        <v>-7.1</v>
      </c>
      <c r="C120" s="129">
        <v>-16</v>
      </c>
      <c r="D120" s="129">
        <v>-17</v>
      </c>
      <c r="E120" s="129">
        <v>-11.3</v>
      </c>
      <c r="F120" s="129">
        <v>-31.8</v>
      </c>
      <c r="G120" s="129">
        <v>-21</v>
      </c>
      <c r="H120" s="129">
        <v>-22.7</v>
      </c>
      <c r="I120" s="129">
        <v>-23.6</v>
      </c>
      <c r="J120" s="129">
        <v>-5.4</v>
      </c>
      <c r="K120" s="129">
        <v>8.5</v>
      </c>
      <c r="L120" s="129">
        <v>25.8</v>
      </c>
      <c r="M120" s="129">
        <v>23</v>
      </c>
      <c r="N120" s="129">
        <v>19.8</v>
      </c>
      <c r="O120" s="129">
        <v>19.5</v>
      </c>
      <c r="P120" s="129">
        <v>23.9</v>
      </c>
      <c r="Q120" s="129">
        <v>-10.8</v>
      </c>
      <c r="R120" s="129">
        <v>-14</v>
      </c>
      <c r="S120" s="129">
        <v>-16</v>
      </c>
      <c r="T120" s="129">
        <v>-13</v>
      </c>
      <c r="U120" s="129">
        <v>17.100000000000001</v>
      </c>
      <c r="V120" s="129">
        <v>23.1</v>
      </c>
      <c r="W120" s="129">
        <v>15.9</v>
      </c>
      <c r="X120" s="129">
        <v>22.1</v>
      </c>
      <c r="Y120" s="129">
        <v>23.6</v>
      </c>
      <c r="Z120" s="129">
        <v>24.1</v>
      </c>
      <c r="AA120" s="129">
        <v>38.200000000000003</v>
      </c>
      <c r="AB120" s="129">
        <v>37.299999999999997</v>
      </c>
      <c r="AC120" s="129">
        <v>32.5</v>
      </c>
      <c r="AD120" s="129">
        <v>37.5</v>
      </c>
      <c r="AE120" s="129">
        <v>12.6</v>
      </c>
      <c r="AF120" s="129">
        <v>-3.3</v>
      </c>
      <c r="AG120" s="127">
        <v>240</v>
      </c>
      <c r="AH120" s="48">
        <f t="shared" si="60"/>
        <v>38.200000000000003</v>
      </c>
      <c r="AI120" s="49">
        <f t="shared" si="61"/>
        <v>-31.8</v>
      </c>
    </row>
    <row r="121" spans="1:35" x14ac:dyDescent="0.25">
      <c r="A121" s="128" t="s">
        <v>144</v>
      </c>
      <c r="B121" s="129">
        <v>-5</v>
      </c>
      <c r="C121" s="129">
        <v>-8</v>
      </c>
      <c r="D121" s="129">
        <v>-8</v>
      </c>
      <c r="E121" s="129">
        <v>-16.3</v>
      </c>
      <c r="F121" s="129">
        <v>-7.8</v>
      </c>
      <c r="G121" s="129">
        <v>-7.6</v>
      </c>
      <c r="H121" s="129">
        <v>2.6</v>
      </c>
      <c r="I121" s="129">
        <v>17</v>
      </c>
      <c r="J121" s="129">
        <v>7.2</v>
      </c>
      <c r="K121" s="129">
        <v>26</v>
      </c>
      <c r="L121" s="129">
        <v>15.4</v>
      </c>
      <c r="M121" s="129">
        <v>22.9</v>
      </c>
      <c r="N121" s="129">
        <f>15+16</f>
        <v>31</v>
      </c>
      <c r="O121" s="129">
        <v>27</v>
      </c>
      <c r="P121" s="129">
        <f>11+12.1</f>
        <v>23.1</v>
      </c>
      <c r="Q121" s="129">
        <f>18.8+20.4</f>
        <v>39.200000000000003</v>
      </c>
      <c r="R121" s="129">
        <f>18+20</f>
        <v>38</v>
      </c>
      <c r="S121" s="129">
        <v>42</v>
      </c>
      <c r="T121" s="129">
        <v>41</v>
      </c>
      <c r="U121" s="129">
        <v>7.8</v>
      </c>
      <c r="V121" s="129">
        <v>12</v>
      </c>
      <c r="W121" s="129">
        <v>22</v>
      </c>
      <c r="X121" s="129">
        <v>33</v>
      </c>
      <c r="Y121" s="129">
        <v>43</v>
      </c>
      <c r="Z121" s="129">
        <v>49</v>
      </c>
      <c r="AA121" s="129">
        <v>38.299999999999997</v>
      </c>
      <c r="AB121" s="129">
        <v>-5.5</v>
      </c>
      <c r="AC121" s="129">
        <v>-6</v>
      </c>
      <c r="AD121" s="129">
        <v>-10.5</v>
      </c>
      <c r="AE121" s="129">
        <v>-14</v>
      </c>
      <c r="AF121" s="129">
        <v>-25</v>
      </c>
      <c r="AG121" s="127">
        <v>240</v>
      </c>
      <c r="AH121" s="48">
        <f t="shared" si="60"/>
        <v>49</v>
      </c>
      <c r="AI121" s="49">
        <f t="shared" si="61"/>
        <v>-25</v>
      </c>
    </row>
    <row r="122" spans="1:35" ht="15.75" thickBot="1" x14ac:dyDescent="0.3">
      <c r="A122" s="128" t="s">
        <v>145</v>
      </c>
      <c r="B122" s="129">
        <v>-6</v>
      </c>
      <c r="C122" s="129">
        <v>-7.8</v>
      </c>
      <c r="D122" s="129">
        <v>-6</v>
      </c>
      <c r="E122" s="129">
        <v>-7.3</v>
      </c>
      <c r="F122" s="129">
        <v>-8.4</v>
      </c>
      <c r="G122" s="129">
        <v>-4.7</v>
      </c>
      <c r="H122" s="129">
        <v>1.7</v>
      </c>
      <c r="I122" s="129">
        <v>8</v>
      </c>
      <c r="J122" s="129">
        <v>10.5</v>
      </c>
      <c r="K122" s="129">
        <v>17</v>
      </c>
      <c r="L122" s="129">
        <v>15.8</v>
      </c>
      <c r="M122" s="129">
        <v>15.9</v>
      </c>
      <c r="N122" s="129">
        <v>23.6</v>
      </c>
      <c r="O122" s="129">
        <v>24.3</v>
      </c>
      <c r="P122" s="129">
        <v>22.3</v>
      </c>
      <c r="Q122" s="129">
        <v>23.4</v>
      </c>
      <c r="R122" s="129">
        <v>21.9</v>
      </c>
      <c r="S122" s="129">
        <v>23.3</v>
      </c>
      <c r="T122" s="129">
        <v>19.5</v>
      </c>
      <c r="U122" s="129">
        <v>18</v>
      </c>
      <c r="V122" s="129">
        <v>19.7</v>
      </c>
      <c r="W122" s="129">
        <v>23</v>
      </c>
      <c r="X122" s="129">
        <v>24.8</v>
      </c>
      <c r="Y122" s="129">
        <v>27.1</v>
      </c>
      <c r="Z122" s="129">
        <v>28.4</v>
      </c>
      <c r="AA122" s="129">
        <v>26.7</v>
      </c>
      <c r="AB122" s="129">
        <v>19.8</v>
      </c>
      <c r="AC122" s="129">
        <v>18.7</v>
      </c>
      <c r="AD122" s="129">
        <v>15</v>
      </c>
      <c r="AE122" s="129">
        <v>10.6</v>
      </c>
      <c r="AF122" s="129">
        <v>5.6</v>
      </c>
      <c r="AG122" s="127">
        <v>60</v>
      </c>
      <c r="AH122" s="48">
        <f t="shared" si="60"/>
        <v>28.4</v>
      </c>
      <c r="AI122" s="49">
        <f t="shared" si="61"/>
        <v>-8.4</v>
      </c>
    </row>
    <row r="123" spans="1:35" x14ac:dyDescent="0.25">
      <c r="A123" s="125" t="s">
        <v>146</v>
      </c>
      <c r="B123" s="130">
        <f>56*1.64</f>
        <v>91.839999999999989</v>
      </c>
      <c r="C123" s="130">
        <f>58*1.64</f>
        <v>95.11999999999999</v>
      </c>
      <c r="D123" s="130">
        <f>55*1.64</f>
        <v>90.199999999999989</v>
      </c>
      <c r="E123" s="130">
        <v>85.5</v>
      </c>
      <c r="F123" s="130">
        <v>105</v>
      </c>
      <c r="G123" s="130">
        <v>105</v>
      </c>
      <c r="H123" s="130">
        <v>115</v>
      </c>
      <c r="I123" s="130">
        <v>130</v>
      </c>
      <c r="J123" s="130">
        <v>125</v>
      </c>
      <c r="K123" s="130">
        <v>110</v>
      </c>
      <c r="L123" s="130">
        <v>115</v>
      </c>
      <c r="M123" s="130">
        <v>123</v>
      </c>
      <c r="N123" s="130">
        <f>80*1.64</f>
        <v>131.19999999999999</v>
      </c>
      <c r="O123" s="130">
        <f>75.5*1.67</f>
        <v>126.08499999999999</v>
      </c>
      <c r="P123" s="130">
        <f>60*1.64</f>
        <v>98.399999999999991</v>
      </c>
      <c r="Q123" s="130">
        <f>74*1.64</f>
        <v>121.36</v>
      </c>
      <c r="R123" s="130">
        <f>80*1.64</f>
        <v>131.19999999999999</v>
      </c>
      <c r="S123" s="130">
        <f>79.5*1.6</f>
        <v>127.2</v>
      </c>
      <c r="T123" s="130">
        <f>84*1.6</f>
        <v>134.4</v>
      </c>
      <c r="U123" s="130">
        <f>79.2*1.6</f>
        <v>126.72000000000001</v>
      </c>
      <c r="V123" s="130">
        <f>72.9*1.6</f>
        <v>116.64000000000001</v>
      </c>
      <c r="W123" s="130">
        <f>80.9*1.6</f>
        <v>129.44000000000003</v>
      </c>
      <c r="X123" s="130">
        <f>76.2*1.6</f>
        <v>121.92000000000002</v>
      </c>
      <c r="Y123" s="130">
        <f>91.2*1.6</f>
        <v>145.92000000000002</v>
      </c>
      <c r="Z123" s="130">
        <f>97.7*1.6</f>
        <v>156.32000000000002</v>
      </c>
      <c r="AA123" s="130">
        <f>83.7*1.6</f>
        <v>133.92000000000002</v>
      </c>
      <c r="AB123" s="130">
        <f>87.9*1.67</f>
        <v>146.79300000000001</v>
      </c>
      <c r="AC123" s="130">
        <f>85.8*1.67</f>
        <v>143.286</v>
      </c>
      <c r="AD123" s="130">
        <f>70.4*1.67</f>
        <v>117.568</v>
      </c>
      <c r="AE123" s="130">
        <f>59.9*1.67</f>
        <v>100.03299999999999</v>
      </c>
      <c r="AF123" s="130">
        <f>59*1.67</f>
        <v>98.53</v>
      </c>
      <c r="AG123" s="131">
        <v>120</v>
      </c>
      <c r="AH123" s="48">
        <f t="shared" si="60"/>
        <v>156.32000000000002</v>
      </c>
      <c r="AI123" s="49">
        <f t="shared" si="61"/>
        <v>85.5</v>
      </c>
    </row>
    <row r="124" spans="1:35" x14ac:dyDescent="0.25">
      <c r="A124" s="128" t="s">
        <v>147</v>
      </c>
      <c r="B124" s="130">
        <v>68</v>
      </c>
      <c r="C124" s="130">
        <v>69</v>
      </c>
      <c r="D124" s="130">
        <v>68</v>
      </c>
      <c r="E124" s="130">
        <v>64.900000000000006</v>
      </c>
      <c r="F124" s="130">
        <v>76.8</v>
      </c>
      <c r="G124" s="130">
        <v>76.400000000000006</v>
      </c>
      <c r="H124" s="130">
        <v>80.400000000000006</v>
      </c>
      <c r="I124" s="130">
        <v>88.4</v>
      </c>
      <c r="J124" s="130">
        <v>81</v>
      </c>
      <c r="K124" s="130">
        <v>77.8</v>
      </c>
      <c r="L124" s="130">
        <v>78.599999999999994</v>
      </c>
      <c r="M124" s="130">
        <v>81</v>
      </c>
      <c r="N124" s="130">
        <v>80.5</v>
      </c>
      <c r="O124" s="130">
        <v>76.2</v>
      </c>
      <c r="P124" s="130">
        <v>62.6</v>
      </c>
      <c r="Q124" s="130">
        <v>75</v>
      </c>
      <c r="R124" s="130">
        <v>79.2</v>
      </c>
      <c r="S124" s="130">
        <v>76.900000000000006</v>
      </c>
      <c r="T124" s="130">
        <v>80.8</v>
      </c>
      <c r="U124" s="130">
        <v>77</v>
      </c>
      <c r="V124" s="130">
        <v>71.2</v>
      </c>
      <c r="W124" s="130">
        <v>78.3</v>
      </c>
      <c r="X124" s="130">
        <v>75.099999999999994</v>
      </c>
      <c r="Y124" s="130">
        <v>86.4</v>
      </c>
      <c r="Z124" s="130">
        <v>99.4</v>
      </c>
      <c r="AA124" s="130">
        <v>88.3</v>
      </c>
      <c r="AB124" s="130">
        <v>92.3</v>
      </c>
      <c r="AC124" s="130">
        <v>90.7</v>
      </c>
      <c r="AD124" s="130">
        <v>78.2</v>
      </c>
      <c r="AE124" s="130">
        <v>70.900000000000006</v>
      </c>
      <c r="AF124" s="130">
        <v>71.2</v>
      </c>
      <c r="AG124" s="131"/>
      <c r="AH124" s="48"/>
      <c r="AI124" s="49"/>
    </row>
    <row r="125" spans="1:35" x14ac:dyDescent="0.25">
      <c r="A125" s="128" t="s">
        <v>148</v>
      </c>
      <c r="B125" s="130">
        <v>36</v>
      </c>
      <c r="C125" s="130">
        <v>48</v>
      </c>
      <c r="D125" s="130">
        <v>46</v>
      </c>
      <c r="E125" s="130">
        <v>49.8</v>
      </c>
      <c r="F125" s="130">
        <v>67.8</v>
      </c>
      <c r="G125" s="130">
        <v>60.5</v>
      </c>
      <c r="H125" s="130">
        <v>59.9</v>
      </c>
      <c r="I125" s="130">
        <v>55.2</v>
      </c>
      <c r="J125" s="130">
        <v>36</v>
      </c>
      <c r="K125" s="130">
        <v>5.5</v>
      </c>
      <c r="L125" s="130">
        <v>0.2</v>
      </c>
      <c r="M125" s="130">
        <v>77.8</v>
      </c>
      <c r="N125" s="130">
        <v>3</v>
      </c>
      <c r="O125" s="130">
        <v>2.4</v>
      </c>
      <c r="P125" s="130">
        <v>2.6</v>
      </c>
      <c r="Q125" s="130">
        <v>20.5</v>
      </c>
      <c r="R125" s="130">
        <v>21.9</v>
      </c>
      <c r="S125" s="130">
        <v>24.5</v>
      </c>
      <c r="T125" s="130">
        <v>28.6</v>
      </c>
      <c r="U125" s="130">
        <v>17.600000000000001</v>
      </c>
      <c r="V125" s="130">
        <v>5.2</v>
      </c>
      <c r="W125" s="130">
        <v>10.5</v>
      </c>
      <c r="X125" s="130">
        <v>-6.3</v>
      </c>
      <c r="Y125" s="130">
        <v>-1</v>
      </c>
      <c r="Z125" s="130">
        <v>-0.2</v>
      </c>
      <c r="AA125" s="130">
        <v>-12.6</v>
      </c>
      <c r="AB125" s="130">
        <v>14.3</v>
      </c>
      <c r="AC125" s="130">
        <v>16.8</v>
      </c>
      <c r="AD125" s="130">
        <v>8.6999999999999993</v>
      </c>
      <c r="AE125" s="130">
        <v>31.3</v>
      </c>
      <c r="AF125" s="130">
        <v>52.8</v>
      </c>
      <c r="AG125" s="131"/>
      <c r="AH125" s="48"/>
      <c r="AI125" s="49"/>
    </row>
    <row r="126" spans="1:35" ht="15.75" thickBot="1" x14ac:dyDescent="0.3">
      <c r="A126" s="128" t="s">
        <v>149</v>
      </c>
      <c r="B126" s="130">
        <v>68</v>
      </c>
      <c r="C126" s="130">
        <v>72</v>
      </c>
      <c r="D126" s="130">
        <v>71</v>
      </c>
      <c r="E126" s="130">
        <v>71.2</v>
      </c>
      <c r="F126" s="130">
        <v>87</v>
      </c>
      <c r="G126" s="130">
        <v>87.1</v>
      </c>
      <c r="H126" s="130">
        <v>94.3</v>
      </c>
      <c r="I126" s="130">
        <v>93.4</v>
      </c>
      <c r="J126" s="130">
        <v>81.5</v>
      </c>
      <c r="K126" s="130">
        <v>73.099999999999994</v>
      </c>
      <c r="L126" s="130">
        <v>80.41</v>
      </c>
      <c r="M126" s="130">
        <v>87.3</v>
      </c>
      <c r="N126" s="130">
        <v>93.1</v>
      </c>
      <c r="O126" s="130">
        <v>82</v>
      </c>
      <c r="P126" s="130">
        <v>61.7</v>
      </c>
      <c r="Q126" s="130">
        <v>80.099999999999994</v>
      </c>
      <c r="R126" s="130">
        <v>84.6</v>
      </c>
      <c r="S126" s="130">
        <v>79.5</v>
      </c>
      <c r="T126" s="130">
        <v>87.6</v>
      </c>
      <c r="U126" s="130">
        <v>89.8</v>
      </c>
      <c r="V126" s="130">
        <v>79.5</v>
      </c>
      <c r="W126" s="130">
        <v>86</v>
      </c>
      <c r="X126" s="130">
        <v>65.599999999999994</v>
      </c>
      <c r="Y126" s="130">
        <v>76.8</v>
      </c>
      <c r="Z126" s="130">
        <v>85.5</v>
      </c>
      <c r="AA126" s="130">
        <v>74.400000000000006</v>
      </c>
      <c r="AB126" s="130">
        <v>95</v>
      </c>
      <c r="AC126" s="130">
        <v>98.2</v>
      </c>
      <c r="AD126" s="130">
        <v>83.8</v>
      </c>
      <c r="AE126" s="130">
        <v>83.4</v>
      </c>
      <c r="AF126" s="130">
        <v>86.7</v>
      </c>
      <c r="AG126" s="127"/>
      <c r="AH126" s="48">
        <f>MAX(B126:AF126)</f>
        <v>98.2</v>
      </c>
      <c r="AI126" s="49">
        <f>MIN(B126:AF126)</f>
        <v>61.7</v>
      </c>
    </row>
    <row r="127" spans="1:35" x14ac:dyDescent="0.25">
      <c r="A127" s="125" t="s">
        <v>305</v>
      </c>
      <c r="B127" s="130">
        <v>6</v>
      </c>
      <c r="C127" s="130">
        <v>10</v>
      </c>
      <c r="D127" s="130">
        <v>9</v>
      </c>
      <c r="E127" s="130">
        <v>7</v>
      </c>
      <c r="F127" s="130">
        <v>-7.5</v>
      </c>
      <c r="G127" s="130">
        <v>0.5</v>
      </c>
      <c r="H127" s="130">
        <v>22.8</v>
      </c>
      <c r="I127" s="130">
        <v>26.1</v>
      </c>
      <c r="J127" s="130">
        <v>-13.4</v>
      </c>
      <c r="K127" s="130">
        <v>-25.5</v>
      </c>
      <c r="L127" s="130">
        <v>-23.2</v>
      </c>
      <c r="M127" s="130">
        <v>-35.1</v>
      </c>
      <c r="N127" s="130">
        <v>16.899999999999999</v>
      </c>
      <c r="O127" s="130">
        <v>12.8</v>
      </c>
      <c r="P127" s="130">
        <v>-0.7</v>
      </c>
      <c r="Q127" s="130">
        <v>9.1999999999999993</v>
      </c>
      <c r="R127" s="130">
        <v>12.9</v>
      </c>
      <c r="S127" s="130">
        <v>20.399999999999999</v>
      </c>
      <c r="T127" s="130">
        <v>31.5</v>
      </c>
      <c r="U127" s="130">
        <v>-0.5</v>
      </c>
      <c r="V127" s="130">
        <v>0</v>
      </c>
      <c r="W127" s="130">
        <v>-19</v>
      </c>
      <c r="X127" s="130">
        <v>-52.2</v>
      </c>
      <c r="Y127" s="130">
        <v>-79</v>
      </c>
      <c r="Z127" s="130">
        <v>-87.9</v>
      </c>
      <c r="AA127" s="130">
        <v>-90.9</v>
      </c>
      <c r="AB127" s="130">
        <v>-107</v>
      </c>
      <c r="AC127" s="130">
        <v>-73.900000000000006</v>
      </c>
      <c r="AD127" s="130">
        <v>-52.4</v>
      </c>
      <c r="AE127" s="130">
        <v>7.1</v>
      </c>
      <c r="AF127" s="130">
        <v>0.4</v>
      </c>
      <c r="AG127" s="127"/>
      <c r="AH127" s="48">
        <f>MAX(B127:AF127)</f>
        <v>31.5</v>
      </c>
      <c r="AI127" s="49">
        <f>MIN(B127:AF127)</f>
        <v>-107</v>
      </c>
    </row>
    <row r="128" spans="1:35" x14ac:dyDescent="0.25">
      <c r="A128" s="128" t="s">
        <v>151</v>
      </c>
      <c r="B128" s="118">
        <v>14</v>
      </c>
      <c r="C128" s="118">
        <v>18</v>
      </c>
      <c r="D128" s="118">
        <v>22</v>
      </c>
      <c r="E128" s="118">
        <v>24</v>
      </c>
      <c r="F128" s="118">
        <v>15</v>
      </c>
      <c r="G128" s="118">
        <v>16.399999999999999</v>
      </c>
      <c r="H128" s="118">
        <v>17.399999999999999</v>
      </c>
      <c r="I128" s="118">
        <v>8.9</v>
      </c>
      <c r="J128" s="118">
        <v>-0.3</v>
      </c>
      <c r="K128" s="118">
        <v>-5.5</v>
      </c>
      <c r="L128" s="118">
        <v>-7</v>
      </c>
      <c r="M128" s="118">
        <v>5.0999999999999996</v>
      </c>
      <c r="N128" s="118">
        <v>14</v>
      </c>
      <c r="O128" s="118">
        <v>23.3</v>
      </c>
      <c r="P128" s="118">
        <v>-17</v>
      </c>
      <c r="Q128" s="118">
        <v>15.4</v>
      </c>
      <c r="R128" s="118">
        <v>-26.9</v>
      </c>
      <c r="S128" s="118">
        <v>38.200000000000003</v>
      </c>
      <c r="T128" s="118">
        <v>23.5</v>
      </c>
      <c r="U128" s="118">
        <v>37.4</v>
      </c>
      <c r="V128" s="118">
        <v>19.399999999999999</v>
      </c>
      <c r="W128" s="118">
        <v>18.100000000000001</v>
      </c>
      <c r="X128" s="118">
        <v>6.2</v>
      </c>
      <c r="Y128" s="118">
        <v>0.9</v>
      </c>
      <c r="Z128" s="118">
        <v>4.7</v>
      </c>
      <c r="AA128" s="118">
        <v>6.6</v>
      </c>
      <c r="AB128" s="118">
        <v>15.7</v>
      </c>
      <c r="AC128" s="118">
        <v>17.3</v>
      </c>
      <c r="AD128" s="118">
        <v>22.1</v>
      </c>
      <c r="AE128" s="118">
        <v>26.5</v>
      </c>
      <c r="AF128" s="118">
        <v>30.2</v>
      </c>
      <c r="AG128" s="127"/>
      <c r="AH128" s="48">
        <f>MAX(B128:AF128)</f>
        <v>38.200000000000003</v>
      </c>
      <c r="AI128" s="49">
        <f>MIN(B128:AF128)</f>
        <v>-26.9</v>
      </c>
    </row>
    <row r="129" spans="1:37" x14ac:dyDescent="0.25">
      <c r="A129" s="128" t="s">
        <v>306</v>
      </c>
      <c r="B129" s="118">
        <v>76</v>
      </c>
      <c r="C129" s="118">
        <v>63.7</v>
      </c>
      <c r="D129" s="118">
        <v>66</v>
      </c>
      <c r="E129" s="118">
        <v>60.1</v>
      </c>
      <c r="F129" s="118">
        <v>64.400000000000006</v>
      </c>
      <c r="G129" s="118">
        <v>57.4</v>
      </c>
      <c r="H129" s="118">
        <v>63.2</v>
      </c>
      <c r="I129" s="118">
        <v>64.900000000000006</v>
      </c>
      <c r="J129" s="118">
        <v>68.400000000000006</v>
      </c>
      <c r="K129" s="118">
        <v>59.8</v>
      </c>
      <c r="L129" s="118">
        <v>63.1</v>
      </c>
      <c r="M129" s="118">
        <v>63.3</v>
      </c>
      <c r="N129" s="118">
        <v>48.1</v>
      </c>
      <c r="O129" s="118">
        <v>47.9</v>
      </c>
      <c r="P129" s="118">
        <v>51.7</v>
      </c>
      <c r="Q129" s="118">
        <v>15.8</v>
      </c>
      <c r="R129" s="118">
        <v>24.2</v>
      </c>
      <c r="S129" s="118">
        <v>10.4</v>
      </c>
      <c r="T129" s="118">
        <v>31.4</v>
      </c>
      <c r="U129" s="118">
        <v>28.2</v>
      </c>
      <c r="V129" s="118">
        <v>34.299999999999997</v>
      </c>
      <c r="W129" s="118">
        <v>51.6</v>
      </c>
      <c r="X129" s="118">
        <v>62.5</v>
      </c>
      <c r="Y129" s="118">
        <v>81.3</v>
      </c>
      <c r="Z129" s="118">
        <v>80.099999999999994</v>
      </c>
      <c r="AA129" s="118">
        <v>73</v>
      </c>
      <c r="AB129" s="118">
        <v>61.5</v>
      </c>
      <c r="AC129" s="118">
        <v>58.1</v>
      </c>
      <c r="AD129" s="118">
        <v>64.3</v>
      </c>
      <c r="AE129" s="118">
        <v>49.8</v>
      </c>
      <c r="AF129" s="118">
        <v>43.5</v>
      </c>
      <c r="AG129" s="127"/>
      <c r="AH129" s="48">
        <f>MAX(B129:AF129)</f>
        <v>81.3</v>
      </c>
      <c r="AI129" s="49">
        <f>MIN(B129:AF129)</f>
        <v>10.4</v>
      </c>
    </row>
    <row r="130" spans="1:37" ht="15.75" thickBot="1" x14ac:dyDescent="0.3">
      <c r="A130" s="128" t="s">
        <v>153</v>
      </c>
      <c r="B130" s="118">
        <v>86</v>
      </c>
      <c r="C130" s="118">
        <v>75</v>
      </c>
      <c r="D130" s="118">
        <v>71</v>
      </c>
      <c r="E130" s="118">
        <v>72.7</v>
      </c>
      <c r="F130" s="118">
        <v>67.8</v>
      </c>
      <c r="G130" s="118">
        <v>67.2</v>
      </c>
      <c r="H130" s="118">
        <v>68.400000000000006</v>
      </c>
      <c r="I130" s="118">
        <v>71.3</v>
      </c>
      <c r="J130" s="118">
        <v>75.3</v>
      </c>
      <c r="K130" s="118">
        <v>69.7</v>
      </c>
      <c r="L130" s="118">
        <v>78.5</v>
      </c>
      <c r="M130" s="118">
        <v>76.599999999999994</v>
      </c>
      <c r="N130" s="118">
        <v>64.900000000000006</v>
      </c>
      <c r="O130" s="118">
        <v>57.1</v>
      </c>
      <c r="P130" s="118">
        <v>60.9</v>
      </c>
      <c r="Q130" s="118">
        <v>55.4</v>
      </c>
      <c r="R130" s="118">
        <v>43.8</v>
      </c>
      <c r="S130" s="118">
        <v>27</v>
      </c>
      <c r="T130" s="118">
        <v>41.3</v>
      </c>
      <c r="U130" s="118">
        <v>37.799999999999997</v>
      </c>
      <c r="V130" s="118">
        <v>47.4</v>
      </c>
      <c r="W130" s="118">
        <v>59.5</v>
      </c>
      <c r="X130" s="118">
        <v>68.3</v>
      </c>
      <c r="Y130" s="118">
        <v>86.2</v>
      </c>
      <c r="Z130" s="118">
        <v>85.8</v>
      </c>
      <c r="AA130" s="118">
        <v>78.8</v>
      </c>
      <c r="AB130" s="118">
        <v>70.599999999999994</v>
      </c>
      <c r="AC130" s="118">
        <v>64</v>
      </c>
      <c r="AD130" s="118">
        <v>69.400000000000006</v>
      </c>
      <c r="AE130" s="118">
        <v>60.7</v>
      </c>
      <c r="AF130" s="118">
        <v>52.9</v>
      </c>
      <c r="AG130" s="127"/>
      <c r="AH130" s="48">
        <f>MAX(B130:AF130)</f>
        <v>86.2</v>
      </c>
      <c r="AI130" s="49">
        <f>MIN(B130:AF130)</f>
        <v>27</v>
      </c>
    </row>
    <row r="131" spans="1:37" x14ac:dyDescent="0.25">
      <c r="A131" s="132" t="s">
        <v>154</v>
      </c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4"/>
      <c r="AG131" s="44"/>
      <c r="AH131" s="48"/>
      <c r="AI131" s="49"/>
    </row>
    <row r="132" spans="1:37" x14ac:dyDescent="0.25">
      <c r="A132" s="135" t="s">
        <v>155</v>
      </c>
      <c r="B132" s="136">
        <v>1984.25</v>
      </c>
      <c r="C132" s="136">
        <v>1984.48</v>
      </c>
      <c r="D132" s="136"/>
      <c r="E132" s="136">
        <v>1984.88</v>
      </c>
      <c r="F132" s="136">
        <v>1984.98</v>
      </c>
      <c r="G132" s="136">
        <v>1985</v>
      </c>
      <c r="H132" s="136"/>
      <c r="I132" s="136">
        <v>1985.1</v>
      </c>
      <c r="J132" s="136"/>
      <c r="K132" s="136">
        <v>1985.2</v>
      </c>
      <c r="L132" s="136"/>
      <c r="M132" s="136">
        <v>1985.1</v>
      </c>
      <c r="N132" s="136">
        <v>1985.05</v>
      </c>
      <c r="O132" s="136">
        <v>1985.12</v>
      </c>
      <c r="P132" s="136">
        <v>1985.2</v>
      </c>
      <c r="Q132" s="136">
        <v>1985.3</v>
      </c>
      <c r="R132" s="136">
        <v>1985.36</v>
      </c>
      <c r="S132" s="136">
        <v>1985.5</v>
      </c>
      <c r="T132" s="136">
        <v>1985.61</v>
      </c>
      <c r="U132" s="136">
        <v>1985.65</v>
      </c>
      <c r="V132" s="136">
        <v>1985.7</v>
      </c>
      <c r="W132" s="136"/>
      <c r="X132" s="136">
        <v>1985.61</v>
      </c>
      <c r="Y132" s="136"/>
      <c r="Z132" s="136">
        <v>1985.22</v>
      </c>
      <c r="AA132" s="136"/>
      <c r="AB132" s="136">
        <v>1984.65</v>
      </c>
      <c r="AC132" s="136"/>
      <c r="AD132" s="136">
        <v>1984.19</v>
      </c>
      <c r="AE132" s="136">
        <v>1984.08</v>
      </c>
      <c r="AF132" s="137">
        <v>1984.12</v>
      </c>
      <c r="AG132" s="138"/>
      <c r="AH132" s="48"/>
      <c r="AI132" s="49"/>
    </row>
    <row r="133" spans="1:37" x14ac:dyDescent="0.25">
      <c r="A133" s="135" t="s">
        <v>156</v>
      </c>
      <c r="B133" s="139">
        <v>519.23</v>
      </c>
      <c r="C133" s="139">
        <v>519.55999999999995</v>
      </c>
      <c r="D133" s="139">
        <v>519.88</v>
      </c>
      <c r="E133" s="139">
        <v>520.33000000000004</v>
      </c>
      <c r="F133" s="139">
        <v>520.66</v>
      </c>
      <c r="G133" s="139">
        <v>521.02</v>
      </c>
      <c r="H133" s="139"/>
      <c r="I133" s="139">
        <v>521.26</v>
      </c>
      <c r="J133" s="139"/>
      <c r="K133" s="139">
        <v>521.17999999999995</v>
      </c>
      <c r="L133" s="139"/>
      <c r="M133" s="139">
        <v>521.20000000000005</v>
      </c>
      <c r="N133" s="139">
        <v>521.29999999999995</v>
      </c>
      <c r="O133" s="139">
        <v>521.41999999999996</v>
      </c>
      <c r="P133" s="139">
        <v>521.55999999999995</v>
      </c>
      <c r="Q133" s="139">
        <v>521.70000000000005</v>
      </c>
      <c r="R133" s="139">
        <v>521.84</v>
      </c>
      <c r="S133" s="139">
        <v>522.1</v>
      </c>
      <c r="T133" s="139">
        <v>522.44000000000005</v>
      </c>
      <c r="U133" s="139">
        <v>522.69000000000005</v>
      </c>
      <c r="V133" s="139">
        <v>522.79</v>
      </c>
      <c r="W133" s="139"/>
      <c r="X133" s="139">
        <v>522.79999999999995</v>
      </c>
      <c r="Y133" s="139"/>
      <c r="Z133" s="139">
        <v>522.71</v>
      </c>
      <c r="AA133" s="139"/>
      <c r="AB133" s="139">
        <v>522.24</v>
      </c>
      <c r="AC133" s="139"/>
      <c r="AD133" s="139">
        <v>521.73</v>
      </c>
      <c r="AE133" s="139">
        <v>521.30999999999995</v>
      </c>
      <c r="AF133" s="140">
        <v>521.24</v>
      </c>
      <c r="AG133" s="138"/>
      <c r="AH133" s="48"/>
      <c r="AI133" s="49"/>
    </row>
    <row r="134" spans="1:37" x14ac:dyDescent="0.25">
      <c r="A134" s="135" t="s">
        <v>158</v>
      </c>
      <c r="B134" s="139">
        <v>622.98</v>
      </c>
      <c r="C134" s="139">
        <v>623.4</v>
      </c>
      <c r="D134" s="139">
        <v>623.77</v>
      </c>
      <c r="E134" s="139">
        <v>624.25</v>
      </c>
      <c r="F134" s="139">
        <v>624.53</v>
      </c>
      <c r="G134" s="139">
        <v>624.82000000000005</v>
      </c>
      <c r="H134" s="139"/>
      <c r="I134" s="139">
        <v>624.85</v>
      </c>
      <c r="J134" s="139"/>
      <c r="K134" s="139">
        <v>624.62</v>
      </c>
      <c r="L134" s="139"/>
      <c r="M134" s="139">
        <v>624.32000000000005</v>
      </c>
      <c r="N134" s="139">
        <v>623.96</v>
      </c>
      <c r="O134" s="139">
        <v>623.66999999999996</v>
      </c>
      <c r="P134" s="139">
        <v>623.30999999999995</v>
      </c>
      <c r="Q134" s="139">
        <v>623.49</v>
      </c>
      <c r="R134" s="139">
        <v>623.72</v>
      </c>
      <c r="S134" s="139">
        <v>624.1</v>
      </c>
      <c r="T134" s="139">
        <v>624.29999999999995</v>
      </c>
      <c r="U134" s="139">
        <v>624.28</v>
      </c>
      <c r="V134" s="139">
        <v>624.26</v>
      </c>
      <c r="W134" s="139"/>
      <c r="X134" s="139">
        <v>624.32000000000005</v>
      </c>
      <c r="Y134" s="139"/>
      <c r="Z134" s="139">
        <v>624.12</v>
      </c>
      <c r="AA134" s="139"/>
      <c r="AB134" s="139">
        <v>623.4</v>
      </c>
      <c r="AC134" s="139"/>
      <c r="AD134" s="139">
        <v>623.97</v>
      </c>
      <c r="AE134" s="139">
        <v>622.52</v>
      </c>
      <c r="AF134" s="140">
        <v>622.54999999999995</v>
      </c>
      <c r="AG134" s="138"/>
      <c r="AH134" s="48"/>
      <c r="AI134" s="49"/>
    </row>
    <row r="135" spans="1:37" x14ac:dyDescent="0.25">
      <c r="A135" s="135" t="s">
        <v>159</v>
      </c>
      <c r="B135" s="139">
        <v>334.95</v>
      </c>
      <c r="C135" s="139">
        <v>335.44</v>
      </c>
      <c r="D135" s="139">
        <v>335.79</v>
      </c>
      <c r="E135" s="139">
        <v>336.19</v>
      </c>
      <c r="F135" s="139">
        <v>336.45</v>
      </c>
      <c r="G135" s="139">
        <v>336.57</v>
      </c>
      <c r="H135" s="139"/>
      <c r="I135" s="139">
        <v>336.59</v>
      </c>
      <c r="J135" s="139"/>
      <c r="K135" s="139">
        <v>336.52</v>
      </c>
      <c r="L135" s="139"/>
      <c r="M135" s="139">
        <v>336.26</v>
      </c>
      <c r="N135" s="139">
        <v>336.08</v>
      </c>
      <c r="O135" s="139">
        <v>335.89</v>
      </c>
      <c r="P135" s="139">
        <v>335.68</v>
      </c>
      <c r="Q135" s="139">
        <v>335.53</v>
      </c>
      <c r="R135" s="139">
        <v>335.8</v>
      </c>
      <c r="S135" s="139">
        <v>336.4</v>
      </c>
      <c r="T135" s="139">
        <v>336.8</v>
      </c>
      <c r="U135" s="139">
        <v>337</v>
      </c>
      <c r="V135" s="139">
        <v>336.83</v>
      </c>
      <c r="W135" s="139"/>
      <c r="X135" s="139">
        <v>336.6</v>
      </c>
      <c r="Y135" s="139"/>
      <c r="Z135" s="139">
        <v>336.36</v>
      </c>
      <c r="AA135" s="139"/>
      <c r="AB135" s="139">
        <v>335.86</v>
      </c>
      <c r="AC135" s="139"/>
      <c r="AD135" s="139">
        <v>335.35</v>
      </c>
      <c r="AE135" s="139">
        <v>334.97</v>
      </c>
      <c r="AF135" s="140">
        <v>334.83</v>
      </c>
      <c r="AG135" s="138"/>
      <c r="AH135" s="48"/>
      <c r="AI135" s="49"/>
    </row>
    <row r="136" spans="1:37" x14ac:dyDescent="0.25">
      <c r="A136" s="135" t="s">
        <v>160</v>
      </c>
      <c r="B136" s="139">
        <v>885</v>
      </c>
      <c r="C136" s="139">
        <v>885.7</v>
      </c>
      <c r="D136" s="139">
        <v>886.1</v>
      </c>
      <c r="E136" s="139">
        <v>886.9</v>
      </c>
      <c r="F136" s="139">
        <v>887.3</v>
      </c>
      <c r="G136" s="139">
        <v>887.8</v>
      </c>
      <c r="H136" s="139"/>
      <c r="I136" s="139">
        <v>887.7</v>
      </c>
      <c r="J136" s="139"/>
      <c r="K136" s="139"/>
      <c r="L136" s="139"/>
      <c r="M136" s="139">
        <v>887.6</v>
      </c>
      <c r="N136" s="139">
        <v>887.5</v>
      </c>
      <c r="O136" s="139">
        <v>887.4</v>
      </c>
      <c r="P136" s="139">
        <v>887.2</v>
      </c>
      <c r="Q136" s="139">
        <v>887.2</v>
      </c>
      <c r="R136" s="139">
        <v>887.2</v>
      </c>
      <c r="S136" s="139">
        <v>887.2</v>
      </c>
      <c r="T136" s="139">
        <v>887.2</v>
      </c>
      <c r="U136" s="139">
        <v>887.1</v>
      </c>
      <c r="V136" s="139">
        <v>887</v>
      </c>
      <c r="W136" s="139"/>
      <c r="X136" s="139">
        <v>886.5</v>
      </c>
      <c r="Y136" s="139"/>
      <c r="Z136" s="139">
        <v>885.3</v>
      </c>
      <c r="AA136" s="139"/>
      <c r="AB136" s="139">
        <v>884.8</v>
      </c>
      <c r="AC136" s="139"/>
      <c r="AD136" s="139">
        <v>885.2</v>
      </c>
      <c r="AE136" s="139">
        <v>885.7</v>
      </c>
      <c r="AF136" s="140">
        <v>886.4</v>
      </c>
      <c r="AG136" s="138"/>
      <c r="AH136" s="48"/>
      <c r="AI136" s="49"/>
    </row>
    <row r="137" spans="1:37" ht="15.75" thickBot="1" x14ac:dyDescent="0.3">
      <c r="A137" s="135" t="s">
        <v>161</v>
      </c>
      <c r="B137" s="141">
        <v>1519.58</v>
      </c>
      <c r="C137" s="141"/>
      <c r="D137" s="141"/>
      <c r="E137" s="141">
        <v>1559.59</v>
      </c>
      <c r="F137" s="141"/>
      <c r="G137" s="141"/>
      <c r="H137" s="141"/>
      <c r="I137" s="141">
        <v>1519.6</v>
      </c>
      <c r="J137" s="141"/>
      <c r="K137" s="141"/>
      <c r="L137" s="141"/>
      <c r="M137" s="141"/>
      <c r="N137" s="141"/>
      <c r="O137" s="141"/>
      <c r="P137" s="141"/>
      <c r="Q137" s="141"/>
      <c r="R137" s="141">
        <v>1519.66</v>
      </c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>
        <v>1519.69</v>
      </c>
      <c r="AC137" s="141"/>
      <c r="AD137" s="141"/>
      <c r="AE137" s="141"/>
      <c r="AF137" s="142"/>
      <c r="AG137" s="138"/>
      <c r="AH137" s="48"/>
      <c r="AI137" s="49"/>
    </row>
    <row r="138" spans="1:37" ht="15.75" thickBot="1" x14ac:dyDescent="0.3">
      <c r="A138" s="143" t="s">
        <v>162</v>
      </c>
      <c r="B138" s="144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137">SUM(B139:B243)</f>
        <v>0</v>
      </c>
      <c r="C244" s="160">
        <f t="shared" si="137"/>
        <v>0</v>
      </c>
      <c r="D244" s="160">
        <f t="shared" si="137"/>
        <v>0</v>
      </c>
      <c r="E244" s="160">
        <f t="shared" si="137"/>
        <v>0</v>
      </c>
      <c r="F244" s="160">
        <f t="shared" si="137"/>
        <v>0</v>
      </c>
      <c r="G244" s="160">
        <f t="shared" si="137"/>
        <v>0</v>
      </c>
      <c r="H244" s="160">
        <f t="shared" si="137"/>
        <v>0</v>
      </c>
      <c r="I244" s="160">
        <f t="shared" si="137"/>
        <v>0</v>
      </c>
      <c r="J244" s="160">
        <f t="shared" si="137"/>
        <v>0</v>
      </c>
      <c r="K244" s="160">
        <f t="shared" si="137"/>
        <v>0</v>
      </c>
      <c r="L244" s="160">
        <f t="shared" si="137"/>
        <v>0</v>
      </c>
      <c r="M244" s="160">
        <f t="shared" si="137"/>
        <v>0</v>
      </c>
      <c r="N244" s="160">
        <f t="shared" si="137"/>
        <v>0</v>
      </c>
      <c r="O244" s="160">
        <f t="shared" si="137"/>
        <v>0</v>
      </c>
      <c r="P244" s="160">
        <f t="shared" si="137"/>
        <v>0</v>
      </c>
      <c r="Q244" s="160">
        <f t="shared" si="137"/>
        <v>0</v>
      </c>
      <c r="R244" s="160">
        <f t="shared" si="137"/>
        <v>0</v>
      </c>
      <c r="S244" s="160">
        <f t="shared" si="137"/>
        <v>0</v>
      </c>
      <c r="T244" s="160">
        <f t="shared" si="137"/>
        <v>0</v>
      </c>
      <c r="U244" s="160">
        <f t="shared" si="137"/>
        <v>0</v>
      </c>
      <c r="V244" s="160">
        <f t="shared" si="137"/>
        <v>0</v>
      </c>
      <c r="W244" s="160">
        <f t="shared" si="137"/>
        <v>0</v>
      </c>
      <c r="X244" s="160">
        <f t="shared" si="137"/>
        <v>0</v>
      </c>
      <c r="Y244" s="160">
        <f t="shared" si="137"/>
        <v>0</v>
      </c>
      <c r="Z244" s="160">
        <f t="shared" si="137"/>
        <v>0</v>
      </c>
      <c r="AA244" s="160">
        <f t="shared" si="137"/>
        <v>0</v>
      </c>
      <c r="AB244" s="160">
        <f t="shared" si="137"/>
        <v>0</v>
      </c>
      <c r="AC244" s="160">
        <f t="shared" si="137"/>
        <v>0</v>
      </c>
      <c r="AD244" s="160">
        <f t="shared" si="137"/>
        <v>0</v>
      </c>
      <c r="AE244" s="160">
        <f t="shared" si="137"/>
        <v>0</v>
      </c>
      <c r="AF244" s="161">
        <f t="shared" si="137"/>
        <v>0</v>
      </c>
      <c r="AG244" s="162">
        <f t="shared" si="137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138">AF246</f>
        <v>0.3</v>
      </c>
      <c r="C246" s="165">
        <v>0.3</v>
      </c>
      <c r="D246" s="165">
        <f t="shared" ref="D246:S251" si="139">C246</f>
        <v>0.3</v>
      </c>
      <c r="E246" s="165">
        <f t="shared" si="139"/>
        <v>0.3</v>
      </c>
      <c r="F246" s="165">
        <f t="shared" si="139"/>
        <v>0.3</v>
      </c>
      <c r="G246" s="165">
        <f t="shared" si="139"/>
        <v>0.3</v>
      </c>
      <c r="H246" s="165">
        <f t="shared" si="139"/>
        <v>0.3</v>
      </c>
      <c r="I246" s="165">
        <f t="shared" si="139"/>
        <v>0.3</v>
      </c>
      <c r="J246" s="165">
        <f t="shared" si="139"/>
        <v>0.3</v>
      </c>
      <c r="K246" s="165">
        <f t="shared" si="139"/>
        <v>0.3</v>
      </c>
      <c r="L246" s="165">
        <f t="shared" si="139"/>
        <v>0.3</v>
      </c>
      <c r="M246" s="165">
        <f t="shared" si="139"/>
        <v>0.3</v>
      </c>
      <c r="N246" s="165">
        <f t="shared" si="139"/>
        <v>0.3</v>
      </c>
      <c r="O246" s="165">
        <f t="shared" si="139"/>
        <v>0.3</v>
      </c>
      <c r="P246" s="165">
        <f t="shared" si="139"/>
        <v>0.3</v>
      </c>
      <c r="Q246" s="165">
        <f t="shared" si="139"/>
        <v>0.3</v>
      </c>
      <c r="R246" s="165">
        <f t="shared" si="139"/>
        <v>0.3</v>
      </c>
      <c r="S246" s="165">
        <f t="shared" si="139"/>
        <v>0.3</v>
      </c>
      <c r="T246" s="165">
        <f t="shared" ref="T246:AF251" si="140">S246</f>
        <v>0.3</v>
      </c>
      <c r="U246" s="165">
        <f t="shared" si="140"/>
        <v>0.3</v>
      </c>
      <c r="V246" s="165">
        <f t="shared" si="140"/>
        <v>0.3</v>
      </c>
      <c r="W246" s="165">
        <f t="shared" si="140"/>
        <v>0.3</v>
      </c>
      <c r="X246" s="165">
        <f t="shared" si="140"/>
        <v>0.3</v>
      </c>
      <c r="Y246" s="165">
        <f t="shared" si="140"/>
        <v>0.3</v>
      </c>
      <c r="Z246" s="165">
        <f t="shared" si="140"/>
        <v>0.3</v>
      </c>
      <c r="AA246" s="165">
        <f t="shared" si="140"/>
        <v>0.3</v>
      </c>
      <c r="AB246" s="165">
        <f t="shared" si="140"/>
        <v>0.3</v>
      </c>
      <c r="AC246" s="165">
        <f t="shared" si="140"/>
        <v>0.3</v>
      </c>
      <c r="AD246" s="165">
        <f t="shared" si="140"/>
        <v>0.3</v>
      </c>
      <c r="AE246" s="165">
        <f t="shared" si="140"/>
        <v>0.3</v>
      </c>
      <c r="AF246" s="165">
        <f t="shared" si="140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138"/>
        <v>0.4</v>
      </c>
      <c r="C247" s="151">
        <v>0.4</v>
      </c>
      <c r="D247" s="151">
        <f t="shared" si="139"/>
        <v>0.4</v>
      </c>
      <c r="E247" s="151">
        <f t="shared" si="139"/>
        <v>0.4</v>
      </c>
      <c r="F247" s="151">
        <f t="shared" si="139"/>
        <v>0.4</v>
      </c>
      <c r="G247" s="151">
        <f t="shared" si="139"/>
        <v>0.4</v>
      </c>
      <c r="H247" s="151">
        <f t="shared" si="139"/>
        <v>0.4</v>
      </c>
      <c r="I247" s="151">
        <f t="shared" si="139"/>
        <v>0.4</v>
      </c>
      <c r="J247" s="151">
        <f t="shared" si="139"/>
        <v>0.4</v>
      </c>
      <c r="K247" s="151">
        <f t="shared" si="139"/>
        <v>0.4</v>
      </c>
      <c r="L247" s="151">
        <f t="shared" si="139"/>
        <v>0.4</v>
      </c>
      <c r="M247" s="151">
        <f t="shared" si="139"/>
        <v>0.4</v>
      </c>
      <c r="N247" s="151">
        <f t="shared" si="139"/>
        <v>0.4</v>
      </c>
      <c r="O247" s="151">
        <f t="shared" si="139"/>
        <v>0.4</v>
      </c>
      <c r="P247" s="151">
        <f t="shared" si="139"/>
        <v>0.4</v>
      </c>
      <c r="Q247" s="151">
        <f t="shared" si="139"/>
        <v>0.4</v>
      </c>
      <c r="R247" s="151">
        <f t="shared" si="139"/>
        <v>0.4</v>
      </c>
      <c r="S247" s="151">
        <f t="shared" si="139"/>
        <v>0.4</v>
      </c>
      <c r="T247" s="151">
        <f t="shared" si="140"/>
        <v>0.4</v>
      </c>
      <c r="U247" s="151">
        <f t="shared" si="140"/>
        <v>0.4</v>
      </c>
      <c r="V247" s="151">
        <f t="shared" si="140"/>
        <v>0.4</v>
      </c>
      <c r="W247" s="151">
        <f t="shared" si="140"/>
        <v>0.4</v>
      </c>
      <c r="X247" s="151">
        <f t="shared" si="140"/>
        <v>0.4</v>
      </c>
      <c r="Y247" s="151">
        <f t="shared" si="140"/>
        <v>0.4</v>
      </c>
      <c r="Z247" s="151">
        <f t="shared" si="140"/>
        <v>0.4</v>
      </c>
      <c r="AA247" s="151">
        <f t="shared" si="140"/>
        <v>0.4</v>
      </c>
      <c r="AB247" s="151">
        <f t="shared" si="140"/>
        <v>0.4</v>
      </c>
      <c r="AC247" s="151">
        <f t="shared" si="140"/>
        <v>0.4</v>
      </c>
      <c r="AD247" s="151">
        <f t="shared" si="140"/>
        <v>0.4</v>
      </c>
      <c r="AE247" s="151">
        <f t="shared" si="140"/>
        <v>0.4</v>
      </c>
      <c r="AF247" s="151">
        <f t="shared" si="140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138"/>
        <v>1.5</v>
      </c>
      <c r="C248" s="151">
        <v>1.5</v>
      </c>
      <c r="D248" s="151">
        <f t="shared" si="139"/>
        <v>1.5</v>
      </c>
      <c r="E248" s="151">
        <f t="shared" si="139"/>
        <v>1.5</v>
      </c>
      <c r="F248" s="151">
        <f t="shared" si="139"/>
        <v>1.5</v>
      </c>
      <c r="G248" s="151">
        <f t="shared" si="139"/>
        <v>1.5</v>
      </c>
      <c r="H248" s="151">
        <f t="shared" si="139"/>
        <v>1.5</v>
      </c>
      <c r="I248" s="151">
        <f t="shared" si="139"/>
        <v>1.5</v>
      </c>
      <c r="J248" s="151">
        <f t="shared" si="139"/>
        <v>1.5</v>
      </c>
      <c r="K248" s="151">
        <f t="shared" si="139"/>
        <v>1.5</v>
      </c>
      <c r="L248" s="151">
        <f t="shared" si="139"/>
        <v>1.5</v>
      </c>
      <c r="M248" s="151">
        <f t="shared" si="139"/>
        <v>1.5</v>
      </c>
      <c r="N248" s="151">
        <f t="shared" si="139"/>
        <v>1.5</v>
      </c>
      <c r="O248" s="151">
        <f t="shared" si="139"/>
        <v>1.5</v>
      </c>
      <c r="P248" s="151">
        <f t="shared" si="139"/>
        <v>1.5</v>
      </c>
      <c r="Q248" s="151">
        <f t="shared" si="139"/>
        <v>1.5</v>
      </c>
      <c r="R248" s="151">
        <f t="shared" si="139"/>
        <v>1.5</v>
      </c>
      <c r="S248" s="151">
        <f t="shared" si="139"/>
        <v>1.5</v>
      </c>
      <c r="T248" s="151">
        <f t="shared" si="140"/>
        <v>1.5</v>
      </c>
      <c r="U248" s="151">
        <f t="shared" si="140"/>
        <v>1.5</v>
      </c>
      <c r="V248" s="151">
        <f t="shared" si="140"/>
        <v>1.5</v>
      </c>
      <c r="W248" s="151">
        <f t="shared" si="140"/>
        <v>1.5</v>
      </c>
      <c r="X248" s="151">
        <f t="shared" si="140"/>
        <v>1.5</v>
      </c>
      <c r="Y248" s="151">
        <f t="shared" si="140"/>
        <v>1.5</v>
      </c>
      <c r="Z248" s="151">
        <f t="shared" si="140"/>
        <v>1.5</v>
      </c>
      <c r="AA248" s="151">
        <f t="shared" si="140"/>
        <v>1.5</v>
      </c>
      <c r="AB248" s="151">
        <f t="shared" si="140"/>
        <v>1.5</v>
      </c>
      <c r="AC248" s="151">
        <f t="shared" si="140"/>
        <v>1.5</v>
      </c>
      <c r="AD248" s="151">
        <f t="shared" si="140"/>
        <v>1.5</v>
      </c>
      <c r="AE248" s="151">
        <f t="shared" si="140"/>
        <v>1.5</v>
      </c>
      <c r="AF248" s="151">
        <f t="shared" si="140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138"/>
        <v>0.3</v>
      </c>
      <c r="C249" s="151">
        <v>0.3</v>
      </c>
      <c r="D249" s="151">
        <f t="shared" si="139"/>
        <v>0.3</v>
      </c>
      <c r="E249" s="151">
        <f t="shared" si="139"/>
        <v>0.3</v>
      </c>
      <c r="F249" s="151">
        <f t="shared" si="139"/>
        <v>0.3</v>
      </c>
      <c r="G249" s="151">
        <f t="shared" si="139"/>
        <v>0.3</v>
      </c>
      <c r="H249" s="151">
        <f t="shared" si="139"/>
        <v>0.3</v>
      </c>
      <c r="I249" s="151">
        <f t="shared" si="139"/>
        <v>0.3</v>
      </c>
      <c r="J249" s="151">
        <f t="shared" si="139"/>
        <v>0.3</v>
      </c>
      <c r="K249" s="151">
        <f t="shared" si="139"/>
        <v>0.3</v>
      </c>
      <c r="L249" s="151">
        <f t="shared" si="139"/>
        <v>0.3</v>
      </c>
      <c r="M249" s="151">
        <f t="shared" si="139"/>
        <v>0.3</v>
      </c>
      <c r="N249" s="151">
        <f t="shared" si="139"/>
        <v>0.3</v>
      </c>
      <c r="O249" s="151">
        <f t="shared" si="139"/>
        <v>0.3</v>
      </c>
      <c r="P249" s="151">
        <f t="shared" si="139"/>
        <v>0.3</v>
      </c>
      <c r="Q249" s="151">
        <f t="shared" si="139"/>
        <v>0.3</v>
      </c>
      <c r="R249" s="151">
        <f t="shared" si="139"/>
        <v>0.3</v>
      </c>
      <c r="S249" s="151">
        <f t="shared" si="139"/>
        <v>0.3</v>
      </c>
      <c r="T249" s="151">
        <f t="shared" si="140"/>
        <v>0.3</v>
      </c>
      <c r="U249" s="151">
        <f t="shared" si="140"/>
        <v>0.3</v>
      </c>
      <c r="V249" s="151">
        <f t="shared" si="140"/>
        <v>0.3</v>
      </c>
      <c r="W249" s="151">
        <f t="shared" si="140"/>
        <v>0.3</v>
      </c>
      <c r="X249" s="151">
        <f t="shared" si="140"/>
        <v>0.3</v>
      </c>
      <c r="Y249" s="151">
        <f t="shared" si="140"/>
        <v>0.3</v>
      </c>
      <c r="Z249" s="151">
        <f t="shared" si="140"/>
        <v>0.3</v>
      </c>
      <c r="AA249" s="151">
        <f t="shared" si="140"/>
        <v>0.3</v>
      </c>
      <c r="AB249" s="151">
        <f t="shared" si="140"/>
        <v>0.3</v>
      </c>
      <c r="AC249" s="151">
        <f t="shared" si="140"/>
        <v>0.3</v>
      </c>
      <c r="AD249" s="151">
        <f t="shared" si="140"/>
        <v>0.3</v>
      </c>
      <c r="AE249" s="151">
        <f t="shared" si="140"/>
        <v>0.3</v>
      </c>
      <c r="AF249" s="151">
        <f t="shared" si="140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138"/>
        <v>0.4</v>
      </c>
      <c r="C250" s="151">
        <v>0.4</v>
      </c>
      <c r="D250" s="151">
        <f t="shared" si="139"/>
        <v>0.4</v>
      </c>
      <c r="E250" s="151">
        <f t="shared" si="139"/>
        <v>0.4</v>
      </c>
      <c r="F250" s="151">
        <f t="shared" si="139"/>
        <v>0.4</v>
      </c>
      <c r="G250" s="151">
        <f t="shared" si="139"/>
        <v>0.4</v>
      </c>
      <c r="H250" s="151">
        <f t="shared" si="139"/>
        <v>0.4</v>
      </c>
      <c r="I250" s="151">
        <f t="shared" si="139"/>
        <v>0.4</v>
      </c>
      <c r="J250" s="151">
        <f t="shared" si="139"/>
        <v>0.4</v>
      </c>
      <c r="K250" s="151">
        <f t="shared" si="139"/>
        <v>0.4</v>
      </c>
      <c r="L250" s="151">
        <f t="shared" si="139"/>
        <v>0.4</v>
      </c>
      <c r="M250" s="151">
        <f t="shared" si="139"/>
        <v>0.4</v>
      </c>
      <c r="N250" s="151">
        <f t="shared" si="139"/>
        <v>0.4</v>
      </c>
      <c r="O250" s="151">
        <f t="shared" si="139"/>
        <v>0.4</v>
      </c>
      <c r="P250" s="151">
        <f t="shared" si="139"/>
        <v>0.4</v>
      </c>
      <c r="Q250" s="151">
        <f t="shared" si="139"/>
        <v>0.4</v>
      </c>
      <c r="R250" s="151">
        <f t="shared" si="139"/>
        <v>0.4</v>
      </c>
      <c r="S250" s="151">
        <f t="shared" si="139"/>
        <v>0.4</v>
      </c>
      <c r="T250" s="151">
        <f t="shared" si="140"/>
        <v>0.4</v>
      </c>
      <c r="U250" s="151">
        <f t="shared" si="140"/>
        <v>0.4</v>
      </c>
      <c r="V250" s="151">
        <f t="shared" si="140"/>
        <v>0.4</v>
      </c>
      <c r="W250" s="151">
        <f t="shared" si="140"/>
        <v>0.4</v>
      </c>
      <c r="X250" s="151">
        <f t="shared" si="140"/>
        <v>0.4</v>
      </c>
      <c r="Y250" s="151">
        <f t="shared" si="140"/>
        <v>0.4</v>
      </c>
      <c r="Z250" s="151">
        <f t="shared" si="140"/>
        <v>0.4</v>
      </c>
      <c r="AA250" s="151">
        <f t="shared" si="140"/>
        <v>0.4</v>
      </c>
      <c r="AB250" s="151">
        <f t="shared" si="140"/>
        <v>0.4</v>
      </c>
      <c r="AC250" s="151">
        <f t="shared" si="140"/>
        <v>0.4</v>
      </c>
      <c r="AD250" s="151">
        <f t="shared" si="140"/>
        <v>0.4</v>
      </c>
      <c r="AE250" s="151">
        <f t="shared" si="140"/>
        <v>0.4</v>
      </c>
      <c r="AF250" s="151">
        <f t="shared" si="140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138"/>
        <v>0.64</v>
      </c>
      <c r="C251" s="156">
        <v>0.64</v>
      </c>
      <c r="D251" s="156">
        <f t="shared" si="139"/>
        <v>0.64</v>
      </c>
      <c r="E251" s="156">
        <f t="shared" si="139"/>
        <v>0.64</v>
      </c>
      <c r="F251" s="156">
        <f t="shared" si="139"/>
        <v>0.64</v>
      </c>
      <c r="G251" s="156">
        <f t="shared" si="139"/>
        <v>0.64</v>
      </c>
      <c r="H251" s="156">
        <f t="shared" si="139"/>
        <v>0.64</v>
      </c>
      <c r="I251" s="156">
        <f t="shared" si="139"/>
        <v>0.64</v>
      </c>
      <c r="J251" s="156">
        <f t="shared" si="139"/>
        <v>0.64</v>
      </c>
      <c r="K251" s="156">
        <f t="shared" si="139"/>
        <v>0.64</v>
      </c>
      <c r="L251" s="156">
        <f t="shared" si="139"/>
        <v>0.64</v>
      </c>
      <c r="M251" s="156">
        <f t="shared" si="139"/>
        <v>0.64</v>
      </c>
      <c r="N251" s="156">
        <f t="shared" si="139"/>
        <v>0.64</v>
      </c>
      <c r="O251" s="156">
        <f t="shared" si="139"/>
        <v>0.64</v>
      </c>
      <c r="P251" s="156">
        <f t="shared" si="139"/>
        <v>0.64</v>
      </c>
      <c r="Q251" s="156">
        <f t="shared" si="139"/>
        <v>0.64</v>
      </c>
      <c r="R251" s="156">
        <f t="shared" si="139"/>
        <v>0.64</v>
      </c>
      <c r="S251" s="156">
        <f t="shared" si="139"/>
        <v>0.64</v>
      </c>
      <c r="T251" s="156">
        <f t="shared" si="140"/>
        <v>0.64</v>
      </c>
      <c r="U251" s="156">
        <f t="shared" si="140"/>
        <v>0.64</v>
      </c>
      <c r="V251" s="156">
        <f t="shared" si="140"/>
        <v>0.64</v>
      </c>
      <c r="W251" s="156">
        <f t="shared" si="140"/>
        <v>0.64</v>
      </c>
      <c r="X251" s="156">
        <f t="shared" si="140"/>
        <v>0.64</v>
      </c>
      <c r="Y251" s="156">
        <f t="shared" si="140"/>
        <v>0.64</v>
      </c>
      <c r="Z251" s="156">
        <f t="shared" si="140"/>
        <v>0.64</v>
      </c>
      <c r="AA251" s="156">
        <f t="shared" si="140"/>
        <v>0.64</v>
      </c>
      <c r="AB251" s="156">
        <f t="shared" si="140"/>
        <v>0.64</v>
      </c>
      <c r="AC251" s="156">
        <f t="shared" si="140"/>
        <v>0.64</v>
      </c>
      <c r="AD251" s="156">
        <f t="shared" si="140"/>
        <v>0.64</v>
      </c>
      <c r="AE251" s="156">
        <f t="shared" si="140"/>
        <v>0.64</v>
      </c>
      <c r="AF251" s="156">
        <f t="shared" si="140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141">SUM(B246:B251)</f>
        <v>3.54</v>
      </c>
      <c r="C252" s="160">
        <f t="shared" si="141"/>
        <v>3.54</v>
      </c>
      <c r="D252" s="160">
        <f t="shared" si="141"/>
        <v>3.54</v>
      </c>
      <c r="E252" s="160">
        <f t="shared" si="141"/>
        <v>3.54</v>
      </c>
      <c r="F252" s="160">
        <f t="shared" si="141"/>
        <v>3.54</v>
      </c>
      <c r="G252" s="160">
        <f t="shared" si="141"/>
        <v>3.54</v>
      </c>
      <c r="H252" s="160">
        <f t="shared" si="141"/>
        <v>3.54</v>
      </c>
      <c r="I252" s="160">
        <f t="shared" si="141"/>
        <v>3.54</v>
      </c>
      <c r="J252" s="160">
        <f t="shared" si="141"/>
        <v>3.54</v>
      </c>
      <c r="K252" s="160">
        <f t="shared" si="141"/>
        <v>3.54</v>
      </c>
      <c r="L252" s="160">
        <f t="shared" si="141"/>
        <v>3.54</v>
      </c>
      <c r="M252" s="160">
        <f t="shared" si="141"/>
        <v>3.54</v>
      </c>
      <c r="N252" s="160">
        <f t="shared" si="141"/>
        <v>3.54</v>
      </c>
      <c r="O252" s="160">
        <f t="shared" si="141"/>
        <v>3.54</v>
      </c>
      <c r="P252" s="160">
        <f t="shared" si="141"/>
        <v>3.54</v>
      </c>
      <c r="Q252" s="160">
        <f t="shared" si="141"/>
        <v>3.54</v>
      </c>
      <c r="R252" s="160">
        <f t="shared" si="141"/>
        <v>3.54</v>
      </c>
      <c r="S252" s="160">
        <f t="shared" si="141"/>
        <v>3.54</v>
      </c>
      <c r="T252" s="160">
        <f t="shared" si="141"/>
        <v>3.54</v>
      </c>
      <c r="U252" s="160">
        <f t="shared" si="141"/>
        <v>3.54</v>
      </c>
      <c r="V252" s="160">
        <f t="shared" si="141"/>
        <v>3.54</v>
      </c>
      <c r="W252" s="160">
        <f t="shared" si="141"/>
        <v>3.54</v>
      </c>
      <c r="X252" s="160">
        <f t="shared" si="141"/>
        <v>3.54</v>
      </c>
      <c r="Y252" s="160">
        <f t="shared" si="141"/>
        <v>3.54</v>
      </c>
      <c r="Z252" s="160">
        <f t="shared" si="141"/>
        <v>3.54</v>
      </c>
      <c r="AA252" s="160">
        <f t="shared" si="141"/>
        <v>3.54</v>
      </c>
      <c r="AB252" s="160">
        <f t="shared" si="141"/>
        <v>3.54</v>
      </c>
      <c r="AC252" s="160">
        <f t="shared" si="141"/>
        <v>3.54</v>
      </c>
      <c r="AD252" s="160">
        <f t="shared" si="141"/>
        <v>3.54</v>
      </c>
      <c r="AE252" s="160">
        <f t="shared" si="141"/>
        <v>3.54</v>
      </c>
      <c r="AF252" s="160">
        <f t="shared" si="141"/>
        <v>3.54</v>
      </c>
      <c r="AG252" s="170">
        <f t="shared" si="141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1486.29</v>
      </c>
      <c r="C256" s="173">
        <f>INDEX(G9:N9,1,MATCH(MAX(G99:N99),G99:N99,0))</f>
        <v>0.33333333333333331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2080/10/10)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2831" priority="90">
      <formula>$AH11=0</formula>
    </cfRule>
  </conditionalFormatting>
  <conditionalFormatting sqref="A132:A253">
    <cfRule type="expression" dxfId="2830" priority="91">
      <formula>$AH132=0</formula>
    </cfRule>
  </conditionalFormatting>
  <conditionalFormatting sqref="B8">
    <cfRule type="expression" dxfId="2829" priority="150">
      <formula>AND(C$9&gt;=8/24,C$9&lt;14/24)</formula>
    </cfRule>
    <cfRule type="expression" dxfId="2828" priority="152">
      <formula>C$9&gt;=20/24</formula>
    </cfRule>
    <cfRule type="expression" dxfId="2827" priority="151">
      <formula>C$9&lt;8/24</formula>
    </cfRule>
    <cfRule type="expression" dxfId="2826" priority="149">
      <formula>AND(C$9&gt;=14/24,C$9&lt;20/24)</formula>
    </cfRule>
  </conditionalFormatting>
  <conditionalFormatting sqref="B11:M52 N12:Y17 N18:AF18 N19:Y52 E59:E61 B59:D68 F60:H61 C63:F74 G66:G74 H68:I74 B69:AF74 B77:AF99 B9:AF10 B101:AF117 B119:AF137 B244:AF244 B246:B252">
    <cfRule type="expression" dxfId="2825" priority="41">
      <formula>B$9&gt;=20/24</formula>
    </cfRule>
  </conditionalFormatting>
  <conditionalFormatting sqref="B11:M57 N19:Y56 N12:Y17 N18:AF18 N57:O57 P57:P73 Q57:R74 S57:Y80 AB58:AF61 B58:O73 Z58:AA80 AB62:AG62 AB63:AF80 B74:Q74 B75:R80 AG80">
    <cfRule type="expression" dxfId="2824" priority="40">
      <formula>B11&gt;$AG11</formula>
    </cfRule>
  </conditionalFormatting>
  <conditionalFormatting sqref="B53:Y57">
    <cfRule type="expression" dxfId="2823" priority="53">
      <formula>B$9&lt;8/24</formula>
    </cfRule>
  </conditionalFormatting>
  <conditionalFormatting sqref="B9:AF10 B11:M52 N12:Y17 N18:AF18 N19:Y52 E59:E61 B59:D68 F60:H61 C63:F74 G66:G74 H68:I74 B69:AF74 B77:AF99 B101:AF117 B119:AF137 B244:AF244 B246:B252">
    <cfRule type="expression" dxfId="2822" priority="44">
      <formula>B$9&lt;8/24</formula>
    </cfRule>
    <cfRule type="expression" dxfId="2821" priority="42">
      <formula>AND(B$9&gt;=14/24,B$9&lt;20/24)</formula>
    </cfRule>
    <cfRule type="expression" dxfId="2820" priority="43">
      <formula>AND(B$9&gt;=8/24,B$9&lt;14/24)</formula>
    </cfRule>
  </conditionalFormatting>
  <conditionalFormatting sqref="D246:AF252">
    <cfRule type="expression" dxfId="2819" priority="136">
      <formula>AND(D$9&gt;=8/24,D$9&lt;14/24)</formula>
    </cfRule>
    <cfRule type="expression" dxfId="2818" priority="135">
      <formula>AND(D$9&gt;=14/24,D$9&lt;20/24)</formula>
    </cfRule>
    <cfRule type="expression" dxfId="2817" priority="134">
      <formula>D$9&gt;=20/24</formula>
    </cfRule>
    <cfRule type="expression" dxfId="2816" priority="137">
      <formula>D$9&lt;8/24</formula>
    </cfRule>
  </conditionalFormatting>
  <conditionalFormatting sqref="E63:I67 J64:J67 K67">
    <cfRule type="expression" dxfId="2815" priority="57">
      <formula>E$9&lt;8/24</formula>
    </cfRule>
    <cfRule type="expression" dxfId="2814" priority="54">
      <formula>E$9&gt;=20/24</formula>
    </cfRule>
    <cfRule type="expression" dxfId="2813" priority="55">
      <formula>AND(E$9&gt;=14/24,E$9&lt;20/24)</formula>
    </cfRule>
    <cfRule type="expression" dxfId="2812" priority="56">
      <formula>AND(E$9&gt;=8/24,E$9&lt;14/24)</formula>
    </cfRule>
  </conditionalFormatting>
  <conditionalFormatting sqref="E11:Y11 Z11:AF17 Z19:AF52">
    <cfRule type="expression" dxfId="2811" priority="59">
      <formula>E$9&gt;=20/24</formula>
    </cfRule>
    <cfRule type="expression" dxfId="2810" priority="58">
      <formula>E11&gt;$AG11</formula>
    </cfRule>
    <cfRule type="expression" dxfId="2809" priority="60">
      <formula>AND(E$9&gt;=14/24,E$9&lt;20/24)</formula>
    </cfRule>
    <cfRule type="expression" dxfId="2808" priority="61">
      <formula>AND(E$9&gt;=8/24,E$9&lt;14/24)</formula>
    </cfRule>
    <cfRule type="expression" dxfId="2807" priority="62">
      <formula>E$9&lt;8/24</formula>
    </cfRule>
  </conditionalFormatting>
  <conditionalFormatting sqref="E68:Y68">
    <cfRule type="expression" dxfId="2806" priority="51">
      <formula>AND(E$9&gt;=8/24,E$9&lt;14/24)</formula>
    </cfRule>
    <cfRule type="expression" dxfId="2805" priority="49">
      <formula>E$9&gt;=20/24</formula>
    </cfRule>
    <cfRule type="expression" dxfId="2804" priority="52">
      <formula>E$9&lt;8/24</formula>
    </cfRule>
    <cfRule type="expression" dxfId="2803" priority="50">
      <formula>AND(E$9&gt;=14/24,E$9&lt;20/24)</formula>
    </cfRule>
  </conditionalFormatting>
  <conditionalFormatting sqref="E59:AF62">
    <cfRule type="expression" dxfId="2802" priority="68">
      <formula>E$9&gt;=20/24</formula>
    </cfRule>
    <cfRule type="expression" dxfId="2801" priority="69">
      <formula>AND(E$9&gt;=14/24,E$9&lt;20/24)</formula>
    </cfRule>
    <cfRule type="expression" dxfId="2800" priority="71">
      <formula>E$9&lt;8/24</formula>
    </cfRule>
    <cfRule type="expression" dxfId="2799" priority="70">
      <formula>AND(E$9&gt;=8/24,E$9&lt;14/24)</formula>
    </cfRule>
  </conditionalFormatting>
  <conditionalFormatting sqref="F63:L65">
    <cfRule type="expression" dxfId="2798" priority="82">
      <formula>F$9&gt;=20/24</formula>
    </cfRule>
    <cfRule type="expression" dxfId="2797" priority="85">
      <formula>F$9&lt;8/24</formula>
    </cfRule>
    <cfRule type="expression" dxfId="2796" priority="84">
      <formula>AND(F$9&gt;=8/24,F$9&lt;14/24)</formula>
    </cfRule>
    <cfRule type="expression" dxfId="2795" priority="83">
      <formula>AND(F$9&gt;=14/24,F$9&lt;20/24)</formula>
    </cfRule>
  </conditionalFormatting>
  <conditionalFormatting sqref="M8 S8 AB8">
    <cfRule type="expression" dxfId="2794" priority="141">
      <formula>AND(N$9&gt;=14/24,N$9&lt;20/24)</formula>
    </cfRule>
    <cfRule type="expression" dxfId="2793" priority="142">
      <formula>AND(N$9&gt;=8/24,N$9&lt;14/24)</formula>
    </cfRule>
    <cfRule type="expression" dxfId="2792" priority="143">
      <formula>N$9&lt;8/24</formula>
    </cfRule>
  </conditionalFormatting>
  <conditionalFormatting sqref="M63:Y67">
    <cfRule type="expression" dxfId="2791" priority="86">
      <formula>M$9&gt;=20/24</formula>
    </cfRule>
    <cfRule type="expression" dxfId="2790" priority="87">
      <formula>AND(M$9&gt;=14/24,M$9&lt;20/24)</formula>
    </cfRule>
    <cfRule type="expression" dxfId="2789" priority="88">
      <formula>AND(M$9&gt;=8/24,M$9&lt;14/24)</formula>
    </cfRule>
    <cfRule type="expression" dxfId="2788" priority="89">
      <formula>M$9&lt;8/24</formula>
    </cfRule>
  </conditionalFormatting>
  <conditionalFormatting sqref="N56:Y57">
    <cfRule type="expression" dxfId="2787" priority="46">
      <formula>N$9&gt;=20/24</formula>
    </cfRule>
    <cfRule type="expression" dxfId="2786" priority="47">
      <formula>AND(N$9&gt;=14/24,N$9&lt;20/24)</formula>
    </cfRule>
    <cfRule type="expression" dxfId="2785" priority="48">
      <formula>AND(N$9&gt;=8/24,N$9&lt;14/24)</formula>
    </cfRule>
  </conditionalFormatting>
  <conditionalFormatting sqref="O3:P3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784" priority="140">
      <formula>N$9&gt;=20/24</formula>
    </cfRule>
  </conditionalFormatting>
  <conditionalFormatting sqref="S8">
    <cfRule type="expression" dxfId="2783" priority="127">
      <formula>U$9&gt;=20/24</formula>
    </cfRule>
    <cfRule type="expression" dxfId="2782" priority="128">
      <formula>AND(U$9&gt;=14/24,U$9&lt;20/24)</formula>
    </cfRule>
    <cfRule type="expression" dxfId="2781" priority="129">
      <formula>AND(U$9&gt;=8/24,U$9&lt;14/24)</formula>
    </cfRule>
    <cfRule type="expression" dxfId="2780" priority="130">
      <formula>U$9&lt;8/24</formula>
    </cfRule>
  </conditionalFormatting>
  <conditionalFormatting sqref="V3 AB3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Z53:AF54 N53:Y55 B53:M57">
    <cfRule type="expression" dxfId="2779" priority="38">
      <formula>AND(B$9&gt;=14/24,B$9&lt;20/24)</formula>
    </cfRule>
    <cfRule type="expression" dxfId="2778" priority="39">
      <formula>AND(B$9&gt;=8/24,B$9&lt;14/24)</formula>
    </cfRule>
    <cfRule type="expression" dxfId="2777" priority="37">
      <formula>B$9&gt;=20/24</formula>
    </cfRule>
  </conditionalFormatting>
  <conditionalFormatting sqref="Z53:AF55">
    <cfRule type="expression" dxfId="2776" priority="77">
      <formula>Z53&gt;$AG53</formula>
    </cfRule>
  </conditionalFormatting>
  <conditionalFormatting sqref="Z53:AF57">
    <cfRule type="expression" dxfId="2775" priority="76">
      <formula>Z$9&lt;8/24</formula>
    </cfRule>
  </conditionalFormatting>
  <conditionalFormatting sqref="Z55:AF57">
    <cfRule type="expression" dxfId="2774" priority="65">
      <formula>AND(Z$9&gt;=14/24,Z$9&lt;20/24)</formula>
    </cfRule>
    <cfRule type="expression" dxfId="2773" priority="66">
      <formula>AND(Z$9&gt;=8/24,Z$9&lt;14/24)</formula>
    </cfRule>
    <cfRule type="expression" dxfId="2772" priority="64">
      <formula>Z$9&gt;=20/24</formula>
    </cfRule>
  </conditionalFormatting>
  <conditionalFormatting sqref="Z56:AF57">
    <cfRule type="expression" dxfId="2771" priority="63">
      <formula>Z56&gt;$AG56</formula>
    </cfRule>
  </conditionalFormatting>
  <conditionalFormatting sqref="Z63:AF68">
    <cfRule type="expression" dxfId="2770" priority="74">
      <formula>AND(Z$9&gt;=8/24,Z$9&lt;14/24)</formula>
    </cfRule>
    <cfRule type="expression" dxfId="2769" priority="75">
      <formula>Z$9&lt;8/24</formula>
    </cfRule>
    <cfRule type="expression" dxfId="2768" priority="72">
      <formula>Z$9&gt;=20/24</formula>
    </cfRule>
    <cfRule type="expression" dxfId="2767" priority="73">
      <formula>AND(Z$9&gt;=14/24,Z$9&lt;20/24)</formula>
    </cfRule>
  </conditionalFormatting>
  <conditionalFormatting sqref="AB8">
    <cfRule type="expression" dxfId="2766" priority="125">
      <formula>AND(AD$9&gt;=8/24,AD$9&lt;14/24)</formula>
    </cfRule>
    <cfRule type="expression" dxfId="2765" priority="123">
      <formula>AD$9&gt;=20/24</formula>
    </cfRule>
    <cfRule type="expression" dxfId="2764" priority="124">
      <formula>AND(AD$9&gt;=14/24,AD$9&lt;20/24)</formula>
    </cfRule>
    <cfRule type="expression" dxfId="2763" priority="126">
      <formula>AD$9&lt;8/24</formula>
    </cfRule>
  </conditionalFormatting>
  <conditionalFormatting sqref="AG58">
    <cfRule type="expression" dxfId="2762" priority="118">
      <formula>AG58&gt;$AG58</formula>
    </cfRule>
  </conditionalFormatting>
  <conditionalFormatting sqref="AG62">
    <cfRule type="expression" dxfId="2761" priority="104">
      <formula>AG$9&lt;8/24</formula>
    </cfRule>
    <cfRule type="expression" dxfId="2760" priority="102">
      <formula>AND(AG$9&gt;=14/24,AG$9&lt;20/24)</formula>
    </cfRule>
    <cfRule type="expression" dxfId="2759" priority="101">
      <formula>AG$9&gt;=20/24</formula>
    </cfRule>
    <cfRule type="expression" dxfId="2758" priority="103">
      <formula>AND(AG$9&gt;=8/24,AG$9&lt;14/24)</formula>
    </cfRule>
  </conditionalFormatting>
  <conditionalFormatting sqref="AG75:AG76">
    <cfRule type="expression" dxfId="2757" priority="96">
      <formula>AG75&gt;$AG75</formula>
    </cfRule>
  </conditionalFormatting>
  <conditionalFormatting sqref="AG80">
    <cfRule type="expression" dxfId="2756" priority="100">
      <formula>AG$9&lt;8/24</formula>
    </cfRule>
    <cfRule type="expression" dxfId="2755" priority="97">
      <formula>AG$9&gt;=20/24</formula>
    </cfRule>
    <cfRule type="expression" dxfId="2754" priority="98">
      <formula>AND(AG$9&gt;=14/24,AG$9&lt;20/24)</formula>
    </cfRule>
    <cfRule type="expression" dxfId="2753" priority="99">
      <formula>AND(AG$9&gt;=8/24,AG$9&lt;14/24)</formula>
    </cfRule>
  </conditionalFormatting>
  <conditionalFormatting sqref="AG97">
    <cfRule type="expression" dxfId="2752" priority="122">
      <formula>AG$9&lt;8/24</formula>
    </cfRule>
    <cfRule type="expression" dxfId="2751" priority="120">
      <formula>AND(AG$9&gt;=14/24,AG$9&lt;20/24)</formula>
    </cfRule>
    <cfRule type="expression" dxfId="2750" priority="119">
      <formula>AG$9&gt;=20/24</formula>
    </cfRule>
    <cfRule type="expression" dxfId="2749" priority="121">
      <formula>AND(AG$9&gt;=8/24,AG$9&lt;14/24)</formula>
    </cfRule>
  </conditionalFormatting>
  <conditionalFormatting sqref="AL4:AL6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748" priority="144">
      <formula>AJ$9&gt;=20/24</formula>
    </cfRule>
    <cfRule type="expression" dxfId="2747" priority="145">
      <formula>AND(AJ$9&gt;=14/24,AJ$9&lt;20/24)</formula>
    </cfRule>
    <cfRule type="expression" dxfId="2746" priority="146">
      <formula>AND(AJ$9&gt;=8/24,AJ$9&lt;14/24)</formula>
    </cfRule>
    <cfRule type="expression" dxfId="2745" priority="147">
      <formula>AJ$9&lt;8/24</formula>
    </cfRule>
  </conditionalFormatting>
  <conditionalFormatting sqref="AL88:AN88 AL94:AN94">
    <cfRule type="expression" dxfId="2744" priority="112">
      <formula>AND(AL$9&gt;=14/24,AL$9&lt;20/24)</formula>
    </cfRule>
    <cfRule type="expression" dxfId="2743" priority="113">
      <formula>AND(AL$9&gt;=8/24,AL$9&lt;14/24)</formula>
    </cfRule>
    <cfRule type="expression" dxfId="2742" priority="114">
      <formula>AL$9&lt;8/24</formula>
    </cfRule>
    <cfRule type="expression" dxfId="2741" priority="111">
      <formula>AL$9&gt;=20/24</formula>
    </cfRule>
  </conditionalFormatting>
  <conditionalFormatting sqref="AM15:AM21 AN16:AR21">
    <cfRule type="expression" dxfId="2740" priority="16">
      <formula>AX$9&lt;8/24</formula>
    </cfRule>
    <cfRule type="expression" dxfId="2739" priority="15">
      <formula>AND(AX$9&gt;=8/24,AX$9&lt;14/24)</formula>
    </cfRule>
    <cfRule type="expression" dxfId="2738" priority="14">
      <formula>AND(AX$9&gt;=14/24,AX$9&lt;20/24)</formula>
    </cfRule>
    <cfRule type="expression" dxfId="2737" priority="13">
      <formula>AX$9&gt;=20/24</formula>
    </cfRule>
  </conditionalFormatting>
  <conditionalFormatting sqref="AN89:AN92">
    <cfRule type="expression" dxfId="2736" priority="107">
      <formula>AN$9&gt;=20/24</formula>
    </cfRule>
    <cfRule type="expression" dxfId="2735" priority="108">
      <formula>AND(AN$9&gt;=14/24,AN$9&lt;20/24)</formula>
    </cfRule>
    <cfRule type="expression" dxfId="2734" priority="109">
      <formula>AND(AN$9&gt;=8/24,AN$9&lt;14/24)</formula>
    </cfRule>
    <cfRule type="expression" dxfId="2733" priority="110">
      <formula>AN$9&lt;8/24</formula>
    </cfRule>
  </conditionalFormatting>
  <conditionalFormatting sqref="AN15:AR15">
    <cfRule type="expression" dxfId="2732" priority="3">
      <formula>AND(U$9&gt;=8/24,U$9&lt;14/24)</formula>
    </cfRule>
    <cfRule type="expression" dxfId="2731" priority="4">
      <formula>U$9&lt;8/24</formula>
    </cfRule>
    <cfRule type="expression" dxfId="2730" priority="1">
      <formula>U$9&gt;=20/24</formula>
    </cfRule>
    <cfRule type="expression" dxfId="2729" priority="2">
      <formula>AND(U$9&gt;=14/24,U$9&lt;20/24)</formula>
    </cfRule>
  </conditionalFormatting>
  <conditionalFormatting sqref="AS15">
    <cfRule type="expression" dxfId="2728" priority="12">
      <formula>AA$9&lt;8/24</formula>
    </cfRule>
    <cfRule type="expression" dxfId="2727" priority="11">
      <formula>AND(AA$9&gt;=8/24,AA$9&lt;14/24)</formula>
    </cfRule>
    <cfRule type="expression" dxfId="2726" priority="10">
      <formula>AND(AA$9&gt;=14/24,AA$9&lt;20/24)</formula>
    </cfRule>
    <cfRule type="expression" dxfId="2725" priority="9">
      <formula>AA$9&gt;=20/24</formula>
    </cfRule>
  </conditionalFormatting>
  <conditionalFormatting sqref="AS16:AS21">
    <cfRule type="expression" dxfId="2724" priority="20">
      <formula>BE$9&lt;8/24</formula>
    </cfRule>
    <cfRule type="expression" dxfId="2723" priority="18">
      <formula>AND(BE$9&gt;=14/24,BE$9&lt;20/24)</formula>
    </cfRule>
    <cfRule type="expression" dxfId="2722" priority="17">
      <formula>BE$9&gt;=20/24</formula>
    </cfRule>
    <cfRule type="expression" dxfId="2721" priority="19">
      <formula>AND(BE$9&gt;=8/24,BE$9&lt;14/24)</formula>
    </cfRule>
  </conditionalFormatting>
  <conditionalFormatting sqref="AT15 AX15">
    <cfRule type="expression" dxfId="2720" priority="23">
      <formula>AND(AC$9&gt;=8/24,AC$9&lt;14/24)</formula>
    </cfRule>
    <cfRule type="expression" dxfId="2719" priority="22">
      <formula>AND(AC$9&gt;=14/24,AC$9&lt;20/24)</formula>
    </cfRule>
    <cfRule type="expression" dxfId="2718" priority="21">
      <formula>AC$9&gt;=20/24</formula>
    </cfRule>
    <cfRule type="expression" dxfId="2717" priority="24">
      <formula>AC$9&lt;8/24</formula>
    </cfRule>
  </conditionalFormatting>
  <conditionalFormatting sqref="AT16:AT21">
    <cfRule type="expression" dxfId="2716" priority="25">
      <formula>BG$9&gt;=20/24</formula>
    </cfRule>
    <cfRule type="expression" dxfId="2715" priority="26">
      <formula>AND(BG$9&gt;=14/24,BG$9&lt;20/24)</formula>
    </cfRule>
    <cfRule type="expression" dxfId="2714" priority="27">
      <formula>AND(BG$9&gt;=8/24,BG$9&lt;14/24)</formula>
    </cfRule>
    <cfRule type="expression" dxfId="2713" priority="28">
      <formula>BG$9&lt;8/24</formula>
    </cfRule>
  </conditionalFormatting>
  <conditionalFormatting sqref="AU15:AV15">
    <cfRule type="expression" dxfId="2712" priority="32">
      <formula>AE$9&lt;8/24</formula>
    </cfRule>
    <cfRule type="expression" dxfId="2711" priority="29">
      <formula>AE$9&gt;=20/24</formula>
    </cfRule>
    <cfRule type="expression" dxfId="2710" priority="30">
      <formula>AND(AE$9&gt;=14/24,AE$9&lt;20/24)</formula>
    </cfRule>
    <cfRule type="expression" dxfId="2709" priority="31">
      <formula>AND(AE$9&gt;=8/24,AE$9&lt;14/24)</formula>
    </cfRule>
  </conditionalFormatting>
  <conditionalFormatting sqref="AU16:AX21">
    <cfRule type="expression" dxfId="2708" priority="34">
      <formula>AND(BI$9&gt;=14/24,BI$9&lt;20/24)</formula>
    </cfRule>
    <cfRule type="expression" dxfId="2707" priority="35">
      <formula>AND(BI$9&gt;=8/24,BI$9&lt;14/24)</formula>
    </cfRule>
    <cfRule type="expression" dxfId="2706" priority="36">
      <formula>BI$9&lt;8/24</formula>
    </cfRule>
    <cfRule type="expression" dxfId="2705" priority="33">
      <formula>BI$9&gt;=20/24</formula>
    </cfRule>
  </conditionalFormatting>
  <conditionalFormatting sqref="AW15">
    <cfRule type="expression" dxfId="2704" priority="6">
      <formula>AND(B$9&gt;=14/24,B$9&lt;20/24)</formula>
    </cfRule>
    <cfRule type="expression" dxfId="2703" priority="5">
      <formula>B$9&gt;=20/24</formula>
    </cfRule>
    <cfRule type="expression" dxfId="2702" priority="8">
      <formula>B$9&lt;8/24</formula>
    </cfRule>
    <cfRule type="expression" dxfId="2701" priority="7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BF733-1BC8-46B3-A830-9B6209D52098}">
  <sheetPr codeName="Sheet12"/>
  <dimension ref="A1:CJ294"/>
  <sheetViews>
    <sheetView zoomScale="106" workbookViewId="0">
      <pane xSplit="1" ySplit="10" topLeftCell="AS79" activePane="bottomRight" state="frozen"/>
      <selection activeCell="Z63" sqref="Z63"/>
      <selection pane="topRight" activeCell="Z63" sqref="Z63"/>
      <selection pane="bottomLeft" activeCell="Z63" sqref="Z63"/>
      <selection pane="bottomRight" activeCell="BG84" sqref="BG84:BL10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2080/10/11</v>
      </c>
      <c r="C4" s="214"/>
      <c r="D4" s="214"/>
      <c r="E4" s="215" t="str">
        <f ca="1">"2080/"&amp;"10/"&amp;INT(MID(CELL("filename",G6),FIND("]",CELL("filename",G6))+1,200))</f>
        <v>2080/10/11</v>
      </c>
      <c r="F4" s="215"/>
      <c r="G4" s="215"/>
      <c r="H4" s="215" t="str">
        <f ca="1">TEXT(E4,"dddd")</f>
        <v>Friday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376.80000000000007</v>
      </c>
      <c r="C5" s="30">
        <f t="shared" ref="C5:AE5" si="0">D92</f>
        <v>371.7</v>
      </c>
      <c r="D5" s="30">
        <f t="shared" si="0"/>
        <v>380.1</v>
      </c>
      <c r="E5" s="30">
        <f t="shared" si="0"/>
        <v>304.70000000000005</v>
      </c>
      <c r="F5" s="30">
        <f t="shared" si="0"/>
        <v>329.09999999999997</v>
      </c>
      <c r="G5" s="30">
        <f t="shared" si="0"/>
        <v>394.49999999999994</v>
      </c>
      <c r="H5" s="30">
        <f t="shared" si="0"/>
        <v>408.3</v>
      </c>
      <c r="I5" s="30">
        <f t="shared" si="0"/>
        <v>377.52099999999996</v>
      </c>
      <c r="J5" s="30">
        <f t="shared" si="0"/>
        <v>346.3</v>
      </c>
      <c r="K5" s="30">
        <f t="shared" si="0"/>
        <v>335.1</v>
      </c>
      <c r="L5" s="30">
        <f t="shared" si="0"/>
        <v>357.8</v>
      </c>
      <c r="M5" s="30">
        <f t="shared" si="0"/>
        <v>369.7</v>
      </c>
      <c r="N5" s="30">
        <f t="shared" si="0"/>
        <v>339.40000000000003</v>
      </c>
      <c r="O5" s="30">
        <f t="shared" si="0"/>
        <v>326.59999999999997</v>
      </c>
      <c r="P5" s="30">
        <f t="shared" si="0"/>
        <v>336.09999999999997</v>
      </c>
      <c r="Q5" s="30">
        <f t="shared" si="0"/>
        <v>297.8</v>
      </c>
      <c r="R5" s="30">
        <f t="shared" si="0"/>
        <v>274</v>
      </c>
      <c r="S5" s="30">
        <f t="shared" si="0"/>
        <v>327.5</v>
      </c>
      <c r="T5" s="30">
        <f t="shared" si="0"/>
        <v>341</v>
      </c>
      <c r="U5" s="30">
        <f t="shared" si="0"/>
        <v>410.1</v>
      </c>
      <c r="V5" s="30">
        <f t="shared" si="0"/>
        <v>0</v>
      </c>
      <c r="W5" s="30">
        <f t="shared" si="0"/>
        <v>381.3</v>
      </c>
      <c r="X5" s="30">
        <f t="shared" si="0"/>
        <v>446.1</v>
      </c>
      <c r="Y5" s="30">
        <f t="shared" si="0"/>
        <v>387.4</v>
      </c>
      <c r="Z5" s="30">
        <f t="shared" si="0"/>
        <v>319.10000000000002</v>
      </c>
      <c r="AA5" s="30">
        <f t="shared" si="0"/>
        <v>291.89999999999998</v>
      </c>
      <c r="AB5" s="30">
        <f t="shared" si="0"/>
        <v>303.5</v>
      </c>
      <c r="AC5" s="30">
        <f t="shared" si="0"/>
        <v>292.44</v>
      </c>
      <c r="AD5" s="30">
        <f t="shared" si="0"/>
        <v>244.3</v>
      </c>
      <c r="AE5" s="30">
        <f t="shared" si="0"/>
        <v>257</v>
      </c>
      <c r="AF5" s="30">
        <f>B92</f>
        <v>395.9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1362MW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Load=154</v>
      </c>
      <c r="B7" s="35">
        <f>B100</f>
        <v>1065.19</v>
      </c>
      <c r="C7" s="35">
        <f t="shared" ref="C7:AF7" si="1">C100</f>
        <v>985.49000000000012</v>
      </c>
      <c r="D7" s="35">
        <f t="shared" si="1"/>
        <v>992.19</v>
      </c>
      <c r="E7" s="35">
        <f t="shared" si="1"/>
        <v>1000.09</v>
      </c>
      <c r="F7" s="35">
        <f t="shared" si="1"/>
        <v>987.49</v>
      </c>
      <c r="G7" s="35">
        <f t="shared" si="1"/>
        <v>981.29</v>
      </c>
      <c r="H7" s="35">
        <f t="shared" si="1"/>
        <v>1029.79</v>
      </c>
      <c r="I7" s="35">
        <f t="shared" si="1"/>
        <v>1112.8899999999999</v>
      </c>
      <c r="J7" s="35">
        <f t="shared" si="1"/>
        <v>1150.511</v>
      </c>
      <c r="K7" s="35">
        <f t="shared" si="1"/>
        <v>1209.5900000000001</v>
      </c>
      <c r="L7" s="35">
        <f t="shared" si="1"/>
        <v>1264.4900000000002</v>
      </c>
      <c r="M7" s="35">
        <f t="shared" si="1"/>
        <v>1361.89</v>
      </c>
      <c r="N7" s="35">
        <f t="shared" si="1"/>
        <v>1313.89</v>
      </c>
      <c r="O7" s="35">
        <f t="shared" si="1"/>
        <v>1237.19</v>
      </c>
      <c r="P7" s="35">
        <f t="shared" si="1"/>
        <v>1093.0899999999999</v>
      </c>
      <c r="Q7" s="35">
        <f t="shared" si="1"/>
        <v>1070.5899999999999</v>
      </c>
      <c r="R7" s="35">
        <f t="shared" si="1"/>
        <v>1062.99</v>
      </c>
      <c r="S7" s="35">
        <f t="shared" si="1"/>
        <v>1108.19</v>
      </c>
      <c r="T7" s="35">
        <f t="shared" si="1"/>
        <v>1136.29</v>
      </c>
      <c r="U7" s="35">
        <f t="shared" si="1"/>
        <v>1119.8899999999999</v>
      </c>
      <c r="V7" s="35">
        <f t="shared" si="1"/>
        <v>1145.79</v>
      </c>
      <c r="W7" s="35">
        <f t="shared" si="1"/>
        <v>153.54</v>
      </c>
      <c r="X7" s="35">
        <f t="shared" si="1"/>
        <v>1218.8899999999999</v>
      </c>
      <c r="Y7" s="35">
        <f t="shared" si="1"/>
        <v>1255.5500000000002</v>
      </c>
      <c r="Z7" s="35">
        <f t="shared" si="1"/>
        <v>1429.65</v>
      </c>
      <c r="AA7" s="35">
        <f t="shared" si="1"/>
        <v>1351.5900000000001</v>
      </c>
      <c r="AB7" s="35">
        <f t="shared" si="1"/>
        <v>1245.8899999999999</v>
      </c>
      <c r="AC7" s="35">
        <f t="shared" si="1"/>
        <v>1212.0900000000001</v>
      </c>
      <c r="AD7" s="35">
        <f t="shared" si="1"/>
        <v>1150.6300000000001</v>
      </c>
      <c r="AE7" s="35">
        <f t="shared" si="1"/>
        <v>1046.3900000000001</v>
      </c>
      <c r="AF7" s="35">
        <f t="shared" si="1"/>
        <v>990.49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1361.89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1361.89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26.1</v>
      </c>
      <c r="C11" s="46">
        <v>26.1</v>
      </c>
      <c r="D11" s="46">
        <v>26.1</v>
      </c>
      <c r="E11" s="46">
        <v>27.6</v>
      </c>
      <c r="F11" s="46">
        <v>27.6</v>
      </c>
      <c r="G11" s="46">
        <v>27.2</v>
      </c>
      <c r="H11" s="46">
        <v>27.2</v>
      </c>
      <c r="I11" s="46">
        <v>27.2</v>
      </c>
      <c r="J11" s="46">
        <v>27.7</v>
      </c>
      <c r="K11" s="46">
        <v>27.7</v>
      </c>
      <c r="L11" s="46">
        <v>27.7</v>
      </c>
      <c r="M11" s="46">
        <v>27</v>
      </c>
      <c r="N11" s="46">
        <v>26.7</v>
      </c>
      <c r="O11" s="46">
        <v>22.4</v>
      </c>
      <c r="P11" s="46">
        <v>22.4</v>
      </c>
      <c r="Q11" s="46">
        <v>22.4</v>
      </c>
      <c r="R11" s="46">
        <v>22.4</v>
      </c>
      <c r="S11" s="46">
        <v>22.4</v>
      </c>
      <c r="T11" s="46">
        <v>22.4</v>
      </c>
      <c r="U11" s="46">
        <v>22.4</v>
      </c>
      <c r="V11" s="46">
        <v>22.4</v>
      </c>
      <c r="W11" s="46"/>
      <c r="X11" s="46">
        <v>22.4</v>
      </c>
      <c r="Y11" s="46">
        <v>22.4</v>
      </c>
      <c r="Z11" s="46">
        <v>22.4</v>
      </c>
      <c r="AA11" s="46">
        <v>22.4</v>
      </c>
      <c r="AB11" s="46">
        <v>22.4</v>
      </c>
      <c r="AC11" s="46">
        <v>22.4</v>
      </c>
      <c r="AD11" s="46">
        <v>22.4</v>
      </c>
      <c r="AE11" s="46">
        <v>22.4</v>
      </c>
      <c r="AF11" s="46">
        <v>22.4</v>
      </c>
      <c r="AG11" s="47">
        <v>86</v>
      </c>
      <c r="AH11" s="48">
        <f t="shared" ref="AH11:AH16" si="2">MAX(B11:AF11)</f>
        <v>27.7</v>
      </c>
      <c r="AI11" s="49">
        <f t="shared" ref="AI11:AI16" si="3">MIN(B11:AF11)</f>
        <v>22.4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8</v>
      </c>
      <c r="C12" s="46">
        <v>8</v>
      </c>
      <c r="D12" s="46">
        <v>8</v>
      </c>
      <c r="E12" s="46">
        <v>8</v>
      </c>
      <c r="F12" s="46">
        <v>8</v>
      </c>
      <c r="G12" s="46">
        <v>8</v>
      </c>
      <c r="H12" s="46">
        <v>8</v>
      </c>
      <c r="I12" s="46">
        <v>8</v>
      </c>
      <c r="J12" s="46">
        <v>8</v>
      </c>
      <c r="K12" s="46">
        <v>8</v>
      </c>
      <c r="L12" s="46">
        <v>8</v>
      </c>
      <c r="M12" s="46">
        <v>8</v>
      </c>
      <c r="N12" s="46">
        <v>8</v>
      </c>
      <c r="O12" s="46">
        <v>8</v>
      </c>
      <c r="P12" s="46">
        <v>8</v>
      </c>
      <c r="Q12" s="46">
        <v>8</v>
      </c>
      <c r="R12" s="46">
        <v>8</v>
      </c>
      <c r="S12" s="46">
        <v>8</v>
      </c>
      <c r="T12" s="46">
        <v>8</v>
      </c>
      <c r="U12" s="46">
        <v>8</v>
      </c>
      <c r="V12" s="46">
        <v>8</v>
      </c>
      <c r="W12" s="46"/>
      <c r="X12" s="46">
        <v>8</v>
      </c>
      <c r="Y12" s="46">
        <v>8</v>
      </c>
      <c r="Z12" s="46">
        <v>8</v>
      </c>
      <c r="AA12" s="46">
        <v>8</v>
      </c>
      <c r="AB12" s="46">
        <v>8</v>
      </c>
      <c r="AC12" s="46">
        <v>8</v>
      </c>
      <c r="AD12" s="46">
        <v>8</v>
      </c>
      <c r="AE12" s="46">
        <v>8</v>
      </c>
      <c r="AF12" s="46">
        <v>8</v>
      </c>
      <c r="AG12" s="50">
        <v>54</v>
      </c>
      <c r="AH12" s="48">
        <f t="shared" si="2"/>
        <v>8</v>
      </c>
      <c r="AI12" s="49">
        <f t="shared" si="3"/>
        <v>8</v>
      </c>
      <c r="AK12" s="51"/>
      <c r="AL12" s="52" t="str">
        <f ca="1">MID(CELL("filename",C7),FIND("]",CELL("filename",C7))+1,600)</f>
        <v>11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10</v>
      </c>
      <c r="C13" s="46">
        <v>10</v>
      </c>
      <c r="D13" s="46">
        <v>10</v>
      </c>
      <c r="E13" s="46">
        <v>9.6999999999999993</v>
      </c>
      <c r="F13" s="46">
        <v>9.6999999999999993</v>
      </c>
      <c r="G13" s="46">
        <v>9.6999999999999993</v>
      </c>
      <c r="H13" s="46">
        <v>8.8000000000000007</v>
      </c>
      <c r="I13" s="46">
        <v>8.8000000000000007</v>
      </c>
      <c r="J13" s="46">
        <v>8.8000000000000007</v>
      </c>
      <c r="K13" s="46">
        <v>8.8000000000000007</v>
      </c>
      <c r="L13" s="46">
        <v>8.8000000000000007</v>
      </c>
      <c r="M13" s="46">
        <v>8.8000000000000007</v>
      </c>
      <c r="N13" s="46">
        <v>8.9</v>
      </c>
      <c r="O13" s="46">
        <v>8.9</v>
      </c>
      <c r="P13" s="46">
        <v>8.9</v>
      </c>
      <c r="Q13" s="46">
        <v>8.9</v>
      </c>
      <c r="R13" s="46">
        <v>8.9</v>
      </c>
      <c r="S13" s="46">
        <v>8.9</v>
      </c>
      <c r="T13" s="46">
        <v>8.9</v>
      </c>
      <c r="U13" s="46">
        <v>8.9</v>
      </c>
      <c r="V13" s="46">
        <v>8.9</v>
      </c>
      <c r="W13" s="46"/>
      <c r="X13" s="46">
        <v>8.9</v>
      </c>
      <c r="Y13" s="46">
        <v>8.9</v>
      </c>
      <c r="Z13" s="46">
        <v>8.9</v>
      </c>
      <c r="AA13" s="46">
        <v>8.9</v>
      </c>
      <c r="AB13" s="46">
        <v>8.9</v>
      </c>
      <c r="AC13" s="46">
        <v>8.9</v>
      </c>
      <c r="AD13" s="46">
        <v>8.9</v>
      </c>
      <c r="AE13" s="46">
        <v>8.9</v>
      </c>
      <c r="AF13" s="46">
        <v>8.9</v>
      </c>
      <c r="AG13" s="50">
        <v>54</v>
      </c>
      <c r="AH13" s="48">
        <f t="shared" si="2"/>
        <v>10</v>
      </c>
      <c r="AI13" s="49">
        <f t="shared" si="3"/>
        <v>8.8000000000000007</v>
      </c>
      <c r="AK13" s="51"/>
      <c r="AL13" s="52" t="str">
        <f ca="1">"Daily Load Curve(Excluding of Export) of Nepal ("&amp;A4&amp;" "&amp;B4&amp;")"</f>
        <v>Daily Load Curve(Excluding of Export) of Nepal (Nepali Date: 2080/10/11)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16</v>
      </c>
      <c r="C14" s="46">
        <v>16</v>
      </c>
      <c r="D14" s="46">
        <v>16</v>
      </c>
      <c r="E14" s="46">
        <v>15.2</v>
      </c>
      <c r="F14" s="46">
        <v>15.2</v>
      </c>
      <c r="G14" s="46">
        <v>15.2</v>
      </c>
      <c r="H14" s="46">
        <v>15.2</v>
      </c>
      <c r="I14" s="46">
        <v>15.2</v>
      </c>
      <c r="J14" s="46">
        <v>15.5</v>
      </c>
      <c r="K14" s="46">
        <v>15.5</v>
      </c>
      <c r="L14" s="46">
        <v>15.5</v>
      </c>
      <c r="M14" s="46">
        <v>15.5</v>
      </c>
      <c r="N14" s="46">
        <v>15.5</v>
      </c>
      <c r="O14" s="46">
        <v>15.5</v>
      </c>
      <c r="P14" s="46">
        <v>15.5</v>
      </c>
      <c r="Q14" s="46">
        <v>15.5</v>
      </c>
      <c r="R14" s="46">
        <v>15.5</v>
      </c>
      <c r="S14" s="46">
        <v>15.5</v>
      </c>
      <c r="T14" s="46">
        <v>15.5</v>
      </c>
      <c r="U14" s="46">
        <v>15.5</v>
      </c>
      <c r="V14" s="46">
        <v>15.5</v>
      </c>
      <c r="W14" s="46"/>
      <c r="X14" s="46">
        <v>15.5</v>
      </c>
      <c r="Y14" s="46">
        <v>15.5</v>
      </c>
      <c r="Z14" s="46">
        <v>15.5</v>
      </c>
      <c r="AA14" s="46">
        <v>15.5</v>
      </c>
      <c r="AB14" s="46">
        <v>15.5</v>
      </c>
      <c r="AC14" s="46">
        <v>15.5</v>
      </c>
      <c r="AD14" s="46">
        <v>15.5</v>
      </c>
      <c r="AE14" s="46">
        <v>15.5</v>
      </c>
      <c r="AF14" s="46">
        <v>15.5</v>
      </c>
      <c r="AG14" s="47">
        <v>52.4</v>
      </c>
      <c r="AH14" s="48">
        <f t="shared" si="2"/>
        <v>16</v>
      </c>
      <c r="AI14" s="49">
        <f t="shared" si="3"/>
        <v>15.2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28.5</v>
      </c>
      <c r="C15" s="46">
        <v>28.5</v>
      </c>
      <c r="D15" s="46">
        <v>28.5</v>
      </c>
      <c r="E15" s="46">
        <v>27.8</v>
      </c>
      <c r="F15" s="46">
        <v>27.8</v>
      </c>
      <c r="G15" s="46">
        <v>27.8</v>
      </c>
      <c r="H15" s="46">
        <v>27.8</v>
      </c>
      <c r="I15" s="46">
        <v>27.8</v>
      </c>
      <c r="J15" s="46">
        <v>27.8</v>
      </c>
      <c r="K15" s="46">
        <v>27.8</v>
      </c>
      <c r="L15" s="46">
        <v>27.8</v>
      </c>
      <c r="M15" s="46">
        <v>25</v>
      </c>
      <c r="N15" s="46">
        <v>25</v>
      </c>
      <c r="O15" s="46">
        <v>25</v>
      </c>
      <c r="P15" s="46">
        <v>25</v>
      </c>
      <c r="Q15" s="46">
        <v>25</v>
      </c>
      <c r="R15" s="46">
        <v>25</v>
      </c>
      <c r="S15" s="46">
        <v>25</v>
      </c>
      <c r="T15" s="46">
        <v>25</v>
      </c>
      <c r="U15" s="46">
        <v>25</v>
      </c>
      <c r="V15" s="46">
        <v>25</v>
      </c>
      <c r="W15" s="53"/>
      <c r="X15" s="53">
        <v>25</v>
      </c>
      <c r="Y15" s="53">
        <v>25</v>
      </c>
      <c r="Z15" s="53">
        <v>25</v>
      </c>
      <c r="AA15" s="53">
        <v>25</v>
      </c>
      <c r="AB15" s="53">
        <v>25</v>
      </c>
      <c r="AC15" s="53">
        <v>25</v>
      </c>
      <c r="AD15" s="53">
        <v>25</v>
      </c>
      <c r="AE15" s="53">
        <v>25</v>
      </c>
      <c r="AF15" s="53">
        <v>25</v>
      </c>
      <c r="AG15" s="50">
        <v>50</v>
      </c>
      <c r="AH15" s="48">
        <f t="shared" si="2"/>
        <v>28.5</v>
      </c>
      <c r="AI15" s="49">
        <f t="shared" si="3"/>
        <v>25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9.4</v>
      </c>
      <c r="C16" s="46">
        <v>9.4</v>
      </c>
      <c r="D16" s="46">
        <v>9.4</v>
      </c>
      <c r="E16" s="46">
        <v>9.3000000000000007</v>
      </c>
      <c r="F16" s="46">
        <v>9.3000000000000007</v>
      </c>
      <c r="G16" s="46">
        <v>9.3000000000000007</v>
      </c>
      <c r="H16" s="46">
        <v>9.3000000000000007</v>
      </c>
      <c r="I16" s="46">
        <v>9.3000000000000007</v>
      </c>
      <c r="J16" s="46">
        <v>9.3000000000000007</v>
      </c>
      <c r="K16" s="46">
        <v>9.3000000000000007</v>
      </c>
      <c r="L16" s="46">
        <v>9.3000000000000007</v>
      </c>
      <c r="M16" s="46">
        <v>0</v>
      </c>
      <c r="N16" s="46">
        <v>0</v>
      </c>
      <c r="O16" s="46">
        <v>0</v>
      </c>
      <c r="P16" s="46">
        <v>0</v>
      </c>
      <c r="Q16" s="46">
        <v>0</v>
      </c>
      <c r="R16" s="46">
        <v>0</v>
      </c>
      <c r="S16" s="46">
        <v>0</v>
      </c>
      <c r="T16" s="46">
        <v>0</v>
      </c>
      <c r="U16" s="46">
        <v>14.3</v>
      </c>
      <c r="V16" s="46">
        <v>14.3</v>
      </c>
      <c r="W16" s="46"/>
      <c r="X16" s="46">
        <v>14.3</v>
      </c>
      <c r="Y16" s="46">
        <v>14.3</v>
      </c>
      <c r="Z16" s="46">
        <v>14.3</v>
      </c>
      <c r="AA16" s="46">
        <v>14.3</v>
      </c>
      <c r="AB16" s="46">
        <v>14.3</v>
      </c>
      <c r="AC16" s="46">
        <v>14.3</v>
      </c>
      <c r="AD16" s="46">
        <v>14.3</v>
      </c>
      <c r="AE16" s="46">
        <v>14.3</v>
      </c>
      <c r="AF16" s="46">
        <v>14.3</v>
      </c>
      <c r="AG16" s="50">
        <v>45</v>
      </c>
      <c r="AH16" s="48">
        <f t="shared" si="2"/>
        <v>14.3</v>
      </c>
      <c r="AI16" s="49">
        <f t="shared" si="3"/>
        <v>0</v>
      </c>
      <c r="AK16" s="51"/>
      <c r="AL16" s="54" t="s">
        <v>7</v>
      </c>
      <c r="AM16" s="59">
        <f>B58</f>
        <v>447.05</v>
      </c>
      <c r="AN16" s="59">
        <f t="shared" ref="AN16:AR16" si="4">C58</f>
        <v>447.05</v>
      </c>
      <c r="AO16" s="59">
        <f t="shared" si="4"/>
        <v>447.05</v>
      </c>
      <c r="AP16" s="59">
        <f t="shared" si="4"/>
        <v>446.65</v>
      </c>
      <c r="AQ16" s="59">
        <f t="shared" si="4"/>
        <v>446.65</v>
      </c>
      <c r="AR16" s="59">
        <f t="shared" si="4"/>
        <v>446.25</v>
      </c>
      <c r="AS16" s="59">
        <f>I58</f>
        <v>445.34999999999997</v>
      </c>
      <c r="AT16" s="59">
        <f>K58</f>
        <v>461.15000000000003</v>
      </c>
      <c r="AU16" s="59">
        <f t="shared" ref="AU16:AX16" si="5">M58</f>
        <v>444.55</v>
      </c>
      <c r="AV16" s="59">
        <f t="shared" si="5"/>
        <v>441.65000000000003</v>
      </c>
      <c r="AW16" s="59">
        <f t="shared" si="5"/>
        <v>437.35</v>
      </c>
      <c r="AX16" s="59">
        <f t="shared" si="5"/>
        <v>437.35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0</v>
      </c>
      <c r="C17" s="46">
        <v>0</v>
      </c>
      <c r="D17" s="46">
        <v>0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15</v>
      </c>
      <c r="L17" s="46">
        <v>12</v>
      </c>
      <c r="M17" s="46">
        <v>12</v>
      </c>
      <c r="N17" s="46">
        <v>12</v>
      </c>
      <c r="O17" s="46">
        <v>12</v>
      </c>
      <c r="P17" s="46">
        <v>12</v>
      </c>
      <c r="Q17" s="46">
        <v>12</v>
      </c>
      <c r="R17" s="46">
        <v>12</v>
      </c>
      <c r="S17" s="46">
        <v>12</v>
      </c>
      <c r="T17" s="46">
        <v>12</v>
      </c>
      <c r="U17" s="46">
        <v>12</v>
      </c>
      <c r="V17" s="46">
        <v>12</v>
      </c>
      <c r="W17" s="46"/>
      <c r="X17" s="46">
        <v>12</v>
      </c>
      <c r="Y17" s="46">
        <v>12</v>
      </c>
      <c r="Z17" s="46">
        <v>12</v>
      </c>
      <c r="AA17" s="46">
        <v>12</v>
      </c>
      <c r="AB17" s="46">
        <v>12</v>
      </c>
      <c r="AC17" s="46">
        <v>12</v>
      </c>
      <c r="AD17" s="46">
        <v>12</v>
      </c>
      <c r="AE17" s="46">
        <v>12</v>
      </c>
      <c r="AF17" s="46">
        <v>12</v>
      </c>
      <c r="AG17" s="50">
        <v>44</v>
      </c>
      <c r="AH17" s="48">
        <f>MAX(B17:AG17)</f>
        <v>44</v>
      </c>
      <c r="AI17" s="49">
        <f>MIN(B17:AG17)</f>
        <v>0</v>
      </c>
      <c r="AK17" s="51"/>
      <c r="AL17" s="54" t="s">
        <v>27</v>
      </c>
      <c r="AM17" s="59">
        <f>B62</f>
        <v>69.2</v>
      </c>
      <c r="AN17" s="59">
        <f t="shared" ref="AN17:AR17" si="6">C62</f>
        <v>55.2</v>
      </c>
      <c r="AO17" s="59">
        <f t="shared" si="6"/>
        <v>54.2</v>
      </c>
      <c r="AP17" s="59">
        <f t="shared" si="6"/>
        <v>54.2</v>
      </c>
      <c r="AQ17" s="59">
        <f t="shared" si="6"/>
        <v>102.4</v>
      </c>
      <c r="AR17" s="59">
        <f t="shared" si="6"/>
        <v>87.1</v>
      </c>
      <c r="AS17" s="59">
        <f>I62</f>
        <v>52.1</v>
      </c>
      <c r="AT17" s="59">
        <f>K62</f>
        <v>121.39999999999999</v>
      </c>
      <c r="AU17" s="59">
        <f t="shared" ref="AU17:AX17" si="7">M62</f>
        <v>267.3</v>
      </c>
      <c r="AV17" s="59">
        <f t="shared" si="7"/>
        <v>181.9</v>
      </c>
      <c r="AW17" s="59">
        <f t="shared" si="7"/>
        <v>157.5</v>
      </c>
      <c r="AX17" s="59">
        <f t="shared" si="7"/>
        <v>77.3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7.5</v>
      </c>
      <c r="C18" s="46">
        <v>7.5</v>
      </c>
      <c r="D18" s="46">
        <v>7.5</v>
      </c>
      <c r="E18" s="46">
        <v>7.5</v>
      </c>
      <c r="F18" s="46">
        <v>7.5</v>
      </c>
      <c r="G18" s="46">
        <v>7.5</v>
      </c>
      <c r="H18" s="46">
        <v>7.5</v>
      </c>
      <c r="I18" s="46">
        <v>7.5</v>
      </c>
      <c r="J18" s="46">
        <v>7.5</v>
      </c>
      <c r="K18" s="46">
        <v>7.5</v>
      </c>
      <c r="L18" s="46">
        <v>7.5</v>
      </c>
      <c r="M18" s="46">
        <v>6.5</v>
      </c>
      <c r="N18" s="46">
        <v>6.5</v>
      </c>
      <c r="O18" s="46">
        <v>6.5</v>
      </c>
      <c r="P18" s="46">
        <v>6.5</v>
      </c>
      <c r="Q18" s="46">
        <v>6.5</v>
      </c>
      <c r="R18" s="46">
        <v>6.5</v>
      </c>
      <c r="S18" s="46">
        <v>6.5</v>
      </c>
      <c r="T18" s="46">
        <v>6.5</v>
      </c>
      <c r="U18" s="46">
        <v>6.5</v>
      </c>
      <c r="V18" s="46">
        <v>6.5</v>
      </c>
      <c r="W18" s="46"/>
      <c r="X18" s="46">
        <v>6.5</v>
      </c>
      <c r="Y18" s="46">
        <v>6.5</v>
      </c>
      <c r="Z18" s="46">
        <v>6.5</v>
      </c>
      <c r="AA18" s="46">
        <v>6.5</v>
      </c>
      <c r="AB18" s="46">
        <v>6.5</v>
      </c>
      <c r="AC18" s="46">
        <v>6.5</v>
      </c>
      <c r="AD18" s="46">
        <v>6.5</v>
      </c>
      <c r="AE18" s="46">
        <v>6.5</v>
      </c>
      <c r="AF18" s="46">
        <v>6.5</v>
      </c>
      <c r="AG18" s="50">
        <v>42</v>
      </c>
      <c r="AH18" s="48">
        <f t="shared" ref="AH18:AH81" si="8">MAX(B18:AF18)</f>
        <v>7.5</v>
      </c>
      <c r="AI18" s="49">
        <f t="shared" ref="AI18:AI81" si="9">MIN(B18:AF18)</f>
        <v>6.5</v>
      </c>
      <c r="AK18" s="51"/>
      <c r="AL18" s="54" t="s">
        <v>29</v>
      </c>
      <c r="AM18" s="59">
        <f>B76</f>
        <v>153.04</v>
      </c>
      <c r="AN18" s="59">
        <f t="shared" ref="AN18:AR18" si="10">C76</f>
        <v>106.44</v>
      </c>
      <c r="AO18" s="59">
        <f t="shared" si="10"/>
        <v>119.24000000000001</v>
      </c>
      <c r="AP18" s="59">
        <f t="shared" si="10"/>
        <v>119.14</v>
      </c>
      <c r="AQ18" s="59">
        <f t="shared" si="10"/>
        <v>133.73999999999998</v>
      </c>
      <c r="AR18" s="59">
        <f t="shared" si="10"/>
        <v>118.84</v>
      </c>
      <c r="AS18" s="59">
        <f>I76</f>
        <v>207.14</v>
      </c>
      <c r="AT18" s="59">
        <f>K76</f>
        <v>280.74</v>
      </c>
      <c r="AU18" s="59">
        <f t="shared" ref="AU18:AX18" si="11">M76</f>
        <v>292.24</v>
      </c>
      <c r="AV18" s="59">
        <f t="shared" si="11"/>
        <v>320.64</v>
      </c>
      <c r="AW18" s="59">
        <f t="shared" si="11"/>
        <v>303.94000000000005</v>
      </c>
      <c r="AX18" s="59">
        <f t="shared" si="11"/>
        <v>251.83999999999997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14.5</v>
      </c>
      <c r="C19" s="46">
        <v>14.5</v>
      </c>
      <c r="D19" s="46">
        <v>14.5</v>
      </c>
      <c r="E19" s="46">
        <v>14.5</v>
      </c>
      <c r="F19" s="46">
        <v>14.5</v>
      </c>
      <c r="G19" s="46">
        <v>14.5</v>
      </c>
      <c r="H19" s="46">
        <v>14.5</v>
      </c>
      <c r="I19" s="46">
        <v>14.5</v>
      </c>
      <c r="J19" s="46">
        <v>14.5</v>
      </c>
      <c r="K19" s="46">
        <v>14.5</v>
      </c>
      <c r="L19" s="46">
        <v>14.5</v>
      </c>
      <c r="M19" s="46">
        <v>14.5</v>
      </c>
      <c r="N19" s="46">
        <v>14.5</v>
      </c>
      <c r="O19" s="46">
        <v>14.5</v>
      </c>
      <c r="P19" s="46">
        <v>14.5</v>
      </c>
      <c r="Q19" s="46">
        <v>14.5</v>
      </c>
      <c r="R19" s="46">
        <v>14.5</v>
      </c>
      <c r="S19" s="46">
        <v>14.5</v>
      </c>
      <c r="T19" s="46">
        <v>14.5</v>
      </c>
      <c r="U19" s="46">
        <v>14.5</v>
      </c>
      <c r="V19" s="46">
        <v>14.5</v>
      </c>
      <c r="W19" s="46"/>
      <c r="X19" s="46">
        <v>14.5</v>
      </c>
      <c r="Y19" s="46">
        <v>14.5</v>
      </c>
      <c r="Z19" s="46">
        <v>14.5</v>
      </c>
      <c r="AA19" s="46">
        <v>14.5</v>
      </c>
      <c r="AB19" s="46">
        <v>14.5</v>
      </c>
      <c r="AC19" s="46">
        <v>14.5</v>
      </c>
      <c r="AD19" s="46">
        <v>14.5</v>
      </c>
      <c r="AE19" s="46">
        <v>14.5</v>
      </c>
      <c r="AF19" s="46">
        <v>14.5</v>
      </c>
      <c r="AG19" s="50">
        <v>38.46</v>
      </c>
      <c r="AH19" s="48">
        <f t="shared" si="8"/>
        <v>14.5</v>
      </c>
      <c r="AI19" s="49">
        <f t="shared" si="9"/>
        <v>14.5</v>
      </c>
      <c r="AK19" s="51"/>
      <c r="AL19" s="54" t="s">
        <v>31</v>
      </c>
      <c r="AM19" s="59">
        <f>B92</f>
        <v>395.9</v>
      </c>
      <c r="AN19" s="59">
        <f t="shared" ref="AN19:AR19" si="12">C92</f>
        <v>376.80000000000007</v>
      </c>
      <c r="AO19" s="59">
        <f t="shared" si="12"/>
        <v>371.7</v>
      </c>
      <c r="AP19" s="59">
        <f t="shared" si="12"/>
        <v>380.1</v>
      </c>
      <c r="AQ19" s="59">
        <f t="shared" si="12"/>
        <v>304.70000000000005</v>
      </c>
      <c r="AR19" s="59">
        <f t="shared" si="12"/>
        <v>329.09999999999997</v>
      </c>
      <c r="AS19" s="59">
        <f>I92</f>
        <v>408.3</v>
      </c>
      <c r="AT19" s="59">
        <f>K92</f>
        <v>346.3</v>
      </c>
      <c r="AU19" s="59">
        <f t="shared" ref="AU19:AX19" si="13">M92</f>
        <v>357.8</v>
      </c>
      <c r="AV19" s="59">
        <f t="shared" si="13"/>
        <v>369.7</v>
      </c>
      <c r="AW19" s="59">
        <f t="shared" si="13"/>
        <v>339.40000000000003</v>
      </c>
      <c r="AX19" s="59">
        <f t="shared" si="13"/>
        <v>326.59999999999997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7.8</v>
      </c>
      <c r="C20" s="46">
        <v>7.8</v>
      </c>
      <c r="D20" s="46">
        <v>7.8</v>
      </c>
      <c r="E20" s="46">
        <v>7.8</v>
      </c>
      <c r="F20" s="46">
        <v>7.8</v>
      </c>
      <c r="G20" s="46">
        <v>7.8</v>
      </c>
      <c r="H20" s="46">
        <v>7.8</v>
      </c>
      <c r="I20" s="46">
        <v>7.8</v>
      </c>
      <c r="J20" s="46">
        <v>7.8</v>
      </c>
      <c r="K20" s="46">
        <v>7.8</v>
      </c>
      <c r="L20" s="46">
        <v>7.8</v>
      </c>
      <c r="M20" s="46">
        <v>7.8</v>
      </c>
      <c r="N20" s="46">
        <v>7.8</v>
      </c>
      <c r="O20" s="46">
        <v>7.8</v>
      </c>
      <c r="P20" s="46">
        <v>7.8</v>
      </c>
      <c r="Q20" s="46">
        <v>7.8</v>
      </c>
      <c r="R20" s="46">
        <v>7.8</v>
      </c>
      <c r="S20" s="46">
        <v>7.8</v>
      </c>
      <c r="T20" s="46">
        <v>7.8</v>
      </c>
      <c r="U20" s="46">
        <v>7.8</v>
      </c>
      <c r="V20" s="46">
        <v>7.8</v>
      </c>
      <c r="W20" s="46"/>
      <c r="X20" s="46">
        <v>7.8</v>
      </c>
      <c r="Y20" s="46">
        <v>7.8</v>
      </c>
      <c r="Z20" s="46">
        <v>7.8</v>
      </c>
      <c r="AA20" s="46">
        <v>7.8</v>
      </c>
      <c r="AB20" s="46">
        <v>7.8</v>
      </c>
      <c r="AC20" s="46">
        <v>7.8</v>
      </c>
      <c r="AD20" s="46">
        <v>7.8</v>
      </c>
      <c r="AE20" s="46">
        <v>7.8</v>
      </c>
      <c r="AF20" s="46">
        <v>7.8</v>
      </c>
      <c r="AG20" s="50">
        <v>38.46</v>
      </c>
      <c r="AH20" s="48">
        <f t="shared" si="8"/>
        <v>7.8</v>
      </c>
      <c r="AI20" s="49">
        <f t="shared" si="9"/>
        <v>7.8</v>
      </c>
      <c r="AK20" s="51"/>
      <c r="AL20" s="54" t="s">
        <v>33</v>
      </c>
      <c r="AM20" s="59">
        <f>B80</f>
        <v>0</v>
      </c>
      <c r="AN20" s="59">
        <f t="shared" ref="AN20:AR20" si="14">C80</f>
        <v>0</v>
      </c>
      <c r="AO20" s="59">
        <f t="shared" si="14"/>
        <v>0</v>
      </c>
      <c r="AP20" s="59">
        <f t="shared" si="14"/>
        <v>0</v>
      </c>
      <c r="AQ20" s="59">
        <f t="shared" si="14"/>
        <v>0</v>
      </c>
      <c r="AR20" s="59">
        <f t="shared" si="14"/>
        <v>0</v>
      </c>
      <c r="AS20" s="59">
        <f>I80</f>
        <v>0</v>
      </c>
      <c r="AT20" s="59">
        <f>K80</f>
        <v>0</v>
      </c>
      <c r="AU20" s="59">
        <f t="shared" ref="AU20:AX20" si="15">M80</f>
        <v>0</v>
      </c>
      <c r="AV20" s="59">
        <f t="shared" si="15"/>
        <v>0</v>
      </c>
      <c r="AW20" s="59">
        <f t="shared" si="15"/>
        <v>0</v>
      </c>
      <c r="AX20" s="59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13</v>
      </c>
      <c r="C21" s="46">
        <v>13</v>
      </c>
      <c r="D21" s="46">
        <v>13</v>
      </c>
      <c r="E21" s="46">
        <v>13</v>
      </c>
      <c r="F21" s="46">
        <v>13</v>
      </c>
      <c r="G21" s="46">
        <v>13</v>
      </c>
      <c r="H21" s="46">
        <v>13</v>
      </c>
      <c r="I21" s="46">
        <v>13</v>
      </c>
      <c r="J21" s="46">
        <v>13</v>
      </c>
      <c r="K21" s="46">
        <v>13</v>
      </c>
      <c r="L21" s="46">
        <v>13</v>
      </c>
      <c r="M21" s="46">
        <v>13</v>
      </c>
      <c r="N21" s="46">
        <v>13</v>
      </c>
      <c r="O21" s="46">
        <v>13</v>
      </c>
      <c r="P21" s="46">
        <v>13</v>
      </c>
      <c r="Q21" s="46">
        <v>13</v>
      </c>
      <c r="R21" s="46">
        <v>13</v>
      </c>
      <c r="S21" s="46">
        <v>13</v>
      </c>
      <c r="T21" s="46">
        <v>13</v>
      </c>
      <c r="U21" s="46">
        <v>13</v>
      </c>
      <c r="V21" s="46">
        <v>13</v>
      </c>
      <c r="W21" s="46"/>
      <c r="X21" s="46">
        <v>13</v>
      </c>
      <c r="Y21" s="46">
        <v>13</v>
      </c>
      <c r="Z21" s="46">
        <v>13</v>
      </c>
      <c r="AA21" s="46">
        <v>13</v>
      </c>
      <c r="AB21" s="46">
        <v>13</v>
      </c>
      <c r="AC21" s="46">
        <v>13</v>
      </c>
      <c r="AD21" s="46">
        <v>13</v>
      </c>
      <c r="AE21" s="46">
        <v>13</v>
      </c>
      <c r="AF21" s="46">
        <v>13</v>
      </c>
      <c r="AG21" s="50">
        <v>36</v>
      </c>
      <c r="AH21" s="48">
        <f t="shared" si="8"/>
        <v>13</v>
      </c>
      <c r="AI21" s="49">
        <f t="shared" si="9"/>
        <v>13</v>
      </c>
      <c r="AK21" s="51"/>
      <c r="AL21" s="54" t="s">
        <v>35</v>
      </c>
      <c r="AM21" s="59">
        <f>B98</f>
        <v>0</v>
      </c>
      <c r="AN21" s="59">
        <f t="shared" ref="AN21:AR21" si="16">C98</f>
        <v>0</v>
      </c>
      <c r="AO21" s="59">
        <f t="shared" si="16"/>
        <v>0</v>
      </c>
      <c r="AP21" s="59">
        <f t="shared" si="16"/>
        <v>0</v>
      </c>
      <c r="AQ21" s="59">
        <f t="shared" si="16"/>
        <v>0</v>
      </c>
      <c r="AR21" s="59">
        <f t="shared" si="16"/>
        <v>0</v>
      </c>
      <c r="AS21" s="59">
        <f>I98</f>
        <v>0</v>
      </c>
      <c r="AT21" s="59">
        <f>K98</f>
        <v>0</v>
      </c>
      <c r="AU21" s="59">
        <f t="shared" ref="AU21:AX21" si="17">M98</f>
        <v>0</v>
      </c>
      <c r="AV21" s="59">
        <f t="shared" si="17"/>
        <v>0</v>
      </c>
      <c r="AW21" s="59">
        <f t="shared" si="17"/>
        <v>0</v>
      </c>
      <c r="AX21" s="59">
        <f t="shared" si="17"/>
        <v>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7.3</v>
      </c>
      <c r="C22" s="46">
        <v>7.3</v>
      </c>
      <c r="D22" s="46">
        <v>7.3</v>
      </c>
      <c r="E22" s="46">
        <v>7.3</v>
      </c>
      <c r="F22" s="46">
        <v>7.3</v>
      </c>
      <c r="G22" s="46">
        <v>7.3</v>
      </c>
      <c r="H22" s="46">
        <v>7.3</v>
      </c>
      <c r="I22" s="46">
        <v>7.3</v>
      </c>
      <c r="J22" s="46">
        <v>7.3</v>
      </c>
      <c r="K22" s="46">
        <v>7.3</v>
      </c>
      <c r="L22" s="46">
        <v>7.3</v>
      </c>
      <c r="M22" s="46">
        <v>6.9</v>
      </c>
      <c r="N22" s="46">
        <v>6.9</v>
      </c>
      <c r="O22" s="46">
        <v>6.9</v>
      </c>
      <c r="P22" s="46">
        <v>6.9</v>
      </c>
      <c r="Q22" s="46">
        <v>6.9</v>
      </c>
      <c r="R22" s="46">
        <v>6.9</v>
      </c>
      <c r="S22" s="46">
        <v>6.9</v>
      </c>
      <c r="T22" s="46">
        <v>6.9</v>
      </c>
      <c r="U22" s="46">
        <v>6.9</v>
      </c>
      <c r="V22" s="46">
        <v>6.9</v>
      </c>
      <c r="W22" s="46"/>
      <c r="X22" s="46">
        <v>6.9</v>
      </c>
      <c r="Y22" s="46">
        <v>6.9</v>
      </c>
      <c r="Z22" s="46">
        <v>6.9</v>
      </c>
      <c r="AA22" s="46">
        <v>6.9</v>
      </c>
      <c r="AB22" s="46">
        <v>6.9</v>
      </c>
      <c r="AC22" s="46">
        <v>6.9</v>
      </c>
      <c r="AD22" s="46">
        <v>6.9</v>
      </c>
      <c r="AE22" s="46">
        <v>6.9</v>
      </c>
      <c r="AF22" s="46">
        <v>6.9</v>
      </c>
      <c r="AG22" s="60">
        <v>30</v>
      </c>
      <c r="AH22" s="48">
        <f t="shared" si="8"/>
        <v>7.3</v>
      </c>
      <c r="AI22" s="49">
        <f t="shared" si="9"/>
        <v>6.9</v>
      </c>
      <c r="AK22" s="51"/>
      <c r="AL22" s="61" t="s">
        <v>37</v>
      </c>
      <c r="AM22" s="62">
        <f>SUM(AM16:AM21)</f>
        <v>1065.19</v>
      </c>
      <c r="AN22" s="62">
        <f t="shared" ref="AN22:AX22" si="18">SUM(AN16:AN21)</f>
        <v>985.49000000000012</v>
      </c>
      <c r="AO22" s="62">
        <f t="shared" si="18"/>
        <v>992.19</v>
      </c>
      <c r="AP22" s="62">
        <f t="shared" si="18"/>
        <v>1000.09</v>
      </c>
      <c r="AQ22" s="62">
        <f t="shared" si="18"/>
        <v>987.49</v>
      </c>
      <c r="AR22" s="62">
        <f t="shared" si="18"/>
        <v>981.29</v>
      </c>
      <c r="AS22" s="62">
        <f t="shared" si="18"/>
        <v>1112.8899999999999</v>
      </c>
      <c r="AT22" s="62">
        <f t="shared" si="18"/>
        <v>1209.5900000000001</v>
      </c>
      <c r="AU22" s="62">
        <f t="shared" si="18"/>
        <v>1361.89</v>
      </c>
      <c r="AV22" s="62">
        <f t="shared" si="18"/>
        <v>1313.89</v>
      </c>
      <c r="AW22" s="62">
        <f t="shared" si="18"/>
        <v>1238.19</v>
      </c>
      <c r="AX22" s="62">
        <f t="shared" si="18"/>
        <v>1093.0899999999999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5.5</v>
      </c>
      <c r="C23" s="46">
        <v>5.5</v>
      </c>
      <c r="D23" s="46">
        <v>5.5</v>
      </c>
      <c r="E23" s="46">
        <v>5.5</v>
      </c>
      <c r="F23" s="46">
        <v>5.5</v>
      </c>
      <c r="G23" s="46">
        <v>5.5</v>
      </c>
      <c r="H23" s="46">
        <v>5.5</v>
      </c>
      <c r="I23" s="46">
        <v>5.5</v>
      </c>
      <c r="J23" s="46">
        <v>5.5</v>
      </c>
      <c r="K23" s="46">
        <v>5.5</v>
      </c>
      <c r="L23" s="46">
        <v>5.5</v>
      </c>
      <c r="M23" s="46">
        <v>5.5</v>
      </c>
      <c r="N23" s="46">
        <v>5.5</v>
      </c>
      <c r="O23" s="46">
        <v>5.5</v>
      </c>
      <c r="P23" s="46">
        <v>5.5</v>
      </c>
      <c r="Q23" s="46">
        <v>5.5</v>
      </c>
      <c r="R23" s="46">
        <v>5.5</v>
      </c>
      <c r="S23" s="46">
        <v>5.5</v>
      </c>
      <c r="T23" s="46">
        <v>5.5</v>
      </c>
      <c r="U23" s="46">
        <v>5.5</v>
      </c>
      <c r="V23" s="46">
        <v>5.5</v>
      </c>
      <c r="W23" s="46"/>
      <c r="X23" s="46">
        <v>5.5</v>
      </c>
      <c r="Y23" s="46">
        <v>5.5</v>
      </c>
      <c r="Z23" s="46">
        <v>5.5</v>
      </c>
      <c r="AA23" s="46">
        <v>5.5</v>
      </c>
      <c r="AB23" s="46">
        <v>5.5</v>
      </c>
      <c r="AC23" s="46">
        <v>5.5</v>
      </c>
      <c r="AD23" s="46">
        <v>5.5</v>
      </c>
      <c r="AE23" s="46">
        <v>5.5</v>
      </c>
      <c r="AF23" s="46">
        <v>5.5</v>
      </c>
      <c r="AG23" s="50">
        <v>24.2</v>
      </c>
      <c r="AH23" s="48">
        <f t="shared" si="8"/>
        <v>5.5</v>
      </c>
      <c r="AI23" s="49">
        <f t="shared" si="9"/>
        <v>5.5</v>
      </c>
      <c r="AK23" s="51"/>
      <c r="AL23" s="61" t="s">
        <v>39</v>
      </c>
      <c r="AM23" s="62">
        <f>B107*-1</f>
        <v>0</v>
      </c>
      <c r="AN23" s="62">
        <f t="shared" ref="AN23:AR23" si="19">C107*-1</f>
        <v>0</v>
      </c>
      <c r="AO23" s="62">
        <f t="shared" si="19"/>
        <v>0</v>
      </c>
      <c r="AP23" s="62">
        <f t="shared" si="19"/>
        <v>0</v>
      </c>
      <c r="AQ23" s="62">
        <f t="shared" si="19"/>
        <v>0</v>
      </c>
      <c r="AR23" s="62">
        <f t="shared" si="19"/>
        <v>0</v>
      </c>
      <c r="AS23" s="62">
        <f>I107*-1</f>
        <v>0</v>
      </c>
      <c r="AT23" s="62">
        <f>K107*-1</f>
        <v>0</v>
      </c>
      <c r="AU23" s="62">
        <f t="shared" ref="AU23:AX23" si="20">M107*-1</f>
        <v>0</v>
      </c>
      <c r="AV23" s="62">
        <f t="shared" si="20"/>
        <v>0</v>
      </c>
      <c r="AW23" s="62">
        <f t="shared" si="20"/>
        <v>-1</v>
      </c>
      <c r="AX23" s="62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5.7</v>
      </c>
      <c r="C24" s="46">
        <v>5.7</v>
      </c>
      <c r="D24" s="46">
        <v>5.7</v>
      </c>
      <c r="E24" s="46">
        <v>5.7</v>
      </c>
      <c r="F24" s="46">
        <v>5.7</v>
      </c>
      <c r="G24" s="46">
        <v>5.7</v>
      </c>
      <c r="H24" s="46">
        <v>5.7</v>
      </c>
      <c r="I24" s="46">
        <v>5.7</v>
      </c>
      <c r="J24" s="46">
        <v>5.7</v>
      </c>
      <c r="K24" s="46">
        <v>5.7</v>
      </c>
      <c r="L24" s="46">
        <v>5.7</v>
      </c>
      <c r="M24" s="46">
        <v>7.3</v>
      </c>
      <c r="N24" s="46">
        <v>7.3</v>
      </c>
      <c r="O24" s="46">
        <v>7.3</v>
      </c>
      <c r="P24" s="46">
        <v>7.3</v>
      </c>
      <c r="Q24" s="46">
        <v>7.3</v>
      </c>
      <c r="R24" s="46">
        <v>7.3</v>
      </c>
      <c r="S24" s="46">
        <v>7.3</v>
      </c>
      <c r="T24" s="46">
        <v>7.3</v>
      </c>
      <c r="U24" s="46">
        <v>7.3</v>
      </c>
      <c r="V24" s="46">
        <v>7.3</v>
      </c>
      <c r="W24" s="46"/>
      <c r="X24" s="46">
        <v>7.3</v>
      </c>
      <c r="Y24" s="46">
        <v>7.3</v>
      </c>
      <c r="Z24" s="46">
        <v>7.3</v>
      </c>
      <c r="AA24" s="46">
        <v>7.3</v>
      </c>
      <c r="AB24" s="46">
        <v>7.3</v>
      </c>
      <c r="AC24" s="46">
        <v>7.3</v>
      </c>
      <c r="AD24" s="46">
        <v>7.3</v>
      </c>
      <c r="AE24" s="46">
        <v>7.3</v>
      </c>
      <c r="AF24" s="46">
        <v>7.3</v>
      </c>
      <c r="AG24" s="50">
        <v>28</v>
      </c>
      <c r="AH24" s="48">
        <f t="shared" si="8"/>
        <v>7.3</v>
      </c>
      <c r="AI24" s="49">
        <f t="shared" si="9"/>
        <v>5.7</v>
      </c>
      <c r="AK24" s="51"/>
      <c r="AL24" s="61" t="s">
        <v>41</v>
      </c>
      <c r="AM24" s="62">
        <f>AM22+AM23</f>
        <v>1065.19</v>
      </c>
      <c r="AN24" s="62">
        <f t="shared" ref="AN24:AX24" si="21">AN22+AN23</f>
        <v>985.49000000000012</v>
      </c>
      <c r="AO24" s="62">
        <f t="shared" si="21"/>
        <v>992.19</v>
      </c>
      <c r="AP24" s="62">
        <f t="shared" si="21"/>
        <v>1000.09</v>
      </c>
      <c r="AQ24" s="62">
        <f t="shared" si="21"/>
        <v>987.49</v>
      </c>
      <c r="AR24" s="62">
        <f t="shared" si="21"/>
        <v>981.29</v>
      </c>
      <c r="AS24" s="62">
        <f t="shared" si="21"/>
        <v>1112.8899999999999</v>
      </c>
      <c r="AT24" s="62">
        <f t="shared" si="21"/>
        <v>1209.5900000000001</v>
      </c>
      <c r="AU24" s="62">
        <f t="shared" si="21"/>
        <v>1361.89</v>
      </c>
      <c r="AV24" s="62">
        <f t="shared" si="21"/>
        <v>1313.89</v>
      </c>
      <c r="AW24" s="62">
        <f t="shared" si="21"/>
        <v>1237.19</v>
      </c>
      <c r="AX24" s="62">
        <f t="shared" si="21"/>
        <v>1093.0899999999999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5.6</v>
      </c>
      <c r="C25" s="46">
        <v>5.6</v>
      </c>
      <c r="D25" s="46">
        <v>5.6</v>
      </c>
      <c r="E25" s="46">
        <v>5.6</v>
      </c>
      <c r="F25" s="46">
        <v>5.6</v>
      </c>
      <c r="G25" s="46">
        <v>5.6</v>
      </c>
      <c r="H25" s="46">
        <v>5.6</v>
      </c>
      <c r="I25" s="46">
        <v>5.6</v>
      </c>
      <c r="J25" s="46">
        <v>5.6</v>
      </c>
      <c r="K25" s="46">
        <v>5.6</v>
      </c>
      <c r="L25" s="46">
        <v>5.6</v>
      </c>
      <c r="M25" s="46">
        <v>5.4</v>
      </c>
      <c r="N25" s="46">
        <v>5.4</v>
      </c>
      <c r="O25" s="46">
        <v>5.4</v>
      </c>
      <c r="P25" s="46">
        <v>5.4</v>
      </c>
      <c r="Q25" s="46">
        <v>5.4</v>
      </c>
      <c r="R25" s="46">
        <v>5.4</v>
      </c>
      <c r="S25" s="46">
        <v>5.4</v>
      </c>
      <c r="T25" s="46">
        <v>5.4</v>
      </c>
      <c r="U25" s="46">
        <v>5.4</v>
      </c>
      <c r="V25" s="46">
        <v>5.4</v>
      </c>
      <c r="W25" s="46"/>
      <c r="X25" s="46">
        <v>5.4</v>
      </c>
      <c r="Y25" s="46">
        <v>5.4</v>
      </c>
      <c r="Z25" s="46">
        <v>5.4</v>
      </c>
      <c r="AA25" s="46">
        <v>5.4</v>
      </c>
      <c r="AB25" s="46">
        <v>5.4</v>
      </c>
      <c r="AC25" s="46">
        <v>5.4</v>
      </c>
      <c r="AD25" s="46">
        <v>5.4</v>
      </c>
      <c r="AE25" s="46">
        <v>5.4</v>
      </c>
      <c r="AF25" s="46">
        <v>5.4</v>
      </c>
      <c r="AG25" s="60">
        <v>30</v>
      </c>
      <c r="AH25" s="48">
        <f t="shared" si="8"/>
        <v>5.6</v>
      </c>
      <c r="AI25" s="49">
        <f t="shared" si="9"/>
        <v>5.4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9.8000000000000007</v>
      </c>
      <c r="C26" s="46">
        <v>9.8000000000000007</v>
      </c>
      <c r="D26" s="46">
        <v>9.8000000000000007</v>
      </c>
      <c r="E26" s="46">
        <v>9.8000000000000007</v>
      </c>
      <c r="F26" s="46">
        <v>9.8000000000000007</v>
      </c>
      <c r="G26" s="46">
        <v>9.8000000000000007</v>
      </c>
      <c r="H26" s="46">
        <v>9.8000000000000007</v>
      </c>
      <c r="I26" s="46">
        <v>9.8000000000000007</v>
      </c>
      <c r="J26" s="46">
        <v>9.8000000000000007</v>
      </c>
      <c r="K26" s="46">
        <v>9.8000000000000007</v>
      </c>
      <c r="L26" s="46">
        <v>9.8000000000000007</v>
      </c>
      <c r="M26" s="46">
        <v>13.1</v>
      </c>
      <c r="N26" s="46">
        <v>10</v>
      </c>
      <c r="O26" s="46">
        <v>10</v>
      </c>
      <c r="P26" s="46">
        <v>10</v>
      </c>
      <c r="Q26" s="46">
        <v>10</v>
      </c>
      <c r="R26" s="46">
        <v>10</v>
      </c>
      <c r="S26" s="46">
        <v>10</v>
      </c>
      <c r="T26" s="46">
        <v>10</v>
      </c>
      <c r="U26" s="46">
        <v>10</v>
      </c>
      <c r="V26" s="46">
        <v>10</v>
      </c>
      <c r="W26" s="46" t="s">
        <v>307</v>
      </c>
      <c r="X26" s="46">
        <v>10</v>
      </c>
      <c r="Y26" s="46">
        <v>10</v>
      </c>
      <c r="Z26" s="46">
        <v>10</v>
      </c>
      <c r="AA26" s="46">
        <v>10</v>
      </c>
      <c r="AB26" s="46">
        <v>10</v>
      </c>
      <c r="AC26" s="46">
        <v>10</v>
      </c>
      <c r="AD26" s="46">
        <v>10</v>
      </c>
      <c r="AE26" s="46">
        <v>10</v>
      </c>
      <c r="AF26" s="46">
        <v>10</v>
      </c>
      <c r="AG26" s="50">
        <v>25</v>
      </c>
      <c r="AH26" s="48">
        <f t="shared" si="8"/>
        <v>13.1</v>
      </c>
      <c r="AI26" s="49">
        <f t="shared" si="9"/>
        <v>9.8000000000000007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5</v>
      </c>
      <c r="N27" s="46">
        <v>5</v>
      </c>
      <c r="O27" s="46">
        <v>5</v>
      </c>
      <c r="P27" s="46">
        <v>5</v>
      </c>
      <c r="Q27" s="46">
        <v>5</v>
      </c>
      <c r="R27" s="46">
        <v>5</v>
      </c>
      <c r="S27" s="46">
        <v>5</v>
      </c>
      <c r="T27" s="46">
        <v>5</v>
      </c>
      <c r="U27" s="46">
        <v>5</v>
      </c>
      <c r="V27" s="46">
        <v>5</v>
      </c>
      <c r="W27" s="46" t="s">
        <v>303</v>
      </c>
      <c r="X27" s="46">
        <v>5</v>
      </c>
      <c r="Y27" s="46">
        <v>5</v>
      </c>
      <c r="Z27" s="46">
        <v>5</v>
      </c>
      <c r="AA27" s="46">
        <v>5</v>
      </c>
      <c r="AB27" s="46">
        <v>5</v>
      </c>
      <c r="AC27" s="46">
        <v>5</v>
      </c>
      <c r="AD27" s="46">
        <v>5</v>
      </c>
      <c r="AE27" s="46">
        <v>5</v>
      </c>
      <c r="AF27" s="46">
        <v>5</v>
      </c>
      <c r="AG27" s="50">
        <v>25</v>
      </c>
      <c r="AH27" s="48">
        <f t="shared" si="8"/>
        <v>5</v>
      </c>
      <c r="AI27" s="49">
        <f t="shared" si="9"/>
        <v>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6</v>
      </c>
      <c r="C28" s="46">
        <v>6</v>
      </c>
      <c r="D28" s="46">
        <v>6</v>
      </c>
      <c r="E28" s="46">
        <v>6</v>
      </c>
      <c r="F28" s="46">
        <v>6</v>
      </c>
      <c r="G28" s="46">
        <v>6</v>
      </c>
      <c r="H28" s="46">
        <v>6</v>
      </c>
      <c r="I28" s="46">
        <v>6</v>
      </c>
      <c r="J28" s="46">
        <v>6</v>
      </c>
      <c r="K28" s="46">
        <v>6</v>
      </c>
      <c r="L28" s="46">
        <v>6</v>
      </c>
      <c r="M28" s="46">
        <v>6</v>
      </c>
      <c r="N28" s="46">
        <v>6</v>
      </c>
      <c r="O28" s="46">
        <v>6</v>
      </c>
      <c r="P28" s="46">
        <v>6</v>
      </c>
      <c r="Q28" s="46">
        <v>6</v>
      </c>
      <c r="R28" s="46">
        <v>6</v>
      </c>
      <c r="S28" s="46">
        <v>6</v>
      </c>
      <c r="T28" s="46">
        <v>6</v>
      </c>
      <c r="U28" s="46">
        <v>6</v>
      </c>
      <c r="V28" s="46">
        <v>6</v>
      </c>
      <c r="W28" s="46" t="s">
        <v>297</v>
      </c>
      <c r="X28" s="46">
        <v>6</v>
      </c>
      <c r="Y28" s="46">
        <v>6</v>
      </c>
      <c r="Z28" s="46">
        <v>6</v>
      </c>
      <c r="AA28" s="46">
        <v>6</v>
      </c>
      <c r="AB28" s="46">
        <v>6</v>
      </c>
      <c r="AC28" s="46">
        <v>6</v>
      </c>
      <c r="AD28" s="46">
        <v>6</v>
      </c>
      <c r="AE28" s="46">
        <v>6</v>
      </c>
      <c r="AF28" s="46">
        <v>6</v>
      </c>
      <c r="AG28" s="50">
        <v>25</v>
      </c>
      <c r="AH28" s="48">
        <f t="shared" si="8"/>
        <v>6</v>
      </c>
      <c r="AI28" s="49">
        <f t="shared" si="9"/>
        <v>6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6.9</v>
      </c>
      <c r="C29" s="46">
        <v>6.9</v>
      </c>
      <c r="D29" s="46">
        <v>6.9</v>
      </c>
      <c r="E29" s="46">
        <v>6.9</v>
      </c>
      <c r="F29" s="46">
        <v>6.9</v>
      </c>
      <c r="G29" s="46">
        <v>6.9</v>
      </c>
      <c r="H29" s="46">
        <v>6.9</v>
      </c>
      <c r="I29" s="46">
        <v>6.9</v>
      </c>
      <c r="J29" s="46">
        <v>6.9</v>
      </c>
      <c r="K29" s="46">
        <v>6.9</v>
      </c>
      <c r="L29" s="46">
        <v>6.9</v>
      </c>
      <c r="M29" s="46">
        <v>6.2</v>
      </c>
      <c r="N29" s="46">
        <v>6.3</v>
      </c>
      <c r="O29" s="46">
        <v>6.3</v>
      </c>
      <c r="P29" s="46">
        <v>6.3</v>
      </c>
      <c r="Q29" s="46">
        <v>6.3</v>
      </c>
      <c r="R29" s="46">
        <v>6.3</v>
      </c>
      <c r="S29" s="46">
        <v>6.3</v>
      </c>
      <c r="T29" s="46">
        <v>6.3</v>
      </c>
      <c r="U29" s="46">
        <v>6.3</v>
      </c>
      <c r="V29" s="46">
        <v>6.3</v>
      </c>
      <c r="W29" s="46" t="s">
        <v>303</v>
      </c>
      <c r="X29" s="46">
        <v>6.3</v>
      </c>
      <c r="Y29" s="46">
        <v>6.3</v>
      </c>
      <c r="Z29" s="46">
        <v>6.3</v>
      </c>
      <c r="AA29" s="46">
        <v>6.3</v>
      </c>
      <c r="AB29" s="46">
        <v>6.3</v>
      </c>
      <c r="AC29" s="46">
        <v>6.3</v>
      </c>
      <c r="AD29" s="46">
        <v>6.3</v>
      </c>
      <c r="AE29" s="46">
        <v>6.3</v>
      </c>
      <c r="AF29" s="46">
        <v>6.3</v>
      </c>
      <c r="AG29" s="50">
        <v>25</v>
      </c>
      <c r="AH29" s="48">
        <f t="shared" si="8"/>
        <v>6.9</v>
      </c>
      <c r="AI29" s="49">
        <f t="shared" si="9"/>
        <v>6.2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7.5</v>
      </c>
      <c r="C30" s="46">
        <v>7.5</v>
      </c>
      <c r="D30" s="46">
        <v>7.5</v>
      </c>
      <c r="E30" s="46">
        <v>7.5</v>
      </c>
      <c r="F30" s="46">
        <v>7.5</v>
      </c>
      <c r="G30" s="46">
        <v>7.5</v>
      </c>
      <c r="H30" s="46">
        <v>7.5</v>
      </c>
      <c r="I30" s="46">
        <v>7.5</v>
      </c>
      <c r="J30" s="46">
        <v>7.5</v>
      </c>
      <c r="K30" s="46">
        <v>7.5</v>
      </c>
      <c r="L30" s="46">
        <v>7.5</v>
      </c>
      <c r="M30" s="46">
        <v>7.3</v>
      </c>
      <c r="N30" s="46">
        <v>7.3</v>
      </c>
      <c r="O30" s="46">
        <v>7.3</v>
      </c>
      <c r="P30" s="46">
        <v>7.3</v>
      </c>
      <c r="Q30" s="46">
        <v>7.3</v>
      </c>
      <c r="R30" s="46">
        <v>7.3</v>
      </c>
      <c r="S30" s="46">
        <v>7.3</v>
      </c>
      <c r="T30" s="46">
        <v>7.3</v>
      </c>
      <c r="U30" s="46">
        <v>7.3</v>
      </c>
      <c r="V30" s="46">
        <v>7.3</v>
      </c>
      <c r="W30" s="46"/>
      <c r="X30" s="46">
        <v>7.3</v>
      </c>
      <c r="Y30" s="46">
        <v>7.3</v>
      </c>
      <c r="Z30" s="46">
        <v>7.3</v>
      </c>
      <c r="AA30" s="46">
        <v>7.3</v>
      </c>
      <c r="AB30" s="46">
        <v>7.3</v>
      </c>
      <c r="AC30" s="46">
        <v>7.3</v>
      </c>
      <c r="AD30" s="46">
        <v>7.3</v>
      </c>
      <c r="AE30" s="46">
        <v>7.3</v>
      </c>
      <c r="AF30" s="46">
        <v>7.3</v>
      </c>
      <c r="AG30" s="50">
        <v>23.5</v>
      </c>
      <c r="AH30" s="48">
        <f t="shared" si="8"/>
        <v>7.5</v>
      </c>
      <c r="AI30" s="49">
        <f t="shared" si="9"/>
        <v>7.3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>
        <v>3</v>
      </c>
      <c r="V31" s="46">
        <v>3</v>
      </c>
      <c r="W31" s="46" t="s">
        <v>309</v>
      </c>
      <c r="X31" s="46">
        <v>3</v>
      </c>
      <c r="Y31" s="46">
        <v>3</v>
      </c>
      <c r="Z31" s="46">
        <v>3</v>
      </c>
      <c r="AA31" s="46">
        <v>3</v>
      </c>
      <c r="AB31" s="46">
        <v>3</v>
      </c>
      <c r="AC31" s="46">
        <v>3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8"/>
        <v>3</v>
      </c>
      <c r="AI31" s="49">
        <f t="shared" si="9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5.5</v>
      </c>
      <c r="Q32" s="46">
        <v>5.5</v>
      </c>
      <c r="R32" s="46">
        <v>5.5</v>
      </c>
      <c r="S32" s="46">
        <v>5.5</v>
      </c>
      <c r="T32" s="46">
        <v>5.5</v>
      </c>
      <c r="U32" s="46">
        <v>5.5</v>
      </c>
      <c r="V32" s="46">
        <v>5.5</v>
      </c>
      <c r="W32" s="46" t="s">
        <v>302</v>
      </c>
      <c r="X32" s="46">
        <v>5.5</v>
      </c>
      <c r="Y32" s="46">
        <v>5.5</v>
      </c>
      <c r="Z32" s="46">
        <v>5.5</v>
      </c>
      <c r="AA32" s="46">
        <v>5.5</v>
      </c>
      <c r="AB32" s="46">
        <v>5.5</v>
      </c>
      <c r="AC32" s="46">
        <v>5.5</v>
      </c>
      <c r="AD32" s="46">
        <v>5.5</v>
      </c>
      <c r="AE32" s="46">
        <v>5.5</v>
      </c>
      <c r="AF32" s="46">
        <v>5.5</v>
      </c>
      <c r="AG32" s="50">
        <v>22.1</v>
      </c>
      <c r="AH32" s="48">
        <f t="shared" si="8"/>
        <v>5.5</v>
      </c>
      <c r="AI32" s="49">
        <f t="shared" si="9"/>
        <v>5.5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6</v>
      </c>
      <c r="C33" s="46">
        <v>6</v>
      </c>
      <c r="D33" s="46">
        <v>6</v>
      </c>
      <c r="E33" s="46">
        <v>6</v>
      </c>
      <c r="F33" s="46">
        <v>6</v>
      </c>
      <c r="G33" s="46">
        <v>6</v>
      </c>
      <c r="H33" s="46">
        <v>6</v>
      </c>
      <c r="I33" s="46">
        <v>6</v>
      </c>
      <c r="J33" s="46">
        <v>6</v>
      </c>
      <c r="K33" s="46">
        <v>6</v>
      </c>
      <c r="L33" s="46">
        <v>6</v>
      </c>
      <c r="M33" s="46">
        <v>6</v>
      </c>
      <c r="N33" s="46">
        <v>6</v>
      </c>
      <c r="O33" s="46">
        <v>6</v>
      </c>
      <c r="P33" s="46">
        <v>6</v>
      </c>
      <c r="Q33" s="46">
        <v>6</v>
      </c>
      <c r="R33" s="46">
        <v>6</v>
      </c>
      <c r="S33" s="46">
        <v>6</v>
      </c>
      <c r="T33" s="46">
        <v>6</v>
      </c>
      <c r="U33" s="46">
        <v>6</v>
      </c>
      <c r="V33" s="46">
        <v>6</v>
      </c>
      <c r="W33" s="46" t="s">
        <v>303</v>
      </c>
      <c r="X33" s="46">
        <v>6</v>
      </c>
      <c r="Y33" s="46">
        <v>6</v>
      </c>
      <c r="Z33" s="46">
        <v>6</v>
      </c>
      <c r="AA33" s="46">
        <v>6</v>
      </c>
      <c r="AB33" s="46">
        <v>6</v>
      </c>
      <c r="AC33" s="46">
        <v>6</v>
      </c>
      <c r="AD33" s="46">
        <v>6</v>
      </c>
      <c r="AE33" s="46">
        <v>6</v>
      </c>
      <c r="AF33" s="46">
        <v>6</v>
      </c>
      <c r="AG33" s="50">
        <v>22</v>
      </c>
      <c r="AH33" s="48">
        <f t="shared" si="8"/>
        <v>6</v>
      </c>
      <c r="AI33" s="49">
        <f t="shared" si="9"/>
        <v>6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12</v>
      </c>
      <c r="C34" s="46">
        <v>12</v>
      </c>
      <c r="D34" s="46">
        <v>12</v>
      </c>
      <c r="E34" s="46">
        <v>12</v>
      </c>
      <c r="F34" s="46">
        <v>12</v>
      </c>
      <c r="G34" s="46">
        <v>12</v>
      </c>
      <c r="H34" s="46">
        <v>12</v>
      </c>
      <c r="I34" s="46">
        <v>12</v>
      </c>
      <c r="J34" s="46">
        <v>12</v>
      </c>
      <c r="K34" s="46">
        <v>12</v>
      </c>
      <c r="L34" s="46">
        <v>12</v>
      </c>
      <c r="M34" s="46">
        <v>8.8000000000000007</v>
      </c>
      <c r="N34" s="46">
        <v>9.1</v>
      </c>
      <c r="O34" s="46">
        <v>9.1</v>
      </c>
      <c r="P34" s="46">
        <v>9.1</v>
      </c>
      <c r="Q34" s="46">
        <v>9.1</v>
      </c>
      <c r="R34" s="46">
        <v>9.1</v>
      </c>
      <c r="S34" s="46">
        <v>9.1</v>
      </c>
      <c r="T34" s="46">
        <v>9.1</v>
      </c>
      <c r="U34" s="46">
        <v>9.1</v>
      </c>
      <c r="V34" s="46">
        <v>9.1</v>
      </c>
      <c r="W34" s="46" t="s">
        <v>300</v>
      </c>
      <c r="X34" s="46">
        <v>9.1</v>
      </c>
      <c r="Y34" s="46">
        <v>9.1</v>
      </c>
      <c r="Z34" s="46">
        <v>9.1</v>
      </c>
      <c r="AA34" s="46">
        <v>9.1</v>
      </c>
      <c r="AB34" s="46">
        <v>9.1</v>
      </c>
      <c r="AC34" s="46">
        <v>9.1</v>
      </c>
      <c r="AD34" s="46">
        <v>9.1</v>
      </c>
      <c r="AE34" s="46">
        <v>9.1</v>
      </c>
      <c r="AF34" s="46">
        <v>9.1</v>
      </c>
      <c r="AG34" s="50">
        <v>22</v>
      </c>
      <c r="AH34" s="48">
        <f t="shared" si="8"/>
        <v>12</v>
      </c>
      <c r="AI34" s="49">
        <f t="shared" si="9"/>
        <v>8.8000000000000007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 t="s">
        <v>308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8"/>
        <v>4</v>
      </c>
      <c r="AI35" s="49">
        <f t="shared" si="9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>
        <v>4</v>
      </c>
      <c r="V36" s="46">
        <v>4</v>
      </c>
      <c r="W36" s="46" t="s">
        <v>301</v>
      </c>
      <c r="X36" s="46">
        <v>4</v>
      </c>
      <c r="Y36" s="46">
        <v>4</v>
      </c>
      <c r="Z36" s="46">
        <v>4</v>
      </c>
      <c r="AA36" s="46">
        <v>4</v>
      </c>
      <c r="AB36" s="46">
        <v>4</v>
      </c>
      <c r="AC36" s="46">
        <v>4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8"/>
        <v>4</v>
      </c>
      <c r="AI36" s="49">
        <f t="shared" si="9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>
        <v>5.7</v>
      </c>
      <c r="V37" s="46">
        <v>5.7</v>
      </c>
      <c r="W37" s="46" t="s">
        <v>310</v>
      </c>
      <c r="X37" s="46">
        <v>5.7</v>
      </c>
      <c r="Y37" s="46">
        <v>5.7</v>
      </c>
      <c r="Z37" s="46">
        <v>5.7</v>
      </c>
      <c r="AA37" s="46">
        <v>5.7</v>
      </c>
      <c r="AB37" s="46">
        <v>5.7</v>
      </c>
      <c r="AC37" s="46">
        <v>5.7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8"/>
        <v>5.7</v>
      </c>
      <c r="AI37" s="49">
        <f t="shared" si="9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7.2</v>
      </c>
      <c r="Q38" s="46">
        <v>7.2</v>
      </c>
      <c r="R38" s="46">
        <v>7.2</v>
      </c>
      <c r="S38" s="46">
        <v>7.2</v>
      </c>
      <c r="T38" s="46">
        <v>7.2</v>
      </c>
      <c r="U38" s="46">
        <v>7.2</v>
      </c>
      <c r="V38" s="46">
        <v>7.2</v>
      </c>
      <c r="W38" s="46" t="s">
        <v>297</v>
      </c>
      <c r="X38" s="46">
        <v>7.2</v>
      </c>
      <c r="Y38" s="46">
        <v>7.2</v>
      </c>
      <c r="Z38" s="46">
        <v>7.2</v>
      </c>
      <c r="AA38" s="46">
        <v>7.2</v>
      </c>
      <c r="AB38" s="46">
        <v>7.2</v>
      </c>
      <c r="AC38" s="46">
        <v>7.2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8"/>
        <v>7.2</v>
      </c>
      <c r="AI38" s="49">
        <f t="shared" si="9"/>
        <v>7.2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/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0</v>
      </c>
      <c r="C40" s="46">
        <v>0</v>
      </c>
      <c r="D40" s="46">
        <v>0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46">
        <v>0</v>
      </c>
      <c r="P40" s="46">
        <v>0</v>
      </c>
      <c r="Q40" s="46">
        <v>0</v>
      </c>
      <c r="R40" s="46">
        <v>0</v>
      </c>
      <c r="S40" s="46">
        <v>0</v>
      </c>
      <c r="T40" s="46">
        <v>0</v>
      </c>
      <c r="U40" s="46">
        <v>0</v>
      </c>
      <c r="V40" s="46">
        <v>0</v>
      </c>
      <c r="W40" s="46"/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6">
        <v>0</v>
      </c>
      <c r="AD40" s="46">
        <v>0</v>
      </c>
      <c r="AE40" s="46">
        <v>0</v>
      </c>
      <c r="AF40" s="46">
        <v>0</v>
      </c>
      <c r="AG40" s="50">
        <v>14.9</v>
      </c>
      <c r="AH40" s="48">
        <f t="shared" si="8"/>
        <v>0</v>
      </c>
      <c r="AI40" s="49">
        <f t="shared" si="9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/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8"/>
        <v>4</v>
      </c>
      <c r="AI41" s="49">
        <f t="shared" si="9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>
        <v>1.8</v>
      </c>
      <c r="V42" s="46">
        <v>1.8</v>
      </c>
      <c r="W42" s="46"/>
      <c r="X42" s="46">
        <v>1.8</v>
      </c>
      <c r="Y42" s="46">
        <v>1.8</v>
      </c>
      <c r="Z42" s="46">
        <v>1.8</v>
      </c>
      <c r="AA42" s="46">
        <v>1.8</v>
      </c>
      <c r="AB42" s="46">
        <v>1.8</v>
      </c>
      <c r="AC42" s="46">
        <v>1.8</v>
      </c>
      <c r="AD42" s="46">
        <v>1.8</v>
      </c>
      <c r="AE42" s="46">
        <v>1.8</v>
      </c>
      <c r="AF42" s="46">
        <v>1.8</v>
      </c>
      <c r="AG42" s="50">
        <v>13.6</v>
      </c>
      <c r="AH42" s="48">
        <f t="shared" si="8"/>
        <v>1.8</v>
      </c>
      <c r="AI42" s="49">
        <f t="shared" si="9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>
        <v>3.8</v>
      </c>
      <c r="V43" s="46">
        <v>3.8</v>
      </c>
      <c r="W43" s="46"/>
      <c r="X43" s="46">
        <v>3.8</v>
      </c>
      <c r="Y43" s="46">
        <v>3.8</v>
      </c>
      <c r="Z43" s="46">
        <v>3.8</v>
      </c>
      <c r="AA43" s="46">
        <v>3.8</v>
      </c>
      <c r="AB43" s="46">
        <v>3.8</v>
      </c>
      <c r="AC43" s="46">
        <v>3.8</v>
      </c>
      <c r="AD43" s="46">
        <v>3.8</v>
      </c>
      <c r="AE43" s="46">
        <v>3.8</v>
      </c>
      <c r="AF43" s="46">
        <v>3.8</v>
      </c>
      <c r="AG43" s="50">
        <v>13</v>
      </c>
      <c r="AH43" s="48">
        <f t="shared" si="8"/>
        <v>3.8</v>
      </c>
      <c r="AI43" s="49">
        <f t="shared" si="9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2.5</v>
      </c>
      <c r="C44" s="46">
        <v>2.5</v>
      </c>
      <c r="D44" s="46">
        <v>2.5</v>
      </c>
      <c r="E44" s="46">
        <v>2.5</v>
      </c>
      <c r="F44" s="46">
        <v>2.5</v>
      </c>
      <c r="G44" s="46">
        <v>2.5</v>
      </c>
      <c r="H44" s="46">
        <v>2.5</v>
      </c>
      <c r="I44" s="46">
        <v>2.5</v>
      </c>
      <c r="J44" s="46">
        <v>2.5</v>
      </c>
      <c r="K44" s="46">
        <v>2.5</v>
      </c>
      <c r="L44" s="46">
        <v>2.5</v>
      </c>
      <c r="M44" s="46">
        <v>2.5</v>
      </c>
      <c r="N44" s="46">
        <v>2.5</v>
      </c>
      <c r="O44" s="46">
        <v>2.5</v>
      </c>
      <c r="P44" s="46">
        <v>2.5</v>
      </c>
      <c r="Q44" s="46">
        <v>2.5</v>
      </c>
      <c r="R44" s="46">
        <v>2.5</v>
      </c>
      <c r="S44" s="46">
        <v>2.5</v>
      </c>
      <c r="T44" s="46">
        <v>2.5</v>
      </c>
      <c r="U44" s="46">
        <v>2.5</v>
      </c>
      <c r="V44" s="46">
        <v>2.5</v>
      </c>
      <c r="W44" s="46"/>
      <c r="X44" s="46">
        <v>2.5</v>
      </c>
      <c r="Y44" s="46">
        <v>2.5</v>
      </c>
      <c r="Z44" s="46">
        <v>2.5</v>
      </c>
      <c r="AA44" s="46">
        <v>2.5</v>
      </c>
      <c r="AB44" s="46">
        <v>2.5</v>
      </c>
      <c r="AC44" s="46">
        <v>2.5</v>
      </c>
      <c r="AD44" s="46">
        <v>2.5</v>
      </c>
      <c r="AE44" s="46">
        <v>2.5</v>
      </c>
      <c r="AF44" s="46">
        <v>2.5</v>
      </c>
      <c r="AG44" s="50">
        <v>12</v>
      </c>
      <c r="AH44" s="48">
        <f t="shared" si="8"/>
        <v>2.5</v>
      </c>
      <c r="AI44" s="49">
        <f t="shared" si="9"/>
        <v>2.5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>
        <v>9</v>
      </c>
      <c r="V45" s="46">
        <v>9</v>
      </c>
      <c r="W45" s="46"/>
      <c r="X45" s="46">
        <v>9</v>
      </c>
      <c r="Y45" s="46">
        <v>9</v>
      </c>
      <c r="Z45" s="46">
        <v>9</v>
      </c>
      <c r="AA45" s="46">
        <v>9</v>
      </c>
      <c r="AB45" s="46">
        <v>9</v>
      </c>
      <c r="AC45" s="46">
        <v>9</v>
      </c>
      <c r="AD45" s="46">
        <v>9</v>
      </c>
      <c r="AE45" s="46">
        <v>9</v>
      </c>
      <c r="AF45" s="46">
        <v>9</v>
      </c>
      <c r="AG45" s="50">
        <v>12</v>
      </c>
      <c r="AH45" s="48">
        <f t="shared" si="8"/>
        <v>9</v>
      </c>
      <c r="AI45" s="49">
        <f t="shared" si="9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/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>
        <v>3.5</v>
      </c>
      <c r="V47" s="46">
        <v>3.5</v>
      </c>
      <c r="W47" s="46"/>
      <c r="X47" s="46">
        <v>3.5</v>
      </c>
      <c r="Y47" s="46">
        <v>3.5</v>
      </c>
      <c r="Z47" s="46">
        <v>3.5</v>
      </c>
      <c r="AA47" s="46">
        <v>3.5</v>
      </c>
      <c r="AB47" s="46">
        <v>3.5</v>
      </c>
      <c r="AC47" s="46">
        <v>3.5</v>
      </c>
      <c r="AD47" s="46">
        <v>3.5</v>
      </c>
      <c r="AE47" s="46">
        <v>3.5</v>
      </c>
      <c r="AF47" s="46">
        <v>3.5</v>
      </c>
      <c r="AG47" s="63">
        <v>22</v>
      </c>
      <c r="AH47" s="48">
        <f t="shared" si="8"/>
        <v>3.5</v>
      </c>
      <c r="AI47" s="49">
        <f t="shared" si="9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>
        <v>5</v>
      </c>
      <c r="V48" s="46">
        <v>5</v>
      </c>
      <c r="W48" s="46"/>
      <c r="X48" s="46">
        <v>5</v>
      </c>
      <c r="Y48" s="46">
        <v>5</v>
      </c>
      <c r="Z48" s="46">
        <v>5</v>
      </c>
      <c r="AA48" s="46">
        <v>5</v>
      </c>
      <c r="AB48" s="46">
        <v>5</v>
      </c>
      <c r="AC48" s="46">
        <v>5</v>
      </c>
      <c r="AD48" s="46">
        <v>5</v>
      </c>
      <c r="AE48" s="46">
        <v>5</v>
      </c>
      <c r="AF48" s="46">
        <v>5</v>
      </c>
      <c r="AG48" s="60">
        <v>11.88</v>
      </c>
      <c r="AH48" s="48">
        <f t="shared" si="8"/>
        <v>5</v>
      </c>
      <c r="AI48" s="49">
        <f t="shared" si="9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/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5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4" t="s">
        <v>67</v>
      </c>
      <c r="B50" s="46">
        <v>2.4500000000000002</v>
      </c>
      <c r="C50" s="46">
        <v>2.4500000000000002</v>
      </c>
      <c r="D50" s="46">
        <v>2.4500000000000002</v>
      </c>
      <c r="E50" s="46">
        <v>2.4500000000000002</v>
      </c>
      <c r="F50" s="46">
        <v>2.4500000000000002</v>
      </c>
      <c r="G50" s="46">
        <v>2.4500000000000002</v>
      </c>
      <c r="H50" s="46">
        <v>2.4500000000000002</v>
      </c>
      <c r="I50" s="46">
        <v>2.4500000000000002</v>
      </c>
      <c r="J50" s="46">
        <v>2.4500000000000002</v>
      </c>
      <c r="K50" s="46">
        <v>2.4500000000000002</v>
      </c>
      <c r="L50" s="46">
        <v>2.4500000000000002</v>
      </c>
      <c r="M50" s="46">
        <v>2.4500000000000002</v>
      </c>
      <c r="N50" s="46">
        <v>2.4500000000000002</v>
      </c>
      <c r="O50" s="46">
        <v>2.4500000000000002</v>
      </c>
      <c r="P50" s="46">
        <v>2.4500000000000002</v>
      </c>
      <c r="Q50" s="46">
        <v>2.4500000000000002</v>
      </c>
      <c r="R50" s="46">
        <v>2.4500000000000002</v>
      </c>
      <c r="S50" s="46">
        <v>2.4500000000000002</v>
      </c>
      <c r="T50" s="46">
        <v>2.4500000000000002</v>
      </c>
      <c r="U50" s="46">
        <v>2.4500000000000002</v>
      </c>
      <c r="V50" s="46">
        <v>2.4500000000000002</v>
      </c>
      <c r="W50" s="46"/>
      <c r="X50" s="46">
        <v>2.4500000000000002</v>
      </c>
      <c r="Y50" s="46">
        <v>2.4500000000000002</v>
      </c>
      <c r="Z50" s="46">
        <v>2.4500000000000002</v>
      </c>
      <c r="AA50" s="46">
        <v>2.4500000000000002</v>
      </c>
      <c r="AB50" s="46">
        <v>2.4500000000000002</v>
      </c>
      <c r="AC50" s="46">
        <v>2.4500000000000002</v>
      </c>
      <c r="AD50" s="46">
        <v>2.4500000000000002</v>
      </c>
      <c r="AE50" s="46">
        <v>2.4500000000000002</v>
      </c>
      <c r="AF50" s="46">
        <v>2.4500000000000002</v>
      </c>
      <c r="AG50" s="65">
        <v>11</v>
      </c>
      <c r="AH50" s="48">
        <f t="shared" si="8"/>
        <v>2.4500000000000002</v>
      </c>
      <c r="AI50" s="49">
        <f t="shared" si="9"/>
        <v>2.4500000000000002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/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65">
        <v>11</v>
      </c>
      <c r="AH51" s="48">
        <f t="shared" si="8"/>
        <v>3</v>
      </c>
      <c r="AI51" s="49">
        <f t="shared" si="9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/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5">
        <v>10</v>
      </c>
      <c r="AH52" s="48">
        <f t="shared" si="8"/>
        <v>4</v>
      </c>
      <c r="AI52" s="49">
        <f t="shared" si="9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>
        <v>4.5</v>
      </c>
      <c r="V53" s="46">
        <v>4.5</v>
      </c>
      <c r="W53" s="46"/>
      <c r="X53" s="46">
        <v>4.5</v>
      </c>
      <c r="Y53" s="46">
        <v>4.5</v>
      </c>
      <c r="Z53" s="46">
        <v>4.5</v>
      </c>
      <c r="AA53" s="46">
        <v>4.5</v>
      </c>
      <c r="AB53" s="46">
        <v>4.5</v>
      </c>
      <c r="AC53" s="46">
        <v>4.5</v>
      </c>
      <c r="AD53" s="46">
        <v>4.5</v>
      </c>
      <c r="AE53" s="46">
        <v>4.5</v>
      </c>
      <c r="AF53" s="46">
        <v>4.5</v>
      </c>
      <c r="AG53" s="65">
        <v>10</v>
      </c>
      <c r="AH53" s="48">
        <f t="shared" si="8"/>
        <v>4.5</v>
      </c>
      <c r="AI53" s="49">
        <f t="shared" si="9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/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5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/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5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>
        <v>150</v>
      </c>
      <c r="W56" s="67">
        <v>150</v>
      </c>
      <c r="X56" s="67">
        <v>150</v>
      </c>
      <c r="Y56" s="67">
        <v>150</v>
      </c>
      <c r="Z56" s="67">
        <v>150</v>
      </c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8" t="s">
        <v>74</v>
      </c>
      <c r="B57" s="67">
        <v>64.5</v>
      </c>
      <c r="C57" s="67">
        <v>64.5</v>
      </c>
      <c r="D57" s="67">
        <v>64.5</v>
      </c>
      <c r="E57" s="67">
        <v>71.8</v>
      </c>
      <c r="F57" s="67">
        <v>70.8</v>
      </c>
      <c r="G57" s="67">
        <v>70.8</v>
      </c>
      <c r="H57" s="67">
        <v>70.8</v>
      </c>
      <c r="I57" s="67">
        <v>70.8</v>
      </c>
      <c r="J57" s="67">
        <v>68.3</v>
      </c>
      <c r="K57" s="67">
        <v>63.3</v>
      </c>
      <c r="L57" s="67">
        <v>61.8</v>
      </c>
      <c r="M57" s="67">
        <f>19.5+39.8</f>
        <v>59.3</v>
      </c>
      <c r="N57" s="67">
        <f>19.2+39.8</f>
        <v>59</v>
      </c>
      <c r="O57" s="67">
        <f>19.3+39.8</f>
        <v>59.099999999999994</v>
      </c>
      <c r="P57" s="53">
        <f>18.5+38.3</f>
        <v>56.8</v>
      </c>
      <c r="Q57" s="53">
        <f>18.8+39.4</f>
        <v>58.2</v>
      </c>
      <c r="R57" s="53">
        <f>17.2+36</f>
        <v>53.2</v>
      </c>
      <c r="S57" s="53">
        <f>17.2+36</f>
        <v>53.2</v>
      </c>
      <c r="T57" s="53">
        <f>17.2+36</f>
        <v>53.2</v>
      </c>
      <c r="U57" s="53">
        <f>17.2+36</f>
        <v>53.2</v>
      </c>
      <c r="V57" s="53">
        <f>17.2+36</f>
        <v>53.2</v>
      </c>
      <c r="W57" s="53"/>
      <c r="X57" s="53">
        <v>53.2</v>
      </c>
      <c r="Y57" s="53">
        <v>53.2</v>
      </c>
      <c r="Z57" s="53">
        <v>53.2</v>
      </c>
      <c r="AA57" s="53">
        <v>53.2</v>
      </c>
      <c r="AB57" s="53">
        <v>53.2</v>
      </c>
      <c r="AC57" s="53">
        <v>53.2</v>
      </c>
      <c r="AD57" s="53">
        <v>45.6</v>
      </c>
      <c r="AE57" s="53">
        <v>45.6</v>
      </c>
      <c r="AF57" s="53">
        <v>45.6</v>
      </c>
      <c r="AG57" s="65">
        <v>240</v>
      </c>
      <c r="AH57" s="48">
        <f t="shared" si="8"/>
        <v>71.8</v>
      </c>
      <c r="AI57" s="49">
        <f t="shared" si="9"/>
        <v>45.6</v>
      </c>
      <c r="AK57" s="51"/>
    </row>
    <row r="58" spans="1:88" ht="15.75" thickBot="1" x14ac:dyDescent="0.3">
      <c r="A58" s="69" t="s">
        <v>75</v>
      </c>
      <c r="B58" s="70">
        <f t="shared" ref="B58:AA58" si="22">SUM(B11:B56)</f>
        <v>447.05</v>
      </c>
      <c r="C58" s="70">
        <f t="shared" si="22"/>
        <v>447.05</v>
      </c>
      <c r="D58" s="70">
        <f t="shared" si="22"/>
        <v>447.05</v>
      </c>
      <c r="E58" s="70">
        <f t="shared" si="22"/>
        <v>446.65</v>
      </c>
      <c r="F58" s="70">
        <f t="shared" si="22"/>
        <v>446.65</v>
      </c>
      <c r="G58" s="70">
        <f t="shared" si="22"/>
        <v>446.25</v>
      </c>
      <c r="H58" s="70">
        <f t="shared" ref="H58" si="23">SUM(H11:H56)</f>
        <v>445.34999999999997</v>
      </c>
      <c r="I58" s="70">
        <f t="shared" si="22"/>
        <v>445.34999999999997</v>
      </c>
      <c r="J58" s="70">
        <f t="shared" si="22"/>
        <v>446.15</v>
      </c>
      <c r="K58" s="70">
        <f t="shared" si="22"/>
        <v>461.15000000000003</v>
      </c>
      <c r="L58" s="70">
        <f t="shared" si="22"/>
        <v>458.15000000000003</v>
      </c>
      <c r="M58" s="70">
        <f t="shared" ref="M58:N58" si="24">SUM(M11:M56)</f>
        <v>444.55</v>
      </c>
      <c r="N58" s="70">
        <f t="shared" si="24"/>
        <v>441.65000000000003</v>
      </c>
      <c r="O58" s="70">
        <f t="shared" ref="O58" si="25">SUM(O11:O56)</f>
        <v>437.35</v>
      </c>
      <c r="P58" s="70">
        <f t="shared" si="22"/>
        <v>437.35</v>
      </c>
      <c r="Q58" s="70">
        <f t="shared" si="22"/>
        <v>437.35</v>
      </c>
      <c r="R58" s="70">
        <f t="shared" si="22"/>
        <v>437.35</v>
      </c>
      <c r="S58" s="70">
        <f t="shared" si="22"/>
        <v>437.35</v>
      </c>
      <c r="T58" s="70">
        <f t="shared" si="22"/>
        <v>437.35</v>
      </c>
      <c r="U58" s="70">
        <f t="shared" si="22"/>
        <v>451.65000000000003</v>
      </c>
      <c r="V58" s="70">
        <f t="shared" si="22"/>
        <v>451.65000000000003</v>
      </c>
      <c r="W58" s="70">
        <f t="shared" si="22"/>
        <v>150</v>
      </c>
      <c r="X58" s="70">
        <f t="shared" si="22"/>
        <v>451.65000000000003</v>
      </c>
      <c r="Y58" s="70">
        <f t="shared" si="22"/>
        <v>451.65000000000003</v>
      </c>
      <c r="Z58" s="70">
        <f t="shared" si="22"/>
        <v>451.65000000000003</v>
      </c>
      <c r="AA58" s="70">
        <f t="shared" si="22"/>
        <v>451.65000000000003</v>
      </c>
      <c r="AB58" s="70">
        <f t="shared" ref="AB58:AC58" si="26">SUM(AB11:AB56)</f>
        <v>451.65000000000003</v>
      </c>
      <c r="AC58" s="70">
        <f t="shared" si="26"/>
        <v>451.65000000000003</v>
      </c>
      <c r="AD58" s="70">
        <f t="shared" ref="AD58:AE58" si="27">SUM(AD11:AD56)</f>
        <v>451.65000000000003</v>
      </c>
      <c r="AE58" s="70">
        <f t="shared" si="27"/>
        <v>451.65000000000003</v>
      </c>
      <c r="AF58" s="70">
        <f t="shared" ref="AF58" si="28">SUM(AF11:AF56)</f>
        <v>451.65000000000003</v>
      </c>
      <c r="AG58" s="71">
        <f>SUM(AG14:AG56)</f>
        <v>1042.4000000000001</v>
      </c>
      <c r="AH58" s="48">
        <f t="shared" si="8"/>
        <v>461.15000000000003</v>
      </c>
      <c r="AI58" s="49">
        <f t="shared" si="9"/>
        <v>150</v>
      </c>
      <c r="AK58" s="51"/>
    </row>
    <row r="59" spans="1:88" x14ac:dyDescent="0.25">
      <c r="A59" s="72" t="s">
        <v>76</v>
      </c>
      <c r="B59" s="46">
        <v>30</v>
      </c>
      <c r="C59" s="46">
        <v>16</v>
      </c>
      <c r="D59" s="46">
        <v>15</v>
      </c>
      <c r="E59" s="46">
        <v>15.1</v>
      </c>
      <c r="F59" s="46">
        <v>65.2</v>
      </c>
      <c r="G59" s="46">
        <v>50</v>
      </c>
      <c r="H59" s="46">
        <v>12</v>
      </c>
      <c r="I59" s="46">
        <v>15</v>
      </c>
      <c r="J59" s="46">
        <v>35</v>
      </c>
      <c r="K59" s="46">
        <v>83.8</v>
      </c>
      <c r="L59" s="46">
        <v>153.19999999999999</v>
      </c>
      <c r="M59" s="46">
        <v>230</v>
      </c>
      <c r="N59" s="46">
        <v>144.6</v>
      </c>
      <c r="O59" s="46">
        <v>120.2</v>
      </c>
      <c r="P59" s="73">
        <v>40.1</v>
      </c>
      <c r="Q59" s="73">
        <v>30.1</v>
      </c>
      <c r="R59" s="73">
        <v>50</v>
      </c>
      <c r="S59" s="73">
        <v>153</v>
      </c>
      <c r="T59" s="73">
        <v>140</v>
      </c>
      <c r="U59" s="73">
        <v>100</v>
      </c>
      <c r="V59" s="73">
        <v>38</v>
      </c>
      <c r="W59" s="46"/>
      <c r="X59" s="46">
        <v>60</v>
      </c>
      <c r="Y59" s="46">
        <v>50</v>
      </c>
      <c r="Z59" s="46">
        <v>181</v>
      </c>
      <c r="AA59" s="46">
        <v>160</v>
      </c>
      <c r="AB59" s="46">
        <v>150</v>
      </c>
      <c r="AC59" s="46">
        <v>135</v>
      </c>
      <c r="AD59" s="46">
        <v>105</v>
      </c>
      <c r="AE59" s="46">
        <v>105</v>
      </c>
      <c r="AF59" s="46">
        <v>55</v>
      </c>
      <c r="AG59" s="60">
        <v>456</v>
      </c>
      <c r="AH59" s="48">
        <f t="shared" si="8"/>
        <v>230</v>
      </c>
      <c r="AI59" s="49">
        <f t="shared" si="9"/>
        <v>12</v>
      </c>
      <c r="AK59" s="51"/>
    </row>
    <row r="60" spans="1:88" x14ac:dyDescent="0.25">
      <c r="A60" s="74" t="s">
        <v>77</v>
      </c>
      <c r="B60" s="75">
        <v>27</v>
      </c>
      <c r="C60" s="75">
        <v>27</v>
      </c>
      <c r="D60" s="75">
        <v>27</v>
      </c>
      <c r="E60" s="75">
        <v>27</v>
      </c>
      <c r="F60" s="75">
        <v>27</v>
      </c>
      <c r="G60" s="75">
        <v>27</v>
      </c>
      <c r="H60" s="75">
        <v>27</v>
      </c>
      <c r="I60" s="75">
        <v>27</v>
      </c>
      <c r="J60" s="75">
        <v>27</v>
      </c>
      <c r="K60" s="75">
        <v>27</v>
      </c>
      <c r="L60" s="75">
        <v>27</v>
      </c>
      <c r="M60" s="75">
        <v>27</v>
      </c>
      <c r="N60" s="75">
        <v>27</v>
      </c>
      <c r="O60" s="75">
        <v>27</v>
      </c>
      <c r="P60" s="75">
        <v>27</v>
      </c>
      <c r="Q60" s="75">
        <v>27</v>
      </c>
      <c r="R60" s="75">
        <v>27</v>
      </c>
      <c r="S60" s="75">
        <v>27</v>
      </c>
      <c r="T60" s="75">
        <v>27</v>
      </c>
      <c r="U60" s="75">
        <v>27</v>
      </c>
      <c r="V60" s="75">
        <v>27</v>
      </c>
      <c r="W60" s="75"/>
      <c r="X60" s="75">
        <v>28.4</v>
      </c>
      <c r="Y60" s="75">
        <v>20</v>
      </c>
      <c r="Z60" s="75">
        <v>20</v>
      </c>
      <c r="AA60" s="75">
        <v>20</v>
      </c>
      <c r="AB60" s="75">
        <v>20</v>
      </c>
      <c r="AC60" s="75">
        <v>20</v>
      </c>
      <c r="AD60" s="75">
        <v>20</v>
      </c>
      <c r="AE60" s="75">
        <v>20</v>
      </c>
      <c r="AF60" s="75">
        <v>20</v>
      </c>
      <c r="AG60" s="65">
        <v>60</v>
      </c>
      <c r="AH60" s="48">
        <f t="shared" si="8"/>
        <v>28.4</v>
      </c>
      <c r="AI60" s="49">
        <f t="shared" si="9"/>
        <v>20</v>
      </c>
      <c r="AK60" s="51"/>
    </row>
    <row r="61" spans="1:88" ht="15.75" thickBot="1" x14ac:dyDescent="0.3">
      <c r="A61" s="76" t="s">
        <v>78</v>
      </c>
      <c r="B61" s="77">
        <v>12.2</v>
      </c>
      <c r="C61" s="77">
        <v>12.2</v>
      </c>
      <c r="D61" s="77">
        <v>12.2</v>
      </c>
      <c r="E61" s="77">
        <v>12.1</v>
      </c>
      <c r="F61" s="77">
        <v>10.199999999999999</v>
      </c>
      <c r="G61" s="77">
        <v>10.1</v>
      </c>
      <c r="H61" s="77">
        <v>10.1</v>
      </c>
      <c r="I61" s="77">
        <v>10.1</v>
      </c>
      <c r="J61" s="77">
        <v>10.199999999999999</v>
      </c>
      <c r="K61" s="77">
        <v>10.6</v>
      </c>
      <c r="L61" s="77">
        <v>10.3</v>
      </c>
      <c r="M61" s="77">
        <v>10.3</v>
      </c>
      <c r="N61" s="77">
        <v>10.3</v>
      </c>
      <c r="O61" s="77">
        <v>10.3</v>
      </c>
      <c r="P61" s="77">
        <v>10.199999999999999</v>
      </c>
      <c r="Q61" s="77">
        <v>10.3</v>
      </c>
      <c r="R61" s="77">
        <v>10.199999999999999</v>
      </c>
      <c r="S61" s="77">
        <v>10.199999999999999</v>
      </c>
      <c r="T61" s="77">
        <v>10.199999999999999</v>
      </c>
      <c r="U61" s="77">
        <v>10.199999999999999</v>
      </c>
      <c r="V61" s="77">
        <v>10.199999999999999</v>
      </c>
      <c r="W61" s="77"/>
      <c r="X61" s="77">
        <v>10.199999999999999</v>
      </c>
      <c r="Y61" s="77">
        <v>7.4</v>
      </c>
      <c r="Z61" s="77">
        <v>7.4</v>
      </c>
      <c r="AA61" s="77">
        <v>7.4</v>
      </c>
      <c r="AB61" s="77">
        <v>10.199999999999999</v>
      </c>
      <c r="AC61" s="77">
        <v>10.199999999999999</v>
      </c>
      <c r="AD61" s="77">
        <v>10.199999999999999</v>
      </c>
      <c r="AE61" s="77">
        <v>10.199999999999999</v>
      </c>
      <c r="AF61" s="77">
        <v>10.199999999999999</v>
      </c>
      <c r="AG61" s="78">
        <v>22.1</v>
      </c>
      <c r="AH61" s="48">
        <f t="shared" si="8"/>
        <v>12.2</v>
      </c>
      <c r="AI61" s="49">
        <f t="shared" si="9"/>
        <v>7.4</v>
      </c>
      <c r="AK61" s="51"/>
    </row>
    <row r="62" spans="1:88" ht="15.75" thickBot="1" x14ac:dyDescent="0.3">
      <c r="A62" s="79" t="s">
        <v>79</v>
      </c>
      <c r="B62" s="70">
        <f t="shared" ref="B62:AG62" si="29">SUM(B59:B61)</f>
        <v>69.2</v>
      </c>
      <c r="C62" s="70">
        <f t="shared" si="29"/>
        <v>55.2</v>
      </c>
      <c r="D62" s="70">
        <f t="shared" si="29"/>
        <v>54.2</v>
      </c>
      <c r="E62" s="70">
        <f t="shared" si="29"/>
        <v>54.2</v>
      </c>
      <c r="F62" s="70">
        <f t="shared" si="29"/>
        <v>102.4</v>
      </c>
      <c r="G62" s="70">
        <f t="shared" si="29"/>
        <v>87.1</v>
      </c>
      <c r="H62" s="70">
        <f t="shared" ref="H62" si="30">SUM(H59:H61)</f>
        <v>49.1</v>
      </c>
      <c r="I62" s="70">
        <f t="shared" si="29"/>
        <v>52.1</v>
      </c>
      <c r="J62" s="70">
        <f t="shared" si="29"/>
        <v>72.2</v>
      </c>
      <c r="K62" s="70">
        <f t="shared" si="29"/>
        <v>121.39999999999999</v>
      </c>
      <c r="L62" s="70">
        <f t="shared" si="29"/>
        <v>190.5</v>
      </c>
      <c r="M62" s="70">
        <f t="shared" ref="M62:N62" si="31">SUM(M59:M61)</f>
        <v>267.3</v>
      </c>
      <c r="N62" s="70">
        <f t="shared" si="31"/>
        <v>181.9</v>
      </c>
      <c r="O62" s="70">
        <f t="shared" ref="O62" si="32">SUM(O59:O61)</f>
        <v>157.5</v>
      </c>
      <c r="P62" s="70">
        <f>SUM(P59:P61)</f>
        <v>77.3</v>
      </c>
      <c r="Q62" s="70">
        <f t="shared" si="29"/>
        <v>67.400000000000006</v>
      </c>
      <c r="R62" s="70">
        <f t="shared" si="29"/>
        <v>87.2</v>
      </c>
      <c r="S62" s="70">
        <f t="shared" si="29"/>
        <v>190.2</v>
      </c>
      <c r="T62" s="70">
        <f t="shared" si="29"/>
        <v>177.2</v>
      </c>
      <c r="U62" s="70">
        <f t="shared" si="29"/>
        <v>137.19999999999999</v>
      </c>
      <c r="V62" s="70">
        <f t="shared" si="29"/>
        <v>75.2</v>
      </c>
      <c r="W62" s="70">
        <f t="shared" si="29"/>
        <v>0</v>
      </c>
      <c r="X62" s="70">
        <f t="shared" si="29"/>
        <v>98.600000000000009</v>
      </c>
      <c r="Y62" s="70">
        <f t="shared" si="29"/>
        <v>77.400000000000006</v>
      </c>
      <c r="Z62" s="70">
        <f t="shared" si="29"/>
        <v>208.4</v>
      </c>
      <c r="AA62" s="70">
        <f t="shared" si="29"/>
        <v>187.4</v>
      </c>
      <c r="AB62" s="70">
        <f t="shared" ref="AB62:AC62" si="33">SUM(AB59:AB61)</f>
        <v>180.2</v>
      </c>
      <c r="AC62" s="70">
        <f t="shared" si="33"/>
        <v>165.2</v>
      </c>
      <c r="AD62" s="70">
        <f t="shared" ref="AD62:AE62" si="34">SUM(AD59:AD61)</f>
        <v>135.19999999999999</v>
      </c>
      <c r="AE62" s="70">
        <f t="shared" si="34"/>
        <v>135.19999999999999</v>
      </c>
      <c r="AF62" s="70">
        <f t="shared" ref="AF62" si="35">SUM(AF59:AF61)</f>
        <v>85.2</v>
      </c>
      <c r="AG62" s="71">
        <f t="shared" si="29"/>
        <v>538.1</v>
      </c>
      <c r="AH62" s="48">
        <f t="shared" si="8"/>
        <v>267.3</v>
      </c>
      <c r="AI62" s="49">
        <f t="shared" si="9"/>
        <v>0</v>
      </c>
      <c r="AK62" s="51"/>
    </row>
    <row r="63" spans="1:88" x14ac:dyDescent="0.25">
      <c r="A63" s="45" t="s">
        <v>80</v>
      </c>
      <c r="B63" s="46">
        <v>30.8</v>
      </c>
      <c r="C63" s="46">
        <v>30.3</v>
      </c>
      <c r="D63" s="46">
        <v>31</v>
      </c>
      <c r="E63" s="46">
        <v>30.8</v>
      </c>
      <c r="F63" s="46">
        <v>30.9</v>
      </c>
      <c r="G63" s="46">
        <v>31</v>
      </c>
      <c r="H63" s="46">
        <v>31</v>
      </c>
      <c r="I63" s="46">
        <v>48.7</v>
      </c>
      <c r="J63" s="46">
        <v>86.1</v>
      </c>
      <c r="K63" s="46">
        <v>80.400000000000006</v>
      </c>
      <c r="L63" s="46">
        <v>80.400000000000006</v>
      </c>
      <c r="M63" s="46">
        <v>81.599999999999994</v>
      </c>
      <c r="N63" s="46">
        <v>96.5</v>
      </c>
      <c r="O63" s="46">
        <v>80.400000000000006</v>
      </c>
      <c r="P63" s="46">
        <v>64.599999999999994</v>
      </c>
      <c r="Q63" s="46">
        <v>64.5</v>
      </c>
      <c r="R63" s="46">
        <v>64.400000000000006</v>
      </c>
      <c r="S63" s="46">
        <v>76</v>
      </c>
      <c r="T63" s="46">
        <v>66</v>
      </c>
      <c r="U63" s="46">
        <v>61</v>
      </c>
      <c r="V63" s="46">
        <v>30</v>
      </c>
      <c r="W63" s="46"/>
      <c r="X63" s="46">
        <v>91.2</v>
      </c>
      <c r="Y63" s="46">
        <v>87.2</v>
      </c>
      <c r="Z63" s="46">
        <v>107</v>
      </c>
      <c r="AA63" s="46">
        <v>133.30000000000001</v>
      </c>
      <c r="AB63" s="46">
        <v>100.4</v>
      </c>
      <c r="AC63" s="46">
        <v>92.6</v>
      </c>
      <c r="AD63" s="46">
        <v>97.8</v>
      </c>
      <c r="AE63" s="46">
        <v>60.5</v>
      </c>
      <c r="AF63" s="46">
        <v>60.5</v>
      </c>
      <c r="AG63" s="60">
        <v>144</v>
      </c>
      <c r="AH63" s="48">
        <f t="shared" si="8"/>
        <v>133.30000000000001</v>
      </c>
      <c r="AI63" s="49">
        <f t="shared" si="9"/>
        <v>30</v>
      </c>
      <c r="AK63" s="51"/>
    </row>
    <row r="64" spans="1:88" x14ac:dyDescent="0.25">
      <c r="A64" s="64" t="s">
        <v>81</v>
      </c>
      <c r="B64" s="75">
        <v>25</v>
      </c>
      <c r="C64" s="75">
        <v>0</v>
      </c>
      <c r="D64" s="75">
        <v>0</v>
      </c>
      <c r="E64" s="75">
        <v>0</v>
      </c>
      <c r="F64" s="75">
        <v>0</v>
      </c>
      <c r="G64" s="75">
        <v>0</v>
      </c>
      <c r="H64" s="75">
        <v>0</v>
      </c>
      <c r="I64" s="75">
        <v>25</v>
      </c>
      <c r="J64" s="75">
        <v>35.1</v>
      </c>
      <c r="K64" s="75">
        <v>48.6</v>
      </c>
      <c r="L64" s="75">
        <v>48.6</v>
      </c>
      <c r="M64" s="75">
        <v>50.6</v>
      </c>
      <c r="N64" s="75">
        <v>59.2</v>
      </c>
      <c r="O64" s="75">
        <v>59.2</v>
      </c>
      <c r="P64" s="75">
        <v>33.200000000000003</v>
      </c>
      <c r="Q64" s="75">
        <v>28.3</v>
      </c>
      <c r="R64" s="75">
        <v>35.299999999999997</v>
      </c>
      <c r="S64" s="75">
        <v>23</v>
      </c>
      <c r="T64" s="75">
        <v>23</v>
      </c>
      <c r="U64" s="75">
        <v>23</v>
      </c>
      <c r="V64" s="75">
        <v>23</v>
      </c>
      <c r="W64" s="46"/>
      <c r="X64" s="75">
        <v>34</v>
      </c>
      <c r="Y64" s="75">
        <v>22.2</v>
      </c>
      <c r="Z64" s="46">
        <v>62.6</v>
      </c>
      <c r="AA64" s="46">
        <v>54</v>
      </c>
      <c r="AB64" s="46">
        <v>50.8</v>
      </c>
      <c r="AC64" s="46">
        <v>50.8</v>
      </c>
      <c r="AD64" s="46">
        <v>50.8</v>
      </c>
      <c r="AE64" s="46">
        <v>24.4</v>
      </c>
      <c r="AF64" s="46">
        <v>24.4</v>
      </c>
      <c r="AG64" s="65">
        <v>70</v>
      </c>
      <c r="AH64" s="48">
        <f t="shared" si="8"/>
        <v>62.6</v>
      </c>
      <c r="AI64" s="49">
        <f t="shared" si="9"/>
        <v>0</v>
      </c>
      <c r="AK64" s="51"/>
    </row>
    <row r="65" spans="1:75" x14ac:dyDescent="0.25">
      <c r="A65" s="64" t="s">
        <v>82</v>
      </c>
      <c r="B65" s="75">
        <v>21.4</v>
      </c>
      <c r="C65" s="75">
        <v>0</v>
      </c>
      <c r="D65" s="75">
        <v>0</v>
      </c>
      <c r="E65" s="75">
        <v>0</v>
      </c>
      <c r="F65" s="75">
        <v>0</v>
      </c>
      <c r="G65" s="75">
        <v>0</v>
      </c>
      <c r="H65" s="75">
        <v>22</v>
      </c>
      <c r="I65" s="75">
        <v>45</v>
      </c>
      <c r="J65" s="75">
        <v>45</v>
      </c>
      <c r="K65" s="75">
        <v>57.5</v>
      </c>
      <c r="L65" s="75">
        <v>57.5</v>
      </c>
      <c r="M65" s="75">
        <v>66</v>
      </c>
      <c r="N65" s="75">
        <v>66.099999999999994</v>
      </c>
      <c r="O65" s="75">
        <v>65.900000000000006</v>
      </c>
      <c r="P65" s="75">
        <v>52.6</v>
      </c>
      <c r="Q65" s="75">
        <v>38.9</v>
      </c>
      <c r="R65" s="75">
        <v>43.1</v>
      </c>
      <c r="S65" s="75">
        <v>21.1</v>
      </c>
      <c r="T65" s="75">
        <v>15</v>
      </c>
      <c r="U65" s="75">
        <v>15</v>
      </c>
      <c r="V65" s="75">
        <v>15</v>
      </c>
      <c r="W65" s="46"/>
      <c r="X65" s="75">
        <v>16</v>
      </c>
      <c r="Y65" s="75">
        <v>16</v>
      </c>
      <c r="Z65" s="46">
        <v>53.5</v>
      </c>
      <c r="AA65" s="46">
        <v>68</v>
      </c>
      <c r="AB65" s="46">
        <v>68.3</v>
      </c>
      <c r="AC65" s="46">
        <v>45.7</v>
      </c>
      <c r="AD65" s="46">
        <v>33.200000000000003</v>
      </c>
      <c r="AE65" s="46">
        <v>45.4</v>
      </c>
      <c r="AF65" s="46">
        <v>34.200000000000003</v>
      </c>
      <c r="AG65" s="65">
        <v>69</v>
      </c>
      <c r="AH65" s="48">
        <f t="shared" si="8"/>
        <v>68.3</v>
      </c>
      <c r="AI65" s="49">
        <f t="shared" si="9"/>
        <v>0</v>
      </c>
      <c r="AK65" s="51"/>
    </row>
    <row r="66" spans="1:75" x14ac:dyDescent="0.25">
      <c r="A66" s="64" t="s">
        <v>83</v>
      </c>
      <c r="B66" s="75">
        <v>34</v>
      </c>
      <c r="C66" s="75">
        <v>34.299999999999997</v>
      </c>
      <c r="D66" s="75">
        <v>36</v>
      </c>
      <c r="E66" s="75">
        <v>36</v>
      </c>
      <c r="F66" s="75">
        <v>36</v>
      </c>
      <c r="G66" s="75">
        <v>36</v>
      </c>
      <c r="H66" s="75">
        <v>36</v>
      </c>
      <c r="I66" s="75">
        <v>36</v>
      </c>
      <c r="J66" s="75">
        <v>36</v>
      </c>
      <c r="K66" s="67">
        <v>36</v>
      </c>
      <c r="L66" s="67">
        <v>36</v>
      </c>
      <c r="M66" s="67">
        <v>34</v>
      </c>
      <c r="N66" s="67">
        <v>34</v>
      </c>
      <c r="O66" s="67">
        <v>35</v>
      </c>
      <c r="P66" s="75">
        <v>33.299999999999997</v>
      </c>
      <c r="Q66" s="75">
        <v>33.299999999999997</v>
      </c>
      <c r="R66" s="75">
        <v>33.299999999999997</v>
      </c>
      <c r="S66" s="75">
        <v>33.299999999999997</v>
      </c>
      <c r="T66" s="75">
        <v>35.299999999999997</v>
      </c>
      <c r="U66" s="75">
        <v>35.299999999999997</v>
      </c>
      <c r="V66" s="75">
        <v>35.299999999999997</v>
      </c>
      <c r="W66" s="46"/>
      <c r="X66" s="75">
        <v>35.299999999999997</v>
      </c>
      <c r="Y66" s="75">
        <v>35.299999999999997</v>
      </c>
      <c r="Z66" s="46">
        <v>35.299999999999997</v>
      </c>
      <c r="AA66" s="46">
        <v>35.299999999999997</v>
      </c>
      <c r="AB66" s="46">
        <v>34.299999999999997</v>
      </c>
      <c r="AC66" s="46">
        <v>34.299999999999997</v>
      </c>
      <c r="AD66" s="46">
        <v>34.299999999999997</v>
      </c>
      <c r="AE66" s="46">
        <v>34.299999999999997</v>
      </c>
      <c r="AF66" s="46">
        <v>34.299999999999997</v>
      </c>
      <c r="AG66" s="65">
        <v>60</v>
      </c>
      <c r="AH66" s="48">
        <f t="shared" si="8"/>
        <v>36</v>
      </c>
      <c r="AI66" s="49">
        <f t="shared" si="9"/>
        <v>33.299999999999997</v>
      </c>
      <c r="AK66" s="51"/>
    </row>
    <row r="67" spans="1:75" x14ac:dyDescent="0.25">
      <c r="A67" s="64" t="s">
        <v>84</v>
      </c>
      <c r="B67" s="46">
        <v>0</v>
      </c>
      <c r="C67" s="46">
        <v>0</v>
      </c>
      <c r="D67" s="46">
        <v>10.4</v>
      </c>
      <c r="E67" s="75">
        <v>10.5</v>
      </c>
      <c r="F67" s="75">
        <v>25</v>
      </c>
      <c r="G67" s="75">
        <v>10</v>
      </c>
      <c r="H67" s="75">
        <v>10</v>
      </c>
      <c r="I67" s="75">
        <v>10.6</v>
      </c>
      <c r="J67" s="75">
        <v>10.6</v>
      </c>
      <c r="K67" s="75">
        <v>14.9</v>
      </c>
      <c r="L67" s="75">
        <v>14.9</v>
      </c>
      <c r="M67" s="75">
        <v>14</v>
      </c>
      <c r="N67" s="75">
        <v>14</v>
      </c>
      <c r="O67" s="75">
        <v>10</v>
      </c>
      <c r="P67" s="75">
        <v>10.6</v>
      </c>
      <c r="Q67" s="75">
        <v>10.4</v>
      </c>
      <c r="R67" s="75">
        <v>10.5</v>
      </c>
      <c r="S67" s="75">
        <v>10.5</v>
      </c>
      <c r="T67" s="75">
        <v>10.5</v>
      </c>
      <c r="U67" s="75">
        <v>15</v>
      </c>
      <c r="V67" s="75">
        <v>15</v>
      </c>
      <c r="W67" s="46"/>
      <c r="X67" s="75">
        <v>15</v>
      </c>
      <c r="Y67" s="75">
        <v>24.2</v>
      </c>
      <c r="Z67" s="46">
        <v>28.3</v>
      </c>
      <c r="AA67" s="46">
        <v>28.3</v>
      </c>
      <c r="AB67" s="46">
        <v>27.6</v>
      </c>
      <c r="AC67" s="46">
        <v>27.6</v>
      </c>
      <c r="AD67" s="46">
        <v>14.5</v>
      </c>
      <c r="AE67" s="46">
        <v>9.9</v>
      </c>
      <c r="AF67" s="46">
        <v>0</v>
      </c>
      <c r="AG67" s="65">
        <v>30</v>
      </c>
      <c r="AH67" s="48">
        <f t="shared" si="8"/>
        <v>28.3</v>
      </c>
      <c r="AI67" s="49">
        <f t="shared" si="9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</row>
    <row r="68" spans="1:75" x14ac:dyDescent="0.25">
      <c r="A68" s="64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1.5</v>
      </c>
      <c r="L68" s="46">
        <v>1.5</v>
      </c>
      <c r="M68" s="46">
        <v>5</v>
      </c>
      <c r="N68" s="46">
        <v>10.6</v>
      </c>
      <c r="O68" s="46">
        <v>13.2</v>
      </c>
      <c r="P68" s="75">
        <v>17.3</v>
      </c>
      <c r="Q68" s="75">
        <v>17.600000000000001</v>
      </c>
      <c r="R68" s="75">
        <v>17.3</v>
      </c>
      <c r="S68" s="75">
        <v>6</v>
      </c>
      <c r="T68" s="75">
        <v>7.7</v>
      </c>
      <c r="U68" s="75">
        <v>4</v>
      </c>
      <c r="V68" s="75">
        <v>1.8</v>
      </c>
      <c r="W68" s="46"/>
      <c r="X68" s="75">
        <v>0.3</v>
      </c>
      <c r="Y68" s="75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5">
        <v>25</v>
      </c>
      <c r="AH68" s="48">
        <f t="shared" si="8"/>
        <v>17.600000000000001</v>
      </c>
      <c r="AI68" s="49">
        <f t="shared" si="9"/>
        <v>0</v>
      </c>
      <c r="AK68" s="51"/>
      <c r="AY68" s="1" t="s">
        <v>86</v>
      </c>
      <c r="AZ68" s="81">
        <f>ROUND(C81,0)</f>
        <v>40</v>
      </c>
      <c r="BA68" s="80">
        <f t="shared" ref="BA68:BD72" si="36">D81</f>
        <v>32</v>
      </c>
      <c r="BB68" s="80">
        <f t="shared" si="36"/>
        <v>39.799999999999997</v>
      </c>
      <c r="BC68" s="80">
        <f t="shared" si="36"/>
        <v>36.299999999999997</v>
      </c>
      <c r="BD68" s="80">
        <f t="shared" si="36"/>
        <v>41</v>
      </c>
      <c r="BE68" s="81">
        <f>I81</f>
        <v>51</v>
      </c>
      <c r="BF68" s="81">
        <f>K81</f>
        <v>56.9</v>
      </c>
      <c r="BG68" s="81">
        <f t="shared" ref="BG68:BP72" si="37">M81</f>
        <v>48.3</v>
      </c>
      <c r="BH68" s="81">
        <f t="shared" si="37"/>
        <v>49.3</v>
      </c>
      <c r="BI68" s="81">
        <f t="shared" si="37"/>
        <v>41</v>
      </c>
      <c r="BJ68" s="81">
        <f t="shared" si="37"/>
        <v>43.4</v>
      </c>
      <c r="BK68" s="81">
        <f t="shared" si="37"/>
        <v>40.799999999999997</v>
      </c>
      <c r="BL68" s="81">
        <f t="shared" si="37"/>
        <v>37.799999999999997</v>
      </c>
      <c r="BM68" s="81">
        <f t="shared" si="37"/>
        <v>47</v>
      </c>
      <c r="BN68" s="81">
        <f t="shared" si="37"/>
        <v>43.5</v>
      </c>
      <c r="BO68" s="81">
        <f t="shared" si="37"/>
        <v>58</v>
      </c>
      <c r="BP68" s="81">
        <f t="shared" si="37"/>
        <v>61.1</v>
      </c>
      <c r="BQ68" s="81">
        <f>X81</f>
        <v>68.3</v>
      </c>
      <c r="BR68" s="81">
        <f>Z81</f>
        <v>56.4</v>
      </c>
      <c r="BS68" s="80">
        <f>AB81</f>
        <v>56.4</v>
      </c>
      <c r="BT68" s="80">
        <f>AD81</f>
        <v>53.3</v>
      </c>
      <c r="BU68" s="80">
        <f>AE81</f>
        <v>46.3</v>
      </c>
      <c r="BV68" s="80">
        <f>AF81</f>
        <v>52.5</v>
      </c>
      <c r="BW68" s="80">
        <f>B81</f>
        <v>53</v>
      </c>
    </row>
    <row r="69" spans="1:75" x14ac:dyDescent="0.25">
      <c r="A69" s="64" t="s">
        <v>87</v>
      </c>
      <c r="B69" s="75">
        <v>15</v>
      </c>
      <c r="C69" s="75">
        <v>15</v>
      </c>
      <c r="D69" s="75">
        <v>15</v>
      </c>
      <c r="E69" s="75">
        <v>15</v>
      </c>
      <c r="F69" s="75">
        <v>15</v>
      </c>
      <c r="G69" s="75">
        <v>15</v>
      </c>
      <c r="H69" s="75">
        <v>15</v>
      </c>
      <c r="I69" s="75">
        <v>15</v>
      </c>
      <c r="J69" s="75">
        <v>15</v>
      </c>
      <c r="K69" s="75">
        <v>15</v>
      </c>
      <c r="L69" s="75">
        <v>15</v>
      </c>
      <c r="M69" s="75">
        <v>15</v>
      </c>
      <c r="N69" s="75">
        <v>15</v>
      </c>
      <c r="O69" s="75">
        <v>15</v>
      </c>
      <c r="P69" s="75">
        <v>15</v>
      </c>
      <c r="Q69" s="75">
        <v>15</v>
      </c>
      <c r="R69" s="75">
        <v>15</v>
      </c>
      <c r="S69" s="75">
        <v>15</v>
      </c>
      <c r="T69" s="75">
        <v>15</v>
      </c>
      <c r="U69" s="75">
        <v>15</v>
      </c>
      <c r="V69" s="75">
        <v>15</v>
      </c>
      <c r="W69" s="75"/>
      <c r="X69" s="75">
        <v>15</v>
      </c>
      <c r="Y69" s="75">
        <v>15</v>
      </c>
      <c r="Z69" s="75">
        <v>15</v>
      </c>
      <c r="AA69" s="75">
        <v>15</v>
      </c>
      <c r="AB69" s="75">
        <v>15</v>
      </c>
      <c r="AC69" s="75">
        <v>15</v>
      </c>
      <c r="AD69" s="75">
        <v>15</v>
      </c>
      <c r="AE69" s="75">
        <v>15</v>
      </c>
      <c r="AF69" s="75">
        <v>15</v>
      </c>
      <c r="AG69" s="65">
        <v>24</v>
      </c>
      <c r="AH69" s="48">
        <f t="shared" si="8"/>
        <v>15</v>
      </c>
      <c r="AI69" s="49">
        <f t="shared" si="9"/>
        <v>15</v>
      </c>
      <c r="AK69" s="51"/>
      <c r="AY69" s="1" t="s">
        <v>88</v>
      </c>
      <c r="AZ69" s="81">
        <f>ROUND(C82,0)</f>
        <v>0</v>
      </c>
      <c r="BA69" s="80">
        <f t="shared" si="36"/>
        <v>0</v>
      </c>
      <c r="BB69" s="80">
        <f t="shared" si="36"/>
        <v>0</v>
      </c>
      <c r="BC69" s="80">
        <f t="shared" si="36"/>
        <v>0</v>
      </c>
      <c r="BD69" s="80">
        <f t="shared" si="36"/>
        <v>0</v>
      </c>
      <c r="BE69" s="81">
        <f t="shared" ref="BE69:BE72" si="38">I82</f>
        <v>0</v>
      </c>
      <c r="BF69" s="81">
        <f t="shared" ref="BF69:BF72" si="39">K82</f>
        <v>0</v>
      </c>
      <c r="BG69" s="81">
        <f t="shared" si="37"/>
        <v>0</v>
      </c>
      <c r="BH69" s="81">
        <f t="shared" si="37"/>
        <v>0</v>
      </c>
      <c r="BI69" s="81">
        <f t="shared" si="37"/>
        <v>0</v>
      </c>
      <c r="BJ69" s="81">
        <f t="shared" si="37"/>
        <v>0</v>
      </c>
      <c r="BK69" s="81">
        <f t="shared" si="37"/>
        <v>0</v>
      </c>
      <c r="BL69" s="81">
        <f t="shared" si="37"/>
        <v>0</v>
      </c>
      <c r="BM69" s="81">
        <f t="shared" si="37"/>
        <v>0</v>
      </c>
      <c r="BN69" s="81">
        <f t="shared" si="37"/>
        <v>0</v>
      </c>
      <c r="BO69" s="81">
        <f t="shared" si="37"/>
        <v>0</v>
      </c>
      <c r="BP69" s="81">
        <f t="shared" si="37"/>
        <v>0</v>
      </c>
      <c r="BQ69" s="81">
        <f t="shared" ref="BQ69:BQ72" si="40">X82</f>
        <v>0</v>
      </c>
      <c r="BR69" s="81">
        <f t="shared" ref="BR69:BR72" si="41">Z82</f>
        <v>0</v>
      </c>
      <c r="BS69" s="80">
        <f t="shared" ref="BS69:BS72" si="42">AB82</f>
        <v>0</v>
      </c>
      <c r="BT69" s="80">
        <f t="shared" ref="BT69:BV72" si="43">AD82</f>
        <v>0</v>
      </c>
      <c r="BU69" s="80">
        <f t="shared" si="43"/>
        <v>0</v>
      </c>
      <c r="BV69" s="80">
        <f t="shared" si="43"/>
        <v>0</v>
      </c>
      <c r="BW69" s="80">
        <f t="shared" ref="BW69:BW72" si="44">B82</f>
        <v>0</v>
      </c>
    </row>
    <row r="70" spans="1:75" x14ac:dyDescent="0.25">
      <c r="A70" s="64" t="s">
        <v>89</v>
      </c>
      <c r="B70" s="75">
        <v>3.5</v>
      </c>
      <c r="C70" s="75">
        <v>3.5</v>
      </c>
      <c r="D70" s="75">
        <v>3.5</v>
      </c>
      <c r="E70" s="75">
        <v>3.5</v>
      </c>
      <c r="F70" s="75">
        <v>3.5</v>
      </c>
      <c r="G70" s="75">
        <v>3.5</v>
      </c>
      <c r="H70" s="75">
        <v>3.5</v>
      </c>
      <c r="I70" s="75">
        <v>3.5</v>
      </c>
      <c r="J70" s="75">
        <v>3.5</v>
      </c>
      <c r="K70" s="75">
        <v>3.5</v>
      </c>
      <c r="L70" s="75">
        <v>3.5</v>
      </c>
      <c r="M70" s="75">
        <v>3.5</v>
      </c>
      <c r="N70" s="75">
        <v>3.5</v>
      </c>
      <c r="O70" s="75">
        <v>3.5</v>
      </c>
      <c r="P70" s="75">
        <v>3.5</v>
      </c>
      <c r="Q70" s="75">
        <v>0</v>
      </c>
      <c r="R70" s="75">
        <v>0</v>
      </c>
      <c r="S70" s="75">
        <v>0</v>
      </c>
      <c r="T70" s="75">
        <v>0</v>
      </c>
      <c r="U70" s="75">
        <v>0</v>
      </c>
      <c r="V70" s="75">
        <v>4</v>
      </c>
      <c r="W70" s="75"/>
      <c r="X70" s="75">
        <v>4</v>
      </c>
      <c r="Y70" s="75">
        <v>4</v>
      </c>
      <c r="Z70" s="75">
        <v>4</v>
      </c>
      <c r="AA70" s="75">
        <v>4</v>
      </c>
      <c r="AB70" s="75">
        <v>4</v>
      </c>
      <c r="AC70" s="75">
        <v>4</v>
      </c>
      <c r="AD70" s="75">
        <v>4</v>
      </c>
      <c r="AE70" s="75">
        <v>4</v>
      </c>
      <c r="AF70" s="75">
        <v>4</v>
      </c>
      <c r="AG70" s="65">
        <v>15</v>
      </c>
      <c r="AH70" s="48">
        <f t="shared" si="8"/>
        <v>4</v>
      </c>
      <c r="AI70" s="49">
        <f t="shared" si="9"/>
        <v>0</v>
      </c>
      <c r="AK70" s="51"/>
      <c r="AL70" s="82"/>
      <c r="AO70" s="82"/>
      <c r="AY70" s="1" t="s">
        <v>90</v>
      </c>
      <c r="AZ70" s="81">
        <f>ROUND(C83,0)</f>
        <v>234</v>
      </c>
      <c r="BA70" s="80">
        <f t="shared" si="36"/>
        <v>234</v>
      </c>
      <c r="BB70" s="80">
        <f t="shared" si="36"/>
        <v>231</v>
      </c>
      <c r="BC70" s="80">
        <f t="shared" si="36"/>
        <v>201</v>
      </c>
      <c r="BD70" s="80">
        <f t="shared" si="36"/>
        <v>220</v>
      </c>
      <c r="BE70" s="81">
        <f t="shared" si="38"/>
        <v>291</v>
      </c>
      <c r="BF70" s="81">
        <f t="shared" si="39"/>
        <v>225</v>
      </c>
      <c r="BG70" s="81">
        <f t="shared" si="37"/>
        <v>230</v>
      </c>
      <c r="BH70" s="81">
        <f t="shared" si="37"/>
        <v>240</v>
      </c>
      <c r="BI70" s="81">
        <f t="shared" si="37"/>
        <v>235.6</v>
      </c>
      <c r="BJ70" s="81">
        <f t="shared" si="37"/>
        <v>226</v>
      </c>
      <c r="BK70" s="81">
        <f t="shared" si="37"/>
        <v>238.1</v>
      </c>
      <c r="BL70" s="81">
        <f t="shared" si="37"/>
        <v>260</v>
      </c>
      <c r="BM70" s="81">
        <f t="shared" si="37"/>
        <v>227</v>
      </c>
      <c r="BN70" s="81">
        <f t="shared" si="37"/>
        <v>284</v>
      </c>
      <c r="BO70" s="81">
        <f t="shared" si="37"/>
        <v>283</v>
      </c>
      <c r="BP70" s="81">
        <f t="shared" si="37"/>
        <v>349</v>
      </c>
      <c r="BQ70" s="81">
        <f t="shared" si="40"/>
        <v>301</v>
      </c>
      <c r="BR70" s="81">
        <f t="shared" si="41"/>
        <v>260</v>
      </c>
      <c r="BS70" s="80">
        <f t="shared" si="42"/>
        <v>235.5</v>
      </c>
      <c r="BT70" s="80">
        <f t="shared" si="43"/>
        <v>239.14</v>
      </c>
      <c r="BU70" s="80">
        <f t="shared" si="43"/>
        <v>198</v>
      </c>
      <c r="BV70" s="80">
        <f t="shared" si="43"/>
        <v>204.5</v>
      </c>
      <c r="BW70" s="80">
        <f t="shared" si="44"/>
        <v>304</v>
      </c>
    </row>
    <row r="71" spans="1:75" s="82" customFormat="1" x14ac:dyDescent="0.25">
      <c r="A71" s="64" t="s">
        <v>91</v>
      </c>
      <c r="B71" s="75">
        <v>9.8000000000000007</v>
      </c>
      <c r="C71" s="75">
        <v>9.8000000000000007</v>
      </c>
      <c r="D71" s="75">
        <v>9.8000000000000007</v>
      </c>
      <c r="E71" s="75">
        <v>9.8000000000000007</v>
      </c>
      <c r="F71" s="75">
        <v>9.8000000000000007</v>
      </c>
      <c r="G71" s="75">
        <v>9.8000000000000007</v>
      </c>
      <c r="H71" s="75">
        <v>9.8000000000000007</v>
      </c>
      <c r="I71" s="75">
        <v>9.8000000000000007</v>
      </c>
      <c r="J71" s="75">
        <v>9.8000000000000007</v>
      </c>
      <c r="K71" s="75">
        <v>9.8000000000000007</v>
      </c>
      <c r="L71" s="75">
        <v>9.8000000000000007</v>
      </c>
      <c r="M71" s="75">
        <v>9</v>
      </c>
      <c r="N71" s="75">
        <v>8.1999999999999993</v>
      </c>
      <c r="O71" s="75">
        <v>8.1999999999999993</v>
      </c>
      <c r="P71" s="75">
        <v>8.1999999999999993</v>
      </c>
      <c r="Q71" s="75">
        <v>8.1999999999999993</v>
      </c>
      <c r="R71" s="75">
        <v>8.1999999999999993</v>
      </c>
      <c r="S71" s="75">
        <v>8.1999999999999993</v>
      </c>
      <c r="T71" s="75">
        <v>8.1999999999999993</v>
      </c>
      <c r="U71" s="75">
        <v>8.1999999999999993</v>
      </c>
      <c r="V71" s="75">
        <v>8.1999999999999993</v>
      </c>
      <c r="W71" s="75"/>
      <c r="X71" s="75">
        <v>8.1999999999999993</v>
      </c>
      <c r="Y71" s="75">
        <v>8.1999999999999993</v>
      </c>
      <c r="Z71" s="75">
        <v>8.1999999999999993</v>
      </c>
      <c r="AA71" s="75">
        <v>8.1999999999999993</v>
      </c>
      <c r="AB71" s="75">
        <v>8.1999999999999993</v>
      </c>
      <c r="AC71" s="75">
        <v>8.1999999999999993</v>
      </c>
      <c r="AD71" s="75">
        <v>8.1999999999999993</v>
      </c>
      <c r="AE71" s="75">
        <v>8.1999999999999993</v>
      </c>
      <c r="AF71" s="75">
        <v>8.1999999999999993</v>
      </c>
      <c r="AG71" s="65">
        <v>14.1</v>
      </c>
      <c r="AH71" s="48">
        <f t="shared" si="8"/>
        <v>9.8000000000000007</v>
      </c>
      <c r="AI71" s="49">
        <f t="shared" si="9"/>
        <v>8.1999999999999993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38</v>
      </c>
      <c r="BA71" s="80">
        <f t="shared" si="36"/>
        <v>40.200000000000003</v>
      </c>
      <c r="BB71" s="80">
        <f t="shared" si="36"/>
        <v>43.2</v>
      </c>
      <c r="BC71" s="80">
        <f t="shared" si="36"/>
        <v>2.9</v>
      </c>
      <c r="BD71" s="80">
        <f t="shared" si="36"/>
        <v>3</v>
      </c>
      <c r="BE71" s="81">
        <f t="shared" si="38"/>
        <v>3.6</v>
      </c>
      <c r="BF71" s="81">
        <f t="shared" si="39"/>
        <v>3.8</v>
      </c>
      <c r="BG71" s="81">
        <f t="shared" si="37"/>
        <v>2</v>
      </c>
      <c r="BH71" s="81">
        <f t="shared" si="37"/>
        <v>0.7</v>
      </c>
      <c r="BI71" s="81">
        <f t="shared" si="37"/>
        <v>0</v>
      </c>
      <c r="BJ71" s="81">
        <f t="shared" si="37"/>
        <v>0</v>
      </c>
      <c r="BK71" s="81">
        <f t="shared" si="37"/>
        <v>0</v>
      </c>
      <c r="BL71" s="81">
        <f t="shared" si="37"/>
        <v>0</v>
      </c>
      <c r="BM71" s="81">
        <f t="shared" si="37"/>
        <v>0</v>
      </c>
      <c r="BN71" s="81">
        <f t="shared" si="37"/>
        <v>0</v>
      </c>
      <c r="BO71" s="81">
        <f t="shared" si="37"/>
        <v>0</v>
      </c>
      <c r="BP71" s="81">
        <f t="shared" si="37"/>
        <v>0</v>
      </c>
      <c r="BQ71" s="81">
        <f t="shared" si="40"/>
        <v>0</v>
      </c>
      <c r="BR71" s="81">
        <f t="shared" si="41"/>
        <v>0</v>
      </c>
      <c r="BS71" s="80">
        <f t="shared" si="42"/>
        <v>0</v>
      </c>
      <c r="BT71" s="80">
        <f t="shared" si="43"/>
        <v>0</v>
      </c>
      <c r="BU71" s="80">
        <f t="shared" si="43"/>
        <v>0</v>
      </c>
      <c r="BV71" s="80">
        <f t="shared" si="43"/>
        <v>0</v>
      </c>
      <c r="BW71" s="80">
        <f t="shared" si="44"/>
        <v>38.9</v>
      </c>
    </row>
    <row r="72" spans="1:75" x14ac:dyDescent="0.25">
      <c r="A72" s="83" t="s">
        <v>93</v>
      </c>
      <c r="B72" s="75">
        <v>3.5</v>
      </c>
      <c r="C72" s="75">
        <v>3.5</v>
      </c>
      <c r="D72" s="75">
        <v>3.5</v>
      </c>
      <c r="E72" s="75">
        <v>3.5</v>
      </c>
      <c r="F72" s="75">
        <v>3.5</v>
      </c>
      <c r="G72" s="75">
        <v>3.5</v>
      </c>
      <c r="H72" s="75">
        <v>3.5</v>
      </c>
      <c r="I72" s="75">
        <v>3.5</v>
      </c>
      <c r="J72" s="75">
        <v>3.5</v>
      </c>
      <c r="K72" s="75">
        <v>3.5</v>
      </c>
      <c r="L72" s="75">
        <v>3.5</v>
      </c>
      <c r="M72" s="75">
        <v>3.5</v>
      </c>
      <c r="N72" s="75">
        <v>3.5</v>
      </c>
      <c r="O72" s="75">
        <v>3.5</v>
      </c>
      <c r="P72" s="75">
        <v>3.5</v>
      </c>
      <c r="Q72" s="75">
        <v>3.5</v>
      </c>
      <c r="R72" s="75">
        <v>3.5</v>
      </c>
      <c r="S72" s="75">
        <v>3.5</v>
      </c>
      <c r="T72" s="75">
        <v>3.5</v>
      </c>
      <c r="U72" s="75">
        <v>3.5</v>
      </c>
      <c r="V72" s="75">
        <v>3.5</v>
      </c>
      <c r="W72" s="75"/>
      <c r="X72" s="75">
        <v>3.5</v>
      </c>
      <c r="Y72" s="75">
        <v>3.5</v>
      </c>
      <c r="Z72" s="75">
        <v>3.5</v>
      </c>
      <c r="AA72" s="75">
        <v>3.5</v>
      </c>
      <c r="AB72" s="75">
        <v>3.5</v>
      </c>
      <c r="AC72" s="75">
        <v>3.5</v>
      </c>
      <c r="AD72" s="75">
        <v>3.5</v>
      </c>
      <c r="AE72" s="75">
        <v>3.5</v>
      </c>
      <c r="AF72" s="75">
        <v>3.5</v>
      </c>
      <c r="AG72" s="65">
        <v>14</v>
      </c>
      <c r="AH72" s="48">
        <f t="shared" si="8"/>
        <v>3.5</v>
      </c>
      <c r="AI72" s="49">
        <f t="shared" si="9"/>
        <v>3.5</v>
      </c>
      <c r="AK72" s="51"/>
      <c r="AY72" s="1" t="s">
        <v>94</v>
      </c>
      <c r="AZ72" s="81">
        <f>ROUND(C85,0)</f>
        <v>14</v>
      </c>
      <c r="BA72" s="80">
        <f t="shared" si="36"/>
        <v>14.8</v>
      </c>
      <c r="BB72" s="80">
        <f t="shared" si="36"/>
        <v>15</v>
      </c>
      <c r="BC72" s="80">
        <f t="shared" si="36"/>
        <v>14.5</v>
      </c>
      <c r="BD72" s="80">
        <f t="shared" si="36"/>
        <v>14.2</v>
      </c>
      <c r="BE72" s="81">
        <f t="shared" si="38"/>
        <v>12.9</v>
      </c>
      <c r="BF72" s="81">
        <f t="shared" si="39"/>
        <v>13.8</v>
      </c>
      <c r="BG72" s="81">
        <f t="shared" si="37"/>
        <v>15</v>
      </c>
      <c r="BH72" s="81">
        <f t="shared" si="37"/>
        <v>13.7</v>
      </c>
      <c r="BI72" s="81">
        <f t="shared" si="37"/>
        <v>0</v>
      </c>
      <c r="BJ72" s="81">
        <f t="shared" si="37"/>
        <v>0</v>
      </c>
      <c r="BK72" s="81">
        <f t="shared" si="37"/>
        <v>0</v>
      </c>
      <c r="BL72" s="81">
        <f t="shared" si="37"/>
        <v>0</v>
      </c>
      <c r="BM72" s="81">
        <f t="shared" si="37"/>
        <v>0</v>
      </c>
      <c r="BN72" s="81">
        <f t="shared" si="37"/>
        <v>0</v>
      </c>
      <c r="BO72" s="81">
        <f t="shared" si="37"/>
        <v>0</v>
      </c>
      <c r="BP72" s="81">
        <f t="shared" si="37"/>
        <v>0</v>
      </c>
      <c r="BQ72" s="81">
        <f t="shared" si="40"/>
        <v>0</v>
      </c>
      <c r="BR72" s="81">
        <f t="shared" si="41"/>
        <v>0</v>
      </c>
      <c r="BS72" s="80">
        <f t="shared" si="42"/>
        <v>0</v>
      </c>
      <c r="BT72" s="80">
        <f t="shared" si="43"/>
        <v>0</v>
      </c>
      <c r="BU72" s="80">
        <f t="shared" si="43"/>
        <v>0</v>
      </c>
      <c r="BV72" s="80">
        <f t="shared" si="43"/>
        <v>0</v>
      </c>
      <c r="BW72" s="80">
        <f t="shared" si="44"/>
        <v>0</v>
      </c>
    </row>
    <row r="73" spans="1:75" x14ac:dyDescent="0.25">
      <c r="A73" s="64" t="s">
        <v>95</v>
      </c>
      <c r="B73" s="75">
        <v>4.5</v>
      </c>
      <c r="C73" s="75">
        <v>4.5</v>
      </c>
      <c r="D73" s="75">
        <v>4.5</v>
      </c>
      <c r="E73" s="75">
        <v>4.5</v>
      </c>
      <c r="F73" s="75">
        <v>4.5</v>
      </c>
      <c r="G73" s="75">
        <v>4.5</v>
      </c>
      <c r="H73" s="75">
        <v>4.5</v>
      </c>
      <c r="I73" s="75">
        <v>4.5</v>
      </c>
      <c r="J73" s="75">
        <v>4.5</v>
      </c>
      <c r="K73" s="75">
        <v>4.5</v>
      </c>
      <c r="L73" s="75">
        <v>4.5</v>
      </c>
      <c r="M73" s="75">
        <v>4.5</v>
      </c>
      <c r="N73" s="75">
        <v>4.5</v>
      </c>
      <c r="O73" s="75">
        <v>4.5</v>
      </c>
      <c r="P73" s="75">
        <v>4.5</v>
      </c>
      <c r="Q73" s="75">
        <v>4.5</v>
      </c>
      <c r="R73" s="75">
        <v>4.5</v>
      </c>
      <c r="S73" s="75">
        <v>4.5</v>
      </c>
      <c r="T73" s="75">
        <v>4.5</v>
      </c>
      <c r="U73" s="75">
        <v>4.5</v>
      </c>
      <c r="V73" s="75">
        <v>4.5</v>
      </c>
      <c r="W73" s="75"/>
      <c r="X73" s="75">
        <v>4.5</v>
      </c>
      <c r="Y73" s="75">
        <v>4.5</v>
      </c>
      <c r="Z73" s="75">
        <v>4.5</v>
      </c>
      <c r="AA73" s="75">
        <v>4.5</v>
      </c>
      <c r="AB73" s="75">
        <v>4.5</v>
      </c>
      <c r="AC73" s="75">
        <v>4.5</v>
      </c>
      <c r="AD73" s="75">
        <v>4.5</v>
      </c>
      <c r="AE73" s="75">
        <v>4.5</v>
      </c>
      <c r="AF73" s="75">
        <v>4.5</v>
      </c>
      <c r="AG73" s="65">
        <v>10.050000000000001</v>
      </c>
      <c r="AH73" s="48">
        <f t="shared" si="8"/>
        <v>4.5</v>
      </c>
      <c r="AI73" s="49">
        <f t="shared" si="9"/>
        <v>4.5</v>
      </c>
      <c r="AK73" s="51"/>
      <c r="AY73" s="1" t="s">
        <v>96</v>
      </c>
      <c r="AZ73" s="81">
        <f>ROUND(C91,0)</f>
        <v>52</v>
      </c>
      <c r="BA73" s="81">
        <f>D91</f>
        <v>50.7</v>
      </c>
      <c r="BB73" s="81">
        <f>E91</f>
        <v>51.1</v>
      </c>
      <c r="BC73" s="81">
        <f>F91</f>
        <v>50</v>
      </c>
      <c r="BD73" s="81">
        <f>G91</f>
        <v>50.9</v>
      </c>
      <c r="BE73" s="81">
        <f>I91</f>
        <v>49.8</v>
      </c>
      <c r="BF73" s="81">
        <f>K91</f>
        <v>46.8</v>
      </c>
      <c r="BG73" s="81">
        <f t="shared" ref="BG73:BP73" si="45">M91</f>
        <v>62.5</v>
      </c>
      <c r="BH73" s="81">
        <f t="shared" si="45"/>
        <v>66</v>
      </c>
      <c r="BI73" s="81">
        <f t="shared" si="45"/>
        <v>62.8</v>
      </c>
      <c r="BJ73" s="81">
        <f t="shared" si="45"/>
        <v>57.2</v>
      </c>
      <c r="BK73" s="81">
        <f t="shared" si="45"/>
        <v>57.2</v>
      </c>
      <c r="BL73" s="81">
        <f t="shared" si="45"/>
        <v>0</v>
      </c>
      <c r="BM73" s="81">
        <f t="shared" si="45"/>
        <v>0</v>
      </c>
      <c r="BN73" s="81">
        <f t="shared" si="45"/>
        <v>0</v>
      </c>
      <c r="BO73" s="81">
        <f t="shared" si="45"/>
        <v>0</v>
      </c>
      <c r="BP73" s="81">
        <f t="shared" si="45"/>
        <v>0</v>
      </c>
      <c r="BQ73" s="81">
        <f>X91</f>
        <v>12</v>
      </c>
      <c r="BR73" s="81">
        <f>Z91</f>
        <v>71</v>
      </c>
      <c r="BS73" s="81">
        <f>AB91</f>
        <v>0</v>
      </c>
      <c r="BT73" s="81">
        <f>AD91</f>
        <v>0</v>
      </c>
      <c r="BU73" s="81">
        <f>AE91</f>
        <v>0</v>
      </c>
      <c r="BV73" s="81">
        <f>AF91</f>
        <v>0</v>
      </c>
      <c r="BW73" s="81">
        <f>B91</f>
        <v>0</v>
      </c>
    </row>
    <row r="74" spans="1:75" x14ac:dyDescent="0.25">
      <c r="A74" s="64" t="s">
        <v>97</v>
      </c>
      <c r="B74" s="75">
        <v>2</v>
      </c>
      <c r="C74" s="75">
        <v>2</v>
      </c>
      <c r="D74" s="75">
        <v>2</v>
      </c>
      <c r="E74" s="75">
        <v>2</v>
      </c>
      <c r="F74" s="75">
        <v>2</v>
      </c>
      <c r="G74" s="75">
        <v>2</v>
      </c>
      <c r="H74" s="75">
        <v>2</v>
      </c>
      <c r="I74" s="75">
        <v>2</v>
      </c>
      <c r="J74" s="75">
        <v>2</v>
      </c>
      <c r="K74" s="75">
        <v>2</v>
      </c>
      <c r="L74" s="75">
        <v>2</v>
      </c>
      <c r="M74" s="75">
        <v>2</v>
      </c>
      <c r="N74" s="75">
        <v>2</v>
      </c>
      <c r="O74" s="75">
        <v>2</v>
      </c>
      <c r="P74" s="75">
        <v>2</v>
      </c>
      <c r="Q74" s="75">
        <v>2</v>
      </c>
      <c r="R74" s="75">
        <v>2</v>
      </c>
      <c r="S74" s="75">
        <v>2</v>
      </c>
      <c r="T74" s="75">
        <v>2</v>
      </c>
      <c r="U74" s="75">
        <v>2</v>
      </c>
      <c r="V74" s="75">
        <v>2</v>
      </c>
      <c r="W74" s="75"/>
      <c r="X74" s="75">
        <v>2</v>
      </c>
      <c r="Y74" s="75">
        <v>2</v>
      </c>
      <c r="Z74" s="75">
        <v>2</v>
      </c>
      <c r="AA74" s="75">
        <v>2</v>
      </c>
      <c r="AB74" s="75">
        <v>2</v>
      </c>
      <c r="AC74" s="75">
        <v>2</v>
      </c>
      <c r="AD74" s="75">
        <v>2</v>
      </c>
      <c r="AE74" s="75">
        <v>2</v>
      </c>
      <c r="AF74" s="75">
        <v>4.5</v>
      </c>
      <c r="AG74" s="65">
        <v>6.2</v>
      </c>
      <c r="AH74" s="48">
        <f t="shared" si="8"/>
        <v>4.5</v>
      </c>
      <c r="AI74" s="49">
        <f t="shared" si="9"/>
        <v>2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</row>
    <row r="75" spans="1:75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>
        <v>3.54</v>
      </c>
      <c r="W75" s="84">
        <v>3.54</v>
      </c>
      <c r="X75" s="84">
        <v>3.54</v>
      </c>
      <c r="Y75" s="84">
        <v>3.5</v>
      </c>
      <c r="Z75" s="84">
        <v>3.5</v>
      </c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8"/>
        <v>3.54</v>
      </c>
      <c r="AI75" s="49">
        <f t="shared" si="9"/>
        <v>3.5</v>
      </c>
      <c r="AK75" s="51"/>
      <c r="AZ75" s="81">
        <f>VALUE(AZ68)</f>
        <v>40</v>
      </c>
      <c r="BA75" s="81">
        <f t="shared" ref="BA75:BW75" si="46">VALUE(BA68)</f>
        <v>32</v>
      </c>
      <c r="BB75" s="81">
        <f t="shared" si="46"/>
        <v>39.799999999999997</v>
      </c>
      <c r="BC75" s="81">
        <f t="shared" si="46"/>
        <v>36.299999999999997</v>
      </c>
      <c r="BD75" s="81">
        <f t="shared" si="46"/>
        <v>41</v>
      </c>
      <c r="BE75" s="81">
        <f t="shared" si="46"/>
        <v>51</v>
      </c>
      <c r="BF75" s="81">
        <f t="shared" si="46"/>
        <v>56.9</v>
      </c>
      <c r="BG75" s="81">
        <f t="shared" si="46"/>
        <v>48.3</v>
      </c>
      <c r="BH75" s="81">
        <f t="shared" si="46"/>
        <v>49.3</v>
      </c>
      <c r="BI75" s="81">
        <f t="shared" si="46"/>
        <v>41</v>
      </c>
      <c r="BJ75" s="81">
        <f t="shared" si="46"/>
        <v>43.4</v>
      </c>
      <c r="BK75" s="81">
        <f t="shared" si="46"/>
        <v>40.799999999999997</v>
      </c>
      <c r="BL75" s="81">
        <f t="shared" si="46"/>
        <v>37.799999999999997</v>
      </c>
      <c r="BM75" s="81">
        <f t="shared" si="46"/>
        <v>47</v>
      </c>
      <c r="BN75" s="81">
        <f t="shared" si="46"/>
        <v>43.5</v>
      </c>
      <c r="BO75" s="81">
        <f t="shared" si="46"/>
        <v>58</v>
      </c>
      <c r="BP75" s="81">
        <f t="shared" si="46"/>
        <v>61.1</v>
      </c>
      <c r="BQ75" s="81">
        <f t="shared" si="46"/>
        <v>68.3</v>
      </c>
      <c r="BR75" s="81">
        <f t="shared" si="46"/>
        <v>56.4</v>
      </c>
      <c r="BS75" s="81">
        <f t="shared" si="46"/>
        <v>56.4</v>
      </c>
      <c r="BT75" s="81">
        <f t="shared" si="46"/>
        <v>53.3</v>
      </c>
      <c r="BU75" s="81">
        <f t="shared" si="46"/>
        <v>46.3</v>
      </c>
      <c r="BV75" s="81">
        <f t="shared" si="46"/>
        <v>52.5</v>
      </c>
      <c r="BW75" s="81">
        <f t="shared" si="46"/>
        <v>53</v>
      </c>
    </row>
    <row r="76" spans="1:75" ht="15.75" thickBot="1" x14ac:dyDescent="0.3">
      <c r="A76" s="86" t="s">
        <v>99</v>
      </c>
      <c r="B76" s="70">
        <f t="shared" ref="B76:AG76" si="47">SUM(B63:B75)</f>
        <v>153.04</v>
      </c>
      <c r="C76" s="70">
        <f t="shared" si="47"/>
        <v>106.44</v>
      </c>
      <c r="D76" s="70">
        <f t="shared" si="47"/>
        <v>119.24000000000001</v>
      </c>
      <c r="E76" s="70">
        <f t="shared" si="47"/>
        <v>119.14</v>
      </c>
      <c r="F76" s="70">
        <f t="shared" si="47"/>
        <v>133.73999999999998</v>
      </c>
      <c r="G76" s="70">
        <f t="shared" si="47"/>
        <v>118.84</v>
      </c>
      <c r="H76" s="70">
        <f t="shared" si="47"/>
        <v>140.84</v>
      </c>
      <c r="I76" s="70">
        <f t="shared" si="47"/>
        <v>207.14</v>
      </c>
      <c r="J76" s="70">
        <f t="shared" si="47"/>
        <v>254.64</v>
      </c>
      <c r="K76" s="70">
        <f t="shared" si="47"/>
        <v>280.74</v>
      </c>
      <c r="L76" s="70">
        <f t="shared" si="47"/>
        <v>280.74</v>
      </c>
      <c r="M76" s="70">
        <f t="shared" ref="M76" si="48">SUM(M63:M75)</f>
        <v>292.24</v>
      </c>
      <c r="N76" s="70">
        <f t="shared" si="47"/>
        <v>320.64</v>
      </c>
      <c r="O76" s="70">
        <f t="shared" ref="O76" si="49">SUM(O63:O75)</f>
        <v>303.94000000000005</v>
      </c>
      <c r="P76" s="70">
        <f t="shared" si="47"/>
        <v>251.83999999999997</v>
      </c>
      <c r="Q76" s="70">
        <f t="shared" si="47"/>
        <v>229.73999999999998</v>
      </c>
      <c r="R76" s="70">
        <f t="shared" si="47"/>
        <v>240.64000000000001</v>
      </c>
      <c r="S76" s="70">
        <f t="shared" si="47"/>
        <v>206.63999999999996</v>
      </c>
      <c r="T76" s="70">
        <f t="shared" si="47"/>
        <v>194.23999999999998</v>
      </c>
      <c r="U76" s="70">
        <f t="shared" si="47"/>
        <v>190.04</v>
      </c>
      <c r="V76" s="70">
        <f t="shared" si="47"/>
        <v>160.83999999999997</v>
      </c>
      <c r="W76" s="70">
        <f t="shared" si="47"/>
        <v>3.54</v>
      </c>
      <c r="X76" s="70">
        <f t="shared" si="47"/>
        <v>232.54</v>
      </c>
      <c r="Y76" s="70">
        <f>SUM(Y63:Y75)</f>
        <v>225.59999999999997</v>
      </c>
      <c r="Z76" s="70">
        <f>SUM(Z63:Z75)</f>
        <v>327.39999999999998</v>
      </c>
      <c r="AA76" s="70">
        <f t="shared" si="47"/>
        <v>359.64000000000004</v>
      </c>
      <c r="AB76" s="70">
        <f t="shared" ref="AB76:AC76" si="50">SUM(AB63:AB75)</f>
        <v>322.14000000000004</v>
      </c>
      <c r="AC76" s="70">
        <f t="shared" si="50"/>
        <v>291.74</v>
      </c>
      <c r="AD76" s="70">
        <f t="shared" ref="AD76:AE76" si="51">SUM(AD63:AD75)</f>
        <v>271.34000000000003</v>
      </c>
      <c r="AE76" s="70">
        <f t="shared" si="51"/>
        <v>215.24</v>
      </c>
      <c r="AF76" s="70">
        <f t="shared" ref="AF76" si="52">SUM(AF63:AF75)</f>
        <v>196.64</v>
      </c>
      <c r="AG76" s="71">
        <f t="shared" si="47"/>
        <v>489.91</v>
      </c>
      <c r="AH76" s="48">
        <f t="shared" si="8"/>
        <v>359.64000000000004</v>
      </c>
      <c r="AI76" s="49">
        <f t="shared" si="9"/>
        <v>3.54</v>
      </c>
      <c r="AK76" s="51"/>
      <c r="AZ76" s="81">
        <f t="shared" ref="AZ76:BW80" si="53">VALUE(AZ69)</f>
        <v>0</v>
      </c>
      <c r="BA76" s="81">
        <f t="shared" si="53"/>
        <v>0</v>
      </c>
      <c r="BB76" s="81">
        <f t="shared" si="53"/>
        <v>0</v>
      </c>
      <c r="BC76" s="81">
        <f t="shared" si="53"/>
        <v>0</v>
      </c>
      <c r="BD76" s="81">
        <f t="shared" si="53"/>
        <v>0</v>
      </c>
      <c r="BE76" s="81">
        <f t="shared" si="53"/>
        <v>0</v>
      </c>
      <c r="BF76" s="81">
        <f t="shared" si="53"/>
        <v>0</v>
      </c>
      <c r="BG76" s="81">
        <f t="shared" si="53"/>
        <v>0</v>
      </c>
      <c r="BH76" s="81">
        <f t="shared" si="53"/>
        <v>0</v>
      </c>
      <c r="BI76" s="81">
        <f t="shared" si="53"/>
        <v>0</v>
      </c>
      <c r="BJ76" s="81">
        <f t="shared" si="53"/>
        <v>0</v>
      </c>
      <c r="BK76" s="81">
        <f t="shared" si="53"/>
        <v>0</v>
      </c>
      <c r="BL76" s="81">
        <f t="shared" si="53"/>
        <v>0</v>
      </c>
      <c r="BM76" s="81">
        <f t="shared" si="53"/>
        <v>0</v>
      </c>
      <c r="BN76" s="81">
        <f t="shared" si="53"/>
        <v>0</v>
      </c>
      <c r="BO76" s="81">
        <f t="shared" si="53"/>
        <v>0</v>
      </c>
      <c r="BP76" s="81">
        <f t="shared" si="53"/>
        <v>0</v>
      </c>
      <c r="BQ76" s="81">
        <f t="shared" si="53"/>
        <v>0</v>
      </c>
      <c r="BR76" s="81">
        <f t="shared" si="53"/>
        <v>0</v>
      </c>
      <c r="BS76" s="81">
        <f t="shared" si="53"/>
        <v>0</v>
      </c>
      <c r="BT76" s="81">
        <f t="shared" si="53"/>
        <v>0</v>
      </c>
      <c r="BU76" s="81">
        <f t="shared" si="53"/>
        <v>0</v>
      </c>
      <c r="BV76" s="81">
        <f t="shared" si="53"/>
        <v>0</v>
      </c>
      <c r="BW76" s="81">
        <f t="shared" si="53"/>
        <v>0</v>
      </c>
    </row>
    <row r="77" spans="1:75" x14ac:dyDescent="0.25">
      <c r="A77" s="45" t="s">
        <v>100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>
        <v>30</v>
      </c>
      <c r="W77" s="46"/>
      <c r="X77" s="46">
        <v>35</v>
      </c>
      <c r="Y77" s="46">
        <v>35</v>
      </c>
      <c r="Z77" s="46">
        <v>35</v>
      </c>
      <c r="AA77" s="46">
        <v>14</v>
      </c>
      <c r="AB77" s="46">
        <v>0</v>
      </c>
      <c r="AC77" s="46">
        <v>0</v>
      </c>
      <c r="AD77" s="46">
        <v>0</v>
      </c>
      <c r="AE77" s="46">
        <v>0</v>
      </c>
      <c r="AF77" s="46">
        <v>0</v>
      </c>
      <c r="AG77" s="60">
        <v>60</v>
      </c>
      <c r="AH77" s="48">
        <f t="shared" si="8"/>
        <v>35</v>
      </c>
      <c r="AI77" s="49">
        <f t="shared" si="9"/>
        <v>0</v>
      </c>
      <c r="AK77" s="51"/>
      <c r="AZ77" s="81">
        <f t="shared" si="53"/>
        <v>234</v>
      </c>
      <c r="BA77" s="81">
        <f t="shared" si="53"/>
        <v>234</v>
      </c>
      <c r="BB77" s="81">
        <f t="shared" si="53"/>
        <v>231</v>
      </c>
      <c r="BC77" s="81">
        <f t="shared" si="53"/>
        <v>201</v>
      </c>
      <c r="BD77" s="81">
        <f t="shared" si="53"/>
        <v>220</v>
      </c>
      <c r="BE77" s="81">
        <f t="shared" si="53"/>
        <v>291</v>
      </c>
      <c r="BF77" s="81">
        <f t="shared" si="53"/>
        <v>225</v>
      </c>
      <c r="BG77" s="81">
        <f t="shared" si="53"/>
        <v>230</v>
      </c>
      <c r="BH77" s="81">
        <f t="shared" si="53"/>
        <v>240</v>
      </c>
      <c r="BI77" s="81">
        <f t="shared" si="53"/>
        <v>235.6</v>
      </c>
      <c r="BJ77" s="81">
        <f t="shared" si="53"/>
        <v>226</v>
      </c>
      <c r="BK77" s="81">
        <f t="shared" si="53"/>
        <v>238.1</v>
      </c>
      <c r="BL77" s="81">
        <f t="shared" si="53"/>
        <v>260</v>
      </c>
      <c r="BM77" s="81">
        <f t="shared" si="53"/>
        <v>227</v>
      </c>
      <c r="BN77" s="81">
        <f t="shared" si="53"/>
        <v>284</v>
      </c>
      <c r="BO77" s="81">
        <f t="shared" si="53"/>
        <v>283</v>
      </c>
      <c r="BP77" s="81">
        <f t="shared" si="53"/>
        <v>349</v>
      </c>
      <c r="BQ77" s="81">
        <f t="shared" si="53"/>
        <v>301</v>
      </c>
      <c r="BR77" s="81">
        <f t="shared" si="53"/>
        <v>260</v>
      </c>
      <c r="BS77" s="81">
        <f t="shared" si="53"/>
        <v>235.5</v>
      </c>
      <c r="BT77" s="81">
        <f t="shared" si="53"/>
        <v>239.14</v>
      </c>
      <c r="BU77" s="81">
        <f t="shared" si="53"/>
        <v>198</v>
      </c>
      <c r="BV77" s="81">
        <f t="shared" si="53"/>
        <v>204.5</v>
      </c>
      <c r="BW77" s="81">
        <f t="shared" si="53"/>
        <v>304</v>
      </c>
    </row>
    <row r="78" spans="1:75" x14ac:dyDescent="0.25">
      <c r="A78" s="64" t="s">
        <v>101</v>
      </c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>
        <v>13</v>
      </c>
      <c r="W78" s="75"/>
      <c r="X78" s="75">
        <v>14.5</v>
      </c>
      <c r="Y78" s="75">
        <v>14.5</v>
      </c>
      <c r="Z78" s="75">
        <v>14.5</v>
      </c>
      <c r="AA78" s="75">
        <v>14.5</v>
      </c>
      <c r="AB78" s="75">
        <v>0</v>
      </c>
      <c r="AC78" s="75">
        <v>0</v>
      </c>
      <c r="AD78" s="75">
        <v>0</v>
      </c>
      <c r="AE78" s="75">
        <v>0</v>
      </c>
      <c r="AF78" s="75">
        <v>0</v>
      </c>
      <c r="AG78" s="65">
        <v>32</v>
      </c>
      <c r="AH78" s="48">
        <f t="shared" si="8"/>
        <v>14.5</v>
      </c>
      <c r="AI78" s="49">
        <f t="shared" si="9"/>
        <v>0</v>
      </c>
      <c r="AK78" s="51"/>
      <c r="AZ78" s="81">
        <f t="shared" si="53"/>
        <v>38</v>
      </c>
      <c r="BA78" s="81">
        <f t="shared" si="53"/>
        <v>40.200000000000003</v>
      </c>
      <c r="BB78" s="81">
        <f t="shared" si="53"/>
        <v>43.2</v>
      </c>
      <c r="BC78" s="81">
        <f t="shared" si="53"/>
        <v>2.9</v>
      </c>
      <c r="BD78" s="81">
        <f t="shared" si="53"/>
        <v>3</v>
      </c>
      <c r="BE78" s="81">
        <f t="shared" si="53"/>
        <v>3.6</v>
      </c>
      <c r="BF78" s="81">
        <f t="shared" si="53"/>
        <v>3.8</v>
      </c>
      <c r="BG78" s="81">
        <f t="shared" si="53"/>
        <v>2</v>
      </c>
      <c r="BH78" s="81">
        <f t="shared" si="53"/>
        <v>0.7</v>
      </c>
      <c r="BI78" s="81">
        <f t="shared" si="53"/>
        <v>0</v>
      </c>
      <c r="BJ78" s="81">
        <f t="shared" si="53"/>
        <v>0</v>
      </c>
      <c r="BK78" s="81">
        <f t="shared" si="53"/>
        <v>0</v>
      </c>
      <c r="BL78" s="81">
        <f t="shared" si="53"/>
        <v>0</v>
      </c>
      <c r="BM78" s="81">
        <f t="shared" si="53"/>
        <v>0</v>
      </c>
      <c r="BN78" s="81">
        <f t="shared" si="53"/>
        <v>0</v>
      </c>
      <c r="BO78" s="81">
        <f t="shared" si="53"/>
        <v>0</v>
      </c>
      <c r="BP78" s="81">
        <f t="shared" si="53"/>
        <v>0</v>
      </c>
      <c r="BQ78" s="81">
        <f t="shared" si="53"/>
        <v>0</v>
      </c>
      <c r="BR78" s="81">
        <f t="shared" si="53"/>
        <v>0</v>
      </c>
      <c r="BS78" s="81">
        <f t="shared" si="53"/>
        <v>0</v>
      </c>
      <c r="BT78" s="81">
        <f t="shared" si="53"/>
        <v>0</v>
      </c>
      <c r="BU78" s="81">
        <f t="shared" si="53"/>
        <v>0</v>
      </c>
      <c r="BV78" s="81">
        <f t="shared" si="53"/>
        <v>0</v>
      </c>
      <c r="BW78" s="81">
        <f t="shared" si="53"/>
        <v>38.9</v>
      </c>
    </row>
    <row r="79" spans="1:75" ht="15.75" thickBot="1" x14ac:dyDescent="0.3">
      <c r="A79" s="83" t="s">
        <v>102</v>
      </c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>
        <v>5</v>
      </c>
      <c r="W79" s="77"/>
      <c r="X79" s="77">
        <v>5.3</v>
      </c>
      <c r="Y79" s="77">
        <v>5.3</v>
      </c>
      <c r="Z79" s="77">
        <v>5.3</v>
      </c>
      <c r="AA79" s="77">
        <v>5.3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8">
        <v>14</v>
      </c>
      <c r="AH79" s="48">
        <f t="shared" si="8"/>
        <v>5.3</v>
      </c>
      <c r="AI79" s="49">
        <f t="shared" si="9"/>
        <v>0</v>
      </c>
      <c r="AK79" s="51"/>
      <c r="AZ79" s="81">
        <f t="shared" si="53"/>
        <v>14</v>
      </c>
      <c r="BA79" s="81">
        <f t="shared" si="53"/>
        <v>14.8</v>
      </c>
      <c r="BB79" s="81">
        <f t="shared" si="53"/>
        <v>15</v>
      </c>
      <c r="BC79" s="81">
        <f t="shared" si="53"/>
        <v>14.5</v>
      </c>
      <c r="BD79" s="81">
        <f t="shared" si="53"/>
        <v>14.2</v>
      </c>
      <c r="BE79" s="81">
        <f t="shared" si="53"/>
        <v>12.9</v>
      </c>
      <c r="BF79" s="81">
        <f t="shared" si="53"/>
        <v>13.8</v>
      </c>
      <c r="BG79" s="81">
        <f t="shared" si="53"/>
        <v>15</v>
      </c>
      <c r="BH79" s="81">
        <f t="shared" si="53"/>
        <v>13.7</v>
      </c>
      <c r="BI79" s="81">
        <f t="shared" si="53"/>
        <v>0</v>
      </c>
      <c r="BJ79" s="81">
        <f t="shared" si="53"/>
        <v>0</v>
      </c>
      <c r="BK79" s="81">
        <f t="shared" si="53"/>
        <v>0</v>
      </c>
      <c r="BL79" s="81">
        <f t="shared" si="53"/>
        <v>0</v>
      </c>
      <c r="BM79" s="81">
        <f t="shared" si="53"/>
        <v>0</v>
      </c>
      <c r="BN79" s="81">
        <f t="shared" si="53"/>
        <v>0</v>
      </c>
      <c r="BO79" s="81">
        <f t="shared" si="53"/>
        <v>0</v>
      </c>
      <c r="BP79" s="81">
        <f t="shared" si="53"/>
        <v>0</v>
      </c>
      <c r="BQ79" s="81">
        <f t="shared" si="53"/>
        <v>0</v>
      </c>
      <c r="BR79" s="81">
        <f t="shared" si="53"/>
        <v>0</v>
      </c>
      <c r="BS79" s="81">
        <f t="shared" si="53"/>
        <v>0</v>
      </c>
      <c r="BT79" s="81">
        <f t="shared" si="53"/>
        <v>0</v>
      </c>
      <c r="BU79" s="81">
        <f t="shared" si="53"/>
        <v>0</v>
      </c>
      <c r="BV79" s="81">
        <f t="shared" si="53"/>
        <v>0</v>
      </c>
      <c r="BW79" s="81">
        <f t="shared" si="53"/>
        <v>0</v>
      </c>
    </row>
    <row r="80" spans="1:75" ht="15.75" thickBot="1" x14ac:dyDescent="0.3">
      <c r="A80" s="86" t="s">
        <v>103</v>
      </c>
      <c r="B80" s="70">
        <f t="shared" ref="B80:AA80" si="54">B77+B78+B79</f>
        <v>0</v>
      </c>
      <c r="C80" s="70">
        <f t="shared" si="54"/>
        <v>0</v>
      </c>
      <c r="D80" s="70">
        <f t="shared" si="54"/>
        <v>0</v>
      </c>
      <c r="E80" s="70">
        <f t="shared" si="54"/>
        <v>0</v>
      </c>
      <c r="F80" s="70">
        <f t="shared" si="54"/>
        <v>0</v>
      </c>
      <c r="G80" s="70">
        <f t="shared" si="54"/>
        <v>0</v>
      </c>
      <c r="H80" s="70">
        <f t="shared" si="54"/>
        <v>0</v>
      </c>
      <c r="I80" s="70">
        <f t="shared" si="54"/>
        <v>0</v>
      </c>
      <c r="J80" s="70">
        <f t="shared" si="54"/>
        <v>0</v>
      </c>
      <c r="K80" s="70">
        <f t="shared" si="54"/>
        <v>0</v>
      </c>
      <c r="L80" s="70">
        <f t="shared" si="54"/>
        <v>0</v>
      </c>
      <c r="M80" s="70">
        <f t="shared" ref="M80" si="55">M77+M78+M79</f>
        <v>0</v>
      </c>
      <c r="N80" s="70">
        <f t="shared" si="54"/>
        <v>0</v>
      </c>
      <c r="O80" s="70">
        <f t="shared" ref="O80" si="56">O77+O78+O79</f>
        <v>0</v>
      </c>
      <c r="P80" s="70">
        <f t="shared" si="54"/>
        <v>0</v>
      </c>
      <c r="Q80" s="70">
        <f t="shared" si="54"/>
        <v>0</v>
      </c>
      <c r="R80" s="70">
        <f t="shared" si="54"/>
        <v>0</v>
      </c>
      <c r="S80" s="70">
        <f t="shared" si="54"/>
        <v>0</v>
      </c>
      <c r="T80" s="70">
        <f t="shared" si="54"/>
        <v>0</v>
      </c>
      <c r="U80" s="70">
        <f t="shared" si="54"/>
        <v>0</v>
      </c>
      <c r="V80" s="70">
        <f t="shared" si="54"/>
        <v>48</v>
      </c>
      <c r="W80" s="70">
        <f t="shared" si="54"/>
        <v>0</v>
      </c>
      <c r="X80" s="70">
        <f t="shared" si="54"/>
        <v>54.8</v>
      </c>
      <c r="Y80" s="70">
        <f>Y77+Y78+Y79</f>
        <v>54.8</v>
      </c>
      <c r="Z80" s="70">
        <f>Z77+Z78+Z79</f>
        <v>54.8</v>
      </c>
      <c r="AA80" s="70">
        <f t="shared" si="54"/>
        <v>33.799999999999997</v>
      </c>
      <c r="AB80" s="70">
        <f t="shared" ref="AB80:AC80" si="57">AB77+AB78+AB79</f>
        <v>0</v>
      </c>
      <c r="AC80" s="70">
        <f t="shared" si="57"/>
        <v>0</v>
      </c>
      <c r="AD80" s="70">
        <f t="shared" ref="AD80:AE80" si="58">AD77+AD78+AD79</f>
        <v>0</v>
      </c>
      <c r="AE80" s="70">
        <f t="shared" si="58"/>
        <v>0</v>
      </c>
      <c r="AF80" s="70">
        <f t="shared" ref="AF80" si="59">AF77+AF78+AF79</f>
        <v>0</v>
      </c>
      <c r="AG80" s="71">
        <f>SUM(AG77:AG79)</f>
        <v>106</v>
      </c>
      <c r="AH80" s="48">
        <f t="shared" si="8"/>
        <v>54.8</v>
      </c>
      <c r="AI80" s="49">
        <f t="shared" si="9"/>
        <v>0</v>
      </c>
      <c r="AK80" s="51"/>
      <c r="AZ80" s="81">
        <f t="shared" si="53"/>
        <v>52</v>
      </c>
      <c r="BA80" s="81">
        <f t="shared" si="53"/>
        <v>50.7</v>
      </c>
      <c r="BB80" s="81">
        <f t="shared" si="53"/>
        <v>51.1</v>
      </c>
      <c r="BC80" s="81">
        <f t="shared" si="53"/>
        <v>50</v>
      </c>
      <c r="BD80" s="81">
        <f t="shared" si="53"/>
        <v>50.9</v>
      </c>
      <c r="BE80" s="81">
        <f t="shared" si="53"/>
        <v>49.8</v>
      </c>
      <c r="BF80" s="81">
        <f t="shared" si="53"/>
        <v>46.8</v>
      </c>
      <c r="BG80" s="81">
        <f t="shared" si="53"/>
        <v>62.5</v>
      </c>
      <c r="BH80" s="81">
        <f t="shared" si="53"/>
        <v>66</v>
      </c>
      <c r="BI80" s="81">
        <f t="shared" si="53"/>
        <v>62.8</v>
      </c>
      <c r="BJ80" s="81">
        <f t="shared" si="53"/>
        <v>57.2</v>
      </c>
      <c r="BK80" s="81">
        <f t="shared" si="53"/>
        <v>57.2</v>
      </c>
      <c r="BL80" s="81">
        <f t="shared" si="53"/>
        <v>0</v>
      </c>
      <c r="BM80" s="81">
        <f t="shared" si="53"/>
        <v>0</v>
      </c>
      <c r="BN80" s="81">
        <f t="shared" si="53"/>
        <v>0</v>
      </c>
      <c r="BO80" s="81">
        <f t="shared" si="53"/>
        <v>0</v>
      </c>
      <c r="BP80" s="81">
        <f t="shared" si="53"/>
        <v>0</v>
      </c>
      <c r="BQ80" s="81">
        <f t="shared" si="53"/>
        <v>12</v>
      </c>
      <c r="BR80" s="81">
        <f t="shared" si="53"/>
        <v>71</v>
      </c>
      <c r="BS80" s="81">
        <f t="shared" si="53"/>
        <v>0</v>
      </c>
      <c r="BT80" s="81">
        <f t="shared" si="53"/>
        <v>0</v>
      </c>
      <c r="BU80" s="81">
        <f t="shared" si="53"/>
        <v>0</v>
      </c>
      <c r="BV80" s="81">
        <f t="shared" si="53"/>
        <v>0</v>
      </c>
      <c r="BW80" s="81">
        <f t="shared" si="53"/>
        <v>0</v>
      </c>
    </row>
    <row r="81" spans="1:64" x14ac:dyDescent="0.25">
      <c r="A81" s="45" t="s">
        <v>104</v>
      </c>
      <c r="B81" s="46">
        <v>53</v>
      </c>
      <c r="C81" s="46">
        <v>40.1</v>
      </c>
      <c r="D81" s="46">
        <v>32</v>
      </c>
      <c r="E81" s="46">
        <v>39.799999999999997</v>
      </c>
      <c r="F81" s="46">
        <v>36.299999999999997</v>
      </c>
      <c r="G81" s="46">
        <v>41</v>
      </c>
      <c r="H81" s="46">
        <v>50.2</v>
      </c>
      <c r="I81" s="46">
        <v>51</v>
      </c>
      <c r="J81" s="46">
        <v>50.121000000000002</v>
      </c>
      <c r="K81" s="46">
        <v>56.9</v>
      </c>
      <c r="L81" s="46">
        <v>43</v>
      </c>
      <c r="M81" s="46">
        <v>48.3</v>
      </c>
      <c r="N81" s="46">
        <v>49.3</v>
      </c>
      <c r="O81" s="46">
        <v>41</v>
      </c>
      <c r="P81" s="46">
        <v>43.4</v>
      </c>
      <c r="Q81" s="46">
        <v>40.799999999999997</v>
      </c>
      <c r="R81" s="46">
        <v>37.799999999999997</v>
      </c>
      <c r="S81" s="46">
        <v>47</v>
      </c>
      <c r="T81" s="46">
        <v>43.5</v>
      </c>
      <c r="U81" s="46">
        <v>58</v>
      </c>
      <c r="V81" s="46">
        <v>61.1</v>
      </c>
      <c r="W81" s="46"/>
      <c r="X81" s="46">
        <v>68.3</v>
      </c>
      <c r="Y81" s="46">
        <v>57.1</v>
      </c>
      <c r="Z81" s="46">
        <v>56.4</v>
      </c>
      <c r="AA81" s="46">
        <v>59.1</v>
      </c>
      <c r="AB81" s="46">
        <v>56.4</v>
      </c>
      <c r="AC81" s="46">
        <v>49.4</v>
      </c>
      <c r="AD81" s="46">
        <v>53.3</v>
      </c>
      <c r="AE81" s="46">
        <v>46.3</v>
      </c>
      <c r="AF81" s="46">
        <v>52.5</v>
      </c>
      <c r="AG81" s="60"/>
      <c r="AH81" s="48">
        <f t="shared" si="8"/>
        <v>68.3</v>
      </c>
      <c r="AI81" s="49">
        <f t="shared" si="9"/>
        <v>32</v>
      </c>
      <c r="AK81" s="51"/>
      <c r="AY81" s="81"/>
    </row>
    <row r="82" spans="1:64" x14ac:dyDescent="0.25">
      <c r="A82" s="64" t="s">
        <v>105</v>
      </c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65"/>
      <c r="AH82" s="48">
        <f t="shared" ref="AH82:AH123" si="60">MAX(B82:AF82)</f>
        <v>0</v>
      </c>
      <c r="AI82" s="49">
        <f t="shared" ref="AI82:AI123" si="61">MIN(B82:AF82)</f>
        <v>0</v>
      </c>
      <c r="AK82" s="51"/>
      <c r="AY82" s="81"/>
      <c r="BF82" s="81"/>
      <c r="BG82" s="81"/>
      <c r="BH82" s="81"/>
      <c r="BI82" s="81"/>
      <c r="BJ82" s="81"/>
      <c r="BK82" s="81"/>
    </row>
    <row r="83" spans="1:64" x14ac:dyDescent="0.25">
      <c r="A83" s="64" t="s">
        <v>106</v>
      </c>
      <c r="B83" s="75">
        <v>304</v>
      </c>
      <c r="C83" s="75">
        <v>233.5</v>
      </c>
      <c r="D83" s="75">
        <v>234</v>
      </c>
      <c r="E83" s="75">
        <v>231</v>
      </c>
      <c r="F83" s="75">
        <v>201</v>
      </c>
      <c r="G83" s="75">
        <v>220</v>
      </c>
      <c r="H83" s="75">
        <v>279</v>
      </c>
      <c r="I83" s="75">
        <v>291</v>
      </c>
      <c r="J83" s="75">
        <v>263</v>
      </c>
      <c r="K83" s="75">
        <v>225</v>
      </c>
      <c r="L83" s="75">
        <v>223.9</v>
      </c>
      <c r="M83" s="75">
        <v>230</v>
      </c>
      <c r="N83" s="75">
        <v>240</v>
      </c>
      <c r="O83" s="75">
        <v>235.6</v>
      </c>
      <c r="P83" s="75">
        <v>226</v>
      </c>
      <c r="Q83" s="75">
        <v>238.1</v>
      </c>
      <c r="R83" s="75">
        <v>260</v>
      </c>
      <c r="S83" s="75">
        <v>227</v>
      </c>
      <c r="T83" s="75">
        <v>284</v>
      </c>
      <c r="U83" s="75">
        <v>283</v>
      </c>
      <c r="V83" s="75">
        <v>349</v>
      </c>
      <c r="W83" s="75"/>
      <c r="X83" s="75">
        <v>301</v>
      </c>
      <c r="Y83" s="75">
        <v>328</v>
      </c>
      <c r="Z83" s="75">
        <v>260</v>
      </c>
      <c r="AA83" s="75">
        <v>260</v>
      </c>
      <c r="AB83" s="75">
        <v>235.5</v>
      </c>
      <c r="AC83" s="75">
        <v>254.1</v>
      </c>
      <c r="AD83" s="75">
        <v>239.14</v>
      </c>
      <c r="AE83" s="75">
        <v>198</v>
      </c>
      <c r="AF83" s="75">
        <v>204.5</v>
      </c>
      <c r="AG83" s="87"/>
      <c r="AH83" s="48">
        <f t="shared" si="60"/>
        <v>349</v>
      </c>
      <c r="AI83" s="49">
        <f t="shared" si="61"/>
        <v>198</v>
      </c>
      <c r="AK83" s="51"/>
      <c r="AY83" s="81"/>
      <c r="BF83" s="80"/>
      <c r="BG83" s="80"/>
      <c r="BH83" s="80"/>
      <c r="BI83" s="80"/>
      <c r="BJ83" s="80"/>
      <c r="BK83" s="81"/>
    </row>
    <row r="84" spans="1:64" x14ac:dyDescent="0.25">
      <c r="A84" s="64" t="s">
        <v>107</v>
      </c>
      <c r="B84" s="75">
        <v>38.9</v>
      </c>
      <c r="C84" s="75">
        <v>37.6</v>
      </c>
      <c r="D84" s="75">
        <v>40.200000000000003</v>
      </c>
      <c r="E84" s="88">
        <v>43.2</v>
      </c>
      <c r="F84" s="88">
        <v>2.9</v>
      </c>
      <c r="G84" s="88">
        <v>3</v>
      </c>
      <c r="H84" s="88">
        <v>3.5</v>
      </c>
      <c r="I84" s="88">
        <v>3.6</v>
      </c>
      <c r="J84" s="88">
        <v>3.4</v>
      </c>
      <c r="K84" s="88">
        <v>3.8</v>
      </c>
      <c r="L84" s="88">
        <v>3.5</v>
      </c>
      <c r="M84" s="88">
        <v>2</v>
      </c>
      <c r="N84" s="88">
        <v>0.7</v>
      </c>
      <c r="O84" s="88">
        <v>0</v>
      </c>
      <c r="P84" s="88">
        <v>0</v>
      </c>
      <c r="Q84" s="88">
        <v>0</v>
      </c>
      <c r="R84" s="88">
        <v>0</v>
      </c>
      <c r="S84" s="88">
        <v>0</v>
      </c>
      <c r="T84" s="88">
        <v>0</v>
      </c>
      <c r="U84" s="88">
        <v>0</v>
      </c>
      <c r="V84" s="88">
        <v>0</v>
      </c>
      <c r="W84" s="88"/>
      <c r="X84" s="88">
        <v>0</v>
      </c>
      <c r="Y84" s="88">
        <v>0</v>
      </c>
      <c r="Z84" s="88">
        <v>0</v>
      </c>
      <c r="AA84" s="88">
        <v>0</v>
      </c>
      <c r="AB84" s="88">
        <v>0</v>
      </c>
      <c r="AC84" s="88">
        <v>0</v>
      </c>
      <c r="AD84" s="88">
        <v>0</v>
      </c>
      <c r="AE84" s="88">
        <v>0</v>
      </c>
      <c r="AF84" s="88">
        <v>0</v>
      </c>
      <c r="AG84" s="87"/>
      <c r="AH84" s="48">
        <f t="shared" si="60"/>
        <v>43.2</v>
      </c>
      <c r="AI84" s="49">
        <f t="shared" si="61"/>
        <v>0</v>
      </c>
      <c r="AK84" s="51"/>
      <c r="AY84" s="81"/>
      <c r="BF84" s="80"/>
      <c r="BG84" s="81">
        <f t="array" ref="BG84:BL107">TRANSPOSE(AZ68:BW73)</f>
        <v>40</v>
      </c>
      <c r="BH84" s="81">
        <v>0</v>
      </c>
      <c r="BI84" s="81">
        <v>234</v>
      </c>
      <c r="BJ84" s="81">
        <v>38</v>
      </c>
      <c r="BK84" s="81">
        <v>14</v>
      </c>
      <c r="BL84" s="81">
        <v>52</v>
      </c>
    </row>
    <row r="85" spans="1:64" x14ac:dyDescent="0.25">
      <c r="A85" s="64" t="s">
        <v>108</v>
      </c>
      <c r="B85" s="46">
        <v>0</v>
      </c>
      <c r="C85" s="46">
        <v>14</v>
      </c>
      <c r="D85" s="46">
        <v>14.8</v>
      </c>
      <c r="E85" s="46">
        <v>15</v>
      </c>
      <c r="F85" s="46">
        <v>14.5</v>
      </c>
      <c r="G85" s="46">
        <v>14.2</v>
      </c>
      <c r="H85" s="46">
        <v>13.9</v>
      </c>
      <c r="I85" s="46">
        <v>12.9</v>
      </c>
      <c r="J85" s="46">
        <v>13.2</v>
      </c>
      <c r="K85" s="46">
        <v>13.8</v>
      </c>
      <c r="L85" s="46">
        <v>15.1</v>
      </c>
      <c r="M85" s="46">
        <v>15</v>
      </c>
      <c r="N85" s="46">
        <v>13.7</v>
      </c>
      <c r="O85" s="46">
        <v>0</v>
      </c>
      <c r="P85" s="46">
        <v>0</v>
      </c>
      <c r="Q85" s="46">
        <v>0</v>
      </c>
      <c r="R85" s="46">
        <v>0</v>
      </c>
      <c r="S85" s="46">
        <v>0</v>
      </c>
      <c r="T85" s="46">
        <v>0</v>
      </c>
      <c r="U85" s="46">
        <v>0</v>
      </c>
      <c r="V85" s="46">
        <v>0</v>
      </c>
      <c r="W85" s="46"/>
      <c r="X85" s="46">
        <v>0</v>
      </c>
      <c r="Y85" s="46">
        <v>0</v>
      </c>
      <c r="Z85" s="46">
        <v>0</v>
      </c>
      <c r="AA85" s="46">
        <v>0</v>
      </c>
      <c r="AB85" s="46">
        <v>0</v>
      </c>
      <c r="AC85" s="46">
        <v>0</v>
      </c>
      <c r="AD85" s="46">
        <v>0</v>
      </c>
      <c r="AE85" s="46">
        <v>0</v>
      </c>
      <c r="AF85" s="46">
        <v>0</v>
      </c>
      <c r="AG85" s="87"/>
      <c r="AH85" s="48">
        <f t="shared" si="60"/>
        <v>15.1</v>
      </c>
      <c r="AI85" s="49">
        <f t="shared" si="61"/>
        <v>0</v>
      </c>
      <c r="AK85" s="51"/>
      <c r="AY85" s="81"/>
      <c r="BF85" s="80"/>
      <c r="BG85" s="81">
        <v>32</v>
      </c>
      <c r="BH85" s="81">
        <v>0</v>
      </c>
      <c r="BI85" s="81">
        <v>234</v>
      </c>
      <c r="BJ85" s="81">
        <v>40.200000000000003</v>
      </c>
      <c r="BK85" s="81">
        <v>14.8</v>
      </c>
      <c r="BL85" s="81">
        <v>50.7</v>
      </c>
    </row>
    <row r="86" spans="1:64" x14ac:dyDescent="0.25">
      <c r="A86" s="64" t="s">
        <v>109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7"/>
      <c r="AH86" s="48">
        <f t="shared" si="60"/>
        <v>0</v>
      </c>
      <c r="AI86" s="49">
        <f t="shared" si="61"/>
        <v>0</v>
      </c>
      <c r="AK86" s="51"/>
      <c r="AY86" s="81"/>
      <c r="BF86" s="80"/>
      <c r="BG86" s="81">
        <v>39.799999999999997</v>
      </c>
      <c r="BH86" s="81">
        <v>0</v>
      </c>
      <c r="BI86" s="81">
        <v>231</v>
      </c>
      <c r="BJ86" s="81">
        <v>43.2</v>
      </c>
      <c r="BK86" s="81">
        <v>15</v>
      </c>
      <c r="BL86" s="81">
        <v>51.1</v>
      </c>
    </row>
    <row r="87" spans="1:64" ht="15.75" thickBot="1" x14ac:dyDescent="0.3">
      <c r="A87" s="64" t="s">
        <v>110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7"/>
      <c r="AH87" s="48">
        <f t="shared" si="60"/>
        <v>0</v>
      </c>
      <c r="AI87" s="49">
        <f t="shared" si="61"/>
        <v>0</v>
      </c>
      <c r="AK87" s="51"/>
      <c r="AL87" s="90" t="s">
        <v>111</v>
      </c>
      <c r="AM87" s="90"/>
      <c r="AY87" s="81"/>
      <c r="BF87" s="81"/>
      <c r="BG87" s="81">
        <v>36.299999999999997</v>
      </c>
      <c r="BH87" s="81">
        <v>0</v>
      </c>
      <c r="BI87" s="81">
        <v>201</v>
      </c>
      <c r="BJ87" s="81">
        <v>2.9</v>
      </c>
      <c r="BK87" s="81">
        <v>14.5</v>
      </c>
      <c r="BL87" s="81">
        <v>50</v>
      </c>
    </row>
    <row r="88" spans="1:64" x14ac:dyDescent="0.25">
      <c r="A88" s="64" t="s">
        <v>112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7"/>
      <c r="AH88" s="48">
        <f t="shared" si="60"/>
        <v>0</v>
      </c>
      <c r="AI88" s="49">
        <f t="shared" si="61"/>
        <v>0</v>
      </c>
      <c r="AK88" s="91"/>
      <c r="AL88" s="92"/>
      <c r="AM88" s="92"/>
      <c r="AN88" s="93"/>
      <c r="AY88" s="81"/>
      <c r="BF88" s="81"/>
      <c r="BG88" s="81">
        <v>41</v>
      </c>
      <c r="BH88" s="81">
        <v>0</v>
      </c>
      <c r="BI88" s="81">
        <v>220</v>
      </c>
      <c r="BJ88" s="81">
        <v>3</v>
      </c>
      <c r="BK88" s="81">
        <v>14.2</v>
      </c>
      <c r="BL88" s="81">
        <v>50.9</v>
      </c>
    </row>
    <row r="89" spans="1:64" x14ac:dyDescent="0.25">
      <c r="A89" s="64" t="s">
        <v>113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7"/>
      <c r="AH89" s="48">
        <f t="shared" si="60"/>
        <v>0</v>
      </c>
      <c r="AI89" s="49">
        <f t="shared" si="61"/>
        <v>0</v>
      </c>
      <c r="AK89" s="94" t="s">
        <v>114</v>
      </c>
      <c r="AL89" s="75"/>
      <c r="AM89" s="88"/>
      <c r="AN89" s="95"/>
      <c r="AY89" s="81"/>
      <c r="BF89" s="81"/>
      <c r="BG89" s="81">
        <v>51</v>
      </c>
      <c r="BH89" s="81">
        <v>0</v>
      </c>
      <c r="BI89" s="81">
        <v>291</v>
      </c>
      <c r="BJ89" s="81">
        <v>3.6</v>
      </c>
      <c r="BK89" s="81">
        <v>12.9</v>
      </c>
      <c r="BL89" s="81">
        <v>49.8</v>
      </c>
    </row>
    <row r="90" spans="1:64" x14ac:dyDescent="0.25">
      <c r="A90" s="96" t="s">
        <v>115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97"/>
      <c r="AH90" s="48">
        <f t="shared" si="60"/>
        <v>0</v>
      </c>
      <c r="AI90" s="49">
        <f t="shared" si="61"/>
        <v>0</v>
      </c>
      <c r="AK90" s="94" t="s">
        <v>116</v>
      </c>
      <c r="AL90" s="88"/>
      <c r="AM90" s="88"/>
      <c r="AN90" s="95"/>
      <c r="AY90" s="81"/>
      <c r="BF90" s="81"/>
      <c r="BG90" s="81">
        <v>56.9</v>
      </c>
      <c r="BH90" s="81">
        <v>0</v>
      </c>
      <c r="BI90" s="81">
        <v>225</v>
      </c>
      <c r="BJ90" s="81">
        <v>3.8</v>
      </c>
      <c r="BK90" s="81">
        <v>13.8</v>
      </c>
      <c r="BL90" s="81">
        <v>46.8</v>
      </c>
    </row>
    <row r="91" spans="1:64" ht="15.75" thickBot="1" x14ac:dyDescent="0.3">
      <c r="A91" s="96" t="s">
        <v>117</v>
      </c>
      <c r="B91" s="89">
        <v>0</v>
      </c>
      <c r="C91" s="89">
        <v>51.6</v>
      </c>
      <c r="D91" s="89">
        <v>50.7</v>
      </c>
      <c r="E91" s="89">
        <v>51.1</v>
      </c>
      <c r="F91" s="89">
        <v>50</v>
      </c>
      <c r="G91" s="89">
        <v>50.9</v>
      </c>
      <c r="H91" s="89">
        <v>47.9</v>
      </c>
      <c r="I91" s="89">
        <v>49.8</v>
      </c>
      <c r="J91" s="89">
        <v>47.8</v>
      </c>
      <c r="K91" s="89">
        <v>46.8</v>
      </c>
      <c r="L91" s="89">
        <v>49.6</v>
      </c>
      <c r="M91" s="89">
        <v>62.5</v>
      </c>
      <c r="N91" s="89">
        <v>66</v>
      </c>
      <c r="O91" s="89">
        <v>62.8</v>
      </c>
      <c r="P91" s="89">
        <v>57.2</v>
      </c>
      <c r="Q91" s="89">
        <v>57.2</v>
      </c>
      <c r="R91" s="89">
        <v>0</v>
      </c>
      <c r="S91" s="89">
        <v>0</v>
      </c>
      <c r="T91" s="89">
        <v>0</v>
      </c>
      <c r="U91" s="89">
        <v>0</v>
      </c>
      <c r="V91" s="89">
        <v>0</v>
      </c>
      <c r="W91" s="89"/>
      <c r="X91" s="89">
        <v>12</v>
      </c>
      <c r="Y91" s="89">
        <v>61</v>
      </c>
      <c r="Z91" s="89">
        <v>71</v>
      </c>
      <c r="AA91" s="89">
        <v>0</v>
      </c>
      <c r="AB91" s="89">
        <v>0</v>
      </c>
      <c r="AC91" s="89">
        <v>0</v>
      </c>
      <c r="AD91" s="89">
        <v>0</v>
      </c>
      <c r="AE91" s="89">
        <v>0</v>
      </c>
      <c r="AF91" s="89">
        <v>0</v>
      </c>
      <c r="AG91" s="97"/>
      <c r="AH91" s="48">
        <f t="shared" si="60"/>
        <v>71</v>
      </c>
      <c r="AI91" s="49">
        <f t="shared" si="61"/>
        <v>0</v>
      </c>
      <c r="AK91" s="98"/>
      <c r="AL91" s="46"/>
      <c r="AM91" s="46"/>
      <c r="AN91" s="99"/>
      <c r="AY91" s="81"/>
      <c r="BF91" s="81"/>
      <c r="BG91" s="81">
        <v>48.3</v>
      </c>
      <c r="BH91" s="81">
        <v>0</v>
      </c>
      <c r="BI91" s="81">
        <v>230</v>
      </c>
      <c r="BJ91" s="81">
        <v>2</v>
      </c>
      <c r="BK91" s="81">
        <v>15</v>
      </c>
      <c r="BL91" s="81">
        <v>62.5</v>
      </c>
    </row>
    <row r="92" spans="1:64" ht="15.75" thickBot="1" x14ac:dyDescent="0.3">
      <c r="A92" s="86" t="s">
        <v>118</v>
      </c>
      <c r="B92" s="70">
        <f t="shared" ref="B92:AA92" si="62">SUMIF(B81:B91,"&gt;0")</f>
        <v>395.9</v>
      </c>
      <c r="C92" s="70">
        <f t="shared" si="62"/>
        <v>376.80000000000007</v>
      </c>
      <c r="D92" s="70">
        <f t="shared" si="62"/>
        <v>371.7</v>
      </c>
      <c r="E92" s="70">
        <f t="shared" si="62"/>
        <v>380.1</v>
      </c>
      <c r="F92" s="70">
        <f t="shared" si="62"/>
        <v>304.70000000000005</v>
      </c>
      <c r="G92" s="70">
        <f t="shared" si="62"/>
        <v>329.09999999999997</v>
      </c>
      <c r="H92" s="70">
        <f t="shared" si="62"/>
        <v>394.49999999999994</v>
      </c>
      <c r="I92" s="70">
        <f t="shared" si="62"/>
        <v>408.3</v>
      </c>
      <c r="J92" s="70">
        <f t="shared" si="62"/>
        <v>377.52099999999996</v>
      </c>
      <c r="K92" s="70">
        <f t="shared" si="62"/>
        <v>346.3</v>
      </c>
      <c r="L92" s="70">
        <f t="shared" si="62"/>
        <v>335.1</v>
      </c>
      <c r="M92" s="70">
        <f t="shared" si="62"/>
        <v>357.8</v>
      </c>
      <c r="N92" s="70">
        <f t="shared" si="62"/>
        <v>369.7</v>
      </c>
      <c r="O92" s="70">
        <f t="shared" ref="O92" si="63">SUMIF(O81:O91,"&gt;0")</f>
        <v>339.40000000000003</v>
      </c>
      <c r="P92" s="70">
        <f t="shared" si="62"/>
        <v>326.59999999999997</v>
      </c>
      <c r="Q92" s="70">
        <f t="shared" si="62"/>
        <v>336.09999999999997</v>
      </c>
      <c r="R92" s="70">
        <f t="shared" si="62"/>
        <v>297.8</v>
      </c>
      <c r="S92" s="70">
        <f t="shared" si="62"/>
        <v>274</v>
      </c>
      <c r="T92" s="70">
        <f t="shared" si="62"/>
        <v>327.5</v>
      </c>
      <c r="U92" s="70">
        <f t="shared" si="62"/>
        <v>341</v>
      </c>
      <c r="V92" s="70">
        <f t="shared" si="62"/>
        <v>410.1</v>
      </c>
      <c r="W92" s="70">
        <f t="shared" si="62"/>
        <v>0</v>
      </c>
      <c r="X92" s="70">
        <f t="shared" si="62"/>
        <v>381.3</v>
      </c>
      <c r="Y92" s="70">
        <f>SUMIF(Y81:Y91,"&gt;0")</f>
        <v>446.1</v>
      </c>
      <c r="Z92" s="70">
        <f>SUMIF(Z81:Z91,"&gt;0")</f>
        <v>387.4</v>
      </c>
      <c r="AA92" s="70">
        <f t="shared" si="62"/>
        <v>319.10000000000002</v>
      </c>
      <c r="AB92" s="70">
        <f t="shared" ref="AB92:AC92" si="64">SUMIF(AB81:AB91,"&gt;0")</f>
        <v>291.89999999999998</v>
      </c>
      <c r="AC92" s="70">
        <f t="shared" si="64"/>
        <v>303.5</v>
      </c>
      <c r="AD92" s="70">
        <f t="shared" ref="AD92:AE92" si="65">SUMIF(AD81:AD91,"&gt;0")</f>
        <v>292.44</v>
      </c>
      <c r="AE92" s="70">
        <f t="shared" si="65"/>
        <v>244.3</v>
      </c>
      <c r="AF92" s="70">
        <f t="shared" ref="AF92" si="66">SUMIF(AF81:AF91,"&gt;0")</f>
        <v>257</v>
      </c>
      <c r="AG92" s="100">
        <f>SUM(AG81:AG91)</f>
        <v>0</v>
      </c>
      <c r="AH92" s="48">
        <f t="shared" si="60"/>
        <v>446.1</v>
      </c>
      <c r="AI92" s="49">
        <f t="shared" si="61"/>
        <v>0</v>
      </c>
      <c r="AK92" s="98"/>
      <c r="AL92" s="89"/>
      <c r="AM92" s="101"/>
      <c r="AN92" s="202"/>
      <c r="AY92" s="81"/>
      <c r="BF92" s="81"/>
      <c r="BG92" s="81">
        <v>49.3</v>
      </c>
      <c r="BH92" s="81">
        <v>0</v>
      </c>
      <c r="BI92" s="81">
        <v>240</v>
      </c>
      <c r="BJ92" s="81">
        <v>0.7</v>
      </c>
      <c r="BK92" s="81">
        <v>13.7</v>
      </c>
      <c r="BL92" s="81">
        <v>66</v>
      </c>
    </row>
    <row r="93" spans="1:64" x14ac:dyDescent="0.25">
      <c r="A93" s="45" t="s">
        <v>119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60"/>
        <v>0</v>
      </c>
      <c r="AI93" s="49">
        <f t="shared" si="61"/>
        <v>0</v>
      </c>
      <c r="AK93" s="98"/>
      <c r="AL93" s="89"/>
      <c r="AM93" s="89"/>
      <c r="AN93" s="203"/>
      <c r="BF93" s="81"/>
      <c r="BG93" s="81">
        <v>41</v>
      </c>
      <c r="BH93" s="81">
        <v>0</v>
      </c>
      <c r="BI93" s="81">
        <v>235.6</v>
      </c>
      <c r="BJ93" s="81">
        <v>0</v>
      </c>
      <c r="BK93" s="81">
        <v>0</v>
      </c>
      <c r="BL93" s="81">
        <v>62.8</v>
      </c>
    </row>
    <row r="94" spans="1:64" ht="15.75" thickBot="1" x14ac:dyDescent="0.3">
      <c r="A94" s="64" t="s">
        <v>120</v>
      </c>
      <c r="B94" s="89">
        <v>0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60"/>
        <v>0</v>
      </c>
      <c r="AI94" s="49">
        <f t="shared" si="61"/>
        <v>0</v>
      </c>
      <c r="AK94" s="103"/>
      <c r="AL94" s="104"/>
      <c r="AM94" s="104"/>
      <c r="AN94" s="105"/>
      <c r="BF94" s="81"/>
      <c r="BG94" s="81">
        <v>43.4</v>
      </c>
      <c r="BH94" s="81">
        <v>0</v>
      </c>
      <c r="BI94" s="81">
        <v>226</v>
      </c>
      <c r="BJ94" s="81">
        <v>0</v>
      </c>
      <c r="BK94" s="81">
        <v>0</v>
      </c>
      <c r="BL94" s="81">
        <v>57.2</v>
      </c>
    </row>
    <row r="95" spans="1:64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0</v>
      </c>
      <c r="Y95" s="106">
        <v>0</v>
      </c>
      <c r="Z95" s="106">
        <v>0</v>
      </c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60"/>
        <v>0</v>
      </c>
      <c r="AI95" s="49">
        <f t="shared" si="61"/>
        <v>0</v>
      </c>
      <c r="BF95" s="81"/>
      <c r="BG95" s="81">
        <v>40.799999999999997</v>
      </c>
      <c r="BH95" s="81">
        <v>0</v>
      </c>
      <c r="BI95" s="81">
        <v>238.1</v>
      </c>
      <c r="BJ95" s="81">
        <v>0</v>
      </c>
      <c r="BK95" s="81">
        <v>0</v>
      </c>
      <c r="BL95" s="81">
        <v>57.2</v>
      </c>
    </row>
    <row r="96" spans="1:64" ht="15.75" thickBot="1" x14ac:dyDescent="0.3">
      <c r="A96" s="86" t="s">
        <v>122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>
        <v>0</v>
      </c>
      <c r="Y96" s="70"/>
      <c r="Z96" s="70"/>
      <c r="AA96" s="70"/>
      <c r="AB96" s="70"/>
      <c r="AC96" s="70"/>
      <c r="AD96" s="70"/>
      <c r="AE96" s="70"/>
      <c r="AF96" s="70"/>
      <c r="AG96" s="100">
        <f>SUM(AG93:AG95)</f>
        <v>55.4</v>
      </c>
      <c r="AH96" s="48">
        <f t="shared" si="60"/>
        <v>0</v>
      </c>
      <c r="AI96" s="49">
        <f t="shared" si="61"/>
        <v>0</v>
      </c>
      <c r="BF96" s="81"/>
      <c r="BG96" s="81">
        <v>37.799999999999997</v>
      </c>
      <c r="BH96" s="81">
        <v>0</v>
      </c>
      <c r="BI96" s="81">
        <v>260</v>
      </c>
      <c r="BJ96" s="81">
        <v>0</v>
      </c>
      <c r="BK96" s="81">
        <v>0</v>
      </c>
      <c r="BL96" s="81">
        <v>0</v>
      </c>
    </row>
    <row r="97" spans="1:64" ht="15.75" thickBot="1" x14ac:dyDescent="0.3">
      <c r="A97" s="86" t="s">
        <v>123</v>
      </c>
      <c r="B97" s="107">
        <f t="shared" ref="B97:AG97" si="67">B58+B62+B80+B76+B92+B96</f>
        <v>1065.19</v>
      </c>
      <c r="C97" s="107">
        <f t="shared" si="67"/>
        <v>985.49000000000012</v>
      </c>
      <c r="D97" s="107">
        <f t="shared" si="67"/>
        <v>992.19</v>
      </c>
      <c r="E97" s="107">
        <f t="shared" si="67"/>
        <v>1000.09</v>
      </c>
      <c r="F97" s="107">
        <f t="shared" si="67"/>
        <v>987.49</v>
      </c>
      <c r="G97" s="107">
        <f t="shared" si="67"/>
        <v>981.29</v>
      </c>
      <c r="H97" s="107">
        <f t="shared" si="67"/>
        <v>1029.79</v>
      </c>
      <c r="I97" s="107">
        <f t="shared" si="67"/>
        <v>1112.8899999999999</v>
      </c>
      <c r="J97" s="107">
        <f t="shared" si="67"/>
        <v>1150.511</v>
      </c>
      <c r="K97" s="107">
        <f t="shared" si="67"/>
        <v>1209.5900000000001</v>
      </c>
      <c r="L97" s="107">
        <f t="shared" si="67"/>
        <v>1264.4900000000002</v>
      </c>
      <c r="M97" s="107">
        <f t="shared" si="67"/>
        <v>1361.89</v>
      </c>
      <c r="N97" s="107">
        <f t="shared" si="67"/>
        <v>1313.89</v>
      </c>
      <c r="O97" s="107">
        <f t="shared" ref="O97" si="68">O58+O62+O80+O76+O92+O96</f>
        <v>1238.19</v>
      </c>
      <c r="P97" s="107">
        <f t="shared" si="67"/>
        <v>1093.0899999999999</v>
      </c>
      <c r="Q97" s="107">
        <f t="shared" si="67"/>
        <v>1070.5899999999999</v>
      </c>
      <c r="R97" s="107">
        <f t="shared" si="67"/>
        <v>1062.99</v>
      </c>
      <c r="S97" s="107">
        <f t="shared" si="67"/>
        <v>1108.19</v>
      </c>
      <c r="T97" s="107">
        <f t="shared" si="67"/>
        <v>1136.29</v>
      </c>
      <c r="U97" s="107">
        <f t="shared" si="67"/>
        <v>1119.8899999999999</v>
      </c>
      <c r="V97" s="107">
        <f t="shared" si="67"/>
        <v>1145.79</v>
      </c>
      <c r="W97" s="107">
        <f t="shared" si="67"/>
        <v>153.54</v>
      </c>
      <c r="X97" s="107">
        <f t="shared" si="67"/>
        <v>1218.8899999999999</v>
      </c>
      <c r="Y97" s="107">
        <f>Y58+Y62+Y80+Y76+Y92+Y96</f>
        <v>1255.5500000000002</v>
      </c>
      <c r="Z97" s="107">
        <f>Z58+Z62+Z80+Z76+Z92+Z96</f>
        <v>1429.65</v>
      </c>
      <c r="AA97" s="107">
        <f t="shared" si="67"/>
        <v>1351.5900000000001</v>
      </c>
      <c r="AB97" s="107">
        <f t="shared" ref="AB97:AC97" si="69">AB58+AB62+AB80+AB76+AB92+AB96</f>
        <v>1245.8899999999999</v>
      </c>
      <c r="AC97" s="107">
        <f t="shared" si="69"/>
        <v>1212.0900000000001</v>
      </c>
      <c r="AD97" s="107">
        <f t="shared" ref="AD97:AE97" si="70">AD58+AD62+AD80+AD76+AD92+AD96</f>
        <v>1150.6300000000001</v>
      </c>
      <c r="AE97" s="107">
        <f t="shared" si="70"/>
        <v>1046.3900000000001</v>
      </c>
      <c r="AF97" s="107">
        <f t="shared" ref="AF97" si="71">AF58+AF62+AF80+AF76+AF92+AF96</f>
        <v>990.49</v>
      </c>
      <c r="AG97" s="71">
        <f t="shared" si="67"/>
        <v>2231.81</v>
      </c>
      <c r="AH97" s="48">
        <f t="shared" si="60"/>
        <v>1429.65</v>
      </c>
      <c r="AI97" s="49">
        <f t="shared" si="61"/>
        <v>153.54</v>
      </c>
      <c r="BF97" s="81"/>
      <c r="BG97" s="81">
        <v>47</v>
      </c>
      <c r="BH97" s="81">
        <v>0</v>
      </c>
      <c r="BI97" s="81">
        <v>227</v>
      </c>
      <c r="BJ97" s="81">
        <v>0</v>
      </c>
      <c r="BK97" s="81">
        <v>0</v>
      </c>
      <c r="BL97" s="81">
        <v>0</v>
      </c>
    </row>
    <row r="98" spans="1:64" ht="15.75" thickBot="1" x14ac:dyDescent="0.3">
      <c r="A98" s="108" t="s">
        <v>124</v>
      </c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0"/>
      <c r="AH98" s="48">
        <f t="shared" si="60"/>
        <v>0</v>
      </c>
      <c r="AI98" s="49">
        <f t="shared" si="61"/>
        <v>0</v>
      </c>
      <c r="BF98" s="81"/>
      <c r="BG98" s="81">
        <v>43.5</v>
      </c>
      <c r="BH98" s="81">
        <v>0</v>
      </c>
      <c r="BI98" s="81">
        <v>284</v>
      </c>
      <c r="BJ98" s="81">
        <v>0</v>
      </c>
      <c r="BK98" s="81">
        <v>0</v>
      </c>
      <c r="BL98" s="81">
        <v>0</v>
      </c>
    </row>
    <row r="99" spans="1:64" ht="15.75" thickBot="1" x14ac:dyDescent="0.3">
      <c r="A99" s="86" t="s">
        <v>125</v>
      </c>
      <c r="B99" s="107">
        <f t="shared" ref="B99:AA99" si="72">B97+B98</f>
        <v>1065.19</v>
      </c>
      <c r="C99" s="107">
        <f t="shared" si="72"/>
        <v>985.49000000000012</v>
      </c>
      <c r="D99" s="107">
        <f t="shared" si="72"/>
        <v>992.19</v>
      </c>
      <c r="E99" s="107">
        <f t="shared" si="72"/>
        <v>1000.09</v>
      </c>
      <c r="F99" s="107">
        <f t="shared" si="72"/>
        <v>987.49</v>
      </c>
      <c r="G99" s="107">
        <f t="shared" si="72"/>
        <v>981.29</v>
      </c>
      <c r="H99" s="107">
        <f t="shared" si="72"/>
        <v>1029.79</v>
      </c>
      <c r="I99" s="107">
        <f t="shared" si="72"/>
        <v>1112.8899999999999</v>
      </c>
      <c r="J99" s="107">
        <f t="shared" si="72"/>
        <v>1150.511</v>
      </c>
      <c r="K99" s="107">
        <f t="shared" si="72"/>
        <v>1209.5900000000001</v>
      </c>
      <c r="L99" s="107">
        <f t="shared" si="72"/>
        <v>1264.4900000000002</v>
      </c>
      <c r="M99" s="107">
        <f t="shared" si="72"/>
        <v>1361.89</v>
      </c>
      <c r="N99" s="107">
        <f t="shared" si="72"/>
        <v>1313.89</v>
      </c>
      <c r="O99" s="107">
        <f t="shared" ref="O99" si="73">O97+O98</f>
        <v>1238.19</v>
      </c>
      <c r="P99" s="107">
        <f t="shared" si="72"/>
        <v>1093.0899999999999</v>
      </c>
      <c r="Q99" s="107">
        <f t="shared" si="72"/>
        <v>1070.5899999999999</v>
      </c>
      <c r="R99" s="107">
        <f t="shared" si="72"/>
        <v>1062.99</v>
      </c>
      <c r="S99" s="107">
        <f t="shared" si="72"/>
        <v>1108.19</v>
      </c>
      <c r="T99" s="107">
        <f t="shared" si="72"/>
        <v>1136.29</v>
      </c>
      <c r="U99" s="107">
        <f t="shared" si="72"/>
        <v>1119.8899999999999</v>
      </c>
      <c r="V99" s="107">
        <f t="shared" si="72"/>
        <v>1145.79</v>
      </c>
      <c r="W99" s="107">
        <f t="shared" si="72"/>
        <v>153.54</v>
      </c>
      <c r="X99" s="107">
        <f t="shared" si="72"/>
        <v>1218.8899999999999</v>
      </c>
      <c r="Y99" s="107">
        <f>Y97+Y98</f>
        <v>1255.5500000000002</v>
      </c>
      <c r="Z99" s="107">
        <f>Z97+Z98</f>
        <v>1429.65</v>
      </c>
      <c r="AA99" s="107">
        <f t="shared" si="72"/>
        <v>1351.5900000000001</v>
      </c>
      <c r="AB99" s="107">
        <f t="shared" ref="AB99:AC99" si="74">AB97+AB98</f>
        <v>1245.8899999999999</v>
      </c>
      <c r="AC99" s="107">
        <f t="shared" si="74"/>
        <v>1212.0900000000001</v>
      </c>
      <c r="AD99" s="107">
        <f t="shared" ref="AD99:AE99" si="75">AD97+AD98</f>
        <v>1150.6300000000001</v>
      </c>
      <c r="AE99" s="107">
        <f t="shared" si="75"/>
        <v>1046.3900000000001</v>
      </c>
      <c r="AF99" s="107">
        <f t="shared" ref="AF99" si="76">AF97+AF98</f>
        <v>990.49</v>
      </c>
      <c r="AG99" s="100">
        <f>AG96+AG92+AG80+AG76+AG58+AG98</f>
        <v>1693.71</v>
      </c>
      <c r="AH99" s="48">
        <f t="shared" si="60"/>
        <v>1429.65</v>
      </c>
      <c r="AI99" s="49">
        <f t="shared" si="61"/>
        <v>153.54</v>
      </c>
      <c r="BF99" s="81"/>
      <c r="BG99" s="81">
        <v>58</v>
      </c>
      <c r="BH99" s="81">
        <v>0</v>
      </c>
      <c r="BI99" s="81">
        <v>283</v>
      </c>
      <c r="BJ99" s="81">
        <v>0</v>
      </c>
      <c r="BK99" s="81">
        <v>0</v>
      </c>
      <c r="BL99" s="81">
        <v>0</v>
      </c>
    </row>
    <row r="100" spans="1:64" ht="15.75" thickBot="1" x14ac:dyDescent="0.3">
      <c r="A100" s="86" t="s">
        <v>126</v>
      </c>
      <c r="B100" s="107">
        <f t="shared" ref="B100:M100" si="77">B99-(B107)</f>
        <v>1065.19</v>
      </c>
      <c r="C100" s="107">
        <f t="shared" si="77"/>
        <v>985.49000000000012</v>
      </c>
      <c r="D100" s="107">
        <f t="shared" si="77"/>
        <v>992.19</v>
      </c>
      <c r="E100" s="107">
        <f t="shared" si="77"/>
        <v>1000.09</v>
      </c>
      <c r="F100" s="107">
        <f t="shared" si="77"/>
        <v>987.49</v>
      </c>
      <c r="G100" s="107">
        <f t="shared" si="77"/>
        <v>981.29</v>
      </c>
      <c r="H100" s="107">
        <f t="shared" si="77"/>
        <v>1029.79</v>
      </c>
      <c r="I100" s="107">
        <f t="shared" si="77"/>
        <v>1112.8899999999999</v>
      </c>
      <c r="J100" s="107">
        <f t="shared" si="77"/>
        <v>1150.511</v>
      </c>
      <c r="K100" s="107">
        <f t="shared" si="77"/>
        <v>1209.5900000000001</v>
      </c>
      <c r="L100" s="107">
        <f t="shared" si="77"/>
        <v>1264.4900000000002</v>
      </c>
      <c r="M100" s="107">
        <f t="shared" si="77"/>
        <v>1361.89</v>
      </c>
      <c r="N100" s="107">
        <f>N99-(N107)</f>
        <v>1313.89</v>
      </c>
      <c r="O100" s="107">
        <f>O99-(O107)</f>
        <v>1237.19</v>
      </c>
      <c r="P100" s="107">
        <f t="shared" ref="P100:AA100" si="78">P99-(P107)</f>
        <v>1093.0899999999999</v>
      </c>
      <c r="Q100" s="107">
        <f t="shared" si="78"/>
        <v>1070.5899999999999</v>
      </c>
      <c r="R100" s="107">
        <f t="shared" si="78"/>
        <v>1062.99</v>
      </c>
      <c r="S100" s="107">
        <f t="shared" si="78"/>
        <v>1108.19</v>
      </c>
      <c r="T100" s="107">
        <f t="shared" si="78"/>
        <v>1136.29</v>
      </c>
      <c r="U100" s="107">
        <f t="shared" si="78"/>
        <v>1119.8899999999999</v>
      </c>
      <c r="V100" s="107">
        <f t="shared" si="78"/>
        <v>1145.79</v>
      </c>
      <c r="W100" s="107">
        <f t="shared" si="78"/>
        <v>153.54</v>
      </c>
      <c r="X100" s="107">
        <f t="shared" si="78"/>
        <v>1218.8899999999999</v>
      </c>
      <c r="Y100" s="107">
        <f t="shared" si="78"/>
        <v>1255.5500000000002</v>
      </c>
      <c r="Z100" s="107">
        <f t="shared" si="78"/>
        <v>1429.65</v>
      </c>
      <c r="AA100" s="107">
        <f t="shared" si="78"/>
        <v>1351.5900000000001</v>
      </c>
      <c r="AB100" s="107">
        <f t="shared" ref="AB100:AC100" si="79">AB99-(AB107)</f>
        <v>1245.8899999999999</v>
      </c>
      <c r="AC100" s="107">
        <f t="shared" si="79"/>
        <v>1212.0900000000001</v>
      </c>
      <c r="AD100" s="107">
        <f t="shared" ref="AD100:AE100" si="80">AD99-(AD107)</f>
        <v>1150.6300000000001</v>
      </c>
      <c r="AE100" s="107">
        <f t="shared" si="80"/>
        <v>1046.3900000000001</v>
      </c>
      <c r="AF100" s="107">
        <f t="shared" ref="AF100" si="81">AF99-(AF107)</f>
        <v>990.49</v>
      </c>
      <c r="AG100" s="100"/>
      <c r="AH100" s="48">
        <f t="shared" si="60"/>
        <v>1429.65</v>
      </c>
      <c r="AI100" s="49">
        <f t="shared" si="61"/>
        <v>153.54</v>
      </c>
      <c r="BF100" s="81"/>
      <c r="BG100" s="81">
        <v>61.1</v>
      </c>
      <c r="BH100" s="81">
        <v>0</v>
      </c>
      <c r="BI100" s="81">
        <v>349</v>
      </c>
      <c r="BJ100" s="81">
        <v>0</v>
      </c>
      <c r="BK100" s="81">
        <v>0</v>
      </c>
      <c r="BL100" s="81">
        <v>0</v>
      </c>
    </row>
    <row r="101" spans="1:64" x14ac:dyDescent="0.25">
      <c r="A101" s="45" t="s">
        <v>107</v>
      </c>
      <c r="B101" s="88">
        <f t="shared" ref="B101:AA101" si="82">IF(B84&lt;0,B84*-1,0)</f>
        <v>0</v>
      </c>
      <c r="C101" s="88">
        <f t="shared" si="82"/>
        <v>0</v>
      </c>
      <c r="D101" s="88">
        <f t="shared" si="82"/>
        <v>0</v>
      </c>
      <c r="E101" s="88">
        <f t="shared" si="82"/>
        <v>0</v>
      </c>
      <c r="F101" s="88">
        <f t="shared" si="82"/>
        <v>0</v>
      </c>
      <c r="G101" s="88">
        <f t="shared" si="82"/>
        <v>0</v>
      </c>
      <c r="H101" s="88">
        <f t="shared" si="82"/>
        <v>0</v>
      </c>
      <c r="I101" s="88">
        <f t="shared" si="82"/>
        <v>0</v>
      </c>
      <c r="J101" s="88">
        <f t="shared" si="82"/>
        <v>0</v>
      </c>
      <c r="K101" s="88">
        <f t="shared" si="82"/>
        <v>0</v>
      </c>
      <c r="L101" s="88">
        <f t="shared" si="82"/>
        <v>0</v>
      </c>
      <c r="M101" s="88">
        <f t="shared" si="82"/>
        <v>0</v>
      </c>
      <c r="N101" s="88">
        <f t="shared" si="82"/>
        <v>0</v>
      </c>
      <c r="O101" s="88">
        <f t="shared" ref="O101" si="83">IF(O84&lt;0,O84*-1,0)</f>
        <v>0</v>
      </c>
      <c r="P101" s="88">
        <f t="shared" si="82"/>
        <v>0</v>
      </c>
      <c r="Q101" s="88">
        <f t="shared" si="82"/>
        <v>0</v>
      </c>
      <c r="R101" s="88">
        <f t="shared" si="82"/>
        <v>0</v>
      </c>
      <c r="S101" s="88">
        <f t="shared" si="82"/>
        <v>0</v>
      </c>
      <c r="T101" s="88">
        <f t="shared" si="82"/>
        <v>0</v>
      </c>
      <c r="U101" s="88">
        <f t="shared" si="82"/>
        <v>0</v>
      </c>
      <c r="V101" s="88">
        <f t="shared" si="82"/>
        <v>0</v>
      </c>
      <c r="W101" s="88">
        <f t="shared" si="82"/>
        <v>0</v>
      </c>
      <c r="X101" s="88">
        <f t="shared" si="82"/>
        <v>0</v>
      </c>
      <c r="Y101" s="88">
        <f t="shared" si="82"/>
        <v>0</v>
      </c>
      <c r="Z101" s="88">
        <f t="shared" si="82"/>
        <v>0</v>
      </c>
      <c r="AA101" s="88">
        <f t="shared" si="82"/>
        <v>0</v>
      </c>
      <c r="AB101" s="88">
        <f t="shared" ref="AB101:AC101" si="84">IF(AB84&lt;0,AB84*-1,0)</f>
        <v>0</v>
      </c>
      <c r="AC101" s="88">
        <f t="shared" si="84"/>
        <v>0</v>
      </c>
      <c r="AD101" s="88">
        <f t="shared" ref="AD101:AE101" si="85">IF(AD84&lt;0,AD84*-1,0)</f>
        <v>0</v>
      </c>
      <c r="AE101" s="88">
        <f t="shared" si="85"/>
        <v>0</v>
      </c>
      <c r="AF101" s="88">
        <f t="shared" ref="AF101" si="86">IF(AF84&lt;0,AF84*-1,0)</f>
        <v>0</v>
      </c>
      <c r="AG101" s="60"/>
      <c r="AH101" s="48">
        <f t="shared" si="60"/>
        <v>0</v>
      </c>
      <c r="AI101" s="49">
        <f t="shared" si="61"/>
        <v>0</v>
      </c>
      <c r="BF101" s="80"/>
      <c r="BG101" s="81">
        <v>68.3</v>
      </c>
      <c r="BH101" s="81">
        <v>0</v>
      </c>
      <c r="BI101" s="81">
        <v>301</v>
      </c>
      <c r="BJ101" s="81">
        <v>0</v>
      </c>
      <c r="BK101" s="81">
        <v>0</v>
      </c>
      <c r="BL101" s="81">
        <v>12</v>
      </c>
    </row>
    <row r="102" spans="1:64" x14ac:dyDescent="0.25">
      <c r="A102" s="64" t="s">
        <v>105</v>
      </c>
      <c r="B102" s="88">
        <f t="shared" ref="B102:AA102" si="87">IF(B82&lt;0,B82*-1,0)</f>
        <v>0</v>
      </c>
      <c r="C102" s="88">
        <f t="shared" si="87"/>
        <v>0</v>
      </c>
      <c r="D102" s="88">
        <f t="shared" si="87"/>
        <v>0</v>
      </c>
      <c r="E102" s="88">
        <f t="shared" si="87"/>
        <v>0</v>
      </c>
      <c r="F102" s="88">
        <f t="shared" si="87"/>
        <v>0</v>
      </c>
      <c r="G102" s="88">
        <f t="shared" si="87"/>
        <v>0</v>
      </c>
      <c r="H102" s="88">
        <f t="shared" si="87"/>
        <v>0</v>
      </c>
      <c r="I102" s="88">
        <f t="shared" si="87"/>
        <v>0</v>
      </c>
      <c r="J102" s="88">
        <f t="shared" si="87"/>
        <v>0</v>
      </c>
      <c r="K102" s="88">
        <f t="shared" si="87"/>
        <v>0</v>
      </c>
      <c r="L102" s="88">
        <f t="shared" si="87"/>
        <v>0</v>
      </c>
      <c r="M102" s="88">
        <f t="shared" si="87"/>
        <v>0</v>
      </c>
      <c r="N102" s="88">
        <f t="shared" si="87"/>
        <v>0</v>
      </c>
      <c r="O102" s="88">
        <f t="shared" ref="O102" si="88">IF(O82&lt;0,O82*-1,0)</f>
        <v>0</v>
      </c>
      <c r="P102" s="88">
        <f t="shared" si="87"/>
        <v>0</v>
      </c>
      <c r="Q102" s="88">
        <f t="shared" si="87"/>
        <v>0</v>
      </c>
      <c r="R102" s="88">
        <f t="shared" si="87"/>
        <v>0</v>
      </c>
      <c r="S102" s="88">
        <f t="shared" si="87"/>
        <v>0</v>
      </c>
      <c r="T102" s="88">
        <f t="shared" si="87"/>
        <v>0</v>
      </c>
      <c r="U102" s="88">
        <f t="shared" si="87"/>
        <v>0</v>
      </c>
      <c r="V102" s="88">
        <f t="shared" si="87"/>
        <v>0</v>
      </c>
      <c r="W102" s="88">
        <f t="shared" si="87"/>
        <v>0</v>
      </c>
      <c r="X102" s="88">
        <f t="shared" si="87"/>
        <v>0</v>
      </c>
      <c r="Y102" s="88">
        <f t="shared" si="87"/>
        <v>0</v>
      </c>
      <c r="Z102" s="88">
        <f t="shared" si="87"/>
        <v>0</v>
      </c>
      <c r="AA102" s="88">
        <f t="shared" si="87"/>
        <v>0</v>
      </c>
      <c r="AB102" s="88">
        <f t="shared" ref="AB102:AC102" si="89">IF(AB82&lt;0,AB82*-1,0)</f>
        <v>0</v>
      </c>
      <c r="AC102" s="88">
        <f t="shared" si="89"/>
        <v>0</v>
      </c>
      <c r="AD102" s="88">
        <f t="shared" ref="AD102:AE102" si="90">IF(AD82&lt;0,AD82*-1,0)</f>
        <v>0</v>
      </c>
      <c r="AE102" s="88">
        <f t="shared" si="90"/>
        <v>0</v>
      </c>
      <c r="AF102" s="88">
        <f t="shared" ref="AF102" si="91">IF(AF82&lt;0,AF82*-1,0)</f>
        <v>0</v>
      </c>
      <c r="AG102" s="65"/>
      <c r="AH102" s="48">
        <f t="shared" si="60"/>
        <v>0</v>
      </c>
      <c r="AI102" s="49">
        <f t="shared" si="61"/>
        <v>0</v>
      </c>
      <c r="BF102" s="80"/>
      <c r="BG102" s="81">
        <v>56.4</v>
      </c>
      <c r="BH102" s="81">
        <v>0</v>
      </c>
      <c r="BI102" s="81">
        <v>260</v>
      </c>
      <c r="BJ102" s="81">
        <v>0</v>
      </c>
      <c r="BK102" s="81">
        <v>0</v>
      </c>
      <c r="BL102" s="81">
        <v>71</v>
      </c>
    </row>
    <row r="103" spans="1:64" x14ac:dyDescent="0.25">
      <c r="A103" s="96" t="s">
        <v>127</v>
      </c>
      <c r="B103" s="88">
        <f t="shared" ref="B103:AA103" si="92">IF(B85&lt;0,B85*-1,0)</f>
        <v>0</v>
      </c>
      <c r="C103" s="88">
        <f t="shared" si="92"/>
        <v>0</v>
      </c>
      <c r="D103" s="88">
        <f t="shared" si="92"/>
        <v>0</v>
      </c>
      <c r="E103" s="88">
        <f t="shared" si="92"/>
        <v>0</v>
      </c>
      <c r="F103" s="88">
        <f t="shared" si="92"/>
        <v>0</v>
      </c>
      <c r="G103" s="88">
        <f t="shared" si="92"/>
        <v>0</v>
      </c>
      <c r="H103" s="88">
        <f t="shared" si="92"/>
        <v>0</v>
      </c>
      <c r="I103" s="88">
        <f t="shared" si="92"/>
        <v>0</v>
      </c>
      <c r="J103" s="88">
        <f t="shared" si="92"/>
        <v>0</v>
      </c>
      <c r="K103" s="88">
        <f t="shared" si="92"/>
        <v>0</v>
      </c>
      <c r="L103" s="88">
        <f t="shared" si="92"/>
        <v>0</v>
      </c>
      <c r="M103" s="88">
        <f t="shared" si="92"/>
        <v>0</v>
      </c>
      <c r="N103" s="88">
        <f t="shared" si="92"/>
        <v>0</v>
      </c>
      <c r="O103" s="88">
        <f t="shared" ref="O103" si="93">IF(O85&lt;0,O85*-1,0)</f>
        <v>0</v>
      </c>
      <c r="P103" s="88">
        <f t="shared" si="92"/>
        <v>0</v>
      </c>
      <c r="Q103" s="88">
        <f t="shared" si="92"/>
        <v>0</v>
      </c>
      <c r="R103" s="88">
        <f t="shared" si="92"/>
        <v>0</v>
      </c>
      <c r="S103" s="88">
        <f t="shared" si="92"/>
        <v>0</v>
      </c>
      <c r="T103" s="88">
        <f t="shared" si="92"/>
        <v>0</v>
      </c>
      <c r="U103" s="88">
        <f t="shared" si="92"/>
        <v>0</v>
      </c>
      <c r="V103" s="88">
        <f t="shared" si="92"/>
        <v>0</v>
      </c>
      <c r="W103" s="88">
        <f t="shared" si="92"/>
        <v>0</v>
      </c>
      <c r="X103" s="88">
        <f t="shared" si="92"/>
        <v>0</v>
      </c>
      <c r="Y103" s="88">
        <f t="shared" si="92"/>
        <v>0</v>
      </c>
      <c r="Z103" s="88">
        <f t="shared" si="92"/>
        <v>0</v>
      </c>
      <c r="AA103" s="88">
        <f t="shared" si="92"/>
        <v>0</v>
      </c>
      <c r="AB103" s="88">
        <f t="shared" ref="AB103:AC103" si="94">IF(AB85&lt;0,AB85*-1,0)</f>
        <v>0</v>
      </c>
      <c r="AC103" s="88">
        <f t="shared" si="94"/>
        <v>0</v>
      </c>
      <c r="AD103" s="88">
        <f t="shared" ref="AD103:AE103" si="95">IF(AD85&lt;0,AD85*-1,0)</f>
        <v>0</v>
      </c>
      <c r="AE103" s="88">
        <f t="shared" si="95"/>
        <v>0</v>
      </c>
      <c r="AF103" s="88">
        <f t="shared" ref="AF103" si="96">IF(AF85&lt;0,AF85*-1,0)</f>
        <v>0</v>
      </c>
      <c r="AG103" s="110"/>
      <c r="AH103" s="48">
        <f t="shared" si="60"/>
        <v>0</v>
      </c>
      <c r="AI103" s="49">
        <f t="shared" si="61"/>
        <v>0</v>
      </c>
      <c r="BF103" s="80"/>
      <c r="BG103" s="81">
        <v>56.4</v>
      </c>
      <c r="BH103" s="81">
        <v>0</v>
      </c>
      <c r="BI103" s="81">
        <v>235.5</v>
      </c>
      <c r="BJ103" s="81">
        <v>0</v>
      </c>
      <c r="BK103" s="81">
        <v>0</v>
      </c>
      <c r="BL103" s="81">
        <v>0</v>
      </c>
    </row>
    <row r="104" spans="1:64" x14ac:dyDescent="0.25">
      <c r="A104" s="96" t="s">
        <v>128</v>
      </c>
      <c r="B104" s="88">
        <f t="shared" ref="B104:AA104" si="97">IF(B83&lt;0,B83*-1,0)</f>
        <v>0</v>
      </c>
      <c r="C104" s="88">
        <f t="shared" si="97"/>
        <v>0</v>
      </c>
      <c r="D104" s="88">
        <f t="shared" si="97"/>
        <v>0</v>
      </c>
      <c r="E104" s="88">
        <f t="shared" si="97"/>
        <v>0</v>
      </c>
      <c r="F104" s="88">
        <f t="shared" si="97"/>
        <v>0</v>
      </c>
      <c r="G104" s="88">
        <f t="shared" si="97"/>
        <v>0</v>
      </c>
      <c r="H104" s="88">
        <f t="shared" si="97"/>
        <v>0</v>
      </c>
      <c r="I104" s="88">
        <f t="shared" si="97"/>
        <v>0</v>
      </c>
      <c r="J104" s="88">
        <f t="shared" si="97"/>
        <v>0</v>
      </c>
      <c r="K104" s="88">
        <f t="shared" si="97"/>
        <v>0</v>
      </c>
      <c r="L104" s="88">
        <f t="shared" si="97"/>
        <v>0</v>
      </c>
      <c r="M104" s="88">
        <f t="shared" si="97"/>
        <v>0</v>
      </c>
      <c r="N104" s="88">
        <f t="shared" si="97"/>
        <v>0</v>
      </c>
      <c r="O104" s="88">
        <f t="shared" ref="O104" si="98">IF(O83&lt;0,O83*-1,0)</f>
        <v>0</v>
      </c>
      <c r="P104" s="88">
        <f t="shared" si="97"/>
        <v>0</v>
      </c>
      <c r="Q104" s="88">
        <f t="shared" si="97"/>
        <v>0</v>
      </c>
      <c r="R104" s="88">
        <f t="shared" si="97"/>
        <v>0</v>
      </c>
      <c r="S104" s="88">
        <f t="shared" si="97"/>
        <v>0</v>
      </c>
      <c r="T104" s="88">
        <f t="shared" si="97"/>
        <v>0</v>
      </c>
      <c r="U104" s="88">
        <f t="shared" si="97"/>
        <v>0</v>
      </c>
      <c r="V104" s="88">
        <f t="shared" si="97"/>
        <v>0</v>
      </c>
      <c r="W104" s="88">
        <f t="shared" si="97"/>
        <v>0</v>
      </c>
      <c r="X104" s="88">
        <f t="shared" si="97"/>
        <v>0</v>
      </c>
      <c r="Y104" s="88">
        <f t="shared" si="97"/>
        <v>0</v>
      </c>
      <c r="Z104" s="88">
        <f t="shared" si="97"/>
        <v>0</v>
      </c>
      <c r="AA104" s="88">
        <f t="shared" si="97"/>
        <v>0</v>
      </c>
      <c r="AB104" s="88">
        <f t="shared" ref="AB104:AC104" si="99">IF(AB83&lt;0,AB83*-1,0)</f>
        <v>0</v>
      </c>
      <c r="AC104" s="88">
        <f t="shared" si="99"/>
        <v>0</v>
      </c>
      <c r="AD104" s="88">
        <f t="shared" ref="AD104:AE104" si="100">IF(AD83&lt;0,AD83*-1,0)</f>
        <v>0</v>
      </c>
      <c r="AE104" s="88">
        <f t="shared" si="100"/>
        <v>0</v>
      </c>
      <c r="AF104" s="88">
        <f t="shared" ref="AF104" si="101">IF(AF83&lt;0,AF83*-1,0)</f>
        <v>0</v>
      </c>
      <c r="AG104" s="110"/>
      <c r="AH104" s="48">
        <f t="shared" si="60"/>
        <v>0</v>
      </c>
      <c r="AI104" s="49">
        <f t="shared" si="61"/>
        <v>0</v>
      </c>
      <c r="BF104" s="80"/>
      <c r="BG104" s="81">
        <v>53.3</v>
      </c>
      <c r="BH104" s="81">
        <v>0</v>
      </c>
      <c r="BI104" s="81">
        <v>239.14</v>
      </c>
      <c r="BJ104" s="81">
        <v>0</v>
      </c>
      <c r="BK104" s="81">
        <v>0</v>
      </c>
      <c r="BL104" s="81">
        <v>0</v>
      </c>
    </row>
    <row r="105" spans="1:64" x14ac:dyDescent="0.25">
      <c r="A105" s="96" t="s">
        <v>104</v>
      </c>
      <c r="B105" s="88">
        <f t="shared" ref="B105:AA105" si="102">IF(B81&lt;0,B81*-1,0)</f>
        <v>0</v>
      </c>
      <c r="C105" s="88">
        <f t="shared" si="102"/>
        <v>0</v>
      </c>
      <c r="D105" s="88">
        <f t="shared" si="102"/>
        <v>0</v>
      </c>
      <c r="E105" s="88">
        <f t="shared" si="102"/>
        <v>0</v>
      </c>
      <c r="F105" s="88">
        <f t="shared" si="102"/>
        <v>0</v>
      </c>
      <c r="G105" s="88">
        <f t="shared" si="102"/>
        <v>0</v>
      </c>
      <c r="H105" s="88">
        <f t="shared" si="102"/>
        <v>0</v>
      </c>
      <c r="I105" s="88">
        <f t="shared" si="102"/>
        <v>0</v>
      </c>
      <c r="J105" s="88">
        <f t="shared" si="102"/>
        <v>0</v>
      </c>
      <c r="K105" s="88">
        <f t="shared" si="102"/>
        <v>0</v>
      </c>
      <c r="L105" s="88">
        <f t="shared" si="102"/>
        <v>0</v>
      </c>
      <c r="M105" s="88">
        <f t="shared" si="102"/>
        <v>0</v>
      </c>
      <c r="N105" s="88">
        <f t="shared" si="102"/>
        <v>0</v>
      </c>
      <c r="O105" s="88">
        <f t="shared" ref="O105" si="103">IF(O81&lt;0,O81*-1,0)</f>
        <v>0</v>
      </c>
      <c r="P105" s="88">
        <f t="shared" si="102"/>
        <v>0</v>
      </c>
      <c r="Q105" s="88">
        <f t="shared" si="102"/>
        <v>0</v>
      </c>
      <c r="R105" s="88">
        <f t="shared" si="102"/>
        <v>0</v>
      </c>
      <c r="S105" s="88">
        <f t="shared" si="102"/>
        <v>0</v>
      </c>
      <c r="T105" s="88">
        <f t="shared" si="102"/>
        <v>0</v>
      </c>
      <c r="U105" s="88">
        <f t="shared" si="102"/>
        <v>0</v>
      </c>
      <c r="V105" s="88">
        <f t="shared" si="102"/>
        <v>0</v>
      </c>
      <c r="W105" s="88">
        <f t="shared" si="102"/>
        <v>0</v>
      </c>
      <c r="X105" s="88">
        <f t="shared" si="102"/>
        <v>0</v>
      </c>
      <c r="Y105" s="88">
        <f t="shared" si="102"/>
        <v>0</v>
      </c>
      <c r="Z105" s="88">
        <f t="shared" si="102"/>
        <v>0</v>
      </c>
      <c r="AA105" s="88">
        <f t="shared" si="102"/>
        <v>0</v>
      </c>
      <c r="AB105" s="88">
        <f t="shared" ref="AB105:AC105" si="104">IF(AB81&lt;0,AB81*-1,0)</f>
        <v>0</v>
      </c>
      <c r="AC105" s="88">
        <f t="shared" si="104"/>
        <v>0</v>
      </c>
      <c r="AD105" s="88">
        <f t="shared" ref="AD105:AE105" si="105">IF(AD81&lt;0,AD81*-1,0)</f>
        <v>0</v>
      </c>
      <c r="AE105" s="88">
        <f t="shared" si="105"/>
        <v>0</v>
      </c>
      <c r="AF105" s="88">
        <f t="shared" ref="AF105" si="106">IF(AF81&lt;0,AF81*-1,0)</f>
        <v>0</v>
      </c>
      <c r="AG105" s="110"/>
      <c r="AH105" s="48">
        <f t="shared" si="60"/>
        <v>0</v>
      </c>
      <c r="AI105" s="49">
        <f t="shared" si="61"/>
        <v>0</v>
      </c>
      <c r="BF105" s="80"/>
      <c r="BG105" s="81">
        <v>46.3</v>
      </c>
      <c r="BH105" s="81">
        <v>0</v>
      </c>
      <c r="BI105" s="81">
        <v>198</v>
      </c>
      <c r="BJ105" s="81">
        <v>0</v>
      </c>
      <c r="BK105" s="81">
        <v>0</v>
      </c>
      <c r="BL105" s="81">
        <v>0</v>
      </c>
    </row>
    <row r="106" spans="1:64" ht="15.75" thickBot="1" x14ac:dyDescent="0.3">
      <c r="A106" s="96" t="s">
        <v>129</v>
      </c>
      <c r="B106" s="106">
        <v>0</v>
      </c>
      <c r="C106" s="106">
        <v>0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1</v>
      </c>
      <c r="P106" s="106">
        <v>0</v>
      </c>
      <c r="Q106" s="106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0</v>
      </c>
      <c r="Y106" s="106">
        <v>0</v>
      </c>
      <c r="Z106" s="106">
        <v>0</v>
      </c>
      <c r="AA106" s="106">
        <v>0</v>
      </c>
      <c r="AB106" s="106">
        <v>0</v>
      </c>
      <c r="AC106" s="106">
        <v>0</v>
      </c>
      <c r="AD106" s="106">
        <v>0</v>
      </c>
      <c r="AE106" s="106">
        <v>0</v>
      </c>
      <c r="AF106" s="106">
        <v>0</v>
      </c>
      <c r="AG106" s="97"/>
      <c r="AH106" s="48">
        <f t="shared" si="60"/>
        <v>1</v>
      </c>
      <c r="AI106" s="49">
        <f t="shared" si="61"/>
        <v>0</v>
      </c>
      <c r="BG106" s="81">
        <v>52.5</v>
      </c>
      <c r="BH106" s="81">
        <v>0</v>
      </c>
      <c r="BI106" s="81">
        <v>204.5</v>
      </c>
      <c r="BJ106" s="81">
        <v>0</v>
      </c>
      <c r="BK106" s="81">
        <v>0</v>
      </c>
      <c r="BL106" s="81">
        <v>0</v>
      </c>
    </row>
    <row r="107" spans="1:64" ht="15.75" thickBot="1" x14ac:dyDescent="0.3">
      <c r="A107" s="111" t="s">
        <v>130</v>
      </c>
      <c r="B107" s="70">
        <f t="shared" ref="B107:C107" si="107">SUM(B101:B106)</f>
        <v>0</v>
      </c>
      <c r="C107" s="70">
        <f t="shared" si="107"/>
        <v>0</v>
      </c>
      <c r="D107" s="70">
        <f t="shared" ref="D107:AA107" si="108">SUM(D101:D106)</f>
        <v>0</v>
      </c>
      <c r="E107" s="70">
        <f t="shared" si="108"/>
        <v>0</v>
      </c>
      <c r="F107" s="70">
        <f t="shared" si="108"/>
        <v>0</v>
      </c>
      <c r="G107" s="70">
        <f t="shared" si="108"/>
        <v>0</v>
      </c>
      <c r="H107" s="70">
        <f t="shared" si="108"/>
        <v>0</v>
      </c>
      <c r="I107" s="70">
        <f t="shared" si="108"/>
        <v>0</v>
      </c>
      <c r="J107" s="70">
        <f t="shared" si="108"/>
        <v>0</v>
      </c>
      <c r="K107" s="70">
        <f t="shared" si="108"/>
        <v>0</v>
      </c>
      <c r="L107" s="70">
        <f t="shared" si="108"/>
        <v>0</v>
      </c>
      <c r="M107" s="70">
        <f t="shared" si="108"/>
        <v>0</v>
      </c>
      <c r="N107" s="70">
        <f t="shared" si="108"/>
        <v>0</v>
      </c>
      <c r="O107" s="70">
        <f t="shared" ref="O107" si="109">SUM(O101:O106)</f>
        <v>1</v>
      </c>
      <c r="P107" s="70">
        <f t="shared" si="108"/>
        <v>0</v>
      </c>
      <c r="Q107" s="70">
        <f t="shared" si="108"/>
        <v>0</v>
      </c>
      <c r="R107" s="70">
        <f t="shared" si="108"/>
        <v>0</v>
      </c>
      <c r="S107" s="70">
        <f t="shared" si="108"/>
        <v>0</v>
      </c>
      <c r="T107" s="70">
        <f t="shared" si="108"/>
        <v>0</v>
      </c>
      <c r="U107" s="70">
        <f t="shared" si="108"/>
        <v>0</v>
      </c>
      <c r="V107" s="70">
        <f t="shared" si="108"/>
        <v>0</v>
      </c>
      <c r="W107" s="70">
        <f t="shared" si="108"/>
        <v>0</v>
      </c>
      <c r="X107" s="70">
        <f t="shared" si="108"/>
        <v>0</v>
      </c>
      <c r="Y107" s="70">
        <f t="shared" si="108"/>
        <v>0</v>
      </c>
      <c r="Z107" s="70">
        <f t="shared" si="108"/>
        <v>0</v>
      </c>
      <c r="AA107" s="70">
        <f t="shared" si="108"/>
        <v>0</v>
      </c>
      <c r="AB107" s="70">
        <f t="shared" ref="AB107:AC107" si="110">SUM(AB101:AB106)</f>
        <v>0</v>
      </c>
      <c r="AC107" s="70">
        <f t="shared" si="110"/>
        <v>0</v>
      </c>
      <c r="AD107" s="70">
        <f t="shared" ref="AD107:AE107" si="111">SUM(AD101:AD106)</f>
        <v>0</v>
      </c>
      <c r="AE107" s="70">
        <f t="shared" si="111"/>
        <v>0</v>
      </c>
      <c r="AF107" s="70">
        <f t="shared" ref="AF107" si="112">SUM(AF101:AF106)</f>
        <v>0</v>
      </c>
      <c r="AG107" s="100"/>
      <c r="AH107" s="48">
        <f t="shared" si="60"/>
        <v>1</v>
      </c>
      <c r="AI107" s="49">
        <f t="shared" si="61"/>
        <v>0</v>
      </c>
      <c r="AK107" s="51"/>
      <c r="BG107" s="81">
        <v>53</v>
      </c>
      <c r="BH107" s="81">
        <v>0</v>
      </c>
      <c r="BI107" s="81">
        <v>304</v>
      </c>
      <c r="BJ107" s="81">
        <v>38.9</v>
      </c>
      <c r="BK107" s="81">
        <v>0</v>
      </c>
      <c r="BL107" s="81">
        <v>0</v>
      </c>
    </row>
    <row r="108" spans="1:64" ht="15.75" thickBot="1" x14ac:dyDescent="0.3">
      <c r="A108" s="86" t="s">
        <v>131</v>
      </c>
      <c r="B108" s="70">
        <f t="shared" ref="B108:AA108" si="113">B92-B107</f>
        <v>395.9</v>
      </c>
      <c r="C108" s="70">
        <f t="shared" si="113"/>
        <v>376.80000000000007</v>
      </c>
      <c r="D108" s="70">
        <f t="shared" si="113"/>
        <v>371.7</v>
      </c>
      <c r="E108" s="70">
        <f t="shared" si="113"/>
        <v>380.1</v>
      </c>
      <c r="F108" s="70">
        <f t="shared" si="113"/>
        <v>304.70000000000005</v>
      </c>
      <c r="G108" s="70">
        <f t="shared" si="113"/>
        <v>329.09999999999997</v>
      </c>
      <c r="H108" s="70">
        <f t="shared" si="113"/>
        <v>394.49999999999994</v>
      </c>
      <c r="I108" s="70">
        <f t="shared" si="113"/>
        <v>408.3</v>
      </c>
      <c r="J108" s="70">
        <f t="shared" si="113"/>
        <v>377.52099999999996</v>
      </c>
      <c r="K108" s="70">
        <f t="shared" si="113"/>
        <v>346.3</v>
      </c>
      <c r="L108" s="70">
        <f t="shared" si="113"/>
        <v>335.1</v>
      </c>
      <c r="M108" s="70">
        <f t="shared" si="113"/>
        <v>357.8</v>
      </c>
      <c r="N108" s="70">
        <f t="shared" si="113"/>
        <v>369.7</v>
      </c>
      <c r="O108" s="70">
        <f t="shared" ref="O108" si="114">O92-O107</f>
        <v>338.40000000000003</v>
      </c>
      <c r="P108" s="70">
        <f t="shared" si="113"/>
        <v>326.59999999999997</v>
      </c>
      <c r="Q108" s="70">
        <f t="shared" si="113"/>
        <v>336.09999999999997</v>
      </c>
      <c r="R108" s="70">
        <f t="shared" si="113"/>
        <v>297.8</v>
      </c>
      <c r="S108" s="70">
        <f t="shared" si="113"/>
        <v>274</v>
      </c>
      <c r="T108" s="70">
        <f t="shared" si="113"/>
        <v>327.5</v>
      </c>
      <c r="U108" s="70">
        <f t="shared" si="113"/>
        <v>341</v>
      </c>
      <c r="V108" s="70">
        <f t="shared" si="113"/>
        <v>410.1</v>
      </c>
      <c r="W108" s="70">
        <f t="shared" si="113"/>
        <v>0</v>
      </c>
      <c r="X108" s="70">
        <f t="shared" si="113"/>
        <v>381.3</v>
      </c>
      <c r="Y108" s="70">
        <f>Y92-Y107</f>
        <v>446.1</v>
      </c>
      <c r="Z108" s="70">
        <f>Z92-Z107</f>
        <v>387.4</v>
      </c>
      <c r="AA108" s="70">
        <f t="shared" si="113"/>
        <v>319.10000000000002</v>
      </c>
      <c r="AB108" s="70">
        <f t="shared" ref="AB108:AC108" si="115">AB92-AB107</f>
        <v>291.89999999999998</v>
      </c>
      <c r="AC108" s="70">
        <f t="shared" si="115"/>
        <v>303.5</v>
      </c>
      <c r="AD108" s="70">
        <f t="shared" ref="AD108:AE108" si="116">AD92-AD107</f>
        <v>292.44</v>
      </c>
      <c r="AE108" s="70">
        <f t="shared" si="116"/>
        <v>244.3</v>
      </c>
      <c r="AF108" s="70">
        <f t="shared" ref="AF108" si="117">AF92-AF107</f>
        <v>257</v>
      </c>
      <c r="AG108" s="100"/>
      <c r="AH108" s="48">
        <f t="shared" si="60"/>
        <v>446.1</v>
      </c>
      <c r="AI108" s="49">
        <f t="shared" si="61"/>
        <v>0</v>
      </c>
    </row>
    <row r="109" spans="1:64" x14ac:dyDescent="0.25">
      <c r="A109" s="112" t="s">
        <v>132</v>
      </c>
      <c r="B109" s="113">
        <v>50.03</v>
      </c>
      <c r="C109" s="113">
        <v>49.902999999999999</v>
      </c>
      <c r="D109" s="113">
        <v>49.963000000000001</v>
      </c>
      <c r="E109" s="113">
        <v>49.973999999999997</v>
      </c>
      <c r="F109" s="113">
        <v>50.015000000000001</v>
      </c>
      <c r="G109" s="113">
        <v>50.048000000000002</v>
      </c>
      <c r="H109" s="113">
        <v>50.063000000000002</v>
      </c>
      <c r="I109" s="113">
        <v>50.014000000000003</v>
      </c>
      <c r="J109" s="113">
        <v>50.091999999999999</v>
      </c>
      <c r="K109" s="113">
        <v>50.034999999999997</v>
      </c>
      <c r="L109" s="113">
        <v>50.04</v>
      </c>
      <c r="M109" s="113">
        <v>49.97</v>
      </c>
      <c r="N109" s="113">
        <v>50.01</v>
      </c>
      <c r="O109" s="113">
        <v>49.99</v>
      </c>
      <c r="P109" s="113">
        <v>50.003</v>
      </c>
      <c r="Q109" s="113">
        <v>50.039000000000001</v>
      </c>
      <c r="R109" s="113">
        <v>49.975999999999999</v>
      </c>
      <c r="S109" s="113">
        <v>50.018000000000001</v>
      </c>
      <c r="T109" s="113">
        <v>49.905999999999999</v>
      </c>
      <c r="U109" s="113">
        <v>49.957000000000001</v>
      </c>
      <c r="V109" s="113">
        <v>49.920999999999999</v>
      </c>
      <c r="W109" s="113"/>
      <c r="X109" s="113">
        <v>50.029000000000003</v>
      </c>
      <c r="Y109" s="113">
        <v>50.048999999999999</v>
      </c>
      <c r="Z109" s="113">
        <v>49.978000000000002</v>
      </c>
      <c r="AA109" s="113">
        <v>50.003</v>
      </c>
      <c r="AB109" s="113">
        <v>49.95</v>
      </c>
      <c r="AC109" s="113">
        <v>49.93</v>
      </c>
      <c r="AD109" s="113">
        <v>49.98</v>
      </c>
      <c r="AE109" s="113">
        <v>50.02</v>
      </c>
      <c r="AF109" s="113">
        <v>49.93</v>
      </c>
      <c r="AG109" s="114"/>
      <c r="AH109" s="48">
        <f t="shared" si="60"/>
        <v>50.091999999999999</v>
      </c>
      <c r="AI109" s="49">
        <f t="shared" si="61"/>
        <v>49.902999999999999</v>
      </c>
    </row>
    <row r="110" spans="1:64" x14ac:dyDescent="0.25">
      <c r="A110" s="115" t="s">
        <v>133</v>
      </c>
      <c r="B110" s="75">
        <v>128.80000000000001</v>
      </c>
      <c r="C110" s="75">
        <v>130.19999999999999</v>
      </c>
      <c r="D110" s="75">
        <v>129.4</v>
      </c>
      <c r="E110" s="75">
        <v>129</v>
      </c>
      <c r="F110" s="75">
        <v>129</v>
      </c>
      <c r="G110" s="75">
        <v>129.69999999999999</v>
      </c>
      <c r="H110" s="75">
        <v>127.7</v>
      </c>
      <c r="I110" s="75">
        <v>127.5</v>
      </c>
      <c r="J110" s="75">
        <v>127.8</v>
      </c>
      <c r="K110" s="75">
        <v>126.8</v>
      </c>
      <c r="L110" s="75">
        <v>125.5</v>
      </c>
      <c r="M110" s="75">
        <v>124.4</v>
      </c>
      <c r="N110" s="75">
        <v>125.8</v>
      </c>
      <c r="O110" s="75">
        <v>126.5</v>
      </c>
      <c r="P110" s="75">
        <v>128.69999999999999</v>
      </c>
      <c r="Q110" s="75">
        <v>129.4</v>
      </c>
      <c r="R110" s="75">
        <v>126.9</v>
      </c>
      <c r="S110" s="75">
        <v>126.2</v>
      </c>
      <c r="T110" s="75">
        <v>125.7</v>
      </c>
      <c r="U110" s="75">
        <v>126.4</v>
      </c>
      <c r="V110" s="75">
        <v>128.19999999999999</v>
      </c>
      <c r="W110" s="75"/>
      <c r="X110" s="75">
        <v>131.19999999999999</v>
      </c>
      <c r="Y110" s="75">
        <v>130.6</v>
      </c>
      <c r="Z110" s="75">
        <v>128.80000000000001</v>
      </c>
      <c r="AA110" s="75">
        <v>127.6</v>
      </c>
      <c r="AB110" s="75">
        <v>128.30000000000001</v>
      </c>
      <c r="AC110" s="75">
        <v>128.30000000000001</v>
      </c>
      <c r="AD110" s="75">
        <v>129.4</v>
      </c>
      <c r="AE110" s="75">
        <v>129.4</v>
      </c>
      <c r="AF110" s="75">
        <v>130.30000000000001</v>
      </c>
      <c r="AG110" s="116"/>
      <c r="AH110" s="48">
        <f t="shared" si="60"/>
        <v>131.19999999999999</v>
      </c>
      <c r="AI110" s="49">
        <f t="shared" si="61"/>
        <v>124.4</v>
      </c>
    </row>
    <row r="111" spans="1:64" x14ac:dyDescent="0.25">
      <c r="A111" s="115" t="s">
        <v>134</v>
      </c>
      <c r="B111" s="75">
        <v>132.4</v>
      </c>
      <c r="C111" s="75">
        <v>134.30000000000001</v>
      </c>
      <c r="D111" s="75">
        <v>133.6</v>
      </c>
      <c r="E111" s="75">
        <v>133.30000000000001</v>
      </c>
      <c r="F111" s="75">
        <v>133.1</v>
      </c>
      <c r="G111" s="75">
        <v>133.4</v>
      </c>
      <c r="H111" s="75">
        <v>131.4</v>
      </c>
      <c r="I111" s="75">
        <v>131</v>
      </c>
      <c r="J111" s="75">
        <v>130.69999999999999</v>
      </c>
      <c r="K111" s="75">
        <v>129.69999999999999</v>
      </c>
      <c r="L111" s="75">
        <v>128.80000000000001</v>
      </c>
      <c r="M111" s="75">
        <v>127.6</v>
      </c>
      <c r="N111" s="75">
        <v>128.4</v>
      </c>
      <c r="O111" s="75">
        <v>129.19999999999999</v>
      </c>
      <c r="P111" s="75">
        <v>130.9</v>
      </c>
      <c r="Q111" s="75">
        <v>131.6</v>
      </c>
      <c r="R111" s="75">
        <v>129.9</v>
      </c>
      <c r="S111" s="75">
        <v>129.19999999999999</v>
      </c>
      <c r="T111" s="75">
        <v>128.69999999999999</v>
      </c>
      <c r="U111" s="75">
        <v>129.5</v>
      </c>
      <c r="V111" s="75">
        <v>131.1</v>
      </c>
      <c r="W111" s="75"/>
      <c r="X111" s="75">
        <v>133.80000000000001</v>
      </c>
      <c r="Y111" s="75">
        <v>133</v>
      </c>
      <c r="Z111" s="75">
        <v>131</v>
      </c>
      <c r="AA111" s="75">
        <v>130</v>
      </c>
      <c r="AB111" s="75">
        <v>130.69999999999999</v>
      </c>
      <c r="AC111" s="75">
        <v>130.69999999999999</v>
      </c>
      <c r="AD111" s="75">
        <v>132.30000000000001</v>
      </c>
      <c r="AE111" s="75">
        <v>132.30000000000001</v>
      </c>
      <c r="AF111" s="75">
        <v>133.80000000000001</v>
      </c>
      <c r="AG111" s="116"/>
      <c r="AH111" s="48">
        <f t="shared" si="60"/>
        <v>134.30000000000001</v>
      </c>
      <c r="AI111" s="49">
        <f t="shared" si="61"/>
        <v>127.6</v>
      </c>
    </row>
    <row r="112" spans="1:64" x14ac:dyDescent="0.25">
      <c r="A112" s="115" t="s">
        <v>135</v>
      </c>
      <c r="B112" s="75">
        <v>130.19999999999999</v>
      </c>
      <c r="C112" s="75">
        <v>132.69999999999999</v>
      </c>
      <c r="D112" s="75">
        <v>133.30000000000001</v>
      </c>
      <c r="E112" s="75">
        <v>131.9</v>
      </c>
      <c r="F112" s="75">
        <v>132.1</v>
      </c>
      <c r="G112" s="75">
        <v>132.5</v>
      </c>
      <c r="H112" s="75">
        <v>130.19999999999999</v>
      </c>
      <c r="I112" s="75">
        <v>130</v>
      </c>
      <c r="J112" s="75">
        <v>127.3</v>
      </c>
      <c r="K112" s="75">
        <v>127.7</v>
      </c>
      <c r="L112" s="75">
        <v>128.30000000000001</v>
      </c>
      <c r="M112" s="75">
        <v>124.9</v>
      </c>
      <c r="N112" s="75">
        <v>127.5</v>
      </c>
      <c r="O112" s="75">
        <v>130.69999999999999</v>
      </c>
      <c r="P112" s="75">
        <v>129.80000000000001</v>
      </c>
      <c r="Q112" s="75">
        <v>130.1</v>
      </c>
      <c r="R112" s="75">
        <v>132</v>
      </c>
      <c r="S112" s="75">
        <v>128.6</v>
      </c>
      <c r="T112" s="75">
        <v>129.19999999999999</v>
      </c>
      <c r="U112" s="75">
        <v>131</v>
      </c>
      <c r="V112" s="75">
        <v>132.6</v>
      </c>
      <c r="W112" s="75"/>
      <c r="X112" s="75">
        <v>131.1</v>
      </c>
      <c r="Y112" s="75">
        <v>128.30000000000001</v>
      </c>
      <c r="Z112" s="75">
        <v>130</v>
      </c>
      <c r="AA112" s="75">
        <v>131.80000000000001</v>
      </c>
      <c r="AB112" s="75">
        <v>131.80000000000001</v>
      </c>
      <c r="AC112" s="75">
        <v>131.80000000000001</v>
      </c>
      <c r="AD112" s="75">
        <v>131.6</v>
      </c>
      <c r="AE112" s="75">
        <v>131.6</v>
      </c>
      <c r="AF112" s="75">
        <v>130.19999999999999</v>
      </c>
      <c r="AG112" s="116"/>
      <c r="AH112" s="48">
        <f t="shared" si="60"/>
        <v>133.30000000000001</v>
      </c>
      <c r="AI112" s="49">
        <f t="shared" si="61"/>
        <v>124.9</v>
      </c>
    </row>
    <row r="113" spans="1:35" x14ac:dyDescent="0.25">
      <c r="A113" s="117" t="s">
        <v>136</v>
      </c>
      <c r="B113" s="75">
        <v>129.9</v>
      </c>
      <c r="C113" s="75">
        <v>132.19999999999999</v>
      </c>
      <c r="D113" s="75">
        <v>133.19999999999999</v>
      </c>
      <c r="E113" s="75">
        <v>133.5</v>
      </c>
      <c r="F113" s="75">
        <v>133.69999999999999</v>
      </c>
      <c r="G113" s="75">
        <v>134.6</v>
      </c>
      <c r="H113" s="75">
        <v>131.9</v>
      </c>
      <c r="I113" s="75">
        <v>131.19999999999999</v>
      </c>
      <c r="J113" s="75">
        <v>128</v>
      </c>
      <c r="K113" s="75">
        <v>128.80000000000001</v>
      </c>
      <c r="L113" s="75">
        <v>128.6</v>
      </c>
      <c r="M113" s="75">
        <v>125.1</v>
      </c>
      <c r="N113" s="75">
        <v>127.9</v>
      </c>
      <c r="O113" s="75">
        <v>130.19999999999999</v>
      </c>
      <c r="P113" s="75">
        <v>130.9</v>
      </c>
      <c r="Q113" s="75">
        <v>131.19999999999999</v>
      </c>
      <c r="R113" s="75">
        <v>133</v>
      </c>
      <c r="S113" s="75">
        <v>130.19999999999999</v>
      </c>
      <c r="T113" s="75">
        <v>130</v>
      </c>
      <c r="U113" s="75">
        <v>131.19999999999999</v>
      </c>
      <c r="V113" s="75">
        <v>132.5</v>
      </c>
      <c r="W113" s="75"/>
      <c r="X113" s="75">
        <v>131.1</v>
      </c>
      <c r="Y113" s="75">
        <v>128.19999999999999</v>
      </c>
      <c r="Z113" s="75">
        <v>130.6</v>
      </c>
      <c r="AA113" s="75">
        <v>132.6</v>
      </c>
      <c r="AB113" s="75">
        <v>133.1</v>
      </c>
      <c r="AC113" s="75">
        <v>133.1</v>
      </c>
      <c r="AD113" s="75">
        <v>131.80000000000001</v>
      </c>
      <c r="AE113" s="75">
        <v>131.80000000000001</v>
      </c>
      <c r="AF113" s="75">
        <v>130.1</v>
      </c>
      <c r="AG113" s="116"/>
      <c r="AH113" s="48">
        <f t="shared" si="60"/>
        <v>134.6</v>
      </c>
      <c r="AI113" s="49">
        <f t="shared" si="61"/>
        <v>125.1</v>
      </c>
    </row>
    <row r="114" spans="1:35" x14ac:dyDescent="0.25">
      <c r="A114" s="117" t="s">
        <v>137</v>
      </c>
      <c r="B114" s="118">
        <v>134.6</v>
      </c>
      <c r="C114" s="118">
        <v>133.19999999999999</v>
      </c>
      <c r="D114" s="118">
        <v>134.1</v>
      </c>
      <c r="E114" s="118">
        <v>132.5</v>
      </c>
      <c r="F114" s="118">
        <v>134.19999999999999</v>
      </c>
      <c r="G114" s="118">
        <v>133.19999999999999</v>
      </c>
      <c r="H114" s="118">
        <v>131.80000000000001</v>
      </c>
      <c r="I114" s="118">
        <v>131.6</v>
      </c>
      <c r="J114" s="118">
        <v>131</v>
      </c>
      <c r="K114" s="118">
        <v>134.1</v>
      </c>
      <c r="L114" s="118">
        <v>132</v>
      </c>
      <c r="M114" s="118">
        <v>131.6</v>
      </c>
      <c r="N114" s="118">
        <v>132.1</v>
      </c>
      <c r="O114" s="118">
        <v>134.6</v>
      </c>
      <c r="P114" s="118">
        <v>134.4</v>
      </c>
      <c r="Q114" s="118">
        <v>134.69999999999999</v>
      </c>
      <c r="R114" s="118">
        <v>132</v>
      </c>
      <c r="S114" s="118">
        <v>132.30000000000001</v>
      </c>
      <c r="T114" s="118">
        <v>130.5</v>
      </c>
      <c r="U114" s="118">
        <v>131.6</v>
      </c>
      <c r="V114" s="118">
        <v>132.30000000000001</v>
      </c>
      <c r="W114" s="118"/>
      <c r="X114" s="118">
        <v>135.30000000000001</v>
      </c>
      <c r="Y114" s="118">
        <v>134.9</v>
      </c>
      <c r="Z114" s="118">
        <v>132.9</v>
      </c>
      <c r="AA114" s="118">
        <v>131.69999999999999</v>
      </c>
      <c r="AB114" s="118">
        <v>134.5</v>
      </c>
      <c r="AC114" s="118">
        <v>134.5</v>
      </c>
      <c r="AD114" s="118">
        <v>134.80000000000001</v>
      </c>
      <c r="AE114" s="118">
        <v>134.80000000000001</v>
      </c>
      <c r="AF114" s="118">
        <v>135.5</v>
      </c>
      <c r="AG114" s="119"/>
      <c r="AH114" s="48">
        <f t="shared" si="60"/>
        <v>135.5</v>
      </c>
      <c r="AI114" s="49">
        <f t="shared" si="61"/>
        <v>130.5</v>
      </c>
    </row>
    <row r="115" spans="1:35" x14ac:dyDescent="0.25">
      <c r="A115" s="115" t="s">
        <v>138</v>
      </c>
      <c r="B115" s="75">
        <v>132.6</v>
      </c>
      <c r="C115" s="75">
        <v>130.9</v>
      </c>
      <c r="D115" s="75">
        <v>134.19999999999999</v>
      </c>
      <c r="E115" s="75">
        <v>129.4</v>
      </c>
      <c r="F115" s="75">
        <v>131.80000000000001</v>
      </c>
      <c r="G115" s="75">
        <v>133.4</v>
      </c>
      <c r="H115" s="75">
        <v>131.30000000000001</v>
      </c>
      <c r="I115" s="75">
        <v>128.80000000000001</v>
      </c>
      <c r="J115" s="75">
        <v>127.7</v>
      </c>
      <c r="K115" s="75">
        <v>127.9</v>
      </c>
      <c r="L115" s="75">
        <v>127.9</v>
      </c>
      <c r="M115" s="75">
        <v>126</v>
      </c>
      <c r="N115" s="75">
        <v>129</v>
      </c>
      <c r="O115" s="75">
        <v>130.6</v>
      </c>
      <c r="P115" s="75">
        <v>132.30000000000001</v>
      </c>
      <c r="Q115" s="75">
        <v>134.9</v>
      </c>
      <c r="R115" s="75">
        <v>128.4</v>
      </c>
      <c r="S115" s="75">
        <v>127.8</v>
      </c>
      <c r="T115" s="75">
        <v>130.69999999999999</v>
      </c>
      <c r="U115" s="75">
        <v>132.6</v>
      </c>
      <c r="V115" s="75">
        <v>132.19999999999999</v>
      </c>
      <c r="W115" s="75"/>
      <c r="X115" s="75">
        <v>137.30000000000001</v>
      </c>
      <c r="Y115" s="75">
        <v>130.30000000000001</v>
      </c>
      <c r="Z115" s="75">
        <v>128</v>
      </c>
      <c r="AA115" s="75">
        <v>132.1</v>
      </c>
      <c r="AB115" s="75">
        <v>129.9</v>
      </c>
      <c r="AC115" s="75">
        <v>129.9</v>
      </c>
      <c r="AD115" s="75">
        <v>131</v>
      </c>
      <c r="AE115" s="75">
        <v>131</v>
      </c>
      <c r="AF115" s="75">
        <v>126.4</v>
      </c>
      <c r="AG115" s="116"/>
      <c r="AH115" s="48">
        <f t="shared" si="60"/>
        <v>137.30000000000001</v>
      </c>
      <c r="AI115" s="49">
        <f t="shared" si="61"/>
        <v>126</v>
      </c>
    </row>
    <row r="116" spans="1:35" ht="15.75" thickBot="1" x14ac:dyDescent="0.3">
      <c r="A116" s="115" t="s">
        <v>139</v>
      </c>
      <c r="B116" s="104">
        <v>67.3</v>
      </c>
      <c r="C116" s="104">
        <v>67.599999999999994</v>
      </c>
      <c r="D116" s="104">
        <v>67.599999999999994</v>
      </c>
      <c r="E116" s="104">
        <v>67.400000000000006</v>
      </c>
      <c r="F116" s="104">
        <v>67.3</v>
      </c>
      <c r="G116" s="104">
        <v>67.3</v>
      </c>
      <c r="H116" s="104">
        <v>66.2</v>
      </c>
      <c r="I116" s="104">
        <v>66.2</v>
      </c>
      <c r="J116" s="104">
        <v>66</v>
      </c>
      <c r="K116" s="104">
        <v>64.900000000000006</v>
      </c>
      <c r="L116" s="104">
        <v>64.900000000000006</v>
      </c>
      <c r="M116" s="104">
        <v>64</v>
      </c>
      <c r="N116" s="104">
        <v>64.3</v>
      </c>
      <c r="O116" s="104">
        <v>64.8</v>
      </c>
      <c r="P116" s="104">
        <v>65.7</v>
      </c>
      <c r="Q116" s="104">
        <v>65.900000000000006</v>
      </c>
      <c r="R116" s="104">
        <v>65.2</v>
      </c>
      <c r="S116" s="104">
        <v>65</v>
      </c>
      <c r="T116" s="104">
        <v>64.8</v>
      </c>
      <c r="U116" s="104">
        <v>65.2</v>
      </c>
      <c r="V116" s="104">
        <v>66</v>
      </c>
      <c r="W116" s="104"/>
      <c r="X116" s="104">
        <v>66.7</v>
      </c>
      <c r="Y116" s="104">
        <v>66.400000000000006</v>
      </c>
      <c r="Z116" s="104">
        <v>66</v>
      </c>
      <c r="AA116" s="104"/>
      <c r="AB116" s="104">
        <v>65.599999999999994</v>
      </c>
      <c r="AC116" s="104">
        <v>65.599999999999994</v>
      </c>
      <c r="AD116" s="104">
        <v>66.599999999999994</v>
      </c>
      <c r="AE116" s="104">
        <v>66.599999999999994</v>
      </c>
      <c r="AF116" s="104">
        <v>67.3</v>
      </c>
      <c r="AG116" s="120"/>
      <c r="AH116" s="48">
        <f t="shared" si="60"/>
        <v>67.599999999999994</v>
      </c>
      <c r="AI116" s="49">
        <f t="shared" si="61"/>
        <v>64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 t="s">
        <v>140</v>
      </c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60"/>
        <v>0</v>
      </c>
      <c r="AI117" s="49">
        <f t="shared" si="61"/>
        <v>0</v>
      </c>
    </row>
    <row r="118" spans="1:35" ht="15.75" thickBot="1" x14ac:dyDescent="0.3">
      <c r="A118" s="122" t="s">
        <v>141</v>
      </c>
      <c r="B118" s="123">
        <f>SUM(B22,B28,B31:B32,B66,B68:B69,B71,B73,B119:B123,B155,B161,B167,B176,B178,B190,B197,B200:B201,B208,B210,B212,B216:B218,B220:B222,B227,B233:B234,B236:B238,B246,B251)</f>
        <v>148.97</v>
      </c>
      <c r="C118" s="123">
        <f>SUM(C22,C28,C31:C32,C66,C68:C69,C71,C73,C119:C123,C155,C161,C167,C176,C178,C190,C197,C200:C201,C208,C210,C212,C216:C218,C220:C222,C227,C233:C234,C236:C238,C246,C251)</f>
        <v>131.523</v>
      </c>
      <c r="D118" s="123">
        <f t="shared" ref="D118:N118" si="118">SUM(D22,D28,D31:D32,D66,D68:D69,D71,D73,D119:D123,D155,D161,D167,D176,D178,D190,D197,D200:D201,D208,D210,D212,D216:D218,D220:D222,D227,D233:D234,D236:D238,D246,D251)</f>
        <v>121.98999999999998</v>
      </c>
      <c r="E118" s="123">
        <f t="shared" si="118"/>
        <v>125.68799999999999</v>
      </c>
      <c r="F118" s="123">
        <f t="shared" si="118"/>
        <v>131.94</v>
      </c>
      <c r="G118" s="123">
        <f t="shared" si="118"/>
        <v>145.70999999999998</v>
      </c>
      <c r="H118" s="123">
        <f t="shared" si="118"/>
        <v>193.09699999999998</v>
      </c>
      <c r="I118" s="123">
        <f t="shared" si="118"/>
        <v>199.36700000000002</v>
      </c>
      <c r="J118" s="123">
        <f t="shared" si="118"/>
        <v>229.67899999999997</v>
      </c>
      <c r="K118" s="123">
        <f t="shared" si="118"/>
        <v>261.089</v>
      </c>
      <c r="L118" s="123">
        <f t="shared" si="118"/>
        <v>276.976</v>
      </c>
      <c r="M118" s="123">
        <f t="shared" si="118"/>
        <v>312.90000000000003</v>
      </c>
      <c r="N118" s="123">
        <f t="shared" si="118"/>
        <v>319.19999999999993</v>
      </c>
      <c r="O118" s="123">
        <f t="shared" ref="O118" si="119">SUM(O22,O28,O31:O32,O66,O68:O69,O71,O73,O119:O123,O155,O161,O167,O176,O178,O190,O197,O200:O201,O208,O210,O212,O216:O218,O220:O222,O227,O233:O234,O236:O238,O246,O251)</f>
        <v>301.7</v>
      </c>
      <c r="P118" s="123">
        <v>42</v>
      </c>
      <c r="Q118" s="123">
        <f t="shared" ref="Q118:AA118" si="120">SUM(Q22,Q28,Q31:Q32,Q66,Q68:Q69,Q71,Q73,Q119:Q123,Q155,Q161,Q167,Q176,Q178,Q190,Q197,Q200:Q201,Q208,Q210,Q212,Q216:Q218,Q220:Q222,Q227,Q233:Q234,Q236:Q238,Q246,Q251)</f>
        <v>253.97199999999998</v>
      </c>
      <c r="R118" s="123">
        <f t="shared" si="120"/>
        <v>236.83200000000002</v>
      </c>
      <c r="S118" s="123">
        <f t="shared" si="120"/>
        <v>233.62</v>
      </c>
      <c r="T118" s="123">
        <f t="shared" si="120"/>
        <v>229.62</v>
      </c>
      <c r="U118" s="123">
        <f t="shared" si="120"/>
        <v>213.83999999999997</v>
      </c>
      <c r="V118" s="123">
        <f t="shared" si="120"/>
        <v>213.06</v>
      </c>
      <c r="W118" s="123">
        <f t="shared" si="120"/>
        <v>0.94</v>
      </c>
      <c r="X118" s="123">
        <f t="shared" si="120"/>
        <v>258.94</v>
      </c>
      <c r="Y118" s="123">
        <f t="shared" ref="Y118:Z118" si="121">SUM(Y20,Y26,Y37:Y38,Y66,Y68:Y69,Y71,Y73,Y119:Y123,Y148,Y154,Y160,Y169,Y171,Y183,Y190,Y193:Y194,Y201,Y203,Y205,Y209:Y211,Y213:Y215,Y220,Y226:Y227,Y229:Y231,Y239,Y244)</f>
        <v>319.8</v>
      </c>
      <c r="Z118" s="123">
        <f t="shared" si="121"/>
        <v>347.24</v>
      </c>
      <c r="AA118" s="123">
        <f t="shared" si="120"/>
        <v>85.339999999999989</v>
      </c>
      <c r="AB118" s="123">
        <f t="shared" ref="AB118:AC118" si="122">SUM(AB22,AB28,AB31:AB32,AB66,AB68:AB69,AB71,AB73,AB119:AB123,AB155,AB161,AB167,AB176,AB178,AB190,AB197,AB200:AB201,AB208,AB210,AB212,AB216:AB218,AB220:AB222,AB227,AB233:AB234,AB236:AB238,AB246,AB251)</f>
        <v>290.94</v>
      </c>
      <c r="AC118" s="123">
        <f t="shared" si="122"/>
        <v>264.52000000000004</v>
      </c>
      <c r="AD118" s="123">
        <f t="shared" ref="AD118:AE118" si="123">SUM(AD22,AD28,AD31:AD32,AD66,AD68:AD69,AD71,AD73,AD119:AD123,AD155,AD161,AD167,AD176,AD178,AD190,AD197,AD200:AD201,AD208,AD210,AD212,AD216:AD218,AD220:AD222,AD227,AD233:AD234,AD236:AD238,AD246,AD251)</f>
        <v>237.21999999999997</v>
      </c>
      <c r="AE118" s="123">
        <f t="shared" si="123"/>
        <v>179.26</v>
      </c>
      <c r="AF118" s="123">
        <f t="shared" ref="AF118" si="124">SUM(AF22,AF28,AF31:AF32,AF66,AF68:AF69,AF71,AF73,AF119:AF123,AF155,AF161,AF167,AF176,AF178,AF190,AF197,AF200:AF201,AF208,AF210,AF212,AF216:AF218,AF220:AF222,AF227,AF233:AF234,AF236:AF238,AF246,AF251)</f>
        <v>174.86</v>
      </c>
      <c r="AG118" s="124"/>
      <c r="AH118" s="48">
        <f t="shared" si="60"/>
        <v>347.24</v>
      </c>
      <c r="AI118" s="49">
        <f t="shared" si="61"/>
        <v>0.94</v>
      </c>
    </row>
    <row r="119" spans="1:35" x14ac:dyDescent="0.25">
      <c r="A119" s="125" t="s">
        <v>142</v>
      </c>
      <c r="B119" s="126">
        <v>-3.8</v>
      </c>
      <c r="C119" s="126">
        <v>-4.3</v>
      </c>
      <c r="D119" s="126">
        <v>-2.7</v>
      </c>
      <c r="E119" s="126">
        <v>-1.5</v>
      </c>
      <c r="F119" s="126">
        <v>-3.7</v>
      </c>
      <c r="G119" s="126">
        <v>-5.7</v>
      </c>
      <c r="H119" s="126">
        <v>9.6</v>
      </c>
      <c r="I119" s="126">
        <v>9.8000000000000007</v>
      </c>
      <c r="J119" s="126">
        <v>25</v>
      </c>
      <c r="K119" s="126">
        <v>33</v>
      </c>
      <c r="L119" s="126">
        <v>25.7</v>
      </c>
      <c r="M119" s="126">
        <v>29</v>
      </c>
      <c r="N119" s="126">
        <v>37.5</v>
      </c>
      <c r="O119" s="126">
        <v>36.799999999999997</v>
      </c>
      <c r="P119" s="126">
        <v>29.9</v>
      </c>
      <c r="Q119" s="126">
        <v>23.5</v>
      </c>
      <c r="R119" s="126">
        <v>10.5</v>
      </c>
      <c r="S119" s="126">
        <v>1.7</v>
      </c>
      <c r="T119" s="126">
        <v>-6.1</v>
      </c>
      <c r="U119" s="126">
        <v>-6.7</v>
      </c>
      <c r="V119" s="126">
        <v>-15</v>
      </c>
      <c r="W119" s="126"/>
      <c r="X119" s="126">
        <v>0.5</v>
      </c>
      <c r="Y119" s="126">
        <v>4.5999999999999996</v>
      </c>
      <c r="Z119" s="126">
        <v>26.7</v>
      </c>
      <c r="AA119" s="126"/>
      <c r="AB119" s="126">
        <v>24.3</v>
      </c>
      <c r="AC119" s="126">
        <v>20.7</v>
      </c>
      <c r="AD119" s="126">
        <v>23.5</v>
      </c>
      <c r="AE119" s="126">
        <v>15.9</v>
      </c>
      <c r="AF119" s="126">
        <v>15</v>
      </c>
      <c r="AG119" s="127">
        <v>75</v>
      </c>
      <c r="AH119" s="48">
        <f t="shared" si="60"/>
        <v>37.5</v>
      </c>
      <c r="AI119" s="49">
        <f t="shared" si="61"/>
        <v>-15</v>
      </c>
    </row>
    <row r="120" spans="1:35" x14ac:dyDescent="0.25">
      <c r="A120" s="128" t="s">
        <v>143</v>
      </c>
      <c r="B120" s="129">
        <v>-9.1</v>
      </c>
      <c r="C120" s="129">
        <v>-8.1</v>
      </c>
      <c r="D120" s="129">
        <v>-7.1</v>
      </c>
      <c r="E120" s="129">
        <v>-3.4</v>
      </c>
      <c r="F120" s="129">
        <v>-7.1</v>
      </c>
      <c r="G120" s="129">
        <v>-10.199999999999999</v>
      </c>
      <c r="H120" s="129">
        <v>8.6999999999999993</v>
      </c>
      <c r="I120" s="129">
        <v>9.9</v>
      </c>
      <c r="J120" s="129">
        <v>29</v>
      </c>
      <c r="K120" s="129">
        <v>39.9</v>
      </c>
      <c r="L120" s="129">
        <v>30.6</v>
      </c>
      <c r="M120" s="129">
        <v>35.200000000000003</v>
      </c>
      <c r="N120" s="129">
        <v>45.2</v>
      </c>
      <c r="O120" s="129">
        <v>43.6</v>
      </c>
      <c r="P120" s="129">
        <v>32.9</v>
      </c>
      <c r="Q120" s="129">
        <v>24.5</v>
      </c>
      <c r="R120" s="129">
        <v>9.9</v>
      </c>
      <c r="S120" s="129">
        <v>-1.4</v>
      </c>
      <c r="T120" s="129">
        <v>-11.2</v>
      </c>
      <c r="U120" s="129">
        <v>-11</v>
      </c>
      <c r="V120" s="129">
        <v>-16</v>
      </c>
      <c r="W120" s="129"/>
      <c r="X120" s="129">
        <v>4.4000000000000004</v>
      </c>
      <c r="Y120" s="129">
        <v>9.1999999999999993</v>
      </c>
      <c r="Z120" s="129">
        <v>38.299999999999997</v>
      </c>
      <c r="AA120" s="129"/>
      <c r="AB120" s="129">
        <v>36.6</v>
      </c>
      <c r="AC120" s="129">
        <v>34.5</v>
      </c>
      <c r="AD120" s="129">
        <v>34.9</v>
      </c>
      <c r="AE120" s="129">
        <v>20</v>
      </c>
      <c r="AF120" s="129">
        <v>20.6</v>
      </c>
      <c r="AG120" s="127">
        <v>240</v>
      </c>
      <c r="AH120" s="48">
        <f t="shared" si="60"/>
        <v>45.2</v>
      </c>
      <c r="AI120" s="49">
        <f t="shared" si="61"/>
        <v>-16</v>
      </c>
    </row>
    <row r="121" spans="1:35" x14ac:dyDescent="0.25">
      <c r="A121" s="128" t="s">
        <v>144</v>
      </c>
      <c r="B121" s="129">
        <v>-27</v>
      </c>
      <c r="C121" s="129">
        <v>-22.9</v>
      </c>
      <c r="D121" s="129">
        <v>-34.4</v>
      </c>
      <c r="E121" s="129">
        <v>-34.200000000000003</v>
      </c>
      <c r="F121" s="129">
        <v>-29.8</v>
      </c>
      <c r="G121" s="129">
        <v>-16.399999999999999</v>
      </c>
      <c r="H121" s="129">
        <v>-16.3</v>
      </c>
      <c r="I121" s="129">
        <v>-13.8</v>
      </c>
      <c r="J121" s="129">
        <v>-10.8</v>
      </c>
      <c r="K121" s="129">
        <v>-6.1</v>
      </c>
      <c r="L121" s="129">
        <v>-1.2</v>
      </c>
      <c r="M121" s="129">
        <f>3.8+4.1</f>
        <v>7.8999999999999995</v>
      </c>
      <c r="N121" s="129">
        <v>8.1999999999999993</v>
      </c>
      <c r="O121" s="129">
        <v>-2</v>
      </c>
      <c r="P121" s="129">
        <v>-5.5</v>
      </c>
      <c r="Q121" s="129">
        <v>0</v>
      </c>
      <c r="R121" s="129">
        <v>-6.1</v>
      </c>
      <c r="S121" s="129">
        <v>0</v>
      </c>
      <c r="T121" s="129">
        <v>6</v>
      </c>
      <c r="U121" s="129">
        <v>5</v>
      </c>
      <c r="V121" s="129">
        <v>13</v>
      </c>
      <c r="W121" s="129"/>
      <c r="X121" s="129">
        <v>30</v>
      </c>
      <c r="Y121" s="129">
        <v>39</v>
      </c>
      <c r="Z121" s="129">
        <v>25</v>
      </c>
      <c r="AA121" s="129"/>
      <c r="AB121" s="129">
        <v>9.6</v>
      </c>
      <c r="AC121" s="129">
        <v>-1.2</v>
      </c>
      <c r="AD121" s="129">
        <v>-10</v>
      </c>
      <c r="AE121" s="129">
        <v>-28</v>
      </c>
      <c r="AF121" s="129">
        <v>-20</v>
      </c>
      <c r="AG121" s="127">
        <v>240</v>
      </c>
      <c r="AH121" s="48">
        <f t="shared" si="60"/>
        <v>39</v>
      </c>
      <c r="AI121" s="49">
        <f t="shared" si="61"/>
        <v>-34.4</v>
      </c>
    </row>
    <row r="122" spans="1:35" ht="15.75" thickBot="1" x14ac:dyDescent="0.3">
      <c r="A122" s="128" t="s">
        <v>145</v>
      </c>
      <c r="B122" s="129">
        <v>4.3</v>
      </c>
      <c r="C122" s="129">
        <v>5.5</v>
      </c>
      <c r="D122" s="129">
        <v>3</v>
      </c>
      <c r="E122" s="129">
        <v>2.6</v>
      </c>
      <c r="F122" s="129">
        <v>2.5</v>
      </c>
      <c r="G122" s="129">
        <v>4.8</v>
      </c>
      <c r="H122" s="129">
        <v>7.7</v>
      </c>
      <c r="I122" s="129">
        <v>8.4</v>
      </c>
      <c r="J122" s="129">
        <v>12.1</v>
      </c>
      <c r="K122" s="129">
        <v>13.4</v>
      </c>
      <c r="L122" s="129">
        <v>14.1</v>
      </c>
      <c r="M122" s="129">
        <v>16.399999999999999</v>
      </c>
      <c r="N122" s="129">
        <v>16.7</v>
      </c>
      <c r="O122" s="129">
        <v>15.3</v>
      </c>
      <c r="P122" s="129">
        <v>12.3</v>
      </c>
      <c r="Q122" s="129">
        <v>13.1</v>
      </c>
      <c r="R122" s="129">
        <v>10.4</v>
      </c>
      <c r="S122" s="129">
        <v>12.3</v>
      </c>
      <c r="T122" s="129">
        <v>13</v>
      </c>
      <c r="U122" s="129">
        <v>14</v>
      </c>
      <c r="V122" s="129">
        <v>30</v>
      </c>
      <c r="W122" s="129"/>
      <c r="X122" s="129">
        <v>44</v>
      </c>
      <c r="Y122" s="129">
        <v>45.3</v>
      </c>
      <c r="Z122" s="129">
        <v>41.3</v>
      </c>
      <c r="AA122" s="129"/>
      <c r="AB122" s="129">
        <v>20.100000000000001</v>
      </c>
      <c r="AC122" s="129">
        <v>16.899999999999999</v>
      </c>
      <c r="AD122" s="129">
        <v>14.4</v>
      </c>
      <c r="AE122" s="129">
        <v>8.3000000000000007</v>
      </c>
      <c r="AF122" s="129">
        <v>6.6</v>
      </c>
      <c r="AG122" s="127">
        <v>60</v>
      </c>
      <c r="AH122" s="48">
        <f t="shared" si="60"/>
        <v>45.3</v>
      </c>
      <c r="AI122" s="49">
        <f t="shared" si="61"/>
        <v>2.5</v>
      </c>
    </row>
    <row r="123" spans="1:35" x14ac:dyDescent="0.25">
      <c r="A123" s="125" t="s">
        <v>146</v>
      </c>
      <c r="B123" s="130">
        <f>59*1.67</f>
        <v>98.53</v>
      </c>
      <c r="C123" s="130">
        <f>44.9*1.67</f>
        <v>74.98299999999999</v>
      </c>
      <c r="D123" s="130">
        <f>45*1.67</f>
        <v>75.149999999999991</v>
      </c>
      <c r="E123" s="130">
        <f>1.67*44.4</f>
        <v>74.147999999999996</v>
      </c>
      <c r="F123" s="130">
        <f>1.64*50</f>
        <v>82</v>
      </c>
      <c r="G123" s="130">
        <f>1.67*51</f>
        <v>85.17</v>
      </c>
      <c r="H123" s="130">
        <f>1.67*57.1</f>
        <v>95.356999999999999</v>
      </c>
      <c r="I123" s="130">
        <f>1.67*58.1</f>
        <v>97.027000000000001</v>
      </c>
      <c r="J123" s="130">
        <f>1.67*51.7</f>
        <v>86.338999999999999</v>
      </c>
      <c r="K123" s="130">
        <f>1.67*54.7</f>
        <v>91.349000000000004</v>
      </c>
      <c r="L123" s="130">
        <f>1.67*70.8</f>
        <v>118.23599999999999</v>
      </c>
      <c r="M123" s="130">
        <f>84.1*1.6</f>
        <v>134.56</v>
      </c>
      <c r="N123" s="130">
        <f>73.1*1.6</f>
        <v>116.96</v>
      </c>
      <c r="O123" s="130">
        <f>68.6*1.6</f>
        <v>109.75999999999999</v>
      </c>
      <c r="P123" s="130">
        <f>53.5*1.63</f>
        <v>87.204999999999998</v>
      </c>
      <c r="Q123" s="130">
        <f>56.4*1.63</f>
        <v>91.931999999999988</v>
      </c>
      <c r="R123" s="130">
        <f>68.4*1.63</f>
        <v>111.492</v>
      </c>
      <c r="S123" s="130">
        <f>82.3*1.6</f>
        <v>131.68</v>
      </c>
      <c r="T123" s="130">
        <f>84.3*1.6</f>
        <v>134.88</v>
      </c>
      <c r="U123" s="130">
        <f>77*1.6</f>
        <v>123.2</v>
      </c>
      <c r="V123" s="130">
        <f>71.2*1.6</f>
        <v>113.92000000000002</v>
      </c>
      <c r="W123" s="130"/>
      <c r="X123" s="130">
        <f>59*1.6</f>
        <v>94.4</v>
      </c>
      <c r="Y123" s="130">
        <f>80*1.6</f>
        <v>128</v>
      </c>
      <c r="Z123" s="130">
        <f>76.4*1.6</f>
        <v>122.24000000000001</v>
      </c>
      <c r="AA123" s="130"/>
      <c r="AB123" s="130">
        <f>72.5*1.6</f>
        <v>116</v>
      </c>
      <c r="AC123" s="130">
        <f>68.3*1.6</f>
        <v>109.28</v>
      </c>
      <c r="AD123" s="130">
        <f>56.3*1.6</f>
        <v>90.08</v>
      </c>
      <c r="AE123" s="130">
        <f>49.2*1.6</f>
        <v>78.720000000000013</v>
      </c>
      <c r="AF123" s="130">
        <f>42.7*1.6</f>
        <v>68.320000000000007</v>
      </c>
      <c r="AG123" s="131">
        <v>120</v>
      </c>
      <c r="AH123" s="48">
        <f t="shared" si="60"/>
        <v>134.88</v>
      </c>
      <c r="AI123" s="49">
        <f t="shared" si="61"/>
        <v>68.320000000000007</v>
      </c>
    </row>
    <row r="124" spans="1:35" x14ac:dyDescent="0.25">
      <c r="A124" s="128" t="s">
        <v>147</v>
      </c>
      <c r="B124" s="130">
        <v>69.5</v>
      </c>
      <c r="C124" s="130">
        <v>57.8</v>
      </c>
      <c r="D124" s="130">
        <v>58.7</v>
      </c>
      <c r="E124" s="130">
        <v>57.7</v>
      </c>
      <c r="F124" s="130">
        <v>62.9</v>
      </c>
      <c r="G124" s="130">
        <v>62.9</v>
      </c>
      <c r="H124" s="130">
        <v>66.400000000000006</v>
      </c>
      <c r="I124" s="130">
        <v>68.2</v>
      </c>
      <c r="J124" s="130">
        <v>63.7</v>
      </c>
      <c r="K124" s="130">
        <v>66.8</v>
      </c>
      <c r="L124" s="130">
        <v>80.5</v>
      </c>
      <c r="M124" s="130">
        <v>79.900000000000006</v>
      </c>
      <c r="N124" s="130">
        <v>70.400000000000006</v>
      </c>
      <c r="O124" s="130">
        <v>68.099999999999994</v>
      </c>
      <c r="P124" s="130">
        <v>56.1</v>
      </c>
      <c r="Q124" s="130">
        <v>58.1</v>
      </c>
      <c r="R124" s="130">
        <v>70</v>
      </c>
      <c r="S124" s="130">
        <v>81.400000000000006</v>
      </c>
      <c r="T124" s="130">
        <v>82</v>
      </c>
      <c r="U124" s="130">
        <v>85</v>
      </c>
      <c r="V124" s="130">
        <v>79</v>
      </c>
      <c r="W124" s="130"/>
      <c r="X124" s="130">
        <v>69</v>
      </c>
      <c r="Y124" s="130">
        <v>86</v>
      </c>
      <c r="Z124" s="130">
        <v>81.599999999999994</v>
      </c>
      <c r="AA124" s="130"/>
      <c r="AB124" s="130">
        <v>79.400000000000006</v>
      </c>
      <c r="AC124" s="130">
        <v>75.900000000000006</v>
      </c>
      <c r="AD124" s="130">
        <v>66.599999999999994</v>
      </c>
      <c r="AE124" s="130">
        <v>61.2</v>
      </c>
      <c r="AF124" s="130">
        <v>56.7</v>
      </c>
      <c r="AG124" s="131"/>
      <c r="AH124" s="48"/>
      <c r="AI124" s="49"/>
    </row>
    <row r="125" spans="1:35" x14ac:dyDescent="0.25">
      <c r="A125" s="128" t="s">
        <v>148</v>
      </c>
      <c r="B125" s="130">
        <v>54.5</v>
      </c>
      <c r="C125" s="130">
        <v>47.3</v>
      </c>
      <c r="D125" s="130">
        <v>50.5</v>
      </c>
      <c r="E125" s="130">
        <v>48.5</v>
      </c>
      <c r="F125" s="130">
        <v>53.8</v>
      </c>
      <c r="G125" s="130">
        <v>46.9</v>
      </c>
      <c r="H125" s="130">
        <v>31.5</v>
      </c>
      <c r="I125" s="130">
        <v>29.8</v>
      </c>
      <c r="J125" s="130">
        <v>2.8</v>
      </c>
      <c r="K125" s="130">
        <v>-3.5</v>
      </c>
      <c r="L125" s="130">
        <v>7.9</v>
      </c>
      <c r="M125" s="130">
        <v>2.6</v>
      </c>
      <c r="N125" s="130">
        <v>-13.6</v>
      </c>
      <c r="O125" s="130">
        <v>-5.2</v>
      </c>
      <c r="P125" s="130">
        <v>-1.3</v>
      </c>
      <c r="Q125" s="130">
        <v>6.1</v>
      </c>
      <c r="R125" s="130">
        <v>32.799999999999997</v>
      </c>
      <c r="S125" s="130">
        <v>45</v>
      </c>
      <c r="T125" s="130">
        <v>49.3</v>
      </c>
      <c r="U125" s="130">
        <v>53</v>
      </c>
      <c r="V125" s="130">
        <v>43.4</v>
      </c>
      <c r="W125" s="130"/>
      <c r="X125" s="130">
        <v>0</v>
      </c>
      <c r="Y125" s="130">
        <v>0</v>
      </c>
      <c r="Z125" s="130">
        <v>-16</v>
      </c>
      <c r="AA125" s="130"/>
      <c r="AB125" s="130">
        <v>-1.5</v>
      </c>
      <c r="AC125" s="130">
        <v>5.0999999999999996</v>
      </c>
      <c r="AD125" s="130">
        <v>5.4</v>
      </c>
      <c r="AE125" s="130">
        <v>28.9</v>
      </c>
      <c r="AF125" s="130">
        <v>41.3</v>
      </c>
      <c r="AG125" s="131"/>
      <c r="AH125" s="48"/>
      <c r="AI125" s="49"/>
    </row>
    <row r="126" spans="1:35" ht="15.75" thickBot="1" x14ac:dyDescent="0.3">
      <c r="A126" s="128" t="s">
        <v>149</v>
      </c>
      <c r="B126" s="130">
        <v>86</v>
      </c>
      <c r="C126" s="130">
        <v>66.2</v>
      </c>
      <c r="D126" s="130">
        <v>74.400000000000006</v>
      </c>
      <c r="E126" s="130">
        <v>70.099999999999994</v>
      </c>
      <c r="F126" s="130">
        <v>78.099999999999994</v>
      </c>
      <c r="G126" s="130">
        <v>68.400000000000006</v>
      </c>
      <c r="H126" s="130">
        <v>77.400000000000006</v>
      </c>
      <c r="I126" s="130">
        <v>82.5</v>
      </c>
      <c r="J126" s="130">
        <v>68.599999999999994</v>
      </c>
      <c r="K126" s="130">
        <v>68.400000000000006</v>
      </c>
      <c r="L126" s="130">
        <v>80.5</v>
      </c>
      <c r="M126" s="130">
        <v>86.7</v>
      </c>
      <c r="N126" s="130">
        <v>72.5</v>
      </c>
      <c r="O126" s="130">
        <v>76.599999999999994</v>
      </c>
      <c r="P126" s="130">
        <v>61.4</v>
      </c>
      <c r="Q126" s="130">
        <v>65.2</v>
      </c>
      <c r="R126" s="130">
        <v>87.6</v>
      </c>
      <c r="S126" s="130">
        <v>96</v>
      </c>
      <c r="T126" s="130">
        <v>97</v>
      </c>
      <c r="U126" s="130">
        <v>97</v>
      </c>
      <c r="V126" s="130">
        <v>90</v>
      </c>
      <c r="W126" s="130"/>
      <c r="X126" s="130">
        <v>66</v>
      </c>
      <c r="Y126" s="130">
        <v>84.5</v>
      </c>
      <c r="Z126" s="130">
        <v>73</v>
      </c>
      <c r="AA126" s="130"/>
      <c r="AB126" s="130">
        <v>80.8</v>
      </c>
      <c r="AC126" s="130">
        <v>77.7</v>
      </c>
      <c r="AD126" s="130">
        <v>64.7</v>
      </c>
      <c r="AE126" s="130">
        <v>66.099999999999994</v>
      </c>
      <c r="AF126" s="130">
        <v>63.3</v>
      </c>
      <c r="AG126" s="127"/>
      <c r="AH126" s="48">
        <f>MAX(B126:AF126)</f>
        <v>97</v>
      </c>
      <c r="AI126" s="49">
        <f>MIN(B126:AF126)</f>
        <v>61.4</v>
      </c>
    </row>
    <row r="127" spans="1:35" x14ac:dyDescent="0.25">
      <c r="A127" s="125" t="s">
        <v>305</v>
      </c>
      <c r="B127" s="130">
        <v>0.5</v>
      </c>
      <c r="C127" s="130">
        <v>-5.8</v>
      </c>
      <c r="D127" s="130">
        <v>-5.8</v>
      </c>
      <c r="E127" s="130">
        <v>-6.4</v>
      </c>
      <c r="F127" s="130">
        <v>-25.2</v>
      </c>
      <c r="G127" s="130">
        <v>-18.3</v>
      </c>
      <c r="H127" s="130">
        <v>6</v>
      </c>
      <c r="I127" s="130">
        <v>6.8</v>
      </c>
      <c r="J127" s="130">
        <v>-8.6</v>
      </c>
      <c r="K127" s="130">
        <v>-28.5</v>
      </c>
      <c r="L127" s="130">
        <v>66.2</v>
      </c>
      <c r="M127" s="130">
        <v>-109</v>
      </c>
      <c r="N127" s="130">
        <v>-96</v>
      </c>
      <c r="O127" s="130">
        <v>-56</v>
      </c>
      <c r="P127" s="130">
        <v>-25</v>
      </c>
      <c r="Q127" s="130">
        <v>-7</v>
      </c>
      <c r="R127" s="130">
        <v>-33</v>
      </c>
      <c r="S127" s="130">
        <v>-42</v>
      </c>
      <c r="T127" s="130">
        <v>-34</v>
      </c>
      <c r="U127" s="130">
        <v>-23</v>
      </c>
      <c r="V127" s="130">
        <v>14</v>
      </c>
      <c r="W127" s="130"/>
      <c r="X127" s="130">
        <v>5</v>
      </c>
      <c r="Y127" s="130">
        <v>-20</v>
      </c>
      <c r="Z127" s="130">
        <v>-71</v>
      </c>
      <c r="AA127" s="130"/>
      <c r="AB127" s="130">
        <v>-49.4</v>
      </c>
      <c r="AC127" s="130">
        <v>-45.3</v>
      </c>
      <c r="AD127" s="130">
        <v>-41.6</v>
      </c>
      <c r="AE127" s="130">
        <v>-48.1</v>
      </c>
      <c r="AF127" s="130">
        <v>-27.1</v>
      </c>
      <c r="AG127" s="127"/>
      <c r="AH127" s="48">
        <f>MAX(B127:AF127)</f>
        <v>66.2</v>
      </c>
      <c r="AI127" s="49">
        <f>MIN(B127:AF127)</f>
        <v>-109</v>
      </c>
    </row>
    <row r="128" spans="1:35" x14ac:dyDescent="0.25">
      <c r="A128" s="128" t="s">
        <v>151</v>
      </c>
      <c r="B128" s="118">
        <v>52.5</v>
      </c>
      <c r="C128" s="118">
        <v>31.1</v>
      </c>
      <c r="D128" s="118">
        <v>38.4</v>
      </c>
      <c r="E128" s="118">
        <v>40.5</v>
      </c>
      <c r="F128" s="118">
        <v>38.700000000000003</v>
      </c>
      <c r="G128" s="118">
        <v>32.85</v>
      </c>
      <c r="H128" s="118">
        <v>22.4</v>
      </c>
      <c r="I128" s="118">
        <v>21.3</v>
      </c>
      <c r="J128" s="118">
        <v>15.7</v>
      </c>
      <c r="K128" s="118">
        <v>5.7</v>
      </c>
      <c r="L128" s="118">
        <v>5.7</v>
      </c>
      <c r="M128" s="118">
        <v>-2.2000000000000002</v>
      </c>
      <c r="N128" s="118">
        <v>-1.3</v>
      </c>
      <c r="O128" s="118">
        <v>9.1999999999999993</v>
      </c>
      <c r="P128" s="118">
        <v>13.5</v>
      </c>
      <c r="Q128" s="118">
        <v>13.5</v>
      </c>
      <c r="R128" s="118">
        <v>10.1</v>
      </c>
      <c r="S128" s="118">
        <v>11</v>
      </c>
      <c r="T128" s="118">
        <v>7.6</v>
      </c>
      <c r="U128" s="118">
        <v>2.2000000000000002</v>
      </c>
      <c r="V128" s="118">
        <v>-3.8</v>
      </c>
      <c r="W128" s="118"/>
      <c r="X128" s="118">
        <v>-15</v>
      </c>
      <c r="Y128" s="118">
        <v>-23</v>
      </c>
      <c r="Z128" s="118">
        <v>-19.3</v>
      </c>
      <c r="AA128" s="118"/>
      <c r="AB128" s="118">
        <v>-10.9</v>
      </c>
      <c r="AC128" s="118">
        <v>-5.7</v>
      </c>
      <c r="AD128" s="118">
        <v>1.5</v>
      </c>
      <c r="AE128" s="118">
        <v>5.2</v>
      </c>
      <c r="AF128" s="118">
        <v>11.3</v>
      </c>
      <c r="AG128" s="127"/>
      <c r="AH128" s="48">
        <f>MAX(B128:AF128)</f>
        <v>52.5</v>
      </c>
      <c r="AI128" s="49">
        <f>MIN(B128:AF128)</f>
        <v>-23</v>
      </c>
    </row>
    <row r="129" spans="1:37" x14ac:dyDescent="0.25">
      <c r="A129" s="128" t="s">
        <v>306</v>
      </c>
      <c r="B129" s="118">
        <v>44</v>
      </c>
      <c r="C129" s="118">
        <v>39.9</v>
      </c>
      <c r="D129" s="118">
        <v>34.200000000000003</v>
      </c>
      <c r="E129" s="118">
        <v>35.5</v>
      </c>
      <c r="F129" s="118">
        <v>38.5</v>
      </c>
      <c r="G129" s="118">
        <v>37.799999999999997</v>
      </c>
      <c r="H129" s="118">
        <v>44.6</v>
      </c>
      <c r="I129" s="118">
        <v>44.7</v>
      </c>
      <c r="J129" s="118">
        <v>53.2</v>
      </c>
      <c r="K129" s="118">
        <v>59.1</v>
      </c>
      <c r="L129" s="118">
        <v>66.5</v>
      </c>
      <c r="M129" s="118">
        <v>70.599999999999994</v>
      </c>
      <c r="N129" s="118">
        <v>74.2</v>
      </c>
      <c r="O129" s="118">
        <v>55</v>
      </c>
      <c r="P129" s="118">
        <v>48.9</v>
      </c>
      <c r="Q129" s="118">
        <v>46.3</v>
      </c>
      <c r="R129" s="118">
        <v>44.7</v>
      </c>
      <c r="S129" s="118">
        <v>51</v>
      </c>
      <c r="T129" s="118">
        <v>60</v>
      </c>
      <c r="U129" s="118">
        <v>57</v>
      </c>
      <c r="V129" s="118">
        <v>55.1</v>
      </c>
      <c r="W129" s="118"/>
      <c r="X129" s="118">
        <v>75</v>
      </c>
      <c r="Y129" s="118">
        <v>90.1</v>
      </c>
      <c r="Z129" s="118">
        <v>90</v>
      </c>
      <c r="AA129" s="118"/>
      <c r="AB129" s="118">
        <v>65.099999999999994</v>
      </c>
      <c r="AC129" s="118">
        <v>68.900000000000006</v>
      </c>
      <c r="AD129" s="118">
        <v>65.099999999999994</v>
      </c>
      <c r="AE129" s="118">
        <v>59</v>
      </c>
      <c r="AF129" s="118">
        <v>47.3</v>
      </c>
      <c r="AG129" s="127"/>
      <c r="AH129" s="48">
        <f>MAX(B129:AF129)</f>
        <v>90.1</v>
      </c>
      <c r="AI129" s="49">
        <f>MIN(B129:AF129)</f>
        <v>34.200000000000003</v>
      </c>
    </row>
    <row r="130" spans="1:37" ht="15.75" thickBot="1" x14ac:dyDescent="0.3">
      <c r="A130" s="128" t="s">
        <v>153</v>
      </c>
      <c r="B130" s="118">
        <v>52.5</v>
      </c>
      <c r="C130" s="118">
        <v>52.2</v>
      </c>
      <c r="D130" s="118">
        <v>44</v>
      </c>
      <c r="E130" s="118">
        <v>42.1</v>
      </c>
      <c r="F130" s="118">
        <v>42.8</v>
      </c>
      <c r="G130" s="118">
        <v>46.3</v>
      </c>
      <c r="H130" s="118">
        <v>47.8</v>
      </c>
      <c r="I130" s="118">
        <v>54.4</v>
      </c>
      <c r="J130" s="118">
        <v>61.9</v>
      </c>
      <c r="K130" s="118">
        <v>68.099999999999994</v>
      </c>
      <c r="L130" s="118">
        <v>77</v>
      </c>
      <c r="M130" s="118">
        <v>82.1</v>
      </c>
      <c r="N130" s="118">
        <v>80.2</v>
      </c>
      <c r="O130" s="118">
        <v>62</v>
      </c>
      <c r="P130" s="118">
        <v>54</v>
      </c>
      <c r="Q130" s="118">
        <v>56.2</v>
      </c>
      <c r="R130" s="118">
        <v>51.4</v>
      </c>
      <c r="S130" s="118">
        <v>57</v>
      </c>
      <c r="T130" s="118">
        <v>67</v>
      </c>
      <c r="U130" s="118">
        <v>64</v>
      </c>
      <c r="V130" s="118">
        <v>61</v>
      </c>
      <c r="W130" s="118"/>
      <c r="X130" s="118">
        <v>78</v>
      </c>
      <c r="Y130" s="118">
        <v>93.5</v>
      </c>
      <c r="Z130" s="118">
        <v>92.1</v>
      </c>
      <c r="AA130" s="118"/>
      <c r="AB130" s="118">
        <v>82.1</v>
      </c>
      <c r="AC130" s="118">
        <v>80.7</v>
      </c>
      <c r="AD130" s="118">
        <v>80</v>
      </c>
      <c r="AE130" s="118">
        <v>69.5</v>
      </c>
      <c r="AF130" s="118">
        <v>54.3</v>
      </c>
      <c r="AG130" s="127"/>
      <c r="AH130" s="48">
        <f>MAX(B130:AF130)</f>
        <v>93.5</v>
      </c>
      <c r="AI130" s="49">
        <f>MIN(B130:AF130)</f>
        <v>42.1</v>
      </c>
    </row>
    <row r="131" spans="1:37" x14ac:dyDescent="0.25">
      <c r="A131" s="132" t="s">
        <v>154</v>
      </c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4"/>
      <c r="AG131" s="44"/>
      <c r="AH131" s="48"/>
      <c r="AI131" s="49"/>
    </row>
    <row r="132" spans="1:37" x14ac:dyDescent="0.25">
      <c r="A132" s="135" t="s">
        <v>155</v>
      </c>
      <c r="B132" s="136">
        <v>1984.25</v>
      </c>
      <c r="C132" s="136">
        <v>1984.32</v>
      </c>
      <c r="D132" s="136">
        <v>1984.49</v>
      </c>
      <c r="E132" s="136">
        <v>1984.63</v>
      </c>
      <c r="F132" s="136">
        <v>1984.68</v>
      </c>
      <c r="G132" s="136">
        <v>1984.74</v>
      </c>
      <c r="H132" s="136"/>
      <c r="I132" s="136">
        <v>1984.9</v>
      </c>
      <c r="J132" s="136"/>
      <c r="K132" s="136">
        <v>1984.98</v>
      </c>
      <c r="L132" s="136"/>
      <c r="M132" s="136">
        <v>1984.82</v>
      </c>
      <c r="N132" s="136">
        <v>1984.53</v>
      </c>
      <c r="O132" s="136">
        <v>1984.35</v>
      </c>
      <c r="P132" s="136">
        <v>1984.43</v>
      </c>
      <c r="Q132" s="136"/>
      <c r="R132" s="136">
        <v>1984.53</v>
      </c>
      <c r="S132" s="136">
        <v>1984.4</v>
      </c>
      <c r="T132" s="136">
        <v>1984.2</v>
      </c>
      <c r="U132" s="136">
        <v>1983.98</v>
      </c>
      <c r="V132" s="136">
        <v>1983.98</v>
      </c>
      <c r="W132" s="136"/>
      <c r="X132" s="136">
        <v>1984.09</v>
      </c>
      <c r="Y132" s="136"/>
      <c r="Z132" s="136">
        <v>1984</v>
      </c>
      <c r="AA132" s="136"/>
      <c r="AB132" s="136">
        <v>1983.69</v>
      </c>
      <c r="AC132" s="136"/>
      <c r="AD132" s="136">
        <v>1983.48</v>
      </c>
      <c r="AE132" s="136">
        <v>1983.41</v>
      </c>
      <c r="AF132" s="137">
        <v>1983.5</v>
      </c>
      <c r="AG132" s="138"/>
      <c r="AH132" s="48"/>
      <c r="AI132" s="49"/>
    </row>
    <row r="133" spans="1:37" x14ac:dyDescent="0.25">
      <c r="A133" s="135" t="s">
        <v>156</v>
      </c>
      <c r="B133" s="139">
        <v>521.26</v>
      </c>
      <c r="C133" s="139">
        <v>521.4</v>
      </c>
      <c r="D133" s="139">
        <v>521.55999999999995</v>
      </c>
      <c r="E133" s="139">
        <v>521.70000000000005</v>
      </c>
      <c r="F133" s="139">
        <v>521.84</v>
      </c>
      <c r="G133" s="139">
        <v>521.98</v>
      </c>
      <c r="H133" s="139"/>
      <c r="I133" s="139">
        <v>522.07000000000005</v>
      </c>
      <c r="J133" s="139"/>
      <c r="K133" s="139">
        <v>521.98</v>
      </c>
      <c r="L133" s="139"/>
      <c r="M133" s="139">
        <v>521.84</v>
      </c>
      <c r="N133" s="139">
        <v>521.66</v>
      </c>
      <c r="O133" s="139">
        <v>521.4</v>
      </c>
      <c r="P133" s="139"/>
      <c r="Q133" s="139"/>
      <c r="R133" s="139">
        <v>521.19000000000005</v>
      </c>
      <c r="S133" s="139">
        <v>521.11</v>
      </c>
      <c r="T133" s="139">
        <v>521.02</v>
      </c>
      <c r="U133" s="139">
        <v>520.97</v>
      </c>
      <c r="V133" s="139">
        <v>521.01</v>
      </c>
      <c r="W133" s="139"/>
      <c r="X133" s="139">
        <v>520.99</v>
      </c>
      <c r="Y133" s="139"/>
      <c r="Z133" s="139">
        <v>520.82000000000005</v>
      </c>
      <c r="AA133" s="139"/>
      <c r="AB133" s="139">
        <v>520.37</v>
      </c>
      <c r="AC133" s="139"/>
      <c r="AD133" s="139">
        <v>520.04999999999995</v>
      </c>
      <c r="AE133" s="139"/>
      <c r="AF133" s="140">
        <v>519.88</v>
      </c>
      <c r="AG133" s="138"/>
      <c r="AH133" s="48"/>
      <c r="AI133" s="49"/>
    </row>
    <row r="134" spans="1:37" x14ac:dyDescent="0.25">
      <c r="A134" s="135" t="s">
        <v>158</v>
      </c>
      <c r="B134" s="139">
        <v>622.65</v>
      </c>
      <c r="C134" s="139">
        <v>623.04999999999995</v>
      </c>
      <c r="D134" s="139">
        <v>623.55999999999995</v>
      </c>
      <c r="E134" s="139">
        <v>623.77</v>
      </c>
      <c r="F134" s="139">
        <v>624.09</v>
      </c>
      <c r="G134" s="139">
        <v>624.48</v>
      </c>
      <c r="H134" s="139"/>
      <c r="I134" s="139">
        <v>624.66</v>
      </c>
      <c r="J134" s="139"/>
      <c r="K134" s="139">
        <v>624.63</v>
      </c>
      <c r="L134" s="139"/>
      <c r="M134" s="139">
        <v>624.29</v>
      </c>
      <c r="N134" s="139">
        <v>624.03</v>
      </c>
      <c r="O134" s="139">
        <v>623.61</v>
      </c>
      <c r="P134" s="139"/>
      <c r="Q134" s="139"/>
      <c r="R134" s="139">
        <v>622.83000000000004</v>
      </c>
      <c r="S134" s="139">
        <v>622.86</v>
      </c>
      <c r="T134" s="139">
        <v>622.88</v>
      </c>
      <c r="U134" s="139">
        <v>623.02</v>
      </c>
      <c r="V134" s="139">
        <v>623.11</v>
      </c>
      <c r="W134" s="139"/>
      <c r="X134" s="139">
        <v>623.04</v>
      </c>
      <c r="Y134" s="139"/>
      <c r="Z134" s="139">
        <v>622.87</v>
      </c>
      <c r="AA134" s="139"/>
      <c r="AB134" s="139">
        <v>622.48</v>
      </c>
      <c r="AC134" s="139"/>
      <c r="AD134" s="139">
        <v>622.20000000000005</v>
      </c>
      <c r="AE134" s="139"/>
      <c r="AF134" s="140">
        <v>622.54</v>
      </c>
      <c r="AG134" s="138"/>
      <c r="AH134" s="48"/>
      <c r="AI134" s="49"/>
    </row>
    <row r="135" spans="1:37" x14ac:dyDescent="0.25">
      <c r="A135" s="135" t="s">
        <v>159</v>
      </c>
      <c r="B135" s="139">
        <v>334.96</v>
      </c>
      <c r="C135" s="139">
        <v>335.55</v>
      </c>
      <c r="D135" s="139">
        <v>336.15</v>
      </c>
      <c r="E135" s="139">
        <v>336.64</v>
      </c>
      <c r="F135" s="139">
        <v>336.98</v>
      </c>
      <c r="G135" s="139">
        <v>337.21</v>
      </c>
      <c r="H135" s="139"/>
      <c r="I135" s="139">
        <v>337.3</v>
      </c>
      <c r="J135" s="139"/>
      <c r="K135" s="139">
        <v>337.17</v>
      </c>
      <c r="L135" s="139"/>
      <c r="M135" s="139">
        <v>336.82</v>
      </c>
      <c r="N135" s="139">
        <v>336.41</v>
      </c>
      <c r="O135" s="139">
        <v>335.89</v>
      </c>
      <c r="P135" s="139"/>
      <c r="Q135" s="139"/>
      <c r="R135" s="139">
        <v>334.45</v>
      </c>
      <c r="S135" s="139">
        <v>334.57</v>
      </c>
      <c r="T135" s="139">
        <v>334.95</v>
      </c>
      <c r="U135" s="139">
        <v>335.39</v>
      </c>
      <c r="V135" s="139">
        <v>335.72</v>
      </c>
      <c r="W135" s="139"/>
      <c r="X135" s="139">
        <v>336.04</v>
      </c>
      <c r="Y135" s="139"/>
      <c r="Z135" s="139">
        <v>336.1</v>
      </c>
      <c r="AA135" s="139"/>
      <c r="AB135" s="139">
        <v>335.72</v>
      </c>
      <c r="AC135" s="139"/>
      <c r="AD135" s="139">
        <v>335.45</v>
      </c>
      <c r="AE135" s="139">
        <v>335.34</v>
      </c>
      <c r="AF135" s="140">
        <v>335.14</v>
      </c>
      <c r="AG135" s="138"/>
      <c r="AH135" s="48"/>
      <c r="AI135" s="49"/>
    </row>
    <row r="136" spans="1:37" x14ac:dyDescent="0.25">
      <c r="A136" s="135" t="s">
        <v>160</v>
      </c>
      <c r="B136" s="139">
        <v>886.9</v>
      </c>
      <c r="C136" s="139" t="s">
        <v>314</v>
      </c>
      <c r="D136" s="139">
        <v>887.3</v>
      </c>
      <c r="E136" s="139">
        <v>887.9</v>
      </c>
      <c r="F136" s="139">
        <v>887.6</v>
      </c>
      <c r="G136" s="139">
        <v>887.3</v>
      </c>
      <c r="H136" s="139"/>
      <c r="I136" s="139">
        <v>887.3</v>
      </c>
      <c r="J136" s="139"/>
      <c r="K136" s="139">
        <v>887.3</v>
      </c>
      <c r="L136" s="139"/>
      <c r="M136" s="139">
        <v>887.2</v>
      </c>
      <c r="N136" s="139">
        <v>887.2</v>
      </c>
      <c r="O136" s="139">
        <v>887.2</v>
      </c>
      <c r="P136" s="139"/>
      <c r="Q136" s="139"/>
      <c r="R136" s="139">
        <v>887.2</v>
      </c>
      <c r="S136" s="139">
        <v>887.2</v>
      </c>
      <c r="T136" s="139">
        <v>887.2</v>
      </c>
      <c r="U136" s="139">
        <v>887.1</v>
      </c>
      <c r="V136" s="139">
        <v>886.9</v>
      </c>
      <c r="W136" s="139"/>
      <c r="X136" s="139">
        <v>886.7</v>
      </c>
      <c r="Y136" s="139"/>
      <c r="Z136" s="139">
        <v>885.8</v>
      </c>
      <c r="AA136" s="139"/>
      <c r="AB136" s="139">
        <v>884.4</v>
      </c>
      <c r="AC136" s="139"/>
      <c r="AD136" s="139">
        <v>883.1</v>
      </c>
      <c r="AE136" s="139">
        <v>883.1</v>
      </c>
      <c r="AF136" s="140">
        <v>883.4</v>
      </c>
      <c r="AG136" s="138"/>
      <c r="AH136" s="48"/>
      <c r="AI136" s="49"/>
    </row>
    <row r="137" spans="1:37" ht="15.75" thickBot="1" x14ac:dyDescent="0.3">
      <c r="A137" s="135" t="s">
        <v>161</v>
      </c>
      <c r="B137" s="141">
        <v>1519.71</v>
      </c>
      <c r="C137" s="141"/>
      <c r="D137" s="141"/>
      <c r="E137" s="141">
        <v>1519.72</v>
      </c>
      <c r="F137" s="141"/>
      <c r="G137" s="141"/>
      <c r="H137" s="141"/>
      <c r="I137" s="141"/>
      <c r="J137" s="141"/>
      <c r="K137" s="141">
        <v>1519.74</v>
      </c>
      <c r="L137" s="141"/>
      <c r="M137" s="141">
        <v>1519.74</v>
      </c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  <c r="AF137" s="142"/>
      <c r="AG137" s="138"/>
      <c r="AH137" s="48"/>
      <c r="AI137" s="49"/>
    </row>
    <row r="138" spans="1:37" ht="15.75" thickBot="1" x14ac:dyDescent="0.3">
      <c r="A138" s="143" t="s">
        <v>162</v>
      </c>
      <c r="B138" s="144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125">SUM(B139:B243)</f>
        <v>0</v>
      </c>
      <c r="C244" s="160">
        <f t="shared" si="125"/>
        <v>0</v>
      </c>
      <c r="D244" s="160">
        <f t="shared" si="125"/>
        <v>0</v>
      </c>
      <c r="E244" s="160">
        <f t="shared" si="125"/>
        <v>0</v>
      </c>
      <c r="F244" s="160">
        <f t="shared" si="125"/>
        <v>0</v>
      </c>
      <c r="G244" s="160">
        <f t="shared" si="125"/>
        <v>0</v>
      </c>
      <c r="H244" s="160">
        <f t="shared" si="125"/>
        <v>0</v>
      </c>
      <c r="I244" s="160">
        <f t="shared" si="125"/>
        <v>0</v>
      </c>
      <c r="J244" s="160">
        <f t="shared" si="125"/>
        <v>0</v>
      </c>
      <c r="K244" s="160">
        <f t="shared" si="125"/>
        <v>0</v>
      </c>
      <c r="L244" s="160">
        <f t="shared" si="125"/>
        <v>0</v>
      </c>
      <c r="M244" s="160">
        <f t="shared" si="125"/>
        <v>0</v>
      </c>
      <c r="N244" s="160">
        <f t="shared" si="125"/>
        <v>0</v>
      </c>
      <c r="O244" s="160">
        <f t="shared" si="125"/>
        <v>0</v>
      </c>
      <c r="P244" s="160">
        <f t="shared" si="125"/>
        <v>0</v>
      </c>
      <c r="Q244" s="160">
        <f t="shared" si="125"/>
        <v>0</v>
      </c>
      <c r="R244" s="160">
        <f t="shared" si="125"/>
        <v>0</v>
      </c>
      <c r="S244" s="160">
        <f t="shared" si="125"/>
        <v>0</v>
      </c>
      <c r="T244" s="160">
        <f t="shared" si="125"/>
        <v>0</v>
      </c>
      <c r="U244" s="160">
        <f t="shared" si="125"/>
        <v>0</v>
      </c>
      <c r="V244" s="160">
        <f t="shared" si="125"/>
        <v>0</v>
      </c>
      <c r="W244" s="160">
        <f t="shared" si="125"/>
        <v>0</v>
      </c>
      <c r="X244" s="160">
        <f t="shared" si="125"/>
        <v>0</v>
      </c>
      <c r="Y244" s="160">
        <f t="shared" si="125"/>
        <v>0</v>
      </c>
      <c r="Z244" s="160">
        <f t="shared" si="125"/>
        <v>0</v>
      </c>
      <c r="AA244" s="160">
        <f t="shared" si="125"/>
        <v>0</v>
      </c>
      <c r="AB244" s="160">
        <f t="shared" si="125"/>
        <v>0</v>
      </c>
      <c r="AC244" s="160">
        <f t="shared" si="125"/>
        <v>0</v>
      </c>
      <c r="AD244" s="160">
        <f t="shared" si="125"/>
        <v>0</v>
      </c>
      <c r="AE244" s="160">
        <f t="shared" si="125"/>
        <v>0</v>
      </c>
      <c r="AF244" s="161">
        <f t="shared" si="125"/>
        <v>0</v>
      </c>
      <c r="AG244" s="162">
        <f t="shared" si="125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126">AF246</f>
        <v>0.3</v>
      </c>
      <c r="C246" s="165">
        <v>0.3</v>
      </c>
      <c r="D246" s="165">
        <f t="shared" ref="D246:S251" si="127">C246</f>
        <v>0.3</v>
      </c>
      <c r="E246" s="165">
        <f t="shared" si="127"/>
        <v>0.3</v>
      </c>
      <c r="F246" s="165">
        <f t="shared" si="127"/>
        <v>0.3</v>
      </c>
      <c r="G246" s="165">
        <f t="shared" si="127"/>
        <v>0.3</v>
      </c>
      <c r="H246" s="165">
        <f t="shared" si="127"/>
        <v>0.3</v>
      </c>
      <c r="I246" s="165">
        <f t="shared" si="127"/>
        <v>0.3</v>
      </c>
      <c r="J246" s="165">
        <f t="shared" si="127"/>
        <v>0.3</v>
      </c>
      <c r="K246" s="165">
        <f t="shared" si="127"/>
        <v>0.3</v>
      </c>
      <c r="L246" s="165">
        <f t="shared" si="127"/>
        <v>0.3</v>
      </c>
      <c r="M246" s="165">
        <f t="shared" si="127"/>
        <v>0.3</v>
      </c>
      <c r="N246" s="165">
        <f t="shared" si="127"/>
        <v>0.3</v>
      </c>
      <c r="O246" s="165">
        <f t="shared" si="127"/>
        <v>0.3</v>
      </c>
      <c r="P246" s="165">
        <f t="shared" si="127"/>
        <v>0.3</v>
      </c>
      <c r="Q246" s="165">
        <f t="shared" si="127"/>
        <v>0.3</v>
      </c>
      <c r="R246" s="165">
        <f t="shared" si="127"/>
        <v>0.3</v>
      </c>
      <c r="S246" s="165">
        <f t="shared" si="127"/>
        <v>0.3</v>
      </c>
      <c r="T246" s="165">
        <f t="shared" ref="T246:AF251" si="128">S246</f>
        <v>0.3</v>
      </c>
      <c r="U246" s="165">
        <f t="shared" si="128"/>
        <v>0.3</v>
      </c>
      <c r="V246" s="165">
        <f t="shared" si="128"/>
        <v>0.3</v>
      </c>
      <c r="W246" s="165">
        <f t="shared" si="128"/>
        <v>0.3</v>
      </c>
      <c r="X246" s="165">
        <f t="shared" si="128"/>
        <v>0.3</v>
      </c>
      <c r="Y246" s="165">
        <f t="shared" si="128"/>
        <v>0.3</v>
      </c>
      <c r="Z246" s="165">
        <f t="shared" si="128"/>
        <v>0.3</v>
      </c>
      <c r="AA246" s="165">
        <f t="shared" si="128"/>
        <v>0.3</v>
      </c>
      <c r="AB246" s="165">
        <f t="shared" si="128"/>
        <v>0.3</v>
      </c>
      <c r="AC246" s="165">
        <f t="shared" si="128"/>
        <v>0.3</v>
      </c>
      <c r="AD246" s="165">
        <f t="shared" si="128"/>
        <v>0.3</v>
      </c>
      <c r="AE246" s="165">
        <f t="shared" si="128"/>
        <v>0.3</v>
      </c>
      <c r="AF246" s="165">
        <f t="shared" si="128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126"/>
        <v>0.4</v>
      </c>
      <c r="C247" s="151">
        <v>0.4</v>
      </c>
      <c r="D247" s="151">
        <f t="shared" si="127"/>
        <v>0.4</v>
      </c>
      <c r="E247" s="151">
        <f t="shared" si="127"/>
        <v>0.4</v>
      </c>
      <c r="F247" s="151">
        <f t="shared" si="127"/>
        <v>0.4</v>
      </c>
      <c r="G247" s="151">
        <f t="shared" si="127"/>
        <v>0.4</v>
      </c>
      <c r="H247" s="151">
        <f t="shared" si="127"/>
        <v>0.4</v>
      </c>
      <c r="I247" s="151">
        <f t="shared" si="127"/>
        <v>0.4</v>
      </c>
      <c r="J247" s="151">
        <f t="shared" si="127"/>
        <v>0.4</v>
      </c>
      <c r="K247" s="151">
        <f t="shared" si="127"/>
        <v>0.4</v>
      </c>
      <c r="L247" s="151">
        <f t="shared" si="127"/>
        <v>0.4</v>
      </c>
      <c r="M247" s="151">
        <f t="shared" si="127"/>
        <v>0.4</v>
      </c>
      <c r="N247" s="151">
        <f t="shared" si="127"/>
        <v>0.4</v>
      </c>
      <c r="O247" s="151">
        <f t="shared" si="127"/>
        <v>0.4</v>
      </c>
      <c r="P247" s="151">
        <f t="shared" si="127"/>
        <v>0.4</v>
      </c>
      <c r="Q247" s="151">
        <f t="shared" si="127"/>
        <v>0.4</v>
      </c>
      <c r="R247" s="151">
        <f t="shared" si="127"/>
        <v>0.4</v>
      </c>
      <c r="S247" s="151">
        <f t="shared" si="127"/>
        <v>0.4</v>
      </c>
      <c r="T247" s="151">
        <f t="shared" si="128"/>
        <v>0.4</v>
      </c>
      <c r="U247" s="151">
        <f t="shared" si="128"/>
        <v>0.4</v>
      </c>
      <c r="V247" s="151">
        <f t="shared" si="128"/>
        <v>0.4</v>
      </c>
      <c r="W247" s="151">
        <f t="shared" si="128"/>
        <v>0.4</v>
      </c>
      <c r="X247" s="151">
        <f t="shared" si="128"/>
        <v>0.4</v>
      </c>
      <c r="Y247" s="151">
        <f t="shared" si="128"/>
        <v>0.4</v>
      </c>
      <c r="Z247" s="151">
        <f t="shared" si="128"/>
        <v>0.4</v>
      </c>
      <c r="AA247" s="151">
        <f t="shared" si="128"/>
        <v>0.4</v>
      </c>
      <c r="AB247" s="151">
        <f t="shared" si="128"/>
        <v>0.4</v>
      </c>
      <c r="AC247" s="151">
        <f t="shared" si="128"/>
        <v>0.4</v>
      </c>
      <c r="AD247" s="151">
        <f t="shared" si="128"/>
        <v>0.4</v>
      </c>
      <c r="AE247" s="151">
        <f t="shared" si="128"/>
        <v>0.4</v>
      </c>
      <c r="AF247" s="151">
        <f t="shared" si="128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126"/>
        <v>1.5</v>
      </c>
      <c r="C248" s="151">
        <v>1.5</v>
      </c>
      <c r="D248" s="151">
        <f t="shared" si="127"/>
        <v>1.5</v>
      </c>
      <c r="E248" s="151">
        <f t="shared" si="127"/>
        <v>1.5</v>
      </c>
      <c r="F248" s="151">
        <f t="shared" si="127"/>
        <v>1.5</v>
      </c>
      <c r="G248" s="151">
        <f t="shared" si="127"/>
        <v>1.5</v>
      </c>
      <c r="H248" s="151">
        <f t="shared" si="127"/>
        <v>1.5</v>
      </c>
      <c r="I248" s="151">
        <f t="shared" si="127"/>
        <v>1.5</v>
      </c>
      <c r="J248" s="151">
        <f t="shared" si="127"/>
        <v>1.5</v>
      </c>
      <c r="K248" s="151">
        <f t="shared" si="127"/>
        <v>1.5</v>
      </c>
      <c r="L248" s="151">
        <f t="shared" si="127"/>
        <v>1.5</v>
      </c>
      <c r="M248" s="151">
        <f t="shared" si="127"/>
        <v>1.5</v>
      </c>
      <c r="N248" s="151">
        <f t="shared" si="127"/>
        <v>1.5</v>
      </c>
      <c r="O248" s="151">
        <f t="shared" si="127"/>
        <v>1.5</v>
      </c>
      <c r="P248" s="151">
        <f t="shared" si="127"/>
        <v>1.5</v>
      </c>
      <c r="Q248" s="151">
        <f t="shared" si="127"/>
        <v>1.5</v>
      </c>
      <c r="R248" s="151">
        <f t="shared" si="127"/>
        <v>1.5</v>
      </c>
      <c r="S248" s="151">
        <f t="shared" si="127"/>
        <v>1.5</v>
      </c>
      <c r="T248" s="151">
        <f t="shared" si="128"/>
        <v>1.5</v>
      </c>
      <c r="U248" s="151">
        <f t="shared" si="128"/>
        <v>1.5</v>
      </c>
      <c r="V248" s="151">
        <f t="shared" si="128"/>
        <v>1.5</v>
      </c>
      <c r="W248" s="151">
        <f t="shared" si="128"/>
        <v>1.5</v>
      </c>
      <c r="X248" s="151">
        <f t="shared" si="128"/>
        <v>1.5</v>
      </c>
      <c r="Y248" s="151">
        <f t="shared" si="128"/>
        <v>1.5</v>
      </c>
      <c r="Z248" s="151">
        <f t="shared" si="128"/>
        <v>1.5</v>
      </c>
      <c r="AA248" s="151">
        <f t="shared" si="128"/>
        <v>1.5</v>
      </c>
      <c r="AB248" s="151">
        <f t="shared" si="128"/>
        <v>1.5</v>
      </c>
      <c r="AC248" s="151">
        <f t="shared" si="128"/>
        <v>1.5</v>
      </c>
      <c r="AD248" s="151">
        <f t="shared" si="128"/>
        <v>1.5</v>
      </c>
      <c r="AE248" s="151">
        <f t="shared" si="128"/>
        <v>1.5</v>
      </c>
      <c r="AF248" s="151">
        <f t="shared" si="128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126"/>
        <v>0.3</v>
      </c>
      <c r="C249" s="151">
        <v>0.3</v>
      </c>
      <c r="D249" s="151">
        <f t="shared" si="127"/>
        <v>0.3</v>
      </c>
      <c r="E249" s="151">
        <f t="shared" si="127"/>
        <v>0.3</v>
      </c>
      <c r="F249" s="151">
        <f t="shared" si="127"/>
        <v>0.3</v>
      </c>
      <c r="G249" s="151">
        <f t="shared" si="127"/>
        <v>0.3</v>
      </c>
      <c r="H249" s="151">
        <f t="shared" si="127"/>
        <v>0.3</v>
      </c>
      <c r="I249" s="151">
        <f t="shared" si="127"/>
        <v>0.3</v>
      </c>
      <c r="J249" s="151">
        <f t="shared" si="127"/>
        <v>0.3</v>
      </c>
      <c r="K249" s="151">
        <f t="shared" si="127"/>
        <v>0.3</v>
      </c>
      <c r="L249" s="151">
        <f t="shared" si="127"/>
        <v>0.3</v>
      </c>
      <c r="M249" s="151">
        <f t="shared" si="127"/>
        <v>0.3</v>
      </c>
      <c r="N249" s="151">
        <f t="shared" si="127"/>
        <v>0.3</v>
      </c>
      <c r="O249" s="151">
        <f t="shared" si="127"/>
        <v>0.3</v>
      </c>
      <c r="P249" s="151">
        <f t="shared" si="127"/>
        <v>0.3</v>
      </c>
      <c r="Q249" s="151">
        <f t="shared" si="127"/>
        <v>0.3</v>
      </c>
      <c r="R249" s="151">
        <f t="shared" si="127"/>
        <v>0.3</v>
      </c>
      <c r="S249" s="151">
        <f t="shared" si="127"/>
        <v>0.3</v>
      </c>
      <c r="T249" s="151">
        <f t="shared" si="128"/>
        <v>0.3</v>
      </c>
      <c r="U249" s="151">
        <f t="shared" si="128"/>
        <v>0.3</v>
      </c>
      <c r="V249" s="151">
        <f t="shared" si="128"/>
        <v>0.3</v>
      </c>
      <c r="W249" s="151">
        <f t="shared" si="128"/>
        <v>0.3</v>
      </c>
      <c r="X249" s="151">
        <f t="shared" si="128"/>
        <v>0.3</v>
      </c>
      <c r="Y249" s="151">
        <f t="shared" si="128"/>
        <v>0.3</v>
      </c>
      <c r="Z249" s="151">
        <f t="shared" si="128"/>
        <v>0.3</v>
      </c>
      <c r="AA249" s="151">
        <f t="shared" si="128"/>
        <v>0.3</v>
      </c>
      <c r="AB249" s="151">
        <f t="shared" si="128"/>
        <v>0.3</v>
      </c>
      <c r="AC249" s="151">
        <f t="shared" si="128"/>
        <v>0.3</v>
      </c>
      <c r="AD249" s="151">
        <f t="shared" si="128"/>
        <v>0.3</v>
      </c>
      <c r="AE249" s="151">
        <f t="shared" si="128"/>
        <v>0.3</v>
      </c>
      <c r="AF249" s="151">
        <f t="shared" si="128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126"/>
        <v>0.4</v>
      </c>
      <c r="C250" s="151">
        <v>0.4</v>
      </c>
      <c r="D250" s="151">
        <f t="shared" si="127"/>
        <v>0.4</v>
      </c>
      <c r="E250" s="151">
        <f t="shared" si="127"/>
        <v>0.4</v>
      </c>
      <c r="F250" s="151">
        <f t="shared" si="127"/>
        <v>0.4</v>
      </c>
      <c r="G250" s="151">
        <f t="shared" si="127"/>
        <v>0.4</v>
      </c>
      <c r="H250" s="151">
        <f t="shared" si="127"/>
        <v>0.4</v>
      </c>
      <c r="I250" s="151">
        <f t="shared" si="127"/>
        <v>0.4</v>
      </c>
      <c r="J250" s="151">
        <f t="shared" si="127"/>
        <v>0.4</v>
      </c>
      <c r="K250" s="151">
        <f t="shared" si="127"/>
        <v>0.4</v>
      </c>
      <c r="L250" s="151">
        <f t="shared" si="127"/>
        <v>0.4</v>
      </c>
      <c r="M250" s="151">
        <f t="shared" si="127"/>
        <v>0.4</v>
      </c>
      <c r="N250" s="151">
        <f t="shared" si="127"/>
        <v>0.4</v>
      </c>
      <c r="O250" s="151">
        <f t="shared" si="127"/>
        <v>0.4</v>
      </c>
      <c r="P250" s="151">
        <f t="shared" si="127"/>
        <v>0.4</v>
      </c>
      <c r="Q250" s="151">
        <f t="shared" si="127"/>
        <v>0.4</v>
      </c>
      <c r="R250" s="151">
        <f t="shared" si="127"/>
        <v>0.4</v>
      </c>
      <c r="S250" s="151">
        <f t="shared" si="127"/>
        <v>0.4</v>
      </c>
      <c r="T250" s="151">
        <f t="shared" si="128"/>
        <v>0.4</v>
      </c>
      <c r="U250" s="151">
        <f t="shared" si="128"/>
        <v>0.4</v>
      </c>
      <c r="V250" s="151">
        <f t="shared" si="128"/>
        <v>0.4</v>
      </c>
      <c r="W250" s="151">
        <f t="shared" si="128"/>
        <v>0.4</v>
      </c>
      <c r="X250" s="151">
        <f t="shared" si="128"/>
        <v>0.4</v>
      </c>
      <c r="Y250" s="151">
        <f t="shared" si="128"/>
        <v>0.4</v>
      </c>
      <c r="Z250" s="151">
        <f t="shared" si="128"/>
        <v>0.4</v>
      </c>
      <c r="AA250" s="151">
        <f t="shared" si="128"/>
        <v>0.4</v>
      </c>
      <c r="AB250" s="151">
        <f t="shared" si="128"/>
        <v>0.4</v>
      </c>
      <c r="AC250" s="151">
        <f t="shared" si="128"/>
        <v>0.4</v>
      </c>
      <c r="AD250" s="151">
        <f t="shared" si="128"/>
        <v>0.4</v>
      </c>
      <c r="AE250" s="151">
        <f t="shared" si="128"/>
        <v>0.4</v>
      </c>
      <c r="AF250" s="151">
        <f t="shared" si="128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126"/>
        <v>0.64</v>
      </c>
      <c r="C251" s="156">
        <v>0.64</v>
      </c>
      <c r="D251" s="156">
        <f t="shared" si="127"/>
        <v>0.64</v>
      </c>
      <c r="E251" s="156">
        <f t="shared" si="127"/>
        <v>0.64</v>
      </c>
      <c r="F251" s="156">
        <f t="shared" si="127"/>
        <v>0.64</v>
      </c>
      <c r="G251" s="156">
        <f t="shared" si="127"/>
        <v>0.64</v>
      </c>
      <c r="H251" s="156">
        <f t="shared" si="127"/>
        <v>0.64</v>
      </c>
      <c r="I251" s="156">
        <f t="shared" si="127"/>
        <v>0.64</v>
      </c>
      <c r="J251" s="156">
        <f t="shared" si="127"/>
        <v>0.64</v>
      </c>
      <c r="K251" s="156">
        <f t="shared" si="127"/>
        <v>0.64</v>
      </c>
      <c r="L251" s="156">
        <f t="shared" si="127"/>
        <v>0.64</v>
      </c>
      <c r="M251" s="156">
        <f t="shared" si="127"/>
        <v>0.64</v>
      </c>
      <c r="N251" s="156">
        <f t="shared" si="127"/>
        <v>0.64</v>
      </c>
      <c r="O251" s="156">
        <f t="shared" si="127"/>
        <v>0.64</v>
      </c>
      <c r="P251" s="156">
        <f t="shared" si="127"/>
        <v>0.64</v>
      </c>
      <c r="Q251" s="156">
        <f t="shared" si="127"/>
        <v>0.64</v>
      </c>
      <c r="R251" s="156">
        <f t="shared" si="127"/>
        <v>0.64</v>
      </c>
      <c r="S251" s="156">
        <f t="shared" si="127"/>
        <v>0.64</v>
      </c>
      <c r="T251" s="156">
        <f t="shared" si="128"/>
        <v>0.64</v>
      </c>
      <c r="U251" s="156">
        <f t="shared" si="128"/>
        <v>0.64</v>
      </c>
      <c r="V251" s="156">
        <f t="shared" si="128"/>
        <v>0.64</v>
      </c>
      <c r="W251" s="156">
        <f t="shared" si="128"/>
        <v>0.64</v>
      </c>
      <c r="X251" s="156">
        <f t="shared" si="128"/>
        <v>0.64</v>
      </c>
      <c r="Y251" s="156">
        <f t="shared" si="128"/>
        <v>0.64</v>
      </c>
      <c r="Z251" s="156">
        <f t="shared" si="128"/>
        <v>0.64</v>
      </c>
      <c r="AA251" s="156">
        <f t="shared" si="128"/>
        <v>0.64</v>
      </c>
      <c r="AB251" s="156">
        <f t="shared" si="128"/>
        <v>0.64</v>
      </c>
      <c r="AC251" s="156">
        <f t="shared" si="128"/>
        <v>0.64</v>
      </c>
      <c r="AD251" s="156">
        <f t="shared" si="128"/>
        <v>0.64</v>
      </c>
      <c r="AE251" s="156">
        <f t="shared" si="128"/>
        <v>0.64</v>
      </c>
      <c r="AF251" s="156">
        <f t="shared" si="128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129">SUM(B246:B251)</f>
        <v>3.54</v>
      </c>
      <c r="C252" s="160">
        <f t="shared" si="129"/>
        <v>3.54</v>
      </c>
      <c r="D252" s="160">
        <f t="shared" si="129"/>
        <v>3.54</v>
      </c>
      <c r="E252" s="160">
        <f t="shared" si="129"/>
        <v>3.54</v>
      </c>
      <c r="F252" s="160">
        <f t="shared" si="129"/>
        <v>3.54</v>
      </c>
      <c r="G252" s="160">
        <f t="shared" si="129"/>
        <v>3.54</v>
      </c>
      <c r="H252" s="160">
        <f t="shared" si="129"/>
        <v>3.54</v>
      </c>
      <c r="I252" s="160">
        <f t="shared" si="129"/>
        <v>3.54</v>
      </c>
      <c r="J252" s="160">
        <f t="shared" si="129"/>
        <v>3.54</v>
      </c>
      <c r="K252" s="160">
        <f t="shared" si="129"/>
        <v>3.54</v>
      </c>
      <c r="L252" s="160">
        <f t="shared" si="129"/>
        <v>3.54</v>
      </c>
      <c r="M252" s="160">
        <f t="shared" si="129"/>
        <v>3.54</v>
      </c>
      <c r="N252" s="160">
        <f t="shared" si="129"/>
        <v>3.54</v>
      </c>
      <c r="O252" s="160">
        <f t="shared" si="129"/>
        <v>3.54</v>
      </c>
      <c r="P252" s="160">
        <f t="shared" si="129"/>
        <v>3.54</v>
      </c>
      <c r="Q252" s="160">
        <f t="shared" si="129"/>
        <v>3.54</v>
      </c>
      <c r="R252" s="160">
        <f t="shared" si="129"/>
        <v>3.54</v>
      </c>
      <c r="S252" s="160">
        <f t="shared" si="129"/>
        <v>3.54</v>
      </c>
      <c r="T252" s="160">
        <f t="shared" si="129"/>
        <v>3.54</v>
      </c>
      <c r="U252" s="160">
        <f t="shared" si="129"/>
        <v>3.54</v>
      </c>
      <c r="V252" s="160">
        <f t="shared" si="129"/>
        <v>3.54</v>
      </c>
      <c r="W252" s="160">
        <f t="shared" si="129"/>
        <v>3.54</v>
      </c>
      <c r="X252" s="160">
        <f t="shared" si="129"/>
        <v>3.54</v>
      </c>
      <c r="Y252" s="160">
        <f t="shared" si="129"/>
        <v>3.54</v>
      </c>
      <c r="Z252" s="160">
        <f t="shared" si="129"/>
        <v>3.54</v>
      </c>
      <c r="AA252" s="160">
        <f t="shared" si="129"/>
        <v>3.54</v>
      </c>
      <c r="AB252" s="160">
        <f t="shared" si="129"/>
        <v>3.54</v>
      </c>
      <c r="AC252" s="160">
        <f t="shared" si="129"/>
        <v>3.54</v>
      </c>
      <c r="AD252" s="160">
        <f t="shared" si="129"/>
        <v>3.54</v>
      </c>
      <c r="AE252" s="160">
        <f t="shared" si="129"/>
        <v>3.54</v>
      </c>
      <c r="AF252" s="160">
        <f t="shared" si="129"/>
        <v>3.54</v>
      </c>
      <c r="AG252" s="170">
        <f t="shared" si="129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1361.89</v>
      </c>
      <c r="C256" s="173">
        <f>INDEX(G9:N9,1,MATCH(MAX(G99:N99),G99:N99,0))</f>
        <v>0.33333333333333331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2080/10/11)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2700" priority="98">
      <formula>$AH11=0</formula>
    </cfRule>
  </conditionalFormatting>
  <conditionalFormatting sqref="A132:A253">
    <cfRule type="expression" dxfId="2699" priority="99">
      <formula>$AH132=0</formula>
    </cfRule>
  </conditionalFormatting>
  <conditionalFormatting sqref="B8">
    <cfRule type="expression" dxfId="2698" priority="160">
      <formula>C$9&gt;=20/24</formula>
    </cfRule>
    <cfRule type="expression" dxfId="2697" priority="159">
      <formula>C$9&lt;8/24</formula>
    </cfRule>
    <cfRule type="expression" dxfId="2696" priority="158">
      <formula>AND(C$9&gt;=8/24,C$9&lt;14/24)</formula>
    </cfRule>
    <cfRule type="expression" dxfId="2695" priority="157">
      <formula>AND(C$9&gt;=14/24,C$9&lt;20/24)</formula>
    </cfRule>
  </conditionalFormatting>
  <conditionalFormatting sqref="B11:F52 W11:AF52 G12:V52 B59:D68 D68:D74 B69:AF74 B77:AF99 B9:AF10 B101:AF117 B119:AF137 B244:AF244 B246:B252">
    <cfRule type="expression" dxfId="2694" priority="49">
      <formula>B$9&gt;=20/24</formula>
    </cfRule>
  </conditionalFormatting>
  <conditionalFormatting sqref="B9:AF10 B11:F52 W11:AF52 G12:V52 B59:D68 D68:D74 B69:AF74 B77:AF99 B101:AF117 B119:AF137 B244:AF244 B246:B252">
    <cfRule type="expression" dxfId="2693" priority="50">
      <formula>AND(B$9&gt;=14/24,B$9&lt;20/24)</formula>
    </cfRule>
    <cfRule type="expression" dxfId="2692" priority="51">
      <formula>AND(B$9&gt;=8/24,B$9&lt;14/24)</formula>
    </cfRule>
    <cfRule type="expression" dxfId="2691" priority="52">
      <formula>B$9&lt;8/24</formula>
    </cfRule>
  </conditionalFormatting>
  <conditionalFormatting sqref="D246:AF252">
    <cfRule type="expression" dxfId="2690" priority="144">
      <formula>AND(D$9&gt;=8/24,D$9&lt;14/24)</formula>
    </cfRule>
    <cfRule type="expression" dxfId="2689" priority="143">
      <formula>AND(D$9&gt;=14/24,D$9&lt;20/24)</formula>
    </cfRule>
    <cfRule type="expression" dxfId="2688" priority="142">
      <formula>D$9&gt;=20/24</formula>
    </cfRule>
    <cfRule type="expression" dxfId="2687" priority="145">
      <formula>D$9&lt;8/24</formula>
    </cfRule>
  </conditionalFormatting>
  <conditionalFormatting sqref="E63:I67 J64:J67 J67:O67">
    <cfRule type="expression" dxfId="2686" priority="62">
      <formula>E$9&gt;=20/24</formula>
    </cfRule>
    <cfRule type="expression" dxfId="2685" priority="63">
      <formula>AND(E$9&gt;=14/24,E$9&lt;20/24)</formula>
    </cfRule>
    <cfRule type="expression" dxfId="2684" priority="64">
      <formula>AND(E$9&gt;=8/24,E$9&lt;14/24)</formula>
    </cfRule>
    <cfRule type="expression" dxfId="2683" priority="65">
      <formula>E$9&lt;8/24</formula>
    </cfRule>
  </conditionalFormatting>
  <conditionalFormatting sqref="E68:O68">
    <cfRule type="expression" dxfId="2682" priority="59">
      <formula>AND(E$9&gt;=8/24,E$9&lt;14/24)</formula>
    </cfRule>
    <cfRule type="expression" dxfId="2681" priority="60">
      <formula>E$9&lt;8/24</formula>
    </cfRule>
    <cfRule type="expression" dxfId="2680" priority="57">
      <formula>E$9&gt;=20/24</formula>
    </cfRule>
    <cfRule type="expression" dxfId="2679" priority="58">
      <formula>AND(E$9&gt;=14/24,E$9&lt;20/24)</formula>
    </cfRule>
  </conditionalFormatting>
  <conditionalFormatting sqref="E11:V11">
    <cfRule type="expression" dxfId="2678" priority="66">
      <formula>E11&gt;$AG11</formula>
    </cfRule>
    <cfRule type="expression" dxfId="2677" priority="67">
      <formula>E$9&gt;=20/24</formula>
    </cfRule>
    <cfRule type="expression" dxfId="2676" priority="68">
      <formula>AND(E$9&gt;=14/24,E$9&lt;20/24)</formula>
    </cfRule>
    <cfRule type="expression" dxfId="2675" priority="69">
      <formula>AND(E$9&gt;=8/24,E$9&lt;14/24)</formula>
    </cfRule>
    <cfRule type="expression" dxfId="2674" priority="70">
      <formula>E$9&lt;8/24</formula>
    </cfRule>
  </conditionalFormatting>
  <conditionalFormatting sqref="E59:AF62">
    <cfRule type="expression" dxfId="2673" priority="78">
      <formula>AND(E$9&gt;=8/24,E$9&lt;14/24)</formula>
    </cfRule>
    <cfRule type="expression" dxfId="2672" priority="79">
      <formula>E$9&lt;8/24</formula>
    </cfRule>
    <cfRule type="expression" dxfId="2671" priority="76">
      <formula>E$9&gt;=20/24</formula>
    </cfRule>
    <cfRule type="expression" dxfId="2670" priority="77">
      <formula>AND(E$9&gt;=14/24,E$9&lt;20/24)</formula>
    </cfRule>
  </conditionalFormatting>
  <conditionalFormatting sqref="F63:O65">
    <cfRule type="expression" dxfId="2669" priority="93">
      <formula>F$9&lt;8/24</formula>
    </cfRule>
    <cfRule type="expression" dxfId="2668" priority="90">
      <formula>F$9&gt;=20/24</formula>
    </cfRule>
    <cfRule type="expression" dxfId="2667" priority="91">
      <formula>AND(F$9&gt;=14/24,F$9&lt;20/24)</formula>
    </cfRule>
    <cfRule type="expression" dxfId="2666" priority="92">
      <formula>AND(F$9&gt;=8/24,F$9&lt;14/24)</formula>
    </cfRule>
  </conditionalFormatting>
  <conditionalFormatting sqref="M8 S8 AB8">
    <cfRule type="expression" dxfId="2665" priority="151">
      <formula>N$9&lt;8/24</formula>
    </cfRule>
    <cfRule type="expression" dxfId="2664" priority="150">
      <formula>AND(N$9&gt;=8/24,N$9&lt;14/24)</formula>
    </cfRule>
    <cfRule type="expression" dxfId="2663" priority="149">
      <formula>AND(N$9&gt;=14/24,N$9&lt;20/24)</formula>
    </cfRule>
  </conditionalFormatting>
  <conditionalFormatting sqref="O3:P3">
    <cfRule type="iconSet" priority="146">
      <iconSet iconSet="3TrafficLights2" reverse="1">
        <cfvo type="percent" val="0"/>
        <cfvo type="num" val="1"/>
        <cfvo type="num" val="1"/>
      </iconSet>
    </cfRule>
  </conditionalFormatting>
  <conditionalFormatting sqref="P63:V68">
    <cfRule type="expression" dxfId="2662" priority="87">
      <formula>AND(P$9&gt;=14/24,P$9&lt;20/24)</formula>
    </cfRule>
    <cfRule type="expression" dxfId="2661" priority="88">
      <formula>AND(P$9&gt;=8/24,P$9&lt;14/24)</formula>
    </cfRule>
    <cfRule type="expression" dxfId="2660" priority="89">
      <formula>P$9&lt;8/24</formula>
    </cfRule>
    <cfRule type="expression" dxfId="2659" priority="86">
      <formula>P$9&gt;=20/24</formula>
    </cfRule>
  </conditionalFormatting>
  <conditionalFormatting sqref="P53:AF56 B53:O57">
    <cfRule type="expression" dxfId="2658" priority="61">
      <formula>B$9&lt;8/24</formula>
    </cfRule>
  </conditionalFormatting>
  <conditionalFormatting sqref="P57:AF57">
    <cfRule type="expression" dxfId="2657" priority="75">
      <formula>P$9&lt;8/24</formula>
    </cfRule>
    <cfRule type="expression" dxfId="2656" priority="74">
      <formula>AND(P$9&gt;=8/24,P$9&lt;14/24)</formula>
    </cfRule>
    <cfRule type="expression" dxfId="2655" priority="72">
      <formula>P$9&gt;=20/24</formula>
    </cfRule>
    <cfRule type="expression" dxfId="2654" priority="73">
      <formula>AND(P$9&gt;=14/24,P$9&lt;20/24)</formula>
    </cfRule>
  </conditionalFormatting>
  <conditionalFormatting sqref="S8 AB8 M8">
    <cfRule type="expression" dxfId="2653" priority="148">
      <formula>N$9&gt;=20/24</formula>
    </cfRule>
  </conditionalFormatting>
  <conditionalFormatting sqref="S8">
    <cfRule type="expression" dxfId="2652" priority="135">
      <formula>U$9&gt;=20/24</formula>
    </cfRule>
    <cfRule type="expression" dxfId="2651" priority="138">
      <formula>U$9&lt;8/24</formula>
    </cfRule>
    <cfRule type="expression" dxfId="2650" priority="137">
      <formula>AND(U$9&gt;=8/24,U$9&lt;14/24)</formula>
    </cfRule>
    <cfRule type="expression" dxfId="2649" priority="136">
      <formula>AND(U$9&gt;=14/24,U$9&lt;20/24)</formula>
    </cfRule>
  </conditionalFormatting>
  <conditionalFormatting sqref="T63:AF68">
    <cfRule type="expression" dxfId="2648" priority="80">
      <formula>T$9&gt;=20/24</formula>
    </cfRule>
    <cfRule type="expression" dxfId="2647" priority="81">
      <formula>AND(T$9&gt;=14/24,T$9&lt;20/24)</formula>
    </cfRule>
    <cfRule type="expression" dxfId="2646" priority="82">
      <formula>AND(T$9&gt;=8/24,T$9&lt;14/24)</formula>
    </cfRule>
    <cfRule type="expression" dxfId="2645" priority="83">
      <formula>T$9&lt;8/24</formula>
    </cfRule>
  </conditionalFormatting>
  <conditionalFormatting sqref="V3 AB3">
    <cfRule type="iconSet" priority="147">
      <iconSet iconSet="3TrafficLights2" reverse="1">
        <cfvo type="percent" val="0"/>
        <cfvo type="num" val="1"/>
        <cfvo type="num" val="1"/>
      </iconSet>
    </cfRule>
  </conditionalFormatting>
  <conditionalFormatting sqref="W11:AF55 B11:F57 P12:V55 G12:G57 I12:L62 H12:H74 M12:O80 P56:AF80 H13:I13 B58:G74 AG62 I63:K74 L63:L75 G66:I66 B75:K75 B76:L80 AG80">
    <cfRule type="expression" dxfId="2644" priority="48">
      <formula>B11&gt;$AG11</formula>
    </cfRule>
  </conditionalFormatting>
  <conditionalFormatting sqref="W53:AF54 P53:V55 B53:O57">
    <cfRule type="expression" dxfId="2643" priority="45">
      <formula>B$9&gt;=20/24</formula>
    </cfRule>
    <cfRule type="expression" dxfId="2642" priority="46">
      <formula>AND(B$9&gt;=14/24,B$9&lt;20/24)</formula>
    </cfRule>
    <cfRule type="expression" dxfId="2641" priority="47">
      <formula>AND(B$9&gt;=8/24,B$9&lt;14/24)</formula>
    </cfRule>
  </conditionalFormatting>
  <conditionalFormatting sqref="W55:AF56 P56:V56">
    <cfRule type="expression" dxfId="2640" priority="54">
      <formula>P$9&gt;=20/24</formula>
    </cfRule>
    <cfRule type="expression" dxfId="2639" priority="55">
      <formula>AND(P$9&gt;=14/24,P$9&lt;20/24)</formula>
    </cfRule>
    <cfRule type="expression" dxfId="2638" priority="56">
      <formula>AND(P$9&gt;=8/24,P$9&lt;14/24)</formula>
    </cfRule>
  </conditionalFormatting>
  <conditionalFormatting sqref="X63:Y68">
    <cfRule type="expression" dxfId="2637" priority="2">
      <formula>AND(X$9&gt;=14/24,X$9&lt;20/24)</formula>
    </cfRule>
    <cfRule type="expression" dxfId="2636" priority="3">
      <formula>AND(X$9&gt;=8/24,X$9&lt;14/24)</formula>
    </cfRule>
    <cfRule type="expression" dxfId="2635" priority="4">
      <formula>X$9&lt;8/24</formula>
    </cfRule>
    <cfRule type="expression" dxfId="2634" priority="1">
      <formula>X$9&gt;=20/24</formula>
    </cfRule>
  </conditionalFormatting>
  <conditionalFormatting sqref="AB8">
    <cfRule type="expression" dxfId="2633" priority="133">
      <formula>AND(AD$9&gt;=8/24,AD$9&lt;14/24)</formula>
    </cfRule>
    <cfRule type="expression" dxfId="2632" priority="132">
      <formula>AND(AD$9&gt;=14/24,AD$9&lt;20/24)</formula>
    </cfRule>
    <cfRule type="expression" dxfId="2631" priority="131">
      <formula>AD$9&gt;=20/24</formula>
    </cfRule>
    <cfRule type="expression" dxfId="2630" priority="134">
      <formula>AD$9&lt;8/24</formula>
    </cfRule>
  </conditionalFormatting>
  <conditionalFormatting sqref="AG58">
    <cfRule type="expression" dxfId="2629" priority="126">
      <formula>AG58&gt;$AG58</formula>
    </cfRule>
  </conditionalFormatting>
  <conditionalFormatting sqref="AG62">
    <cfRule type="expression" dxfId="2628" priority="109">
      <formula>AG$9&gt;=20/24</formula>
    </cfRule>
    <cfRule type="expression" dxfId="2627" priority="112">
      <formula>AG$9&lt;8/24</formula>
    </cfRule>
    <cfRule type="expression" dxfId="2626" priority="110">
      <formula>AND(AG$9&gt;=14/24,AG$9&lt;20/24)</formula>
    </cfRule>
    <cfRule type="expression" dxfId="2625" priority="111">
      <formula>AND(AG$9&gt;=8/24,AG$9&lt;14/24)</formula>
    </cfRule>
  </conditionalFormatting>
  <conditionalFormatting sqref="AG75:AG76">
    <cfRule type="expression" dxfId="2624" priority="104">
      <formula>AG75&gt;$AG75</formula>
    </cfRule>
  </conditionalFormatting>
  <conditionalFormatting sqref="AG80">
    <cfRule type="expression" dxfId="2623" priority="105">
      <formula>AG$9&gt;=20/24</formula>
    </cfRule>
    <cfRule type="expression" dxfId="2622" priority="106">
      <formula>AND(AG$9&gt;=14/24,AG$9&lt;20/24)</formula>
    </cfRule>
    <cfRule type="expression" dxfId="2621" priority="107">
      <formula>AND(AG$9&gt;=8/24,AG$9&lt;14/24)</formula>
    </cfRule>
    <cfRule type="expression" dxfId="2620" priority="108">
      <formula>AG$9&lt;8/24</formula>
    </cfRule>
  </conditionalFormatting>
  <conditionalFormatting sqref="AG97">
    <cfRule type="expression" dxfId="2619" priority="128">
      <formula>AND(AG$9&gt;=14/24,AG$9&lt;20/24)</formula>
    </cfRule>
    <cfRule type="expression" dxfId="2618" priority="129">
      <formula>AND(AG$9&gt;=8/24,AG$9&lt;14/24)</formula>
    </cfRule>
    <cfRule type="expression" dxfId="2617" priority="127">
      <formula>AG$9&gt;=20/24</formula>
    </cfRule>
    <cfRule type="expression" dxfId="2616" priority="130">
      <formula>AG$9&lt;8/24</formula>
    </cfRule>
  </conditionalFormatting>
  <conditionalFormatting sqref="AL4:AL6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14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25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56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40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615" priority="152">
      <formula>AJ$9&gt;=20/24</formula>
    </cfRule>
    <cfRule type="expression" dxfId="2614" priority="155">
      <formula>AJ$9&lt;8/24</formula>
    </cfRule>
    <cfRule type="expression" dxfId="2613" priority="154">
      <formula>AND(AJ$9&gt;=8/24,AJ$9&lt;14/24)</formula>
    </cfRule>
    <cfRule type="expression" dxfId="2612" priority="153">
      <formula>AND(AJ$9&gt;=14/24,AJ$9&lt;20/24)</formula>
    </cfRule>
  </conditionalFormatting>
  <conditionalFormatting sqref="AL88:AN88 AL94:AN94">
    <cfRule type="expression" dxfId="2611" priority="119">
      <formula>AL$9&gt;=20/24</formula>
    </cfRule>
    <cfRule type="expression" dxfId="2610" priority="121">
      <formula>AND(AL$9&gt;=8/24,AL$9&lt;14/24)</formula>
    </cfRule>
    <cfRule type="expression" dxfId="2609" priority="122">
      <formula>AL$9&lt;8/24</formula>
    </cfRule>
    <cfRule type="expression" dxfId="2608" priority="120">
      <formula>AND(AL$9&gt;=14/24,AL$9&lt;20/24)</formula>
    </cfRule>
  </conditionalFormatting>
  <conditionalFormatting sqref="AM15:AM21 AN16:AR21">
    <cfRule type="expression" dxfId="2607" priority="24">
      <formula>AX$9&lt;8/24</formula>
    </cfRule>
    <cfRule type="expression" dxfId="2606" priority="23">
      <formula>AND(AX$9&gt;=8/24,AX$9&lt;14/24)</formula>
    </cfRule>
    <cfRule type="expression" dxfId="2605" priority="21">
      <formula>AX$9&gt;=20/24</formula>
    </cfRule>
    <cfRule type="expression" dxfId="2604" priority="22">
      <formula>AND(AX$9&gt;=14/24,AX$9&lt;20/24)</formula>
    </cfRule>
  </conditionalFormatting>
  <conditionalFormatting sqref="AN89:AN92">
    <cfRule type="expression" dxfId="2603" priority="116">
      <formula>AND(AN$9&gt;=14/24,AN$9&lt;20/24)</formula>
    </cfRule>
    <cfRule type="expression" dxfId="2602" priority="115">
      <formula>AN$9&gt;=20/24</formula>
    </cfRule>
    <cfRule type="expression" dxfId="2601" priority="118">
      <formula>AN$9&lt;8/24</formula>
    </cfRule>
    <cfRule type="expression" dxfId="2600" priority="117">
      <formula>AND(AN$9&gt;=8/24,AN$9&lt;14/24)</formula>
    </cfRule>
  </conditionalFormatting>
  <conditionalFormatting sqref="AN15:AR15">
    <cfRule type="expression" dxfId="2599" priority="10">
      <formula>AND(U$9&gt;=14/24,U$9&lt;20/24)</formula>
    </cfRule>
    <cfRule type="expression" dxfId="2598" priority="11">
      <formula>AND(U$9&gt;=8/24,U$9&lt;14/24)</formula>
    </cfRule>
    <cfRule type="expression" dxfId="2597" priority="12">
      <formula>U$9&lt;8/24</formula>
    </cfRule>
    <cfRule type="expression" dxfId="2596" priority="9">
      <formula>U$9&gt;=20/24</formula>
    </cfRule>
  </conditionalFormatting>
  <conditionalFormatting sqref="AS15">
    <cfRule type="expression" dxfId="2595" priority="19">
      <formula>AND(AA$9&gt;=8/24,AA$9&lt;14/24)</formula>
    </cfRule>
    <cfRule type="expression" dxfId="2594" priority="17">
      <formula>AA$9&gt;=20/24</formula>
    </cfRule>
    <cfRule type="expression" dxfId="2593" priority="20">
      <formula>AA$9&lt;8/24</formula>
    </cfRule>
    <cfRule type="expression" dxfId="2592" priority="18">
      <formula>AND(AA$9&gt;=14/24,AA$9&lt;20/24)</formula>
    </cfRule>
  </conditionalFormatting>
  <conditionalFormatting sqref="AS16:AS21">
    <cfRule type="expression" dxfId="2591" priority="28">
      <formula>BE$9&lt;8/24</formula>
    </cfRule>
    <cfRule type="expression" dxfId="2590" priority="27">
      <formula>AND(BE$9&gt;=8/24,BE$9&lt;14/24)</formula>
    </cfRule>
    <cfRule type="expression" dxfId="2589" priority="26">
      <formula>AND(BE$9&gt;=14/24,BE$9&lt;20/24)</formula>
    </cfRule>
    <cfRule type="expression" dxfId="2588" priority="25">
      <formula>BE$9&gt;=20/24</formula>
    </cfRule>
  </conditionalFormatting>
  <conditionalFormatting sqref="AT15 AX15">
    <cfRule type="expression" dxfId="2587" priority="31">
      <formula>AND(AC$9&gt;=8/24,AC$9&lt;14/24)</formula>
    </cfRule>
    <cfRule type="expression" dxfId="2586" priority="30">
      <formula>AND(AC$9&gt;=14/24,AC$9&lt;20/24)</formula>
    </cfRule>
    <cfRule type="expression" dxfId="2585" priority="32">
      <formula>AC$9&lt;8/24</formula>
    </cfRule>
    <cfRule type="expression" dxfId="2584" priority="29">
      <formula>AC$9&gt;=20/24</formula>
    </cfRule>
  </conditionalFormatting>
  <conditionalFormatting sqref="AT16:AT21">
    <cfRule type="expression" dxfId="2583" priority="36">
      <formula>BG$9&lt;8/24</formula>
    </cfRule>
    <cfRule type="expression" dxfId="2582" priority="33">
      <formula>BG$9&gt;=20/24</formula>
    </cfRule>
    <cfRule type="expression" dxfId="2581" priority="34">
      <formula>AND(BG$9&gt;=14/24,BG$9&lt;20/24)</formula>
    </cfRule>
    <cfRule type="expression" dxfId="2580" priority="35">
      <formula>AND(BG$9&gt;=8/24,BG$9&lt;14/24)</formula>
    </cfRule>
  </conditionalFormatting>
  <conditionalFormatting sqref="AU15:AV15">
    <cfRule type="expression" dxfId="2579" priority="39">
      <formula>AND(AE$9&gt;=8/24,AE$9&lt;14/24)</formula>
    </cfRule>
    <cfRule type="expression" dxfId="2578" priority="40">
      <formula>AE$9&lt;8/24</formula>
    </cfRule>
    <cfRule type="expression" dxfId="2577" priority="38">
      <formula>AND(AE$9&gt;=14/24,AE$9&lt;20/24)</formula>
    </cfRule>
    <cfRule type="expression" dxfId="2576" priority="37">
      <formula>AE$9&gt;=20/24</formula>
    </cfRule>
  </conditionalFormatting>
  <conditionalFormatting sqref="AU16:AX21">
    <cfRule type="expression" dxfId="2575" priority="41">
      <formula>BI$9&gt;=20/24</formula>
    </cfRule>
    <cfRule type="expression" dxfId="2574" priority="42">
      <formula>AND(BI$9&gt;=14/24,BI$9&lt;20/24)</formula>
    </cfRule>
    <cfRule type="expression" dxfId="2573" priority="43">
      <formula>AND(BI$9&gt;=8/24,BI$9&lt;14/24)</formula>
    </cfRule>
    <cfRule type="expression" dxfId="2572" priority="44">
      <formula>BI$9&lt;8/24</formula>
    </cfRule>
  </conditionalFormatting>
  <conditionalFormatting sqref="AW15">
    <cfRule type="expression" dxfId="2571" priority="13">
      <formula>B$9&gt;=20/24</formula>
    </cfRule>
    <cfRule type="expression" dxfId="2570" priority="14">
      <formula>AND(B$9&gt;=14/24,B$9&lt;20/24)</formula>
    </cfRule>
    <cfRule type="expression" dxfId="2569" priority="15">
      <formula>AND(B$9&gt;=8/24,B$9&lt;14/24)</formula>
    </cfRule>
    <cfRule type="expression" dxfId="2568" priority="16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50A1C-D883-4118-909F-3D35B3C47A71}">
  <sheetPr codeName="Sheet13"/>
  <dimension ref="A1:CJ294"/>
  <sheetViews>
    <sheetView zoomScale="106" workbookViewId="0">
      <pane xSplit="1" ySplit="10" topLeftCell="B109" activePane="bottomRight" state="frozen"/>
      <selection activeCell="Z63" sqref="Z63"/>
      <selection pane="topRight" activeCell="Z63" sqref="Z63"/>
      <selection pane="bottomLeft" activeCell="Z63" sqref="Z63"/>
      <selection pane="bottomRight" activeCell="BL84" sqref="BL84:BL10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2080/10/12</v>
      </c>
      <c r="C4" s="214"/>
      <c r="D4" s="214"/>
      <c r="E4" s="215" t="str">
        <f ca="1">"2080/"&amp;"10/"&amp;INT(MID(CELL("filename",G6),FIND("]",CELL("filename",G6))+1,200))</f>
        <v>2080/10/12</v>
      </c>
      <c r="F4" s="215"/>
      <c r="G4" s="215"/>
      <c r="H4" s="215" t="str">
        <f ca="1">TEXT(E4,"dddd")</f>
        <v>Saturday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247.5</v>
      </c>
      <c r="C5" s="30">
        <f t="shared" ref="C5:AE5" si="0">D92</f>
        <v>307.39999999999998</v>
      </c>
      <c r="D5" s="30">
        <f t="shared" si="0"/>
        <v>297.2</v>
      </c>
      <c r="E5" s="30">
        <f t="shared" si="0"/>
        <v>262.39999999999998</v>
      </c>
      <c r="F5" s="30">
        <f t="shared" si="0"/>
        <v>284.5</v>
      </c>
      <c r="G5" s="30">
        <f t="shared" si="0"/>
        <v>222.2</v>
      </c>
      <c r="H5" s="30">
        <f t="shared" si="0"/>
        <v>225.5</v>
      </c>
      <c r="I5" s="30">
        <f t="shared" si="0"/>
        <v>236.20000000000002</v>
      </c>
      <c r="J5" s="30">
        <f t="shared" si="0"/>
        <v>228.9</v>
      </c>
      <c r="K5" s="30">
        <f t="shared" si="0"/>
        <v>236.1</v>
      </c>
      <c r="L5" s="30">
        <f t="shared" si="0"/>
        <v>238.1</v>
      </c>
      <c r="M5" s="30">
        <f t="shared" si="0"/>
        <v>211.8</v>
      </c>
      <c r="N5" s="30">
        <f t="shared" si="0"/>
        <v>167.9</v>
      </c>
      <c r="O5" s="30">
        <f t="shared" si="0"/>
        <v>165.6</v>
      </c>
      <c r="P5" s="30">
        <f t="shared" si="0"/>
        <v>167.70000000000002</v>
      </c>
      <c r="Q5" s="30">
        <f t="shared" si="0"/>
        <v>176.5</v>
      </c>
      <c r="R5" s="30">
        <f t="shared" si="0"/>
        <v>175.6</v>
      </c>
      <c r="S5" s="30">
        <f t="shared" si="0"/>
        <v>171.8</v>
      </c>
      <c r="T5" s="30">
        <f t="shared" si="0"/>
        <v>183.20000000000002</v>
      </c>
      <c r="U5" s="30">
        <f t="shared" si="0"/>
        <v>160.1</v>
      </c>
      <c r="V5" s="30">
        <f t="shared" si="0"/>
        <v>203.9</v>
      </c>
      <c r="W5" s="30">
        <f t="shared" si="0"/>
        <v>187.7</v>
      </c>
      <c r="X5" s="30">
        <f t="shared" si="0"/>
        <v>177.5</v>
      </c>
      <c r="Y5" s="30">
        <f t="shared" si="0"/>
        <v>191.1</v>
      </c>
      <c r="Z5" s="30">
        <f t="shared" si="0"/>
        <v>106.9</v>
      </c>
      <c r="AA5" s="30">
        <f t="shared" si="0"/>
        <v>100.4</v>
      </c>
      <c r="AB5" s="30">
        <f t="shared" si="0"/>
        <v>174.1</v>
      </c>
      <c r="AC5" s="30">
        <f t="shared" si="0"/>
        <v>168.6</v>
      </c>
      <c r="AD5" s="30">
        <f t="shared" si="0"/>
        <v>130</v>
      </c>
      <c r="AE5" s="30">
        <f t="shared" si="0"/>
        <v>125.6</v>
      </c>
      <c r="AF5" s="30">
        <f>B92</f>
        <v>253.9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1105MW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Load=810</v>
      </c>
      <c r="B7" s="35">
        <f>B100</f>
        <v>934.09</v>
      </c>
      <c r="C7" s="35">
        <f t="shared" ref="C7:AF7" si="1">C100</f>
        <v>916.29</v>
      </c>
      <c r="D7" s="35">
        <f t="shared" si="1"/>
        <v>887.09</v>
      </c>
      <c r="E7" s="35">
        <f t="shared" si="1"/>
        <v>867.19</v>
      </c>
      <c r="F7" s="35">
        <f t="shared" si="1"/>
        <v>820.19</v>
      </c>
      <c r="G7" s="35">
        <f t="shared" si="1"/>
        <v>847.19</v>
      </c>
      <c r="H7" s="35">
        <f t="shared" si="1"/>
        <v>893.69</v>
      </c>
      <c r="I7" s="35">
        <f t="shared" si="1"/>
        <v>931.8900000000001</v>
      </c>
      <c r="J7" s="35">
        <f t="shared" si="1"/>
        <v>1009.4900000000001</v>
      </c>
      <c r="K7" s="35">
        <f t="shared" si="1"/>
        <v>1028.7900000000002</v>
      </c>
      <c r="L7" s="35">
        <f t="shared" si="1"/>
        <v>1074.0899999999999</v>
      </c>
      <c r="M7" s="35">
        <f t="shared" si="1"/>
        <v>1105.0899999999999</v>
      </c>
      <c r="N7" s="35">
        <f t="shared" si="1"/>
        <v>1006.5899999999999</v>
      </c>
      <c r="O7" s="35">
        <f t="shared" si="1"/>
        <v>958.9899999999999</v>
      </c>
      <c r="P7" s="35">
        <f t="shared" si="1"/>
        <v>906.59</v>
      </c>
      <c r="Q7" s="35">
        <f t="shared" si="1"/>
        <v>883.09</v>
      </c>
      <c r="R7" s="35">
        <f t="shared" si="1"/>
        <v>879.68999999999994</v>
      </c>
      <c r="S7" s="35">
        <f t="shared" si="1"/>
        <v>887.59</v>
      </c>
      <c r="T7" s="35">
        <f t="shared" si="1"/>
        <v>921.49</v>
      </c>
      <c r="U7" s="35">
        <f t="shared" si="1"/>
        <v>953.79</v>
      </c>
      <c r="V7" s="35">
        <f t="shared" si="1"/>
        <v>986.89</v>
      </c>
      <c r="W7" s="35">
        <f t="shared" si="1"/>
        <v>1019.6899999999999</v>
      </c>
      <c r="X7" s="35">
        <f t="shared" si="1"/>
        <v>1099.19</v>
      </c>
      <c r="Y7" s="35">
        <f t="shared" si="1"/>
        <v>1238.8499999999999</v>
      </c>
      <c r="Z7" s="35">
        <f t="shared" si="1"/>
        <v>1289.5499999999997</v>
      </c>
      <c r="AA7" s="35">
        <f t="shared" si="1"/>
        <v>1229.0900000000001</v>
      </c>
      <c r="AB7" s="35">
        <f t="shared" si="1"/>
        <v>1141.9900000000002</v>
      </c>
      <c r="AC7" s="35">
        <f t="shared" si="1"/>
        <v>1081.49</v>
      </c>
      <c r="AD7" s="35">
        <f t="shared" si="1"/>
        <v>1059.29</v>
      </c>
      <c r="AE7" s="35">
        <f t="shared" si="1"/>
        <v>926.29</v>
      </c>
      <c r="AF7" s="35">
        <f t="shared" si="1"/>
        <v>809.79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1105.09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1105.09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22.4</v>
      </c>
      <c r="C11" s="46">
        <v>22.4</v>
      </c>
      <c r="D11" s="46">
        <v>22.4</v>
      </c>
      <c r="E11" s="46">
        <v>22.4</v>
      </c>
      <c r="F11" s="46">
        <v>22.4</v>
      </c>
      <c r="G11" s="46">
        <v>22.4</v>
      </c>
      <c r="H11" s="46">
        <v>22.4</v>
      </c>
      <c r="I11" s="46">
        <v>22.4</v>
      </c>
      <c r="J11" s="46">
        <v>22.4</v>
      </c>
      <c r="K11" s="46">
        <v>22.4</v>
      </c>
      <c r="L11" s="46">
        <v>22.4</v>
      </c>
      <c r="M11" s="46">
        <v>27.3</v>
      </c>
      <c r="N11" s="46">
        <v>27.4</v>
      </c>
      <c r="O11" s="46">
        <v>27.4</v>
      </c>
      <c r="P11" s="46">
        <v>27.4</v>
      </c>
      <c r="Q11" s="46">
        <v>26.4</v>
      </c>
      <c r="R11" s="46">
        <v>29.6</v>
      </c>
      <c r="S11" s="46">
        <v>29.6</v>
      </c>
      <c r="T11" s="46">
        <v>29.6</v>
      </c>
      <c r="U11" s="46">
        <v>29.6</v>
      </c>
      <c r="V11" s="46">
        <v>29.6</v>
      </c>
      <c r="W11" s="46">
        <v>29.6</v>
      </c>
      <c r="X11" s="46">
        <v>29.6</v>
      </c>
      <c r="Y11" s="46">
        <v>29.6</v>
      </c>
      <c r="Z11" s="46">
        <v>29.6</v>
      </c>
      <c r="AA11" s="46">
        <v>29.6</v>
      </c>
      <c r="AB11" s="46">
        <v>24.4</v>
      </c>
      <c r="AC11" s="46">
        <v>26.1</v>
      </c>
      <c r="AD11" s="46">
        <v>24.8</v>
      </c>
      <c r="AE11" s="46">
        <v>26.6</v>
      </c>
      <c r="AF11" s="46">
        <v>30</v>
      </c>
      <c r="AG11" s="47">
        <v>86</v>
      </c>
      <c r="AH11" s="48">
        <f t="shared" ref="AH11:AH16" si="2">MAX(B11:AF11)</f>
        <v>30</v>
      </c>
      <c r="AI11" s="49">
        <f t="shared" ref="AI11:AI16" si="3">MIN(B11:AF11)</f>
        <v>22.4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8</v>
      </c>
      <c r="C12" s="46">
        <v>8</v>
      </c>
      <c r="D12" s="46">
        <v>8</v>
      </c>
      <c r="E12" s="46">
        <v>8</v>
      </c>
      <c r="F12" s="46">
        <v>8</v>
      </c>
      <c r="G12" s="46">
        <v>8</v>
      </c>
      <c r="H12" s="46">
        <v>8</v>
      </c>
      <c r="I12" s="46">
        <v>8</v>
      </c>
      <c r="J12" s="46">
        <v>8</v>
      </c>
      <c r="K12" s="46">
        <v>8</v>
      </c>
      <c r="L12" s="46">
        <v>8</v>
      </c>
      <c r="M12" s="46">
        <v>8</v>
      </c>
      <c r="N12" s="46">
        <v>8</v>
      </c>
      <c r="O12" s="46">
        <v>8</v>
      </c>
      <c r="P12" s="46">
        <v>8</v>
      </c>
      <c r="Q12" s="46">
        <v>8</v>
      </c>
      <c r="R12" s="46">
        <v>8</v>
      </c>
      <c r="S12" s="46">
        <v>8</v>
      </c>
      <c r="T12" s="46">
        <v>8</v>
      </c>
      <c r="U12" s="46">
        <v>8</v>
      </c>
      <c r="V12" s="46">
        <v>8</v>
      </c>
      <c r="W12" s="46">
        <v>8</v>
      </c>
      <c r="X12" s="46">
        <v>8</v>
      </c>
      <c r="Y12" s="46">
        <v>8</v>
      </c>
      <c r="Z12" s="46">
        <v>8</v>
      </c>
      <c r="AA12" s="46">
        <v>8</v>
      </c>
      <c r="AB12" s="46">
        <v>8</v>
      </c>
      <c r="AC12" s="46">
        <v>8</v>
      </c>
      <c r="AD12" s="46">
        <v>8</v>
      </c>
      <c r="AE12" s="46">
        <v>8</v>
      </c>
      <c r="AF12" s="46">
        <v>8</v>
      </c>
      <c r="AG12" s="50">
        <v>54</v>
      </c>
      <c r="AH12" s="48">
        <f t="shared" si="2"/>
        <v>8</v>
      </c>
      <c r="AI12" s="49">
        <f t="shared" si="3"/>
        <v>8</v>
      </c>
      <c r="AK12" s="51"/>
      <c r="AL12" s="52" t="str">
        <f ca="1">MID(CELL("filename",C7),FIND("]",CELL("filename",C7))+1,600)</f>
        <v>12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8.9</v>
      </c>
      <c r="C13" s="46">
        <v>8.9</v>
      </c>
      <c r="D13" s="46">
        <v>8.9</v>
      </c>
      <c r="E13" s="46">
        <v>8.9</v>
      </c>
      <c r="F13" s="46">
        <v>8.9</v>
      </c>
      <c r="G13" s="46">
        <v>8.9</v>
      </c>
      <c r="H13" s="46">
        <v>8.9</v>
      </c>
      <c r="I13" s="46">
        <v>8.9</v>
      </c>
      <c r="J13" s="46">
        <v>8.9</v>
      </c>
      <c r="K13" s="46">
        <v>8.9</v>
      </c>
      <c r="L13" s="46">
        <v>8.9</v>
      </c>
      <c r="M13" s="46">
        <v>10</v>
      </c>
      <c r="N13" s="46">
        <v>10</v>
      </c>
      <c r="O13" s="46">
        <v>10</v>
      </c>
      <c r="P13" s="46">
        <v>10</v>
      </c>
      <c r="Q13" s="46">
        <v>10</v>
      </c>
      <c r="R13" s="46">
        <v>10</v>
      </c>
      <c r="S13" s="46">
        <v>10</v>
      </c>
      <c r="T13" s="46">
        <v>10</v>
      </c>
      <c r="U13" s="46">
        <v>10</v>
      </c>
      <c r="V13" s="46">
        <v>10</v>
      </c>
      <c r="W13" s="46">
        <v>10</v>
      </c>
      <c r="X13" s="46">
        <v>10</v>
      </c>
      <c r="Y13" s="46">
        <v>10</v>
      </c>
      <c r="Z13" s="46">
        <v>10</v>
      </c>
      <c r="AA13" s="46">
        <v>10</v>
      </c>
      <c r="AB13" s="46">
        <v>10.9</v>
      </c>
      <c r="AC13" s="46">
        <v>10.9</v>
      </c>
      <c r="AD13" s="46">
        <v>10.9</v>
      </c>
      <c r="AE13" s="46">
        <v>11.9</v>
      </c>
      <c r="AF13" s="46">
        <v>11.9</v>
      </c>
      <c r="AG13" s="50">
        <v>54</v>
      </c>
      <c r="AH13" s="48">
        <f t="shared" si="2"/>
        <v>11.9</v>
      </c>
      <c r="AI13" s="49">
        <f t="shared" si="3"/>
        <v>8.9</v>
      </c>
      <c r="AK13" s="51"/>
      <c r="AL13" s="52" t="str">
        <f ca="1">"Daily Load Curve(Excluding of Export) of Nepal ("&amp;A4&amp;" "&amp;B4&amp;")"</f>
        <v>Daily Load Curve(Excluding of Export) of Nepal (Nepali Date: 2080/10/12)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15.5</v>
      </c>
      <c r="C14" s="46">
        <v>15.5</v>
      </c>
      <c r="D14" s="46">
        <v>15.5</v>
      </c>
      <c r="E14" s="46">
        <v>15.5</v>
      </c>
      <c r="F14" s="46">
        <v>15.5</v>
      </c>
      <c r="G14" s="46">
        <v>15.5</v>
      </c>
      <c r="H14" s="46">
        <v>15.5</v>
      </c>
      <c r="I14" s="46">
        <v>15.5</v>
      </c>
      <c r="J14" s="46">
        <v>15.5</v>
      </c>
      <c r="K14" s="46">
        <v>15.5</v>
      </c>
      <c r="L14" s="46">
        <v>15.5</v>
      </c>
      <c r="M14" s="46">
        <v>15.1</v>
      </c>
      <c r="N14" s="46">
        <v>15.1</v>
      </c>
      <c r="O14" s="46">
        <v>15.1</v>
      </c>
      <c r="P14" s="46">
        <v>15.1</v>
      </c>
      <c r="Q14" s="46">
        <v>13.3</v>
      </c>
      <c r="R14" s="46">
        <v>14.6</v>
      </c>
      <c r="S14" s="46">
        <v>14.6</v>
      </c>
      <c r="T14" s="46">
        <v>14.6</v>
      </c>
      <c r="U14" s="46">
        <v>14.6</v>
      </c>
      <c r="V14" s="46">
        <v>14.6</v>
      </c>
      <c r="W14" s="46">
        <v>14.6</v>
      </c>
      <c r="X14" s="46">
        <v>14.6</v>
      </c>
      <c r="Y14" s="46">
        <v>14.6</v>
      </c>
      <c r="Z14" s="46">
        <v>14.6</v>
      </c>
      <c r="AA14" s="46">
        <v>14.6</v>
      </c>
      <c r="AB14" s="46">
        <v>13.4</v>
      </c>
      <c r="AC14" s="46">
        <v>13.4</v>
      </c>
      <c r="AD14" s="46">
        <v>13.4</v>
      </c>
      <c r="AE14" s="46">
        <v>17</v>
      </c>
      <c r="AF14" s="46">
        <v>22.6</v>
      </c>
      <c r="AG14" s="47">
        <v>52.4</v>
      </c>
      <c r="AH14" s="48">
        <f t="shared" si="2"/>
        <v>22.6</v>
      </c>
      <c r="AI14" s="49">
        <f t="shared" si="3"/>
        <v>13.3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25</v>
      </c>
      <c r="C15" s="46">
        <v>25</v>
      </c>
      <c r="D15" s="46">
        <v>25</v>
      </c>
      <c r="E15" s="46">
        <v>29</v>
      </c>
      <c r="F15" s="46">
        <v>31</v>
      </c>
      <c r="G15" s="46">
        <v>31</v>
      </c>
      <c r="H15" s="46">
        <v>31</v>
      </c>
      <c r="I15" s="46">
        <v>31</v>
      </c>
      <c r="J15" s="46">
        <v>33</v>
      </c>
      <c r="K15" s="46">
        <v>33</v>
      </c>
      <c r="L15" s="46">
        <v>34</v>
      </c>
      <c r="M15" s="46">
        <v>33.6</v>
      </c>
      <c r="N15" s="46">
        <v>33.6</v>
      </c>
      <c r="O15" s="46">
        <v>33.6</v>
      </c>
      <c r="P15" s="46">
        <v>33.6</v>
      </c>
      <c r="Q15" s="46">
        <v>33.5</v>
      </c>
      <c r="R15" s="46">
        <v>33.200000000000003</v>
      </c>
      <c r="S15" s="46">
        <v>33.200000000000003</v>
      </c>
      <c r="T15" s="46">
        <v>33.200000000000003</v>
      </c>
      <c r="U15" s="46">
        <v>33.200000000000003</v>
      </c>
      <c r="V15" s="46">
        <v>33.200000000000003</v>
      </c>
      <c r="W15" s="46">
        <v>33.200000000000003</v>
      </c>
      <c r="X15" s="46">
        <v>33.200000000000003</v>
      </c>
      <c r="Y15" s="46">
        <v>33.200000000000003</v>
      </c>
      <c r="Z15" s="46">
        <v>33.200000000000003</v>
      </c>
      <c r="AA15" s="46">
        <v>33.200000000000003</v>
      </c>
      <c r="AB15" s="46">
        <v>30</v>
      </c>
      <c r="AC15" s="46">
        <v>30</v>
      </c>
      <c r="AD15" s="46">
        <v>30</v>
      </c>
      <c r="AE15" s="46">
        <v>29.8</v>
      </c>
      <c r="AF15" s="46">
        <v>28.8</v>
      </c>
      <c r="AG15" s="50">
        <v>50</v>
      </c>
      <c r="AH15" s="48">
        <f t="shared" si="2"/>
        <v>34</v>
      </c>
      <c r="AI15" s="49">
        <f t="shared" si="3"/>
        <v>25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14.3</v>
      </c>
      <c r="C16" s="46">
        <v>14.3</v>
      </c>
      <c r="D16" s="46">
        <v>14.3</v>
      </c>
      <c r="E16" s="46">
        <v>14.3</v>
      </c>
      <c r="F16" s="46">
        <v>14.3</v>
      </c>
      <c r="G16" s="46">
        <v>14.3</v>
      </c>
      <c r="H16" s="46">
        <v>14.3</v>
      </c>
      <c r="I16" s="46">
        <v>14.3</v>
      </c>
      <c r="J16" s="46">
        <v>14.3</v>
      </c>
      <c r="K16" s="46">
        <v>14.3</v>
      </c>
      <c r="L16" s="46">
        <v>14.3</v>
      </c>
      <c r="M16" s="46">
        <v>18.2</v>
      </c>
      <c r="N16" s="46">
        <v>18.2</v>
      </c>
      <c r="O16" s="46">
        <v>18.2</v>
      </c>
      <c r="P16" s="46">
        <v>18.2</v>
      </c>
      <c r="Q16" s="46">
        <v>16</v>
      </c>
      <c r="R16" s="46">
        <v>16</v>
      </c>
      <c r="S16" s="46">
        <v>16</v>
      </c>
      <c r="T16" s="46">
        <v>16</v>
      </c>
      <c r="U16" s="46">
        <v>16</v>
      </c>
      <c r="V16" s="46">
        <v>16</v>
      </c>
      <c r="W16" s="46">
        <v>16</v>
      </c>
      <c r="X16" s="46">
        <v>16</v>
      </c>
      <c r="Y16" s="46">
        <v>16</v>
      </c>
      <c r="Z16" s="46">
        <v>16</v>
      </c>
      <c r="AA16" s="46">
        <v>16</v>
      </c>
      <c r="AB16" s="46">
        <v>17.399999999999999</v>
      </c>
      <c r="AC16" s="46">
        <v>17.399999999999999</v>
      </c>
      <c r="AD16" s="46">
        <v>17.399999999999999</v>
      </c>
      <c r="AE16" s="46">
        <v>17.399999999999999</v>
      </c>
      <c r="AF16" s="46">
        <v>17.399999999999999</v>
      </c>
      <c r="AG16" s="50">
        <v>45</v>
      </c>
      <c r="AH16" s="48">
        <f t="shared" si="2"/>
        <v>18.2</v>
      </c>
      <c r="AI16" s="49">
        <f t="shared" si="3"/>
        <v>14.3</v>
      </c>
      <c r="AK16" s="51"/>
      <c r="AL16" s="54" t="s">
        <v>7</v>
      </c>
      <c r="AM16" s="59">
        <f>B58</f>
        <v>451.65000000000003</v>
      </c>
      <c r="AN16" s="59">
        <f t="shared" ref="AN16:AR16" si="4">C58</f>
        <v>451.65000000000003</v>
      </c>
      <c r="AO16" s="59">
        <f t="shared" si="4"/>
        <v>451.65000000000003</v>
      </c>
      <c r="AP16" s="59">
        <f t="shared" si="4"/>
        <v>455.65000000000003</v>
      </c>
      <c r="AQ16" s="59">
        <f t="shared" si="4"/>
        <v>457.65000000000003</v>
      </c>
      <c r="AR16" s="59">
        <f t="shared" si="4"/>
        <v>457.65000000000003</v>
      </c>
      <c r="AS16" s="59">
        <f>I58</f>
        <v>457.65000000000003</v>
      </c>
      <c r="AT16" s="59">
        <f>K58</f>
        <v>459.65000000000003</v>
      </c>
      <c r="AU16" s="59">
        <f t="shared" ref="AU16:AX16" si="5">M58</f>
        <v>482.04999999999995</v>
      </c>
      <c r="AV16" s="59">
        <f t="shared" si="5"/>
        <v>482.15</v>
      </c>
      <c r="AW16" s="59">
        <f t="shared" si="5"/>
        <v>482.15</v>
      </c>
      <c r="AX16" s="59">
        <f t="shared" si="5"/>
        <v>482.15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12</v>
      </c>
      <c r="C17" s="46">
        <v>12</v>
      </c>
      <c r="D17" s="46">
        <v>12</v>
      </c>
      <c r="E17" s="46">
        <v>12</v>
      </c>
      <c r="F17" s="46">
        <v>12</v>
      </c>
      <c r="G17" s="46">
        <v>12</v>
      </c>
      <c r="H17" s="46">
        <v>12</v>
      </c>
      <c r="I17" s="46">
        <v>12</v>
      </c>
      <c r="J17" s="46">
        <v>12</v>
      </c>
      <c r="K17" s="46">
        <v>12</v>
      </c>
      <c r="L17" s="46">
        <v>12</v>
      </c>
      <c r="M17" s="46">
        <v>12</v>
      </c>
      <c r="N17" s="46">
        <v>12</v>
      </c>
      <c r="O17" s="46">
        <v>12</v>
      </c>
      <c r="P17" s="46">
        <v>12</v>
      </c>
      <c r="Q17" s="46">
        <v>12</v>
      </c>
      <c r="R17" s="46">
        <v>12</v>
      </c>
      <c r="S17" s="46">
        <v>12</v>
      </c>
      <c r="T17" s="46">
        <v>12</v>
      </c>
      <c r="U17" s="46">
        <v>12</v>
      </c>
      <c r="V17" s="46">
        <v>12</v>
      </c>
      <c r="W17" s="46">
        <v>12</v>
      </c>
      <c r="X17" s="46">
        <v>12</v>
      </c>
      <c r="Y17" s="46">
        <v>12</v>
      </c>
      <c r="Z17" s="46">
        <v>12</v>
      </c>
      <c r="AA17" s="46">
        <v>12</v>
      </c>
      <c r="AB17" s="46">
        <v>0</v>
      </c>
      <c r="AC17" s="46">
        <v>0</v>
      </c>
      <c r="AD17" s="46">
        <v>0</v>
      </c>
      <c r="AE17" s="46">
        <v>12</v>
      </c>
      <c r="AF17" s="46">
        <v>12</v>
      </c>
      <c r="AG17" s="50">
        <v>44</v>
      </c>
      <c r="AH17" s="48">
        <f>MAX(B17:AG17)</f>
        <v>44</v>
      </c>
      <c r="AI17" s="49">
        <f>MIN(B17:AG17)</f>
        <v>0</v>
      </c>
      <c r="AK17" s="51"/>
      <c r="AL17" s="54" t="s">
        <v>27</v>
      </c>
      <c r="AM17" s="59">
        <f>B62</f>
        <v>35</v>
      </c>
      <c r="AN17" s="59">
        <f t="shared" ref="AN17:AR17" si="6">C62</f>
        <v>20</v>
      </c>
      <c r="AO17" s="59">
        <f t="shared" si="6"/>
        <v>20</v>
      </c>
      <c r="AP17" s="59">
        <f t="shared" si="6"/>
        <v>20</v>
      </c>
      <c r="AQ17" s="59">
        <f t="shared" si="6"/>
        <v>20</v>
      </c>
      <c r="AR17" s="59">
        <f t="shared" si="6"/>
        <v>20</v>
      </c>
      <c r="AS17" s="59">
        <f>I62</f>
        <v>90</v>
      </c>
      <c r="AT17" s="59">
        <f>K62</f>
        <v>70</v>
      </c>
      <c r="AU17" s="59">
        <f t="shared" ref="AU17:AX17" si="7">M62</f>
        <v>100</v>
      </c>
      <c r="AV17" s="59">
        <f t="shared" si="7"/>
        <v>75</v>
      </c>
      <c r="AW17" s="59">
        <f t="shared" si="7"/>
        <v>70</v>
      </c>
      <c r="AX17" s="59">
        <f t="shared" si="7"/>
        <v>36.4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6.5</v>
      </c>
      <c r="C18" s="46">
        <v>6.5</v>
      </c>
      <c r="D18" s="46">
        <v>6.5</v>
      </c>
      <c r="E18" s="46">
        <v>6.5</v>
      </c>
      <c r="F18" s="46">
        <v>6.5</v>
      </c>
      <c r="G18" s="46">
        <v>6.5</v>
      </c>
      <c r="H18" s="46">
        <v>6.5</v>
      </c>
      <c r="I18" s="46">
        <v>6.5</v>
      </c>
      <c r="J18" s="46">
        <v>6.5</v>
      </c>
      <c r="K18" s="46">
        <v>6.5</v>
      </c>
      <c r="L18" s="46">
        <v>6.5</v>
      </c>
      <c r="M18" s="46">
        <v>8</v>
      </c>
      <c r="N18" s="46">
        <v>8</v>
      </c>
      <c r="O18" s="46">
        <v>8</v>
      </c>
      <c r="P18" s="46">
        <v>8</v>
      </c>
      <c r="Q18" s="46">
        <v>8</v>
      </c>
      <c r="R18" s="46">
        <v>8</v>
      </c>
      <c r="S18" s="46">
        <v>8</v>
      </c>
      <c r="T18" s="46">
        <v>8</v>
      </c>
      <c r="U18" s="46">
        <v>8</v>
      </c>
      <c r="V18" s="46">
        <v>8</v>
      </c>
      <c r="W18" s="46">
        <v>8</v>
      </c>
      <c r="X18" s="46">
        <v>8</v>
      </c>
      <c r="Y18" s="46">
        <v>8</v>
      </c>
      <c r="Z18" s="46">
        <v>8</v>
      </c>
      <c r="AA18" s="46">
        <v>8</v>
      </c>
      <c r="AB18" s="46">
        <v>8</v>
      </c>
      <c r="AC18" s="46">
        <v>8</v>
      </c>
      <c r="AD18" s="46">
        <v>8</v>
      </c>
      <c r="AE18" s="46">
        <v>8</v>
      </c>
      <c r="AF18" s="46">
        <v>8</v>
      </c>
      <c r="AG18" s="50">
        <v>42</v>
      </c>
      <c r="AH18" s="48">
        <f t="shared" ref="AH18:AH81" si="8">MAX(B18:AF18)</f>
        <v>8</v>
      </c>
      <c r="AI18" s="49">
        <f t="shared" ref="AI18:AI81" si="9">MIN(B18:AF18)</f>
        <v>6.5</v>
      </c>
      <c r="AK18" s="51"/>
      <c r="AL18" s="54" t="s">
        <v>29</v>
      </c>
      <c r="AM18" s="59">
        <f>B76</f>
        <v>193.54</v>
      </c>
      <c r="AN18" s="59">
        <f t="shared" ref="AN18:AR18" si="10">C76</f>
        <v>197.14</v>
      </c>
      <c r="AO18" s="59">
        <f t="shared" si="10"/>
        <v>108.04</v>
      </c>
      <c r="AP18" s="59">
        <f t="shared" si="10"/>
        <v>94.34</v>
      </c>
      <c r="AQ18" s="59">
        <f t="shared" si="10"/>
        <v>80.14</v>
      </c>
      <c r="AR18" s="59">
        <f t="shared" si="10"/>
        <v>85.04</v>
      </c>
      <c r="AS18" s="59">
        <f>I76</f>
        <v>158.73999999999998</v>
      </c>
      <c r="AT18" s="59">
        <f>K76</f>
        <v>270.24000000000007</v>
      </c>
      <c r="AU18" s="59">
        <f t="shared" ref="AU18:AX18" si="11">M76</f>
        <v>284.94</v>
      </c>
      <c r="AV18" s="59">
        <f t="shared" si="11"/>
        <v>237.64000000000001</v>
      </c>
      <c r="AW18" s="59">
        <f t="shared" si="11"/>
        <v>238.94</v>
      </c>
      <c r="AX18" s="59">
        <f t="shared" si="11"/>
        <v>222.44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14.5</v>
      </c>
      <c r="C19" s="46">
        <v>14.5</v>
      </c>
      <c r="D19" s="46">
        <v>14.5</v>
      </c>
      <c r="E19" s="46">
        <v>14.5</v>
      </c>
      <c r="F19" s="46">
        <v>14.5</v>
      </c>
      <c r="G19" s="46">
        <v>14.5</v>
      </c>
      <c r="H19" s="46">
        <v>14.5</v>
      </c>
      <c r="I19" s="46">
        <v>14.5</v>
      </c>
      <c r="J19" s="46">
        <v>14.5</v>
      </c>
      <c r="K19" s="46">
        <v>14.5</v>
      </c>
      <c r="L19" s="46">
        <v>14.5</v>
      </c>
      <c r="M19" s="46">
        <v>15</v>
      </c>
      <c r="N19" s="46">
        <v>15</v>
      </c>
      <c r="O19" s="46">
        <v>15</v>
      </c>
      <c r="P19" s="46">
        <v>15</v>
      </c>
      <c r="Q19" s="46">
        <v>15</v>
      </c>
      <c r="R19" s="46">
        <v>15</v>
      </c>
      <c r="S19" s="46">
        <v>15</v>
      </c>
      <c r="T19" s="46">
        <v>15</v>
      </c>
      <c r="U19" s="46">
        <v>15</v>
      </c>
      <c r="V19" s="46">
        <v>15</v>
      </c>
      <c r="W19" s="46">
        <v>15</v>
      </c>
      <c r="X19" s="46">
        <v>15</v>
      </c>
      <c r="Y19" s="46">
        <v>15</v>
      </c>
      <c r="Z19" s="46">
        <v>15</v>
      </c>
      <c r="AA19" s="46">
        <v>15</v>
      </c>
      <c r="AB19" s="46">
        <v>15</v>
      </c>
      <c r="AC19" s="46">
        <v>15</v>
      </c>
      <c r="AD19" s="46">
        <v>15</v>
      </c>
      <c r="AE19" s="46">
        <v>15</v>
      </c>
      <c r="AF19" s="46">
        <v>15</v>
      </c>
      <c r="AG19" s="50">
        <v>38.46</v>
      </c>
      <c r="AH19" s="48">
        <f t="shared" si="8"/>
        <v>15</v>
      </c>
      <c r="AI19" s="49">
        <f t="shared" si="9"/>
        <v>14.5</v>
      </c>
      <c r="AK19" s="51"/>
      <c r="AL19" s="54" t="s">
        <v>31</v>
      </c>
      <c r="AM19" s="59">
        <f>B92</f>
        <v>253.9</v>
      </c>
      <c r="AN19" s="59">
        <f t="shared" ref="AN19:AR19" si="12">C92</f>
        <v>247.5</v>
      </c>
      <c r="AO19" s="59">
        <f t="shared" si="12"/>
        <v>307.39999999999998</v>
      </c>
      <c r="AP19" s="59">
        <f t="shared" si="12"/>
        <v>297.2</v>
      </c>
      <c r="AQ19" s="59">
        <f t="shared" si="12"/>
        <v>262.39999999999998</v>
      </c>
      <c r="AR19" s="59">
        <f t="shared" si="12"/>
        <v>284.5</v>
      </c>
      <c r="AS19" s="59">
        <f>I92</f>
        <v>225.5</v>
      </c>
      <c r="AT19" s="59">
        <f>K92</f>
        <v>228.9</v>
      </c>
      <c r="AU19" s="59">
        <f t="shared" ref="AU19:AX19" si="13">M92</f>
        <v>238.1</v>
      </c>
      <c r="AV19" s="59">
        <f t="shared" si="13"/>
        <v>211.8</v>
      </c>
      <c r="AW19" s="59">
        <f t="shared" si="13"/>
        <v>167.9</v>
      </c>
      <c r="AX19" s="59">
        <f t="shared" si="13"/>
        <v>165.6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7.8</v>
      </c>
      <c r="C20" s="46">
        <v>7.8</v>
      </c>
      <c r="D20" s="46">
        <v>7.8</v>
      </c>
      <c r="E20" s="46">
        <v>7.8</v>
      </c>
      <c r="F20" s="46">
        <v>7.8</v>
      </c>
      <c r="G20" s="46">
        <v>7.8</v>
      </c>
      <c r="H20" s="46">
        <v>7.8</v>
      </c>
      <c r="I20" s="46">
        <v>7.8</v>
      </c>
      <c r="J20" s="46">
        <v>7.8</v>
      </c>
      <c r="K20" s="46">
        <v>7.8</v>
      </c>
      <c r="L20" s="46">
        <v>7.8</v>
      </c>
      <c r="M20" s="46">
        <v>7.8</v>
      </c>
      <c r="N20" s="46">
        <v>7.8</v>
      </c>
      <c r="O20" s="46">
        <v>7.8</v>
      </c>
      <c r="P20" s="46">
        <v>7.8</v>
      </c>
      <c r="Q20" s="46">
        <v>7.8</v>
      </c>
      <c r="R20" s="46">
        <v>7.8</v>
      </c>
      <c r="S20" s="46">
        <v>7.8</v>
      </c>
      <c r="T20" s="46">
        <v>7.8</v>
      </c>
      <c r="U20" s="46">
        <v>7.8</v>
      </c>
      <c r="V20" s="46">
        <v>7.8</v>
      </c>
      <c r="W20" s="46">
        <v>7.8</v>
      </c>
      <c r="X20" s="46">
        <v>7.8</v>
      </c>
      <c r="Y20" s="46">
        <v>7.8</v>
      </c>
      <c r="Z20" s="46">
        <v>7.8</v>
      </c>
      <c r="AA20" s="46">
        <v>7.8</v>
      </c>
      <c r="AB20" s="46">
        <v>7.8</v>
      </c>
      <c r="AC20" s="46">
        <v>7.8</v>
      </c>
      <c r="AD20" s="46">
        <v>7.8</v>
      </c>
      <c r="AE20" s="46">
        <v>7.8</v>
      </c>
      <c r="AF20" s="46">
        <v>7.8</v>
      </c>
      <c r="AG20" s="50">
        <v>38.46</v>
      </c>
      <c r="AH20" s="48">
        <f t="shared" si="8"/>
        <v>7.8</v>
      </c>
      <c r="AI20" s="49">
        <f t="shared" si="9"/>
        <v>7.8</v>
      </c>
      <c r="AK20" s="51"/>
      <c r="AL20" s="54" t="s">
        <v>33</v>
      </c>
      <c r="AM20" s="59">
        <f>B80</f>
        <v>0</v>
      </c>
      <c r="AN20" s="59">
        <f t="shared" ref="AN20:AR20" si="14">C80</f>
        <v>0</v>
      </c>
      <c r="AO20" s="59">
        <f t="shared" si="14"/>
        <v>0</v>
      </c>
      <c r="AP20" s="59">
        <f t="shared" si="14"/>
        <v>0</v>
      </c>
      <c r="AQ20" s="59">
        <f t="shared" si="14"/>
        <v>0</v>
      </c>
      <c r="AR20" s="59">
        <f t="shared" si="14"/>
        <v>0</v>
      </c>
      <c r="AS20" s="59">
        <f>I80</f>
        <v>0</v>
      </c>
      <c r="AT20" s="59">
        <f>K80</f>
        <v>0</v>
      </c>
      <c r="AU20" s="59">
        <f t="shared" ref="AU20:AX20" si="15">M80</f>
        <v>0</v>
      </c>
      <c r="AV20" s="59">
        <f t="shared" si="15"/>
        <v>0</v>
      </c>
      <c r="AW20" s="59">
        <f t="shared" si="15"/>
        <v>0</v>
      </c>
      <c r="AX20" s="59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13</v>
      </c>
      <c r="C21" s="46">
        <v>13</v>
      </c>
      <c r="D21" s="46">
        <v>13</v>
      </c>
      <c r="E21" s="46">
        <v>13</v>
      </c>
      <c r="F21" s="46">
        <v>13</v>
      </c>
      <c r="G21" s="46">
        <v>13</v>
      </c>
      <c r="H21" s="46">
        <v>13</v>
      </c>
      <c r="I21" s="46">
        <v>13</v>
      </c>
      <c r="J21" s="46">
        <v>13</v>
      </c>
      <c r="K21" s="46">
        <v>13</v>
      </c>
      <c r="L21" s="46">
        <v>13</v>
      </c>
      <c r="M21" s="46">
        <v>13</v>
      </c>
      <c r="N21" s="46">
        <v>13</v>
      </c>
      <c r="O21" s="46">
        <v>13</v>
      </c>
      <c r="P21" s="46">
        <v>13</v>
      </c>
      <c r="Q21" s="46">
        <v>13</v>
      </c>
      <c r="R21" s="46">
        <v>13</v>
      </c>
      <c r="S21" s="46">
        <v>13</v>
      </c>
      <c r="T21" s="46">
        <v>13</v>
      </c>
      <c r="U21" s="46">
        <v>13</v>
      </c>
      <c r="V21" s="46">
        <v>13</v>
      </c>
      <c r="W21" s="46">
        <v>13</v>
      </c>
      <c r="X21" s="46">
        <v>13</v>
      </c>
      <c r="Y21" s="46">
        <v>13</v>
      </c>
      <c r="Z21" s="46">
        <v>13</v>
      </c>
      <c r="AA21" s="46">
        <v>13</v>
      </c>
      <c r="AB21" s="46">
        <v>13</v>
      </c>
      <c r="AC21" s="46">
        <v>13</v>
      </c>
      <c r="AD21" s="46">
        <v>13</v>
      </c>
      <c r="AE21" s="46">
        <v>13</v>
      </c>
      <c r="AF21" s="46">
        <v>13</v>
      </c>
      <c r="AG21" s="50">
        <v>36</v>
      </c>
      <c r="AH21" s="48">
        <f t="shared" si="8"/>
        <v>13</v>
      </c>
      <c r="AI21" s="49">
        <f t="shared" si="9"/>
        <v>13</v>
      </c>
      <c r="AK21" s="51"/>
      <c r="AL21" s="54" t="s">
        <v>35</v>
      </c>
      <c r="AM21" s="59">
        <f>B98</f>
        <v>0</v>
      </c>
      <c r="AN21" s="59">
        <f t="shared" ref="AN21:AR21" si="16">C98</f>
        <v>0</v>
      </c>
      <c r="AO21" s="59">
        <f t="shared" si="16"/>
        <v>0</v>
      </c>
      <c r="AP21" s="59">
        <f t="shared" si="16"/>
        <v>0</v>
      </c>
      <c r="AQ21" s="59">
        <f t="shared" si="16"/>
        <v>0</v>
      </c>
      <c r="AR21" s="59">
        <f t="shared" si="16"/>
        <v>0</v>
      </c>
      <c r="AS21" s="59">
        <f>I98</f>
        <v>0</v>
      </c>
      <c r="AT21" s="59">
        <f>K98</f>
        <v>0</v>
      </c>
      <c r="AU21" s="59">
        <f t="shared" ref="AU21:AX21" si="17">M98</f>
        <v>0</v>
      </c>
      <c r="AV21" s="59">
        <f t="shared" si="17"/>
        <v>0</v>
      </c>
      <c r="AW21" s="59">
        <f t="shared" si="17"/>
        <v>0</v>
      </c>
      <c r="AX21" s="59">
        <f t="shared" si="17"/>
        <v>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6.9</v>
      </c>
      <c r="C22" s="46">
        <v>6.9</v>
      </c>
      <c r="D22" s="46">
        <v>6.9</v>
      </c>
      <c r="E22" s="46">
        <v>6.9</v>
      </c>
      <c r="F22" s="46">
        <v>6.9</v>
      </c>
      <c r="G22" s="46">
        <v>6.9</v>
      </c>
      <c r="H22" s="46">
        <v>6.9</v>
      </c>
      <c r="I22" s="46">
        <v>6.9</v>
      </c>
      <c r="J22" s="46">
        <v>6.9</v>
      </c>
      <c r="K22" s="46">
        <v>6.9</v>
      </c>
      <c r="L22" s="46">
        <v>6.9</v>
      </c>
      <c r="M22" s="46">
        <v>7.8</v>
      </c>
      <c r="N22" s="46">
        <v>7.8</v>
      </c>
      <c r="O22" s="46">
        <v>7.8</v>
      </c>
      <c r="P22" s="46">
        <v>7.8</v>
      </c>
      <c r="Q22" s="46">
        <v>7.3</v>
      </c>
      <c r="R22" s="46">
        <v>7.3</v>
      </c>
      <c r="S22" s="46">
        <v>7.3</v>
      </c>
      <c r="T22" s="46">
        <v>7.3</v>
      </c>
      <c r="U22" s="46">
        <v>7.3</v>
      </c>
      <c r="V22" s="46">
        <v>7.3</v>
      </c>
      <c r="W22" s="46">
        <v>7.3</v>
      </c>
      <c r="X22" s="46">
        <v>7.3</v>
      </c>
      <c r="Y22" s="46">
        <v>7.3</v>
      </c>
      <c r="Z22" s="46">
        <v>7.3</v>
      </c>
      <c r="AA22" s="46">
        <v>7.3</v>
      </c>
      <c r="AB22" s="46">
        <v>7.3</v>
      </c>
      <c r="AC22" s="46">
        <v>7.3</v>
      </c>
      <c r="AD22" s="46">
        <v>7.3</v>
      </c>
      <c r="AE22" s="46">
        <v>7.3</v>
      </c>
      <c r="AF22" s="46">
        <v>7.3</v>
      </c>
      <c r="AG22" s="60">
        <v>30</v>
      </c>
      <c r="AH22" s="48">
        <f t="shared" si="8"/>
        <v>7.8</v>
      </c>
      <c r="AI22" s="49">
        <f t="shared" si="9"/>
        <v>6.9</v>
      </c>
      <c r="AK22" s="51"/>
      <c r="AL22" s="61" t="s">
        <v>37</v>
      </c>
      <c r="AM22" s="62">
        <f>SUM(AM16:AM21)</f>
        <v>934.09</v>
      </c>
      <c r="AN22" s="62">
        <f t="shared" ref="AN22:AX22" si="18">SUM(AN16:AN21)</f>
        <v>916.29</v>
      </c>
      <c r="AO22" s="62">
        <f t="shared" si="18"/>
        <v>887.09</v>
      </c>
      <c r="AP22" s="62">
        <f t="shared" si="18"/>
        <v>867.19</v>
      </c>
      <c r="AQ22" s="62">
        <f t="shared" si="18"/>
        <v>820.19</v>
      </c>
      <c r="AR22" s="62">
        <f t="shared" si="18"/>
        <v>847.19</v>
      </c>
      <c r="AS22" s="62">
        <f t="shared" si="18"/>
        <v>931.8900000000001</v>
      </c>
      <c r="AT22" s="62">
        <f t="shared" si="18"/>
        <v>1028.7900000000002</v>
      </c>
      <c r="AU22" s="62">
        <f t="shared" si="18"/>
        <v>1105.0899999999999</v>
      </c>
      <c r="AV22" s="62">
        <f t="shared" si="18"/>
        <v>1006.5899999999999</v>
      </c>
      <c r="AW22" s="62">
        <f t="shared" si="18"/>
        <v>958.9899999999999</v>
      </c>
      <c r="AX22" s="62">
        <f t="shared" si="18"/>
        <v>906.59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5.5</v>
      </c>
      <c r="C23" s="46">
        <v>5.5</v>
      </c>
      <c r="D23" s="46">
        <v>5.5</v>
      </c>
      <c r="E23" s="46">
        <v>5.5</v>
      </c>
      <c r="F23" s="46">
        <v>5.5</v>
      </c>
      <c r="G23" s="46">
        <v>5.5</v>
      </c>
      <c r="H23" s="46">
        <v>5.5</v>
      </c>
      <c r="I23" s="46">
        <v>5.5</v>
      </c>
      <c r="J23" s="46">
        <v>5.5</v>
      </c>
      <c r="K23" s="46">
        <v>5.5</v>
      </c>
      <c r="L23" s="46">
        <v>5.5</v>
      </c>
      <c r="M23" s="46">
        <v>6</v>
      </c>
      <c r="N23" s="46">
        <v>6</v>
      </c>
      <c r="O23" s="46">
        <v>6</v>
      </c>
      <c r="P23" s="46">
        <v>6</v>
      </c>
      <c r="Q23" s="46">
        <v>6</v>
      </c>
      <c r="R23" s="46">
        <v>6</v>
      </c>
      <c r="S23" s="46">
        <v>6</v>
      </c>
      <c r="T23" s="46">
        <v>6</v>
      </c>
      <c r="U23" s="46">
        <v>6</v>
      </c>
      <c r="V23" s="46">
        <v>6</v>
      </c>
      <c r="W23" s="46">
        <v>6</v>
      </c>
      <c r="X23" s="46">
        <v>6</v>
      </c>
      <c r="Y23" s="46">
        <v>6</v>
      </c>
      <c r="Z23" s="46">
        <v>6</v>
      </c>
      <c r="AA23" s="46">
        <v>6</v>
      </c>
      <c r="AB23" s="46">
        <v>6</v>
      </c>
      <c r="AC23" s="46">
        <v>6</v>
      </c>
      <c r="AD23" s="46">
        <v>6</v>
      </c>
      <c r="AE23" s="46">
        <v>6</v>
      </c>
      <c r="AF23" s="46">
        <v>6</v>
      </c>
      <c r="AG23" s="50">
        <v>24.2</v>
      </c>
      <c r="AH23" s="48">
        <f t="shared" si="8"/>
        <v>6</v>
      </c>
      <c r="AI23" s="49">
        <f t="shared" si="9"/>
        <v>5.5</v>
      </c>
      <c r="AK23" s="51"/>
      <c r="AL23" s="61" t="s">
        <v>39</v>
      </c>
      <c r="AM23" s="62">
        <f>B107*-1</f>
        <v>0</v>
      </c>
      <c r="AN23" s="62">
        <f t="shared" ref="AN23:AR23" si="19">C107*-1</f>
        <v>0</v>
      </c>
      <c r="AO23" s="62">
        <f t="shared" si="19"/>
        <v>0</v>
      </c>
      <c r="AP23" s="62">
        <f t="shared" si="19"/>
        <v>0</v>
      </c>
      <c r="AQ23" s="62">
        <f t="shared" si="19"/>
        <v>0</v>
      </c>
      <c r="AR23" s="62">
        <f t="shared" si="19"/>
        <v>0</v>
      </c>
      <c r="AS23" s="62">
        <f>I107*-1</f>
        <v>0</v>
      </c>
      <c r="AT23" s="62">
        <f>K107*-1</f>
        <v>0</v>
      </c>
      <c r="AU23" s="62">
        <f t="shared" ref="AU23:AX23" si="20">M107*-1</f>
        <v>0</v>
      </c>
      <c r="AV23" s="62">
        <f t="shared" si="20"/>
        <v>0</v>
      </c>
      <c r="AW23" s="62">
        <f t="shared" si="20"/>
        <v>0</v>
      </c>
      <c r="AX23" s="62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7.3</v>
      </c>
      <c r="C24" s="46">
        <v>7.3</v>
      </c>
      <c r="D24" s="46">
        <v>7.3</v>
      </c>
      <c r="E24" s="46">
        <v>7.3</v>
      </c>
      <c r="F24" s="46">
        <v>7.3</v>
      </c>
      <c r="G24" s="46">
        <v>7.3</v>
      </c>
      <c r="H24" s="46">
        <v>7.3</v>
      </c>
      <c r="I24" s="46">
        <v>7.3</v>
      </c>
      <c r="J24" s="46">
        <v>7.3</v>
      </c>
      <c r="K24" s="46">
        <v>7.3</v>
      </c>
      <c r="L24" s="46">
        <v>7.3</v>
      </c>
      <c r="M24" s="46">
        <v>7.7</v>
      </c>
      <c r="N24" s="46">
        <v>7.7</v>
      </c>
      <c r="O24" s="46">
        <v>7.7</v>
      </c>
      <c r="P24" s="46">
        <v>7.7</v>
      </c>
      <c r="Q24" s="46">
        <v>7.7</v>
      </c>
      <c r="R24" s="46">
        <v>7.7</v>
      </c>
      <c r="S24" s="46">
        <v>7.7</v>
      </c>
      <c r="T24" s="46">
        <v>7.7</v>
      </c>
      <c r="U24" s="46">
        <v>7.7</v>
      </c>
      <c r="V24" s="46">
        <v>7.7</v>
      </c>
      <c r="W24" s="46">
        <v>7.7</v>
      </c>
      <c r="X24" s="46">
        <v>7.7</v>
      </c>
      <c r="Y24" s="46">
        <v>7.7</v>
      </c>
      <c r="Z24" s="46">
        <v>7.7</v>
      </c>
      <c r="AA24" s="46">
        <v>7.7</v>
      </c>
      <c r="AB24" s="46">
        <v>6.6</v>
      </c>
      <c r="AC24" s="46">
        <v>6.6</v>
      </c>
      <c r="AD24" s="46">
        <v>6.6</v>
      </c>
      <c r="AE24" s="46">
        <v>8.6999999999999993</v>
      </c>
      <c r="AF24" s="46">
        <v>9.6999999999999993</v>
      </c>
      <c r="AG24" s="50">
        <v>28</v>
      </c>
      <c r="AH24" s="48">
        <f t="shared" si="8"/>
        <v>9.6999999999999993</v>
      </c>
      <c r="AI24" s="49">
        <f t="shared" si="9"/>
        <v>6.6</v>
      </c>
      <c r="AK24" s="51"/>
      <c r="AL24" s="61" t="s">
        <v>41</v>
      </c>
      <c r="AM24" s="62">
        <f>AM22+AM23</f>
        <v>934.09</v>
      </c>
      <c r="AN24" s="62">
        <f t="shared" ref="AN24:AX24" si="21">AN22+AN23</f>
        <v>916.29</v>
      </c>
      <c r="AO24" s="62">
        <f t="shared" si="21"/>
        <v>887.09</v>
      </c>
      <c r="AP24" s="62">
        <f t="shared" si="21"/>
        <v>867.19</v>
      </c>
      <c r="AQ24" s="62">
        <f t="shared" si="21"/>
        <v>820.19</v>
      </c>
      <c r="AR24" s="62">
        <f t="shared" si="21"/>
        <v>847.19</v>
      </c>
      <c r="AS24" s="62">
        <f t="shared" si="21"/>
        <v>931.8900000000001</v>
      </c>
      <c r="AT24" s="62">
        <f t="shared" si="21"/>
        <v>1028.7900000000002</v>
      </c>
      <c r="AU24" s="62">
        <f t="shared" si="21"/>
        <v>1105.0899999999999</v>
      </c>
      <c r="AV24" s="62">
        <f t="shared" si="21"/>
        <v>1006.5899999999999</v>
      </c>
      <c r="AW24" s="62">
        <f t="shared" si="21"/>
        <v>958.9899999999999</v>
      </c>
      <c r="AX24" s="62">
        <f t="shared" si="21"/>
        <v>906.59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5.4</v>
      </c>
      <c r="C25" s="46">
        <v>5.4</v>
      </c>
      <c r="D25" s="46">
        <v>5.4</v>
      </c>
      <c r="E25" s="46">
        <v>5.4</v>
      </c>
      <c r="F25" s="46">
        <v>5.4</v>
      </c>
      <c r="G25" s="46">
        <v>5.4</v>
      </c>
      <c r="H25" s="46">
        <v>5.4</v>
      </c>
      <c r="I25" s="46">
        <v>5.4</v>
      </c>
      <c r="J25" s="46">
        <v>5.4</v>
      </c>
      <c r="K25" s="46">
        <v>5.4</v>
      </c>
      <c r="L25" s="46">
        <v>5.4</v>
      </c>
      <c r="M25" s="46">
        <v>8.6</v>
      </c>
      <c r="N25" s="46">
        <v>8.6</v>
      </c>
      <c r="O25" s="46">
        <v>8.6</v>
      </c>
      <c r="P25" s="46">
        <v>8.6</v>
      </c>
      <c r="Q25" s="46">
        <v>7.8</v>
      </c>
      <c r="R25" s="46">
        <v>7.8</v>
      </c>
      <c r="S25" s="46">
        <v>7.8</v>
      </c>
      <c r="T25" s="46">
        <v>7.8</v>
      </c>
      <c r="U25" s="46">
        <v>7.8</v>
      </c>
      <c r="V25" s="46">
        <v>7.8</v>
      </c>
      <c r="W25" s="46">
        <v>7.8</v>
      </c>
      <c r="X25" s="46">
        <v>7.8</v>
      </c>
      <c r="Y25" s="46">
        <v>7.8</v>
      </c>
      <c r="Z25" s="46">
        <v>7.8</v>
      </c>
      <c r="AA25" s="46">
        <v>7.8</v>
      </c>
      <c r="AB25" s="46">
        <v>7.4</v>
      </c>
      <c r="AC25" s="46">
        <v>7.4</v>
      </c>
      <c r="AD25" s="46">
        <v>7.4</v>
      </c>
      <c r="AE25" s="46">
        <v>6.6</v>
      </c>
      <c r="AF25" s="46">
        <v>6.5</v>
      </c>
      <c r="AG25" s="60">
        <v>30</v>
      </c>
      <c r="AH25" s="48">
        <f t="shared" si="8"/>
        <v>8.6</v>
      </c>
      <c r="AI25" s="49">
        <f t="shared" si="9"/>
        <v>5.4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10</v>
      </c>
      <c r="C26" s="46">
        <v>10</v>
      </c>
      <c r="D26" s="46">
        <v>10</v>
      </c>
      <c r="E26" s="46">
        <v>10</v>
      </c>
      <c r="F26" s="46">
        <v>10</v>
      </c>
      <c r="G26" s="46">
        <v>10</v>
      </c>
      <c r="H26" s="46">
        <v>10</v>
      </c>
      <c r="I26" s="46">
        <v>10</v>
      </c>
      <c r="J26" s="46">
        <v>10</v>
      </c>
      <c r="K26" s="46">
        <v>10</v>
      </c>
      <c r="L26" s="46">
        <v>10</v>
      </c>
      <c r="M26" s="46">
        <v>13.3</v>
      </c>
      <c r="N26" s="46">
        <v>13.3</v>
      </c>
      <c r="O26" s="46">
        <v>13.3</v>
      </c>
      <c r="P26" s="46">
        <v>13.3</v>
      </c>
      <c r="Q26" s="46">
        <v>10.5</v>
      </c>
      <c r="R26" s="46">
        <v>10.5</v>
      </c>
      <c r="S26" s="46">
        <v>10.5</v>
      </c>
      <c r="T26" s="46">
        <v>10.5</v>
      </c>
      <c r="U26" s="46">
        <v>10.5</v>
      </c>
      <c r="V26" s="46">
        <v>10.5</v>
      </c>
      <c r="W26" s="46">
        <v>10.5</v>
      </c>
      <c r="X26" s="46">
        <v>10.5</v>
      </c>
      <c r="Y26" s="46">
        <v>10.5</v>
      </c>
      <c r="Z26" s="46">
        <v>10.5</v>
      </c>
      <c r="AA26" s="46">
        <v>10.5</v>
      </c>
      <c r="AB26" s="46">
        <v>9.5</v>
      </c>
      <c r="AC26" s="46">
        <v>9.5</v>
      </c>
      <c r="AD26" s="46">
        <v>9.5</v>
      </c>
      <c r="AE26" s="46">
        <v>0.5</v>
      </c>
      <c r="AF26" s="46">
        <v>13.5</v>
      </c>
      <c r="AG26" s="50">
        <v>25</v>
      </c>
      <c r="AH26" s="48">
        <f t="shared" si="8"/>
        <v>13.5</v>
      </c>
      <c r="AI26" s="49">
        <f t="shared" si="9"/>
        <v>0.5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5</v>
      </c>
      <c r="N27" s="46">
        <v>5</v>
      </c>
      <c r="O27" s="46">
        <v>5</v>
      </c>
      <c r="P27" s="46">
        <v>5</v>
      </c>
      <c r="Q27" s="46">
        <v>5</v>
      </c>
      <c r="R27" s="46">
        <v>5</v>
      </c>
      <c r="S27" s="46">
        <v>5</v>
      </c>
      <c r="T27" s="46">
        <v>5</v>
      </c>
      <c r="U27" s="46">
        <v>5</v>
      </c>
      <c r="V27" s="46">
        <v>5</v>
      </c>
      <c r="W27" s="46">
        <v>5</v>
      </c>
      <c r="X27" s="46">
        <v>5</v>
      </c>
      <c r="Y27" s="46">
        <v>5</v>
      </c>
      <c r="Z27" s="46">
        <v>5</v>
      </c>
      <c r="AA27" s="46">
        <v>5</v>
      </c>
      <c r="AB27" s="46">
        <v>5</v>
      </c>
      <c r="AC27" s="46">
        <v>5</v>
      </c>
      <c r="AD27" s="46">
        <v>5</v>
      </c>
      <c r="AE27" s="46">
        <v>5</v>
      </c>
      <c r="AF27" s="46">
        <v>5</v>
      </c>
      <c r="AG27" s="50">
        <v>25</v>
      </c>
      <c r="AH27" s="48">
        <f t="shared" si="8"/>
        <v>5</v>
      </c>
      <c r="AI27" s="49">
        <f t="shared" si="9"/>
        <v>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6</v>
      </c>
      <c r="C28" s="46">
        <v>6</v>
      </c>
      <c r="D28" s="46">
        <v>6</v>
      </c>
      <c r="E28" s="46">
        <v>6</v>
      </c>
      <c r="F28" s="46">
        <v>6</v>
      </c>
      <c r="G28" s="46">
        <v>6</v>
      </c>
      <c r="H28" s="46">
        <v>6</v>
      </c>
      <c r="I28" s="46">
        <v>6</v>
      </c>
      <c r="J28" s="46">
        <v>6</v>
      </c>
      <c r="K28" s="46">
        <v>6</v>
      </c>
      <c r="L28" s="46">
        <v>6</v>
      </c>
      <c r="M28" s="46">
        <v>6</v>
      </c>
      <c r="N28" s="46">
        <v>6</v>
      </c>
      <c r="O28" s="46">
        <v>6</v>
      </c>
      <c r="P28" s="46">
        <v>6</v>
      </c>
      <c r="Q28" s="46">
        <v>6</v>
      </c>
      <c r="R28" s="46">
        <v>6</v>
      </c>
      <c r="S28" s="46">
        <v>6</v>
      </c>
      <c r="T28" s="46">
        <v>6</v>
      </c>
      <c r="U28" s="46">
        <v>6</v>
      </c>
      <c r="V28" s="46">
        <v>6</v>
      </c>
      <c r="W28" s="46">
        <v>6</v>
      </c>
      <c r="X28" s="46">
        <v>6</v>
      </c>
      <c r="Y28" s="46">
        <v>6</v>
      </c>
      <c r="Z28" s="46">
        <v>6</v>
      </c>
      <c r="AA28" s="46">
        <v>6</v>
      </c>
      <c r="AB28" s="46">
        <v>6</v>
      </c>
      <c r="AC28" s="46">
        <v>6</v>
      </c>
      <c r="AD28" s="46">
        <v>6</v>
      </c>
      <c r="AE28" s="46">
        <v>6</v>
      </c>
      <c r="AF28" s="46">
        <v>6</v>
      </c>
      <c r="AG28" s="50">
        <v>25</v>
      </c>
      <c r="AH28" s="48">
        <f t="shared" si="8"/>
        <v>6</v>
      </c>
      <c r="AI28" s="49">
        <f t="shared" si="9"/>
        <v>6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6.3</v>
      </c>
      <c r="C29" s="46">
        <v>6.3</v>
      </c>
      <c r="D29" s="46">
        <v>6.3</v>
      </c>
      <c r="E29" s="46">
        <v>6.3</v>
      </c>
      <c r="F29" s="46">
        <v>6.3</v>
      </c>
      <c r="G29" s="46">
        <v>6.3</v>
      </c>
      <c r="H29" s="46">
        <v>6.3</v>
      </c>
      <c r="I29" s="46">
        <v>6.3</v>
      </c>
      <c r="J29" s="46">
        <v>6.3</v>
      </c>
      <c r="K29" s="46">
        <v>6.3</v>
      </c>
      <c r="L29" s="46">
        <v>6.3</v>
      </c>
      <c r="M29" s="46">
        <v>8.6999999999999993</v>
      </c>
      <c r="N29" s="46">
        <v>8.6999999999999993</v>
      </c>
      <c r="O29" s="46">
        <v>8.6999999999999993</v>
      </c>
      <c r="P29" s="46">
        <v>8.6999999999999993</v>
      </c>
      <c r="Q29" s="46">
        <v>8.6999999999999993</v>
      </c>
      <c r="R29" s="46">
        <v>8.6999999999999993</v>
      </c>
      <c r="S29" s="46">
        <v>8.6999999999999993</v>
      </c>
      <c r="T29" s="46">
        <v>8.6999999999999993</v>
      </c>
      <c r="U29" s="46">
        <v>8.6999999999999993</v>
      </c>
      <c r="V29" s="46">
        <v>8.6999999999999993</v>
      </c>
      <c r="W29" s="46">
        <v>8.6999999999999993</v>
      </c>
      <c r="X29" s="46">
        <v>8.6999999999999993</v>
      </c>
      <c r="Y29" s="46">
        <v>8.6999999999999993</v>
      </c>
      <c r="Z29" s="46">
        <v>8.6999999999999993</v>
      </c>
      <c r="AA29" s="46">
        <v>8.6999999999999993</v>
      </c>
      <c r="AB29" s="46">
        <v>7.6</v>
      </c>
      <c r="AC29" s="46">
        <v>7.6</v>
      </c>
      <c r="AD29" s="46">
        <v>7.6</v>
      </c>
      <c r="AE29" s="46">
        <v>8.5</v>
      </c>
      <c r="AF29" s="46">
        <v>8</v>
      </c>
      <c r="AG29" s="50">
        <v>25</v>
      </c>
      <c r="AH29" s="48">
        <f t="shared" si="8"/>
        <v>8.6999999999999993</v>
      </c>
      <c r="AI29" s="49">
        <f t="shared" si="9"/>
        <v>6.3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7.3</v>
      </c>
      <c r="C30" s="46">
        <v>7.3</v>
      </c>
      <c r="D30" s="46">
        <v>7.3</v>
      </c>
      <c r="E30" s="46">
        <v>7.3</v>
      </c>
      <c r="F30" s="46">
        <v>7.3</v>
      </c>
      <c r="G30" s="46">
        <v>7.3</v>
      </c>
      <c r="H30" s="46">
        <v>7.3</v>
      </c>
      <c r="I30" s="46">
        <v>7.3</v>
      </c>
      <c r="J30" s="46">
        <v>7.3</v>
      </c>
      <c r="K30" s="46">
        <v>7.3</v>
      </c>
      <c r="L30" s="46">
        <v>7.3</v>
      </c>
      <c r="M30" s="46">
        <v>6.6</v>
      </c>
      <c r="N30" s="46">
        <v>6.6</v>
      </c>
      <c r="O30" s="46">
        <v>6.6</v>
      </c>
      <c r="P30" s="46">
        <v>6.6</v>
      </c>
      <c r="Q30" s="46">
        <v>6.6</v>
      </c>
      <c r="R30" s="46">
        <v>6.6</v>
      </c>
      <c r="S30" s="46">
        <v>6.6</v>
      </c>
      <c r="T30" s="46">
        <v>6.6</v>
      </c>
      <c r="U30" s="46">
        <v>6.6</v>
      </c>
      <c r="V30" s="46">
        <v>6.6</v>
      </c>
      <c r="W30" s="46">
        <v>6.6</v>
      </c>
      <c r="X30" s="46">
        <v>6.6</v>
      </c>
      <c r="Y30" s="46">
        <v>6.6</v>
      </c>
      <c r="Z30" s="46">
        <v>6.6</v>
      </c>
      <c r="AA30" s="46">
        <v>6.6</v>
      </c>
      <c r="AB30" s="46">
        <v>6.5</v>
      </c>
      <c r="AC30" s="46">
        <v>6.5</v>
      </c>
      <c r="AD30" s="46">
        <v>6.5</v>
      </c>
      <c r="AE30" s="46">
        <v>7.6</v>
      </c>
      <c r="AF30" s="46">
        <v>7.7</v>
      </c>
      <c r="AG30" s="50">
        <v>23.5</v>
      </c>
      <c r="AH30" s="48">
        <f t="shared" si="8"/>
        <v>7.7</v>
      </c>
      <c r="AI30" s="49">
        <f t="shared" si="9"/>
        <v>6.5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>
        <v>3</v>
      </c>
      <c r="V31" s="46">
        <v>3</v>
      </c>
      <c r="W31" s="46">
        <v>3</v>
      </c>
      <c r="X31" s="46">
        <v>3</v>
      </c>
      <c r="Y31" s="46">
        <v>3</v>
      </c>
      <c r="Z31" s="46">
        <v>3</v>
      </c>
      <c r="AA31" s="46">
        <v>3</v>
      </c>
      <c r="AB31" s="46">
        <v>3</v>
      </c>
      <c r="AC31" s="46">
        <v>3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8"/>
        <v>3</v>
      </c>
      <c r="AI31" s="49">
        <f t="shared" si="9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5.5</v>
      </c>
      <c r="Q32" s="46">
        <v>5.5</v>
      </c>
      <c r="R32" s="46">
        <v>5.5</v>
      </c>
      <c r="S32" s="46">
        <v>5.5</v>
      </c>
      <c r="T32" s="46">
        <v>5.5</v>
      </c>
      <c r="U32" s="46">
        <v>5.5</v>
      </c>
      <c r="V32" s="46">
        <v>5.5</v>
      </c>
      <c r="W32" s="46">
        <v>5.5</v>
      </c>
      <c r="X32" s="46">
        <v>5.5</v>
      </c>
      <c r="Y32" s="46">
        <v>5.5</v>
      </c>
      <c r="Z32" s="46">
        <v>5.5</v>
      </c>
      <c r="AA32" s="46">
        <v>5.5</v>
      </c>
      <c r="AB32" s="46">
        <v>5.5</v>
      </c>
      <c r="AC32" s="46">
        <v>5.5</v>
      </c>
      <c r="AD32" s="46">
        <v>5.5</v>
      </c>
      <c r="AE32" s="46">
        <v>5.5</v>
      </c>
      <c r="AF32" s="46">
        <v>5.5</v>
      </c>
      <c r="AG32" s="50">
        <v>22.1</v>
      </c>
      <c r="AH32" s="48">
        <f t="shared" si="8"/>
        <v>5.5</v>
      </c>
      <c r="AI32" s="49">
        <f t="shared" si="9"/>
        <v>5.5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6</v>
      </c>
      <c r="C33" s="46">
        <v>6</v>
      </c>
      <c r="D33" s="46">
        <v>6</v>
      </c>
      <c r="E33" s="46">
        <v>6</v>
      </c>
      <c r="F33" s="46">
        <v>6</v>
      </c>
      <c r="G33" s="46">
        <v>6</v>
      </c>
      <c r="H33" s="46">
        <v>6</v>
      </c>
      <c r="I33" s="46">
        <v>6</v>
      </c>
      <c r="J33" s="46">
        <v>6</v>
      </c>
      <c r="K33" s="46">
        <v>6</v>
      </c>
      <c r="L33" s="46">
        <v>6</v>
      </c>
      <c r="M33" s="46">
        <v>6</v>
      </c>
      <c r="N33" s="46">
        <v>6</v>
      </c>
      <c r="O33" s="46">
        <v>6</v>
      </c>
      <c r="P33" s="46">
        <v>6</v>
      </c>
      <c r="Q33" s="46">
        <v>6</v>
      </c>
      <c r="R33" s="46">
        <v>6</v>
      </c>
      <c r="S33" s="46">
        <v>6</v>
      </c>
      <c r="T33" s="46">
        <v>6</v>
      </c>
      <c r="U33" s="46">
        <v>6</v>
      </c>
      <c r="V33" s="46">
        <v>6</v>
      </c>
      <c r="W33" s="46">
        <v>6</v>
      </c>
      <c r="X33" s="46">
        <v>6</v>
      </c>
      <c r="Y33" s="46">
        <v>6</v>
      </c>
      <c r="Z33" s="46">
        <v>6</v>
      </c>
      <c r="AA33" s="46">
        <v>6</v>
      </c>
      <c r="AB33" s="46">
        <v>6</v>
      </c>
      <c r="AC33" s="46">
        <v>6</v>
      </c>
      <c r="AD33" s="46">
        <v>6</v>
      </c>
      <c r="AE33" s="46">
        <v>6</v>
      </c>
      <c r="AF33" s="46">
        <v>6</v>
      </c>
      <c r="AG33" s="50">
        <v>22</v>
      </c>
      <c r="AH33" s="48">
        <f t="shared" si="8"/>
        <v>6</v>
      </c>
      <c r="AI33" s="49">
        <f t="shared" si="9"/>
        <v>6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9.1</v>
      </c>
      <c r="C34" s="46">
        <v>9.1</v>
      </c>
      <c r="D34" s="46">
        <v>9.1</v>
      </c>
      <c r="E34" s="46">
        <v>9.1</v>
      </c>
      <c r="F34" s="46">
        <v>9.1</v>
      </c>
      <c r="G34" s="46">
        <v>9.1</v>
      </c>
      <c r="H34" s="46">
        <v>9.1</v>
      </c>
      <c r="I34" s="46">
        <v>9.1</v>
      </c>
      <c r="J34" s="46">
        <v>9.1</v>
      </c>
      <c r="K34" s="46">
        <v>9.1</v>
      </c>
      <c r="L34" s="46">
        <v>9.1</v>
      </c>
      <c r="M34" s="46">
        <v>9.4</v>
      </c>
      <c r="N34" s="46">
        <v>9.4</v>
      </c>
      <c r="O34" s="46">
        <v>9.4</v>
      </c>
      <c r="P34" s="46">
        <v>9.4</v>
      </c>
      <c r="Q34" s="46">
        <v>9.4</v>
      </c>
      <c r="R34" s="46">
        <v>9.4</v>
      </c>
      <c r="S34" s="46">
        <v>9.4</v>
      </c>
      <c r="T34" s="46">
        <v>9.4</v>
      </c>
      <c r="U34" s="46">
        <v>9.4</v>
      </c>
      <c r="V34" s="46">
        <v>9.4</v>
      </c>
      <c r="W34" s="46">
        <v>9.4</v>
      </c>
      <c r="X34" s="46">
        <v>9.4</v>
      </c>
      <c r="Y34" s="46">
        <v>9.4</v>
      </c>
      <c r="Z34" s="46">
        <v>9.4</v>
      </c>
      <c r="AA34" s="46">
        <v>9.4</v>
      </c>
      <c r="AB34" s="46">
        <v>12.7</v>
      </c>
      <c r="AC34" s="46">
        <v>12.7</v>
      </c>
      <c r="AD34" s="46">
        <v>12.7</v>
      </c>
      <c r="AE34" s="46">
        <v>12.1</v>
      </c>
      <c r="AF34" s="46">
        <v>11.6</v>
      </c>
      <c r="AG34" s="50">
        <v>22</v>
      </c>
      <c r="AH34" s="48">
        <f t="shared" si="8"/>
        <v>12.7</v>
      </c>
      <c r="AI34" s="49">
        <f t="shared" si="9"/>
        <v>9.1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8"/>
        <v>4</v>
      </c>
      <c r="AI35" s="49">
        <f t="shared" si="9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>
        <v>4</v>
      </c>
      <c r="V36" s="46">
        <v>4</v>
      </c>
      <c r="W36" s="46">
        <v>4</v>
      </c>
      <c r="X36" s="46">
        <v>4</v>
      </c>
      <c r="Y36" s="46">
        <v>4</v>
      </c>
      <c r="Z36" s="46">
        <v>4</v>
      </c>
      <c r="AA36" s="46">
        <v>4</v>
      </c>
      <c r="AB36" s="46">
        <v>4</v>
      </c>
      <c r="AC36" s="46">
        <v>4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8"/>
        <v>4</v>
      </c>
      <c r="AI36" s="49">
        <f t="shared" si="9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>
        <v>5.7</v>
      </c>
      <c r="V37" s="46">
        <v>5.7</v>
      </c>
      <c r="W37" s="46">
        <v>5.7</v>
      </c>
      <c r="X37" s="46">
        <v>5.7</v>
      </c>
      <c r="Y37" s="46">
        <v>5.7</v>
      </c>
      <c r="Z37" s="46">
        <v>5.7</v>
      </c>
      <c r="AA37" s="46">
        <v>5.7</v>
      </c>
      <c r="AB37" s="46">
        <v>5.7</v>
      </c>
      <c r="AC37" s="46">
        <v>5.7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8"/>
        <v>5.7</v>
      </c>
      <c r="AI37" s="49">
        <f t="shared" si="9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7.2</v>
      </c>
      <c r="Q38" s="46">
        <v>7.2</v>
      </c>
      <c r="R38" s="46">
        <v>7.2</v>
      </c>
      <c r="S38" s="46">
        <v>7.2</v>
      </c>
      <c r="T38" s="46">
        <v>7.2</v>
      </c>
      <c r="U38" s="46">
        <v>7.2</v>
      </c>
      <c r="V38" s="46">
        <v>7.2</v>
      </c>
      <c r="W38" s="46">
        <v>7.2</v>
      </c>
      <c r="X38" s="46">
        <v>7.2</v>
      </c>
      <c r="Y38" s="46">
        <v>7.2</v>
      </c>
      <c r="Z38" s="46">
        <v>7.2</v>
      </c>
      <c r="AA38" s="46">
        <v>7.2</v>
      </c>
      <c r="AB38" s="46">
        <v>7.2</v>
      </c>
      <c r="AC38" s="46">
        <v>7.2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8"/>
        <v>7.2</v>
      </c>
      <c r="AI38" s="49">
        <f t="shared" si="9"/>
        <v>7.2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0</v>
      </c>
      <c r="C40" s="46">
        <v>0</v>
      </c>
      <c r="D40" s="46">
        <v>0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46">
        <v>0</v>
      </c>
      <c r="P40" s="46">
        <v>0</v>
      </c>
      <c r="Q40" s="46">
        <v>0</v>
      </c>
      <c r="R40" s="46">
        <v>0</v>
      </c>
      <c r="S40" s="46">
        <v>0</v>
      </c>
      <c r="T40" s="46">
        <v>0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6">
        <v>0</v>
      </c>
      <c r="AD40" s="46">
        <v>0</v>
      </c>
      <c r="AE40" s="46">
        <v>0</v>
      </c>
      <c r="AF40" s="46">
        <v>0</v>
      </c>
      <c r="AG40" s="50">
        <v>14.9</v>
      </c>
      <c r="AH40" s="48">
        <f t="shared" si="8"/>
        <v>0</v>
      </c>
      <c r="AI40" s="49">
        <f t="shared" si="9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8"/>
        <v>4</v>
      </c>
      <c r="AI41" s="49">
        <f t="shared" si="9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>
        <v>1.8</v>
      </c>
      <c r="V42" s="46">
        <v>1.8</v>
      </c>
      <c r="W42" s="46">
        <v>1.8</v>
      </c>
      <c r="X42" s="46">
        <v>1.8</v>
      </c>
      <c r="Y42" s="46">
        <v>1.8</v>
      </c>
      <c r="Z42" s="46">
        <v>1.8</v>
      </c>
      <c r="AA42" s="46">
        <v>1.8</v>
      </c>
      <c r="AB42" s="46">
        <v>1.8</v>
      </c>
      <c r="AC42" s="46">
        <v>1.8</v>
      </c>
      <c r="AD42" s="46">
        <v>1.8</v>
      </c>
      <c r="AE42" s="46">
        <v>1.8</v>
      </c>
      <c r="AF42" s="46">
        <v>1.8</v>
      </c>
      <c r="AG42" s="50">
        <v>13.6</v>
      </c>
      <c r="AH42" s="48">
        <f t="shared" si="8"/>
        <v>1.8</v>
      </c>
      <c r="AI42" s="49">
        <f t="shared" si="9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>
        <v>3.8</v>
      </c>
      <c r="V43" s="46">
        <v>3.8</v>
      </c>
      <c r="W43" s="46">
        <v>3.8</v>
      </c>
      <c r="X43" s="46">
        <v>3.8</v>
      </c>
      <c r="Y43" s="46">
        <v>3.8</v>
      </c>
      <c r="Z43" s="46">
        <v>3.8</v>
      </c>
      <c r="AA43" s="46">
        <v>3.8</v>
      </c>
      <c r="AB43" s="46">
        <v>3.8</v>
      </c>
      <c r="AC43" s="46">
        <v>3.8</v>
      </c>
      <c r="AD43" s="46">
        <v>3.8</v>
      </c>
      <c r="AE43" s="46">
        <v>3.8</v>
      </c>
      <c r="AF43" s="46">
        <v>3.8</v>
      </c>
      <c r="AG43" s="50">
        <v>13</v>
      </c>
      <c r="AH43" s="48">
        <f t="shared" si="8"/>
        <v>3.8</v>
      </c>
      <c r="AI43" s="49">
        <f t="shared" si="9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2.5</v>
      </c>
      <c r="C44" s="46">
        <v>2.5</v>
      </c>
      <c r="D44" s="46">
        <v>2.5</v>
      </c>
      <c r="E44" s="46">
        <v>2.5</v>
      </c>
      <c r="F44" s="46">
        <v>2.5</v>
      </c>
      <c r="G44" s="46">
        <v>2.5</v>
      </c>
      <c r="H44" s="46">
        <v>2.5</v>
      </c>
      <c r="I44" s="46">
        <v>2.5</v>
      </c>
      <c r="J44" s="46">
        <v>2.5</v>
      </c>
      <c r="K44" s="46">
        <v>2.5</v>
      </c>
      <c r="L44" s="46">
        <v>2.5</v>
      </c>
      <c r="M44" s="46">
        <v>2.5</v>
      </c>
      <c r="N44" s="46">
        <v>2.5</v>
      </c>
      <c r="O44" s="46">
        <v>2.5</v>
      </c>
      <c r="P44" s="46">
        <v>2.5</v>
      </c>
      <c r="Q44" s="46">
        <v>2.5</v>
      </c>
      <c r="R44" s="46">
        <v>2.5</v>
      </c>
      <c r="S44" s="46">
        <v>2.5</v>
      </c>
      <c r="T44" s="46">
        <v>2.5</v>
      </c>
      <c r="U44" s="46">
        <v>2.5</v>
      </c>
      <c r="V44" s="46">
        <v>2.5</v>
      </c>
      <c r="W44" s="46">
        <v>2.5</v>
      </c>
      <c r="X44" s="46">
        <v>2.5</v>
      </c>
      <c r="Y44" s="46">
        <v>2.5</v>
      </c>
      <c r="Z44" s="46">
        <v>2.5</v>
      </c>
      <c r="AA44" s="46">
        <v>2.5</v>
      </c>
      <c r="AB44" s="46">
        <v>2.5</v>
      </c>
      <c r="AC44" s="46">
        <v>2.5</v>
      </c>
      <c r="AD44" s="46">
        <v>2.5</v>
      </c>
      <c r="AE44" s="46">
        <v>2.5</v>
      </c>
      <c r="AF44" s="46">
        <v>2.5</v>
      </c>
      <c r="AG44" s="50">
        <v>12</v>
      </c>
      <c r="AH44" s="48">
        <f t="shared" si="8"/>
        <v>2.5</v>
      </c>
      <c r="AI44" s="49">
        <f t="shared" si="9"/>
        <v>2.5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>
        <v>9</v>
      </c>
      <c r="V45" s="46">
        <v>9</v>
      </c>
      <c r="W45" s="46">
        <v>9</v>
      </c>
      <c r="X45" s="46">
        <v>9</v>
      </c>
      <c r="Y45" s="46">
        <v>9</v>
      </c>
      <c r="Z45" s="46">
        <v>9</v>
      </c>
      <c r="AA45" s="46">
        <v>9</v>
      </c>
      <c r="AB45" s="46">
        <v>9</v>
      </c>
      <c r="AC45" s="46">
        <v>9</v>
      </c>
      <c r="AD45" s="46">
        <v>9</v>
      </c>
      <c r="AE45" s="46">
        <v>9</v>
      </c>
      <c r="AF45" s="46">
        <v>9</v>
      </c>
      <c r="AG45" s="50">
        <v>12</v>
      </c>
      <c r="AH45" s="48">
        <f t="shared" si="8"/>
        <v>9</v>
      </c>
      <c r="AI45" s="49">
        <f t="shared" si="9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>
        <v>3.5</v>
      </c>
      <c r="V47" s="46">
        <v>3.5</v>
      </c>
      <c r="W47" s="46">
        <v>3.5</v>
      </c>
      <c r="X47" s="46">
        <v>3.5</v>
      </c>
      <c r="Y47" s="46">
        <v>3.5</v>
      </c>
      <c r="Z47" s="46">
        <v>3.5</v>
      </c>
      <c r="AA47" s="46">
        <v>3.5</v>
      </c>
      <c r="AB47" s="46">
        <v>3.5</v>
      </c>
      <c r="AC47" s="46">
        <v>3.5</v>
      </c>
      <c r="AD47" s="46">
        <v>3.5</v>
      </c>
      <c r="AE47" s="46">
        <v>3.5</v>
      </c>
      <c r="AF47" s="46">
        <v>3.5</v>
      </c>
      <c r="AG47" s="63">
        <v>22</v>
      </c>
      <c r="AH47" s="48">
        <f t="shared" si="8"/>
        <v>3.5</v>
      </c>
      <c r="AI47" s="49">
        <f t="shared" si="9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>
        <v>5</v>
      </c>
      <c r="V48" s="46">
        <v>5</v>
      </c>
      <c r="W48" s="46">
        <v>5</v>
      </c>
      <c r="X48" s="46">
        <v>5</v>
      </c>
      <c r="Y48" s="46">
        <v>5</v>
      </c>
      <c r="Z48" s="46">
        <v>5</v>
      </c>
      <c r="AA48" s="46">
        <v>5</v>
      </c>
      <c r="AB48" s="46">
        <v>5</v>
      </c>
      <c r="AC48" s="46">
        <v>5</v>
      </c>
      <c r="AD48" s="46">
        <v>5</v>
      </c>
      <c r="AE48" s="46">
        <v>5</v>
      </c>
      <c r="AF48" s="46">
        <v>5</v>
      </c>
      <c r="AG48" s="60">
        <v>11.88</v>
      </c>
      <c r="AH48" s="48">
        <f t="shared" si="8"/>
        <v>5</v>
      </c>
      <c r="AI48" s="49">
        <f t="shared" si="9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5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4" t="s">
        <v>67</v>
      </c>
      <c r="B50" s="46">
        <v>2.4500000000000002</v>
      </c>
      <c r="C50" s="46">
        <v>2.4500000000000002</v>
      </c>
      <c r="D50" s="46">
        <v>2.4500000000000002</v>
      </c>
      <c r="E50" s="46">
        <v>2.4500000000000002</v>
      </c>
      <c r="F50" s="46">
        <v>2.4500000000000002</v>
      </c>
      <c r="G50" s="46">
        <v>2.4500000000000002</v>
      </c>
      <c r="H50" s="46">
        <v>2.4500000000000002</v>
      </c>
      <c r="I50" s="46">
        <v>2.4500000000000002</v>
      </c>
      <c r="J50" s="46">
        <v>2.4500000000000002</v>
      </c>
      <c r="K50" s="46">
        <v>2.4500000000000002</v>
      </c>
      <c r="L50" s="46">
        <v>2.4500000000000002</v>
      </c>
      <c r="M50" s="46">
        <v>2.4500000000000002</v>
      </c>
      <c r="N50" s="46">
        <v>2.4500000000000002</v>
      </c>
      <c r="O50" s="46">
        <v>2.4500000000000002</v>
      </c>
      <c r="P50" s="46">
        <v>2.4500000000000002</v>
      </c>
      <c r="Q50" s="46">
        <v>2.4500000000000002</v>
      </c>
      <c r="R50" s="46">
        <v>2.4500000000000002</v>
      </c>
      <c r="S50" s="46">
        <v>2.4500000000000002</v>
      </c>
      <c r="T50" s="46">
        <v>2.4500000000000002</v>
      </c>
      <c r="U50" s="46">
        <v>2.4500000000000002</v>
      </c>
      <c r="V50" s="46">
        <v>2.4500000000000002</v>
      </c>
      <c r="W50" s="46">
        <v>2.4500000000000002</v>
      </c>
      <c r="X50" s="46">
        <v>2.4500000000000002</v>
      </c>
      <c r="Y50" s="46">
        <v>2.4500000000000002</v>
      </c>
      <c r="Z50" s="46">
        <v>2.4500000000000002</v>
      </c>
      <c r="AA50" s="46">
        <v>2.4500000000000002</v>
      </c>
      <c r="AB50" s="46">
        <v>2.4500000000000002</v>
      </c>
      <c r="AC50" s="46">
        <v>2.4500000000000002</v>
      </c>
      <c r="AD50" s="46">
        <v>2.4500000000000002</v>
      </c>
      <c r="AE50" s="46">
        <v>2.4500000000000002</v>
      </c>
      <c r="AF50" s="46">
        <v>2.4500000000000002</v>
      </c>
      <c r="AG50" s="65">
        <v>11</v>
      </c>
      <c r="AH50" s="48">
        <f t="shared" si="8"/>
        <v>2.4500000000000002</v>
      </c>
      <c r="AI50" s="49">
        <f t="shared" si="9"/>
        <v>2.4500000000000002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65">
        <v>11</v>
      </c>
      <c r="AH51" s="48">
        <f t="shared" si="8"/>
        <v>3</v>
      </c>
      <c r="AI51" s="49">
        <f t="shared" si="9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5">
        <v>10</v>
      </c>
      <c r="AH52" s="48">
        <f t="shared" si="8"/>
        <v>4</v>
      </c>
      <c r="AI52" s="49">
        <f t="shared" si="9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>
        <v>4.5</v>
      </c>
      <c r="V53" s="46">
        <v>4.5</v>
      </c>
      <c r="W53" s="46">
        <v>4.5</v>
      </c>
      <c r="X53" s="46">
        <v>4.5</v>
      </c>
      <c r="Y53" s="46">
        <v>4.5</v>
      </c>
      <c r="Z53" s="46">
        <v>4.5</v>
      </c>
      <c r="AA53" s="46">
        <v>4.5</v>
      </c>
      <c r="AB53" s="46">
        <v>4.5</v>
      </c>
      <c r="AC53" s="46">
        <v>4.5</v>
      </c>
      <c r="AD53" s="46">
        <v>4.5</v>
      </c>
      <c r="AE53" s="46">
        <v>4.5</v>
      </c>
      <c r="AF53" s="46">
        <v>4.5</v>
      </c>
      <c r="AG53" s="65">
        <v>10</v>
      </c>
      <c r="AH53" s="48">
        <f t="shared" si="8"/>
        <v>4.5</v>
      </c>
      <c r="AI53" s="49">
        <f t="shared" si="9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5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5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>
        <v>150</v>
      </c>
      <c r="W56" s="67">
        <v>150</v>
      </c>
      <c r="X56" s="67">
        <v>150</v>
      </c>
      <c r="Y56" s="67">
        <v>150</v>
      </c>
      <c r="Z56" s="67">
        <v>150</v>
      </c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8" t="s">
        <v>74</v>
      </c>
      <c r="B57" s="67">
        <v>49.7</v>
      </c>
      <c r="C57" s="67">
        <v>49.9</v>
      </c>
      <c r="D57" s="67">
        <v>50.4</v>
      </c>
      <c r="E57" s="67">
        <f>16.9+33.4</f>
        <v>50.3</v>
      </c>
      <c r="F57" s="67">
        <f>16.9+32.8</f>
        <v>49.699999999999996</v>
      </c>
      <c r="G57" s="67">
        <f>16.6+32.6</f>
        <v>49.2</v>
      </c>
      <c r="H57" s="67">
        <f>16.6+32.3</f>
        <v>48.9</v>
      </c>
      <c r="I57" s="67">
        <f>16.3+31.5</f>
        <v>47.8</v>
      </c>
      <c r="J57" s="67">
        <f>15.4+29.7</f>
        <v>45.1</v>
      </c>
      <c r="K57" s="53">
        <f>15.2+29.2</f>
        <v>44.4</v>
      </c>
      <c r="L57" s="53">
        <f>15.2+28.8</f>
        <v>44</v>
      </c>
      <c r="M57" s="53">
        <v>42.6</v>
      </c>
      <c r="N57" s="53">
        <f>29.1+14.9</f>
        <v>44</v>
      </c>
      <c r="O57" s="53">
        <f>29.1+14.9</f>
        <v>44</v>
      </c>
      <c r="P57" s="53">
        <f>29.1+14.9</f>
        <v>44</v>
      </c>
      <c r="Q57" s="53">
        <f>29.1+14.9</f>
        <v>44</v>
      </c>
      <c r="R57" s="53">
        <v>45.9</v>
      </c>
      <c r="S57" s="53">
        <v>49.3</v>
      </c>
      <c r="T57" s="53">
        <v>49.3</v>
      </c>
      <c r="U57" s="53">
        <v>49.3</v>
      </c>
      <c r="V57" s="53">
        <v>50</v>
      </c>
      <c r="W57" s="53">
        <v>49</v>
      </c>
      <c r="X57" s="53">
        <v>49</v>
      </c>
      <c r="Y57" s="53">
        <v>49</v>
      </c>
      <c r="Z57" s="53">
        <v>43</v>
      </c>
      <c r="AA57" s="53">
        <v>43</v>
      </c>
      <c r="AB57" s="53">
        <f>14.7+26.8</f>
        <v>41.5</v>
      </c>
      <c r="AC57" s="67">
        <f>27.3+14.9</f>
        <v>42.2</v>
      </c>
      <c r="AD57" s="67">
        <f>17+4</f>
        <v>21</v>
      </c>
      <c r="AE57" s="67">
        <f>4.3+18.9</f>
        <v>23.2</v>
      </c>
      <c r="AF57" s="67">
        <f>18.5+31.9</f>
        <v>50.4</v>
      </c>
      <c r="AG57" s="65">
        <v>240</v>
      </c>
      <c r="AH57" s="48">
        <f t="shared" si="8"/>
        <v>50.4</v>
      </c>
      <c r="AI57" s="49">
        <f t="shared" si="9"/>
        <v>21</v>
      </c>
      <c r="AK57" s="51"/>
    </row>
    <row r="58" spans="1:88" ht="15.75" thickBot="1" x14ac:dyDescent="0.3">
      <c r="A58" s="69" t="s">
        <v>75</v>
      </c>
      <c r="B58" s="70">
        <f t="shared" ref="B58:C58" si="22">SUM(B11:B56)</f>
        <v>451.65000000000003</v>
      </c>
      <c r="C58" s="70">
        <f t="shared" si="22"/>
        <v>451.65000000000003</v>
      </c>
      <c r="D58" s="70">
        <f t="shared" ref="D58" si="23">SUM(D11:D56)</f>
        <v>451.65000000000003</v>
      </c>
      <c r="E58" s="70">
        <f t="shared" ref="E58:AD58" si="24">SUM(E11:E56)</f>
        <v>455.65000000000003</v>
      </c>
      <c r="F58" s="70">
        <f t="shared" si="24"/>
        <v>457.65000000000003</v>
      </c>
      <c r="G58" s="70">
        <f t="shared" si="24"/>
        <v>457.65000000000003</v>
      </c>
      <c r="H58" s="70">
        <f t="shared" si="24"/>
        <v>457.65000000000003</v>
      </c>
      <c r="I58" s="70">
        <f t="shared" si="24"/>
        <v>457.65000000000003</v>
      </c>
      <c r="J58" s="70">
        <f t="shared" si="24"/>
        <v>459.65000000000003</v>
      </c>
      <c r="K58" s="70">
        <f t="shared" si="24"/>
        <v>459.65000000000003</v>
      </c>
      <c r="L58" s="70">
        <f t="shared" si="24"/>
        <v>460.65000000000003</v>
      </c>
      <c r="M58" s="70">
        <f t="shared" si="24"/>
        <v>482.04999999999995</v>
      </c>
      <c r="N58" s="70">
        <f t="shared" si="24"/>
        <v>482.15</v>
      </c>
      <c r="O58" s="70">
        <f t="shared" si="24"/>
        <v>482.15</v>
      </c>
      <c r="P58" s="70">
        <f t="shared" si="24"/>
        <v>482.15</v>
      </c>
      <c r="Q58" s="70">
        <f t="shared" si="24"/>
        <v>472.95</v>
      </c>
      <c r="R58" s="70">
        <f t="shared" si="24"/>
        <v>477.15</v>
      </c>
      <c r="S58" s="70">
        <f t="shared" si="24"/>
        <v>477.15</v>
      </c>
      <c r="T58" s="70">
        <f t="shared" si="24"/>
        <v>477.15</v>
      </c>
      <c r="U58" s="70">
        <f t="shared" si="24"/>
        <v>477.15</v>
      </c>
      <c r="V58" s="70">
        <f t="shared" si="24"/>
        <v>477.15</v>
      </c>
      <c r="W58" s="70">
        <f t="shared" si="24"/>
        <v>477.15</v>
      </c>
      <c r="X58" s="70">
        <f t="shared" si="24"/>
        <v>477.15</v>
      </c>
      <c r="Y58" s="70">
        <f t="shared" si="24"/>
        <v>477.15</v>
      </c>
      <c r="Z58" s="70">
        <f t="shared" si="24"/>
        <v>477.15</v>
      </c>
      <c r="AA58" s="70">
        <f t="shared" si="24"/>
        <v>477.15</v>
      </c>
      <c r="AB58" s="70">
        <f t="shared" ref="AB58" si="25">SUM(AB11:AB56)</f>
        <v>457.45</v>
      </c>
      <c r="AC58" s="70">
        <f t="shared" si="24"/>
        <v>459.15000000000003</v>
      </c>
      <c r="AD58" s="70">
        <f t="shared" si="24"/>
        <v>457.85</v>
      </c>
      <c r="AE58" s="70">
        <f t="shared" ref="AE58:AF58" si="26">SUM(AE11:AE56)</f>
        <v>469.74999999999994</v>
      </c>
      <c r="AF58" s="70">
        <f t="shared" si="26"/>
        <v>490.75</v>
      </c>
      <c r="AG58" s="71">
        <f>SUM(AG14:AG56)</f>
        <v>1042.4000000000001</v>
      </c>
      <c r="AH58" s="48">
        <f t="shared" si="8"/>
        <v>490.75</v>
      </c>
      <c r="AI58" s="49">
        <f t="shared" si="9"/>
        <v>451.65000000000003</v>
      </c>
      <c r="AK58" s="51"/>
    </row>
    <row r="59" spans="1:88" x14ac:dyDescent="0.25">
      <c r="A59" s="72" t="s">
        <v>76</v>
      </c>
      <c r="B59" s="46">
        <v>15</v>
      </c>
      <c r="C59" s="46">
        <v>0</v>
      </c>
      <c r="D59" s="46">
        <v>0</v>
      </c>
      <c r="E59" s="46">
        <v>0</v>
      </c>
      <c r="F59" s="46">
        <v>0</v>
      </c>
      <c r="G59" s="46">
        <v>0</v>
      </c>
      <c r="H59" s="46">
        <v>40</v>
      </c>
      <c r="I59" s="46">
        <v>70</v>
      </c>
      <c r="J59" s="46">
        <v>70</v>
      </c>
      <c r="K59" s="46">
        <v>50</v>
      </c>
      <c r="L59" s="46">
        <v>90</v>
      </c>
      <c r="M59" s="46">
        <v>75</v>
      </c>
      <c r="N59" s="73">
        <v>50</v>
      </c>
      <c r="O59" s="73">
        <v>45</v>
      </c>
      <c r="P59" s="73">
        <v>0</v>
      </c>
      <c r="Q59" s="73">
        <v>0</v>
      </c>
      <c r="R59" s="73">
        <v>0</v>
      </c>
      <c r="S59" s="73">
        <v>0</v>
      </c>
      <c r="T59" s="73">
        <v>0</v>
      </c>
      <c r="U59" s="73">
        <v>0</v>
      </c>
      <c r="V59" s="73">
        <v>25</v>
      </c>
      <c r="W59" s="73">
        <v>25</v>
      </c>
      <c r="X59" s="73">
        <v>130</v>
      </c>
      <c r="Y59" s="73">
        <v>180</v>
      </c>
      <c r="Z59" s="73">
        <v>180</v>
      </c>
      <c r="AA59" s="73">
        <v>210</v>
      </c>
      <c r="AB59" s="73">
        <v>160</v>
      </c>
      <c r="AC59" s="46">
        <v>70</v>
      </c>
      <c r="AD59" s="46">
        <v>70</v>
      </c>
      <c r="AE59" s="46">
        <v>110</v>
      </c>
      <c r="AF59" s="46">
        <v>15</v>
      </c>
      <c r="AG59" s="60">
        <v>456</v>
      </c>
      <c r="AH59" s="48">
        <f t="shared" si="8"/>
        <v>210</v>
      </c>
      <c r="AI59" s="49">
        <f t="shared" si="9"/>
        <v>0</v>
      </c>
      <c r="AK59" s="51"/>
    </row>
    <row r="60" spans="1:88" x14ac:dyDescent="0.25">
      <c r="A60" s="74" t="s">
        <v>77</v>
      </c>
      <c r="B60" s="75">
        <v>20</v>
      </c>
      <c r="C60" s="75">
        <v>20</v>
      </c>
      <c r="D60" s="75">
        <v>20</v>
      </c>
      <c r="E60" s="75">
        <v>20</v>
      </c>
      <c r="F60" s="75">
        <v>20</v>
      </c>
      <c r="G60" s="75">
        <v>20</v>
      </c>
      <c r="H60" s="75">
        <v>20</v>
      </c>
      <c r="I60" s="75">
        <v>20</v>
      </c>
      <c r="J60" s="75">
        <v>20</v>
      </c>
      <c r="K60" s="75">
        <v>20</v>
      </c>
      <c r="L60" s="75">
        <v>20</v>
      </c>
      <c r="M60" s="75">
        <v>25</v>
      </c>
      <c r="N60" s="75">
        <v>25</v>
      </c>
      <c r="O60" s="75">
        <v>25</v>
      </c>
      <c r="P60" s="75">
        <v>25</v>
      </c>
      <c r="Q60" s="75">
        <v>25</v>
      </c>
      <c r="R60" s="75">
        <v>25</v>
      </c>
      <c r="S60" s="75">
        <v>25</v>
      </c>
      <c r="T60" s="75">
        <v>25</v>
      </c>
      <c r="U60" s="75">
        <v>25</v>
      </c>
      <c r="V60" s="75">
        <v>25</v>
      </c>
      <c r="W60" s="75">
        <v>25</v>
      </c>
      <c r="X60" s="75">
        <v>25</v>
      </c>
      <c r="Y60" s="75">
        <v>25</v>
      </c>
      <c r="Z60" s="75">
        <v>25</v>
      </c>
      <c r="AA60" s="75">
        <v>25</v>
      </c>
      <c r="AB60" s="75">
        <v>25</v>
      </c>
      <c r="AC60" s="75">
        <v>25</v>
      </c>
      <c r="AD60" s="75">
        <v>36</v>
      </c>
      <c r="AE60" s="75">
        <v>36</v>
      </c>
      <c r="AF60" s="75">
        <v>36</v>
      </c>
      <c r="AG60" s="65">
        <v>60</v>
      </c>
      <c r="AH60" s="48">
        <f t="shared" si="8"/>
        <v>36</v>
      </c>
      <c r="AI60" s="49">
        <f t="shared" si="9"/>
        <v>20</v>
      </c>
      <c r="AK60" s="51"/>
    </row>
    <row r="61" spans="1:88" ht="15.75" thickBot="1" x14ac:dyDescent="0.3">
      <c r="A61" s="76" t="s">
        <v>78</v>
      </c>
      <c r="B61" s="77">
        <v>0</v>
      </c>
      <c r="C61" s="77">
        <v>0</v>
      </c>
      <c r="D61" s="77">
        <v>0</v>
      </c>
      <c r="E61" s="77">
        <v>0</v>
      </c>
      <c r="F61" s="77">
        <v>0</v>
      </c>
      <c r="G61" s="77">
        <v>0</v>
      </c>
      <c r="H61" s="77">
        <v>0</v>
      </c>
      <c r="I61" s="77">
        <v>0</v>
      </c>
      <c r="J61" s="77">
        <v>0</v>
      </c>
      <c r="K61" s="77">
        <v>0</v>
      </c>
      <c r="L61" s="77">
        <v>0</v>
      </c>
      <c r="M61" s="77">
        <v>0</v>
      </c>
      <c r="N61" s="77">
        <v>0</v>
      </c>
      <c r="O61" s="77">
        <v>0</v>
      </c>
      <c r="P61" s="77">
        <v>11.4</v>
      </c>
      <c r="Q61" s="77">
        <v>11.4</v>
      </c>
      <c r="R61" s="77">
        <v>11.4</v>
      </c>
      <c r="S61" s="77">
        <v>11.4</v>
      </c>
      <c r="T61" s="77">
        <v>11.4</v>
      </c>
      <c r="U61" s="77">
        <v>11.4</v>
      </c>
      <c r="V61" s="77">
        <v>11.4</v>
      </c>
      <c r="W61" s="77">
        <v>11.4</v>
      </c>
      <c r="X61" s="77">
        <v>11.4</v>
      </c>
      <c r="Y61" s="77">
        <v>11.4</v>
      </c>
      <c r="Z61" s="77">
        <v>11.4</v>
      </c>
      <c r="AA61" s="77">
        <v>11.4</v>
      </c>
      <c r="AB61" s="77">
        <v>11.4</v>
      </c>
      <c r="AC61" s="77">
        <v>11.4</v>
      </c>
      <c r="AD61" s="77">
        <v>11.4</v>
      </c>
      <c r="AE61" s="77">
        <v>11.4</v>
      </c>
      <c r="AF61" s="77">
        <v>11.4</v>
      </c>
      <c r="AG61" s="78">
        <v>22.1</v>
      </c>
      <c r="AH61" s="48">
        <f t="shared" si="8"/>
        <v>11.4</v>
      </c>
      <c r="AI61" s="49">
        <f t="shared" si="9"/>
        <v>0</v>
      </c>
      <c r="AK61" s="51"/>
    </row>
    <row r="62" spans="1:88" ht="15.75" thickBot="1" x14ac:dyDescent="0.3">
      <c r="A62" s="79" t="s">
        <v>79</v>
      </c>
      <c r="B62" s="70">
        <f t="shared" ref="B62:C62" si="27">SUM(B59:B61)</f>
        <v>35</v>
      </c>
      <c r="C62" s="70">
        <f t="shared" si="27"/>
        <v>20</v>
      </c>
      <c r="D62" s="70">
        <f t="shared" ref="D62" si="28">SUM(D59:D61)</f>
        <v>20</v>
      </c>
      <c r="E62" s="70">
        <f t="shared" ref="E62:AG62" si="29">SUM(E59:E61)</f>
        <v>20</v>
      </c>
      <c r="F62" s="70">
        <f t="shared" si="29"/>
        <v>20</v>
      </c>
      <c r="G62" s="70">
        <f t="shared" si="29"/>
        <v>20</v>
      </c>
      <c r="H62" s="70">
        <f t="shared" si="29"/>
        <v>60</v>
      </c>
      <c r="I62" s="70">
        <f t="shared" si="29"/>
        <v>90</v>
      </c>
      <c r="J62" s="70">
        <f t="shared" si="29"/>
        <v>90</v>
      </c>
      <c r="K62" s="70">
        <f t="shared" si="29"/>
        <v>70</v>
      </c>
      <c r="L62" s="70">
        <f t="shared" si="29"/>
        <v>110</v>
      </c>
      <c r="M62" s="70">
        <f t="shared" si="29"/>
        <v>100</v>
      </c>
      <c r="N62" s="70">
        <f t="shared" si="29"/>
        <v>75</v>
      </c>
      <c r="O62" s="70">
        <f t="shared" si="29"/>
        <v>70</v>
      </c>
      <c r="P62" s="70">
        <f t="shared" si="29"/>
        <v>36.4</v>
      </c>
      <c r="Q62" s="70">
        <f t="shared" si="29"/>
        <v>36.4</v>
      </c>
      <c r="R62" s="70">
        <f t="shared" si="29"/>
        <v>36.4</v>
      </c>
      <c r="S62" s="70">
        <f t="shared" si="29"/>
        <v>36.4</v>
      </c>
      <c r="T62" s="70">
        <f t="shared" si="29"/>
        <v>36.4</v>
      </c>
      <c r="U62" s="70">
        <f t="shared" si="29"/>
        <v>36.4</v>
      </c>
      <c r="V62" s="70">
        <f t="shared" si="29"/>
        <v>61.4</v>
      </c>
      <c r="W62" s="70">
        <f t="shared" si="29"/>
        <v>61.4</v>
      </c>
      <c r="X62" s="70">
        <f t="shared" si="29"/>
        <v>166.4</v>
      </c>
      <c r="Y62" s="70">
        <f t="shared" si="29"/>
        <v>216.4</v>
      </c>
      <c r="Z62" s="70">
        <f t="shared" si="29"/>
        <v>216.4</v>
      </c>
      <c r="AA62" s="70">
        <f t="shared" si="29"/>
        <v>246.4</v>
      </c>
      <c r="AB62" s="70">
        <f t="shared" ref="AB62" si="30">SUM(AB59:AB61)</f>
        <v>196.4</v>
      </c>
      <c r="AC62" s="70">
        <f t="shared" si="29"/>
        <v>106.4</v>
      </c>
      <c r="AD62" s="70">
        <f t="shared" si="29"/>
        <v>117.4</v>
      </c>
      <c r="AE62" s="70">
        <f t="shared" ref="AE62:AF62" si="31">SUM(AE59:AE61)</f>
        <v>157.4</v>
      </c>
      <c r="AF62" s="70">
        <f t="shared" si="31"/>
        <v>62.4</v>
      </c>
      <c r="AG62" s="71">
        <f t="shared" si="29"/>
        <v>538.1</v>
      </c>
      <c r="AH62" s="48">
        <f t="shared" si="8"/>
        <v>246.4</v>
      </c>
      <c r="AI62" s="49">
        <f t="shared" si="9"/>
        <v>20</v>
      </c>
      <c r="AK62" s="51"/>
    </row>
    <row r="63" spans="1:88" x14ac:dyDescent="0.25">
      <c r="A63" s="45" t="s">
        <v>80</v>
      </c>
      <c r="B63" s="46">
        <v>49.2</v>
      </c>
      <c r="C63" s="46">
        <v>35</v>
      </c>
      <c r="D63" s="46">
        <v>0</v>
      </c>
      <c r="E63" s="46">
        <v>0</v>
      </c>
      <c r="F63" s="46">
        <v>0</v>
      </c>
      <c r="G63" s="46">
        <v>0</v>
      </c>
      <c r="H63" s="46">
        <v>27.8</v>
      </c>
      <c r="I63" s="46">
        <v>30.3</v>
      </c>
      <c r="J63" s="46">
        <v>61.8</v>
      </c>
      <c r="K63" s="46">
        <v>61.4</v>
      </c>
      <c r="L63" s="46">
        <v>60</v>
      </c>
      <c r="M63" s="46">
        <v>60.5</v>
      </c>
      <c r="N63" s="46">
        <v>30.3</v>
      </c>
      <c r="O63" s="46">
        <v>30.2</v>
      </c>
      <c r="P63" s="46">
        <v>30.9</v>
      </c>
      <c r="Q63" s="46">
        <v>40.799999999999997</v>
      </c>
      <c r="R63" s="46">
        <v>30.9</v>
      </c>
      <c r="S63" s="46">
        <v>46.4</v>
      </c>
      <c r="T63" s="46">
        <v>60</v>
      </c>
      <c r="U63" s="46">
        <v>81.5</v>
      </c>
      <c r="V63" s="46">
        <v>91</v>
      </c>
      <c r="W63" s="46">
        <v>80.3</v>
      </c>
      <c r="X63" s="46">
        <v>71.3</v>
      </c>
      <c r="Y63" s="46">
        <v>121.6</v>
      </c>
      <c r="Z63" s="46">
        <v>143.69999999999999</v>
      </c>
      <c r="AA63" s="46">
        <v>143.69999999999999</v>
      </c>
      <c r="AB63" s="46">
        <v>142.6</v>
      </c>
      <c r="AC63" s="46">
        <v>120.4</v>
      </c>
      <c r="AD63" s="46">
        <v>94</v>
      </c>
      <c r="AE63" s="46">
        <v>0</v>
      </c>
      <c r="AF63" s="46">
        <v>0</v>
      </c>
      <c r="AG63" s="60">
        <v>144</v>
      </c>
      <c r="AH63" s="48">
        <f t="shared" si="8"/>
        <v>143.69999999999999</v>
      </c>
      <c r="AI63" s="49">
        <f t="shared" si="9"/>
        <v>0</v>
      </c>
      <c r="AK63" s="51"/>
    </row>
    <row r="64" spans="1:88" x14ac:dyDescent="0.25">
      <c r="A64" s="64" t="s">
        <v>81</v>
      </c>
      <c r="B64" s="75">
        <v>25.6</v>
      </c>
      <c r="C64" s="75">
        <v>25.6</v>
      </c>
      <c r="D64" s="75">
        <v>0</v>
      </c>
      <c r="E64" s="75">
        <v>0</v>
      </c>
      <c r="F64" s="75">
        <v>0</v>
      </c>
      <c r="G64" s="75">
        <v>0</v>
      </c>
      <c r="H64" s="75">
        <v>24</v>
      </c>
      <c r="I64" s="75">
        <v>24</v>
      </c>
      <c r="J64" s="75">
        <v>24</v>
      </c>
      <c r="K64" s="75">
        <v>45</v>
      </c>
      <c r="L64" s="75">
        <v>45</v>
      </c>
      <c r="M64" s="75">
        <v>45</v>
      </c>
      <c r="N64" s="75">
        <v>25</v>
      </c>
      <c r="O64" s="75">
        <v>25</v>
      </c>
      <c r="P64" s="75">
        <v>25</v>
      </c>
      <c r="Q64" s="75">
        <v>0</v>
      </c>
      <c r="R64" s="75">
        <v>0</v>
      </c>
      <c r="S64" s="75">
        <v>29.5</v>
      </c>
      <c r="T64" s="75">
        <v>61</v>
      </c>
      <c r="U64" s="75">
        <v>70</v>
      </c>
      <c r="V64" s="75">
        <v>70</v>
      </c>
      <c r="W64" s="75">
        <v>70</v>
      </c>
      <c r="X64" s="75">
        <v>70</v>
      </c>
      <c r="Y64" s="75">
        <v>70</v>
      </c>
      <c r="Z64" s="75">
        <v>70</v>
      </c>
      <c r="AA64" s="75">
        <v>70</v>
      </c>
      <c r="AB64" s="75">
        <v>64.400000000000006</v>
      </c>
      <c r="AC64" s="46">
        <v>47.9</v>
      </c>
      <c r="AD64" s="46">
        <v>47.9</v>
      </c>
      <c r="AE64" s="46">
        <v>0</v>
      </c>
      <c r="AF64" s="46">
        <v>0</v>
      </c>
      <c r="AG64" s="65">
        <v>70</v>
      </c>
      <c r="AH64" s="48">
        <f t="shared" si="8"/>
        <v>70</v>
      </c>
      <c r="AI64" s="49">
        <f t="shared" si="9"/>
        <v>0</v>
      </c>
      <c r="AK64" s="51"/>
    </row>
    <row r="65" spans="1:75" x14ac:dyDescent="0.25">
      <c r="A65" s="64" t="s">
        <v>82</v>
      </c>
      <c r="B65" s="75">
        <v>34.4</v>
      </c>
      <c r="C65" s="75">
        <v>48.2</v>
      </c>
      <c r="D65" s="75">
        <v>24</v>
      </c>
      <c r="E65" s="75">
        <v>15.8</v>
      </c>
      <c r="F65" s="75">
        <v>0.9</v>
      </c>
      <c r="G65" s="75">
        <v>0</v>
      </c>
      <c r="H65" s="75">
        <v>16.7</v>
      </c>
      <c r="I65" s="75">
        <v>16.899999999999999</v>
      </c>
      <c r="J65" s="75">
        <v>17</v>
      </c>
      <c r="K65" s="75">
        <v>38.4</v>
      </c>
      <c r="L65" s="75">
        <v>38.299999999999997</v>
      </c>
      <c r="M65" s="75">
        <v>68</v>
      </c>
      <c r="N65" s="75">
        <v>61.5</v>
      </c>
      <c r="O65" s="75">
        <v>61.2</v>
      </c>
      <c r="P65" s="75">
        <v>41</v>
      </c>
      <c r="Q65" s="75">
        <v>38.200000000000003</v>
      </c>
      <c r="R65" s="75">
        <v>32.5</v>
      </c>
      <c r="S65" s="75">
        <v>0</v>
      </c>
      <c r="T65" s="75">
        <v>0</v>
      </c>
      <c r="U65" s="75">
        <v>0</v>
      </c>
      <c r="V65" s="75">
        <v>22.7</v>
      </c>
      <c r="W65" s="75">
        <v>22.7</v>
      </c>
      <c r="X65" s="75">
        <v>22.7</v>
      </c>
      <c r="Y65" s="75">
        <v>72.3</v>
      </c>
      <c r="Z65" s="75">
        <v>72.3</v>
      </c>
      <c r="AA65" s="75">
        <v>72.3</v>
      </c>
      <c r="AB65" s="75">
        <v>69.099999999999994</v>
      </c>
      <c r="AC65" s="46">
        <v>69.599999999999994</v>
      </c>
      <c r="AD65" s="46">
        <v>69.599999999999994</v>
      </c>
      <c r="AE65" s="46">
        <v>64.2</v>
      </c>
      <c r="AF65" s="46">
        <v>40.200000000000003</v>
      </c>
      <c r="AG65" s="65">
        <v>69</v>
      </c>
      <c r="AH65" s="48">
        <f t="shared" si="8"/>
        <v>72.3</v>
      </c>
      <c r="AI65" s="49">
        <f t="shared" si="9"/>
        <v>0</v>
      </c>
      <c r="AK65" s="51"/>
    </row>
    <row r="66" spans="1:75" x14ac:dyDescent="0.25">
      <c r="A66" s="64" t="s">
        <v>83</v>
      </c>
      <c r="B66" s="75">
        <v>41.1</v>
      </c>
      <c r="C66" s="75">
        <v>45.1</v>
      </c>
      <c r="D66" s="75">
        <v>40.799999999999997</v>
      </c>
      <c r="E66" s="75">
        <v>35.299999999999997</v>
      </c>
      <c r="F66" s="75">
        <v>36</v>
      </c>
      <c r="G66" s="75">
        <v>41.8</v>
      </c>
      <c r="H66" s="75">
        <v>42.1</v>
      </c>
      <c r="I66" s="75">
        <v>44.3</v>
      </c>
      <c r="J66" s="75">
        <v>51.4</v>
      </c>
      <c r="K66" s="67">
        <v>51.4</v>
      </c>
      <c r="L66" s="67">
        <v>47.9</v>
      </c>
      <c r="M66" s="75">
        <v>48.1</v>
      </c>
      <c r="N66" s="75">
        <v>46.1</v>
      </c>
      <c r="O66" s="75">
        <v>44.1</v>
      </c>
      <c r="P66" s="75">
        <v>44.1</v>
      </c>
      <c r="Q66" s="75">
        <v>43.3</v>
      </c>
      <c r="R66" s="75">
        <v>44.1</v>
      </c>
      <c r="S66" s="75">
        <v>44.1</v>
      </c>
      <c r="T66" s="75">
        <v>44.1</v>
      </c>
      <c r="U66" s="75">
        <v>44.1</v>
      </c>
      <c r="V66" s="75">
        <v>44.1</v>
      </c>
      <c r="W66" s="75">
        <v>44.1</v>
      </c>
      <c r="X66" s="75">
        <v>44.1</v>
      </c>
      <c r="Y66" s="75">
        <v>44.1</v>
      </c>
      <c r="Z66" s="75">
        <v>44.1</v>
      </c>
      <c r="AA66" s="75">
        <v>39.799999999999997</v>
      </c>
      <c r="AB66" s="75">
        <v>39.799999999999997</v>
      </c>
      <c r="AC66" s="46">
        <v>42.3</v>
      </c>
      <c r="AD66" s="46">
        <v>42.3</v>
      </c>
      <c r="AE66" s="46">
        <v>44.3</v>
      </c>
      <c r="AF66" s="46">
        <v>40</v>
      </c>
      <c r="AG66" s="65">
        <v>60</v>
      </c>
      <c r="AH66" s="48">
        <f t="shared" si="8"/>
        <v>51.4</v>
      </c>
      <c r="AI66" s="49">
        <f t="shared" si="9"/>
        <v>35.299999999999997</v>
      </c>
      <c r="AK66" s="51"/>
    </row>
    <row r="67" spans="1:75" x14ac:dyDescent="0.25">
      <c r="A67" s="64" t="s">
        <v>84</v>
      </c>
      <c r="B67" s="46">
        <v>0</v>
      </c>
      <c r="C67" s="46">
        <v>0</v>
      </c>
      <c r="D67" s="46">
        <v>0</v>
      </c>
      <c r="E67" s="46">
        <v>0</v>
      </c>
      <c r="F67" s="75">
        <v>0</v>
      </c>
      <c r="G67" s="75">
        <v>0</v>
      </c>
      <c r="H67" s="75">
        <v>0</v>
      </c>
      <c r="I67" s="75">
        <v>0</v>
      </c>
      <c r="J67" s="75">
        <v>25.6</v>
      </c>
      <c r="K67" s="75">
        <v>28.8</v>
      </c>
      <c r="L67" s="67">
        <v>28.7</v>
      </c>
      <c r="M67" s="75">
        <v>10</v>
      </c>
      <c r="N67" s="75">
        <v>14.4</v>
      </c>
      <c r="O67" s="75">
        <v>14.8</v>
      </c>
      <c r="P67" s="75">
        <v>14.8</v>
      </c>
      <c r="Q67" s="75">
        <v>14.6</v>
      </c>
      <c r="R67" s="75">
        <v>13.8</v>
      </c>
      <c r="S67" s="75">
        <v>12.4</v>
      </c>
      <c r="T67" s="75">
        <v>12.4</v>
      </c>
      <c r="U67" s="75">
        <v>10.1</v>
      </c>
      <c r="V67" s="75">
        <v>10</v>
      </c>
      <c r="W67" s="75">
        <v>10</v>
      </c>
      <c r="X67" s="75">
        <v>10</v>
      </c>
      <c r="Y67" s="75">
        <v>10</v>
      </c>
      <c r="Z67" s="75">
        <v>23</v>
      </c>
      <c r="AA67" s="75">
        <v>23</v>
      </c>
      <c r="AB67" s="75">
        <v>22</v>
      </c>
      <c r="AC67" s="46">
        <v>11.8</v>
      </c>
      <c r="AD67" s="46">
        <v>11.8</v>
      </c>
      <c r="AE67" s="46">
        <v>10</v>
      </c>
      <c r="AF67" s="46">
        <v>0</v>
      </c>
      <c r="AG67" s="65">
        <v>30</v>
      </c>
      <c r="AH67" s="48">
        <f t="shared" si="8"/>
        <v>28.8</v>
      </c>
      <c r="AI67" s="49">
        <f t="shared" si="9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</row>
    <row r="68" spans="1:75" x14ac:dyDescent="0.25">
      <c r="A68" s="64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0.6</v>
      </c>
      <c r="K68" s="46">
        <v>2</v>
      </c>
      <c r="L68" s="75">
        <v>4.2</v>
      </c>
      <c r="M68" s="75">
        <v>6.3</v>
      </c>
      <c r="N68" s="75">
        <v>13.3</v>
      </c>
      <c r="O68" s="75">
        <v>16.600000000000001</v>
      </c>
      <c r="P68" s="75">
        <v>18.600000000000001</v>
      </c>
      <c r="Q68" s="75">
        <v>19.3</v>
      </c>
      <c r="R68" s="75">
        <v>18.5</v>
      </c>
      <c r="S68" s="75">
        <v>16.2</v>
      </c>
      <c r="T68" s="75">
        <v>8.8000000000000007</v>
      </c>
      <c r="U68" s="75">
        <v>1.5</v>
      </c>
      <c r="V68" s="75">
        <v>0.6</v>
      </c>
      <c r="W68" s="75">
        <v>0.3</v>
      </c>
      <c r="X68" s="75">
        <v>0</v>
      </c>
      <c r="Y68" s="75">
        <v>0</v>
      </c>
      <c r="Z68" s="75">
        <v>0</v>
      </c>
      <c r="AA68" s="75">
        <v>0</v>
      </c>
      <c r="AB68" s="75">
        <v>0</v>
      </c>
      <c r="AC68" s="75">
        <v>0</v>
      </c>
      <c r="AD68" s="75">
        <v>0</v>
      </c>
      <c r="AE68" s="75">
        <v>0</v>
      </c>
      <c r="AF68" s="75">
        <v>0</v>
      </c>
      <c r="AG68" s="65">
        <v>25</v>
      </c>
      <c r="AH68" s="48">
        <f t="shared" si="8"/>
        <v>19.3</v>
      </c>
      <c r="AI68" s="49">
        <f t="shared" si="9"/>
        <v>0</v>
      </c>
      <c r="AK68" s="51"/>
      <c r="AY68" s="1" t="s">
        <v>86</v>
      </c>
      <c r="AZ68" s="81">
        <f>ROUND(C81,0)</f>
        <v>45</v>
      </c>
      <c r="BA68" s="80">
        <f t="shared" ref="BA68:BD72" si="32">D81</f>
        <v>39.200000000000003</v>
      </c>
      <c r="BB68" s="80">
        <f t="shared" si="32"/>
        <v>48.3</v>
      </c>
      <c r="BC68" s="80">
        <f t="shared" si="32"/>
        <v>37.4</v>
      </c>
      <c r="BD68" s="80">
        <f t="shared" si="32"/>
        <v>44.5</v>
      </c>
      <c r="BE68" s="81">
        <f>I81</f>
        <v>41.5</v>
      </c>
      <c r="BF68" s="81">
        <f>K81</f>
        <v>44.9</v>
      </c>
      <c r="BG68" s="81">
        <f t="shared" ref="BG68:BP72" si="33">M81</f>
        <v>43.6</v>
      </c>
      <c r="BH68" s="81">
        <f t="shared" si="33"/>
        <v>17.8</v>
      </c>
      <c r="BI68" s="81">
        <f t="shared" si="33"/>
        <v>26.5</v>
      </c>
      <c r="BJ68" s="81">
        <f t="shared" si="33"/>
        <v>25.6</v>
      </c>
      <c r="BK68" s="81">
        <f t="shared" si="33"/>
        <v>26.9</v>
      </c>
      <c r="BL68" s="81">
        <f t="shared" si="33"/>
        <v>24.5</v>
      </c>
      <c r="BM68" s="81">
        <f t="shared" si="33"/>
        <v>26.5</v>
      </c>
      <c r="BN68" s="81">
        <f t="shared" si="33"/>
        <v>22.8</v>
      </c>
      <c r="BO68" s="81">
        <f t="shared" si="33"/>
        <v>23.8</v>
      </c>
      <c r="BP68" s="81">
        <f t="shared" si="33"/>
        <v>27.5</v>
      </c>
      <c r="BQ68" s="81">
        <f>X81</f>
        <v>26.5</v>
      </c>
      <c r="BR68" s="81">
        <f>Z81</f>
        <v>45</v>
      </c>
      <c r="BS68" s="80">
        <f>AB81</f>
        <v>40.4</v>
      </c>
      <c r="BT68" s="80">
        <f>AD81</f>
        <v>26.6</v>
      </c>
      <c r="BU68" s="80">
        <f>AE81</f>
        <v>28</v>
      </c>
      <c r="BV68" s="80">
        <f>AF81</f>
        <v>26.9</v>
      </c>
      <c r="BW68" s="80">
        <f>B81</f>
        <v>50.4</v>
      </c>
    </row>
    <row r="69" spans="1:75" x14ac:dyDescent="0.25">
      <c r="A69" s="64" t="s">
        <v>87</v>
      </c>
      <c r="B69" s="75">
        <v>15</v>
      </c>
      <c r="C69" s="75">
        <v>15</v>
      </c>
      <c r="D69" s="75">
        <v>15</v>
      </c>
      <c r="E69" s="75">
        <v>15</v>
      </c>
      <c r="F69" s="75">
        <v>15</v>
      </c>
      <c r="G69" s="75">
        <v>15</v>
      </c>
      <c r="H69" s="75">
        <v>15</v>
      </c>
      <c r="I69" s="75">
        <v>15</v>
      </c>
      <c r="J69" s="75">
        <v>15</v>
      </c>
      <c r="K69" s="75">
        <v>15</v>
      </c>
      <c r="L69" s="75">
        <v>15</v>
      </c>
      <c r="M69" s="75">
        <v>15</v>
      </c>
      <c r="N69" s="75">
        <v>15</v>
      </c>
      <c r="O69" s="75">
        <v>15</v>
      </c>
      <c r="P69" s="75">
        <v>15</v>
      </c>
      <c r="Q69" s="75">
        <v>16</v>
      </c>
      <c r="R69" s="75">
        <v>16</v>
      </c>
      <c r="S69" s="75">
        <v>16</v>
      </c>
      <c r="T69" s="75">
        <v>16</v>
      </c>
      <c r="U69" s="75">
        <v>16</v>
      </c>
      <c r="V69" s="75">
        <v>16</v>
      </c>
      <c r="W69" s="75">
        <v>16</v>
      </c>
      <c r="X69" s="75">
        <v>16</v>
      </c>
      <c r="Y69" s="75">
        <v>16</v>
      </c>
      <c r="Z69" s="75">
        <v>16</v>
      </c>
      <c r="AA69" s="75">
        <v>16</v>
      </c>
      <c r="AB69" s="75">
        <v>16</v>
      </c>
      <c r="AC69" s="75">
        <v>16</v>
      </c>
      <c r="AD69" s="75">
        <v>16</v>
      </c>
      <c r="AE69" s="75">
        <v>16</v>
      </c>
      <c r="AF69" s="75">
        <v>16</v>
      </c>
      <c r="AG69" s="65">
        <v>24</v>
      </c>
      <c r="AH69" s="48">
        <f t="shared" si="8"/>
        <v>16</v>
      </c>
      <c r="AI69" s="49">
        <f t="shared" si="9"/>
        <v>15</v>
      </c>
      <c r="AK69" s="51"/>
      <c r="AY69" s="1" t="s">
        <v>88</v>
      </c>
      <c r="AZ69" s="81">
        <f>ROUND(C82,0)</f>
        <v>0</v>
      </c>
      <c r="BA69" s="80">
        <f t="shared" si="32"/>
        <v>0</v>
      </c>
      <c r="BB69" s="80">
        <f t="shared" si="32"/>
        <v>0</v>
      </c>
      <c r="BC69" s="80">
        <f t="shared" si="32"/>
        <v>0</v>
      </c>
      <c r="BD69" s="80">
        <f t="shared" si="32"/>
        <v>0</v>
      </c>
      <c r="BE69" s="81">
        <f t="shared" ref="BE69:BE72" si="34">I82</f>
        <v>0</v>
      </c>
      <c r="BF69" s="81">
        <f t="shared" ref="BF69:BF72" si="35">K82</f>
        <v>0</v>
      </c>
      <c r="BG69" s="81">
        <f t="shared" si="33"/>
        <v>0</v>
      </c>
      <c r="BH69" s="81">
        <f t="shared" si="33"/>
        <v>0</v>
      </c>
      <c r="BI69" s="81">
        <f t="shared" si="33"/>
        <v>0</v>
      </c>
      <c r="BJ69" s="81">
        <f t="shared" si="33"/>
        <v>0</v>
      </c>
      <c r="BK69" s="81">
        <f t="shared" si="33"/>
        <v>0</v>
      </c>
      <c r="BL69" s="81">
        <f t="shared" si="33"/>
        <v>0</v>
      </c>
      <c r="BM69" s="81">
        <f t="shared" si="33"/>
        <v>0</v>
      </c>
      <c r="BN69" s="81">
        <f t="shared" si="33"/>
        <v>0</v>
      </c>
      <c r="BO69" s="81">
        <f t="shared" si="33"/>
        <v>0</v>
      </c>
      <c r="BP69" s="81">
        <f t="shared" si="33"/>
        <v>0</v>
      </c>
      <c r="BQ69" s="81">
        <f t="shared" ref="BQ69:BQ72" si="36">X82</f>
        <v>0</v>
      </c>
      <c r="BR69" s="81">
        <f t="shared" ref="BR69:BR72" si="37">Z82</f>
        <v>0</v>
      </c>
      <c r="BS69" s="80">
        <f t="shared" ref="BS69:BS72" si="38">AB82</f>
        <v>0</v>
      </c>
      <c r="BT69" s="80">
        <f t="shared" ref="BT69:BV72" si="39">AD82</f>
        <v>0</v>
      </c>
      <c r="BU69" s="80">
        <f t="shared" si="39"/>
        <v>0</v>
      </c>
      <c r="BV69" s="80">
        <f t="shared" si="39"/>
        <v>0</v>
      </c>
      <c r="BW69" s="80">
        <f t="shared" ref="BW69:BW72" si="40">B82</f>
        <v>0</v>
      </c>
    </row>
    <row r="70" spans="1:75" x14ac:dyDescent="0.25">
      <c r="A70" s="64" t="s">
        <v>89</v>
      </c>
      <c r="B70" s="75">
        <v>4</v>
      </c>
      <c r="C70" s="75">
        <v>4</v>
      </c>
      <c r="D70" s="75">
        <v>4</v>
      </c>
      <c r="E70" s="75">
        <v>4</v>
      </c>
      <c r="F70" s="75">
        <v>4</v>
      </c>
      <c r="G70" s="75">
        <v>4</v>
      </c>
      <c r="H70" s="75">
        <v>4</v>
      </c>
      <c r="I70" s="75">
        <v>4</v>
      </c>
      <c r="J70" s="75">
        <v>4</v>
      </c>
      <c r="K70" s="75">
        <v>4</v>
      </c>
      <c r="L70" s="75">
        <v>4</v>
      </c>
      <c r="M70" s="75">
        <v>4</v>
      </c>
      <c r="N70" s="75">
        <v>4</v>
      </c>
      <c r="O70" s="75">
        <v>4</v>
      </c>
      <c r="P70" s="75">
        <v>4</v>
      </c>
      <c r="Q70" s="75">
        <v>4</v>
      </c>
      <c r="R70" s="75">
        <v>4</v>
      </c>
      <c r="S70" s="75">
        <v>4</v>
      </c>
      <c r="T70" s="75">
        <v>4</v>
      </c>
      <c r="U70" s="75">
        <v>4</v>
      </c>
      <c r="V70" s="75">
        <v>4</v>
      </c>
      <c r="W70" s="75">
        <v>4</v>
      </c>
      <c r="X70" s="75">
        <v>4</v>
      </c>
      <c r="Y70" s="75">
        <v>4</v>
      </c>
      <c r="Z70" s="75">
        <v>4</v>
      </c>
      <c r="AA70" s="75">
        <v>4</v>
      </c>
      <c r="AB70" s="75">
        <v>4</v>
      </c>
      <c r="AC70" s="75">
        <v>4</v>
      </c>
      <c r="AD70" s="75">
        <v>4</v>
      </c>
      <c r="AE70" s="75">
        <v>4</v>
      </c>
      <c r="AF70" s="75">
        <v>4</v>
      </c>
      <c r="AG70" s="65">
        <v>15</v>
      </c>
      <c r="AH70" s="48">
        <f t="shared" si="8"/>
        <v>4</v>
      </c>
      <c r="AI70" s="49">
        <f t="shared" si="9"/>
        <v>4</v>
      </c>
      <c r="AK70" s="51"/>
      <c r="AL70" s="82"/>
      <c r="AO70" s="82"/>
      <c r="AY70" s="1" t="s">
        <v>90</v>
      </c>
      <c r="AZ70" s="81">
        <f>ROUND(C83,0)</f>
        <v>203</v>
      </c>
      <c r="BA70" s="80">
        <f t="shared" si="32"/>
        <v>268.2</v>
      </c>
      <c r="BB70" s="80">
        <f t="shared" si="32"/>
        <v>248.9</v>
      </c>
      <c r="BC70" s="80">
        <f t="shared" si="32"/>
        <v>225</v>
      </c>
      <c r="BD70" s="80">
        <f t="shared" si="32"/>
        <v>240</v>
      </c>
      <c r="BE70" s="81">
        <f t="shared" si="34"/>
        <v>184</v>
      </c>
      <c r="BF70" s="81">
        <f t="shared" si="35"/>
        <v>184</v>
      </c>
      <c r="BG70" s="81">
        <f t="shared" si="33"/>
        <v>194.5</v>
      </c>
      <c r="BH70" s="81">
        <f t="shared" si="33"/>
        <v>194</v>
      </c>
      <c r="BI70" s="81">
        <f t="shared" si="33"/>
        <v>141.4</v>
      </c>
      <c r="BJ70" s="81">
        <f t="shared" si="33"/>
        <v>140</v>
      </c>
      <c r="BK70" s="81">
        <f t="shared" si="33"/>
        <v>140.80000000000001</v>
      </c>
      <c r="BL70" s="81">
        <f t="shared" si="33"/>
        <v>152</v>
      </c>
      <c r="BM70" s="81">
        <f t="shared" si="33"/>
        <v>149.1</v>
      </c>
      <c r="BN70" s="81">
        <f t="shared" si="33"/>
        <v>149</v>
      </c>
      <c r="BO70" s="81">
        <f t="shared" si="33"/>
        <v>159.4</v>
      </c>
      <c r="BP70" s="81">
        <f t="shared" si="33"/>
        <v>132.6</v>
      </c>
      <c r="BQ70" s="81">
        <f t="shared" si="36"/>
        <v>161.19999999999999</v>
      </c>
      <c r="BR70" s="81">
        <f t="shared" si="37"/>
        <v>146.1</v>
      </c>
      <c r="BS70" s="80">
        <f t="shared" si="38"/>
        <v>60</v>
      </c>
      <c r="BT70" s="80">
        <f t="shared" si="39"/>
        <v>142</v>
      </c>
      <c r="BU70" s="80">
        <f t="shared" si="39"/>
        <v>102</v>
      </c>
      <c r="BV70" s="80">
        <f t="shared" si="39"/>
        <v>98.7</v>
      </c>
      <c r="BW70" s="80">
        <f t="shared" si="40"/>
        <v>203.5</v>
      </c>
    </row>
    <row r="71" spans="1:75" s="82" customFormat="1" x14ac:dyDescent="0.25">
      <c r="A71" s="64" t="s">
        <v>91</v>
      </c>
      <c r="B71" s="75">
        <v>8.1999999999999993</v>
      </c>
      <c r="C71" s="75">
        <v>8.1999999999999993</v>
      </c>
      <c r="D71" s="75">
        <v>8.1999999999999993</v>
      </c>
      <c r="E71" s="75">
        <v>8.1999999999999993</v>
      </c>
      <c r="F71" s="75">
        <v>8.1999999999999993</v>
      </c>
      <c r="G71" s="75">
        <v>8.1999999999999993</v>
      </c>
      <c r="H71" s="75">
        <v>8.1999999999999993</v>
      </c>
      <c r="I71" s="75">
        <v>8.1999999999999993</v>
      </c>
      <c r="J71" s="75">
        <v>8.1999999999999993</v>
      </c>
      <c r="K71" s="75">
        <v>8.1999999999999993</v>
      </c>
      <c r="L71" s="75">
        <v>8.1999999999999993</v>
      </c>
      <c r="M71" s="75">
        <v>11</v>
      </c>
      <c r="N71" s="75">
        <v>11</v>
      </c>
      <c r="O71" s="75">
        <v>11</v>
      </c>
      <c r="P71" s="75">
        <v>12</v>
      </c>
      <c r="Q71" s="75">
        <v>12.9</v>
      </c>
      <c r="R71" s="75">
        <v>12.9</v>
      </c>
      <c r="S71" s="75">
        <v>12.9</v>
      </c>
      <c r="T71" s="75">
        <v>12.9</v>
      </c>
      <c r="U71" s="75">
        <v>12.9</v>
      </c>
      <c r="V71" s="75">
        <v>12.9</v>
      </c>
      <c r="W71" s="75">
        <v>12.9</v>
      </c>
      <c r="X71" s="75">
        <v>12.9</v>
      </c>
      <c r="Y71" s="75">
        <v>12.9</v>
      </c>
      <c r="Z71" s="75">
        <v>12.9</v>
      </c>
      <c r="AA71" s="75">
        <v>12.9</v>
      </c>
      <c r="AB71" s="75">
        <v>12.2</v>
      </c>
      <c r="AC71" s="75">
        <v>12.2</v>
      </c>
      <c r="AD71" s="75">
        <v>12.2</v>
      </c>
      <c r="AE71" s="75">
        <v>13</v>
      </c>
      <c r="AF71" s="75">
        <v>13.2</v>
      </c>
      <c r="AG71" s="65">
        <v>14.1</v>
      </c>
      <c r="AH71" s="48">
        <f t="shared" si="8"/>
        <v>13.2</v>
      </c>
      <c r="AI71" s="49">
        <f t="shared" si="9"/>
        <v>8.1999999999999993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0</v>
      </c>
      <c r="BA71" s="80">
        <f t="shared" si="32"/>
        <v>0</v>
      </c>
      <c r="BB71" s="80">
        <f t="shared" si="32"/>
        <v>0</v>
      </c>
      <c r="BC71" s="80">
        <f t="shared" si="32"/>
        <v>0</v>
      </c>
      <c r="BD71" s="80">
        <f t="shared" si="32"/>
        <v>0</v>
      </c>
      <c r="BE71" s="81">
        <f t="shared" si="34"/>
        <v>0</v>
      </c>
      <c r="BF71" s="81">
        <f t="shared" si="35"/>
        <v>0</v>
      </c>
      <c r="BG71" s="81">
        <f t="shared" si="33"/>
        <v>0</v>
      </c>
      <c r="BH71" s="81">
        <f t="shared" si="33"/>
        <v>0</v>
      </c>
      <c r="BI71" s="81">
        <f t="shared" si="33"/>
        <v>0</v>
      </c>
      <c r="BJ71" s="81">
        <f t="shared" si="33"/>
        <v>0</v>
      </c>
      <c r="BK71" s="81">
        <f t="shared" si="33"/>
        <v>0</v>
      </c>
      <c r="BL71" s="81">
        <f t="shared" si="33"/>
        <v>0</v>
      </c>
      <c r="BM71" s="81">
        <f t="shared" si="33"/>
        <v>0</v>
      </c>
      <c r="BN71" s="81">
        <f t="shared" si="33"/>
        <v>0</v>
      </c>
      <c r="BO71" s="81">
        <f t="shared" si="33"/>
        <v>0</v>
      </c>
      <c r="BP71" s="81">
        <f t="shared" si="33"/>
        <v>0</v>
      </c>
      <c r="BQ71" s="81">
        <f t="shared" si="36"/>
        <v>0</v>
      </c>
      <c r="BR71" s="81">
        <f t="shared" si="37"/>
        <v>0</v>
      </c>
      <c r="BS71" s="80">
        <f t="shared" si="38"/>
        <v>0</v>
      </c>
      <c r="BT71" s="80">
        <f t="shared" si="39"/>
        <v>0</v>
      </c>
      <c r="BU71" s="80">
        <f t="shared" si="39"/>
        <v>0</v>
      </c>
      <c r="BV71" s="80">
        <f t="shared" si="39"/>
        <v>0</v>
      </c>
      <c r="BW71" s="80">
        <f t="shared" si="40"/>
        <v>0</v>
      </c>
    </row>
    <row r="72" spans="1:75" x14ac:dyDescent="0.25">
      <c r="A72" s="83" t="s">
        <v>93</v>
      </c>
      <c r="B72" s="75">
        <v>3.5</v>
      </c>
      <c r="C72" s="75">
        <v>3.5</v>
      </c>
      <c r="D72" s="75">
        <v>3.5</v>
      </c>
      <c r="E72" s="75">
        <v>3.5</v>
      </c>
      <c r="F72" s="75">
        <v>3.5</v>
      </c>
      <c r="G72" s="75">
        <v>3.5</v>
      </c>
      <c r="H72" s="75">
        <v>3.5</v>
      </c>
      <c r="I72" s="75">
        <v>3.5</v>
      </c>
      <c r="J72" s="75">
        <v>3.5</v>
      </c>
      <c r="K72" s="75">
        <v>3.5</v>
      </c>
      <c r="L72" s="75">
        <v>3.5</v>
      </c>
      <c r="M72" s="75">
        <v>4.5</v>
      </c>
      <c r="N72" s="75">
        <v>4.5</v>
      </c>
      <c r="O72" s="75">
        <v>4.5</v>
      </c>
      <c r="P72" s="75">
        <v>4.5</v>
      </c>
      <c r="Q72" s="75">
        <v>4.4000000000000004</v>
      </c>
      <c r="R72" s="75">
        <v>4.4000000000000004</v>
      </c>
      <c r="S72" s="75">
        <v>4.4000000000000004</v>
      </c>
      <c r="T72" s="75">
        <v>4.4000000000000004</v>
      </c>
      <c r="U72" s="75">
        <v>4.4000000000000004</v>
      </c>
      <c r="V72" s="75">
        <v>4.4000000000000004</v>
      </c>
      <c r="W72" s="75">
        <v>4.4000000000000004</v>
      </c>
      <c r="X72" s="75">
        <v>4.4000000000000004</v>
      </c>
      <c r="Y72" s="75">
        <v>4.4000000000000004</v>
      </c>
      <c r="Z72" s="75">
        <v>4.4000000000000004</v>
      </c>
      <c r="AA72" s="75">
        <v>4.4000000000000004</v>
      </c>
      <c r="AB72" s="75">
        <v>5.0999999999999996</v>
      </c>
      <c r="AC72" s="75">
        <v>5.0999999999999996</v>
      </c>
      <c r="AD72" s="75">
        <v>5.0999999999999996</v>
      </c>
      <c r="AE72" s="75">
        <v>5.0999999999999996</v>
      </c>
      <c r="AF72" s="75">
        <v>5.0999999999999996</v>
      </c>
      <c r="AG72" s="65">
        <v>14</v>
      </c>
      <c r="AH72" s="48">
        <f t="shared" si="8"/>
        <v>5.0999999999999996</v>
      </c>
      <c r="AI72" s="49">
        <f t="shared" si="9"/>
        <v>3.5</v>
      </c>
      <c r="AK72" s="51"/>
      <c r="AY72" s="1" t="s">
        <v>94</v>
      </c>
      <c r="AZ72" s="81">
        <f>ROUND(C85,0)</f>
        <v>0</v>
      </c>
      <c r="BA72" s="80">
        <f t="shared" si="32"/>
        <v>0</v>
      </c>
      <c r="BB72" s="80">
        <f t="shared" si="32"/>
        <v>0</v>
      </c>
      <c r="BC72" s="80">
        <f t="shared" si="32"/>
        <v>0</v>
      </c>
      <c r="BD72" s="80">
        <f t="shared" si="32"/>
        <v>0</v>
      </c>
      <c r="BE72" s="81">
        <f t="shared" si="34"/>
        <v>0</v>
      </c>
      <c r="BF72" s="81">
        <f t="shared" si="35"/>
        <v>0</v>
      </c>
      <c r="BG72" s="81">
        <f t="shared" si="33"/>
        <v>0</v>
      </c>
      <c r="BH72" s="81">
        <f t="shared" si="33"/>
        <v>0</v>
      </c>
      <c r="BI72" s="81">
        <f t="shared" si="33"/>
        <v>0</v>
      </c>
      <c r="BJ72" s="81">
        <f t="shared" si="33"/>
        <v>0</v>
      </c>
      <c r="BK72" s="81">
        <f t="shared" si="33"/>
        <v>0</v>
      </c>
      <c r="BL72" s="81">
        <f t="shared" si="33"/>
        <v>0</v>
      </c>
      <c r="BM72" s="81">
        <f t="shared" si="33"/>
        <v>0</v>
      </c>
      <c r="BN72" s="81">
        <f t="shared" si="33"/>
        <v>0</v>
      </c>
      <c r="BO72" s="81">
        <f t="shared" si="33"/>
        <v>0</v>
      </c>
      <c r="BP72" s="81">
        <f t="shared" si="33"/>
        <v>0</v>
      </c>
      <c r="BQ72" s="81">
        <f t="shared" si="36"/>
        <v>0</v>
      </c>
      <c r="BR72" s="81">
        <f t="shared" si="37"/>
        <v>0</v>
      </c>
      <c r="BS72" s="80">
        <f t="shared" si="38"/>
        <v>0</v>
      </c>
      <c r="BT72" s="80">
        <f t="shared" si="39"/>
        <v>0</v>
      </c>
      <c r="BU72" s="80">
        <f t="shared" si="39"/>
        <v>0</v>
      </c>
      <c r="BV72" s="80">
        <f t="shared" si="39"/>
        <v>0</v>
      </c>
      <c r="BW72" s="80">
        <f t="shared" si="40"/>
        <v>0</v>
      </c>
    </row>
    <row r="73" spans="1:75" x14ac:dyDescent="0.25">
      <c r="A73" s="64" t="s">
        <v>95</v>
      </c>
      <c r="B73" s="75">
        <v>4.5</v>
      </c>
      <c r="C73" s="75">
        <v>4.5</v>
      </c>
      <c r="D73" s="75">
        <v>4.5</v>
      </c>
      <c r="E73" s="75">
        <v>4.5</v>
      </c>
      <c r="F73" s="75">
        <v>4.5</v>
      </c>
      <c r="G73" s="75">
        <v>4.5</v>
      </c>
      <c r="H73" s="75">
        <v>4.5</v>
      </c>
      <c r="I73" s="75">
        <v>4.5</v>
      </c>
      <c r="J73" s="75">
        <v>4.5</v>
      </c>
      <c r="K73" s="75">
        <v>4.5</v>
      </c>
      <c r="L73" s="75">
        <v>4.5</v>
      </c>
      <c r="M73" s="75">
        <v>4.5</v>
      </c>
      <c r="N73" s="75">
        <v>4.5</v>
      </c>
      <c r="O73" s="75">
        <v>4.5</v>
      </c>
      <c r="P73" s="75">
        <v>4.5</v>
      </c>
      <c r="Q73" s="75">
        <v>4.5</v>
      </c>
      <c r="R73" s="75">
        <v>4.5</v>
      </c>
      <c r="S73" s="75">
        <v>4.5</v>
      </c>
      <c r="T73" s="75">
        <v>4.5</v>
      </c>
      <c r="U73" s="75">
        <v>4.5</v>
      </c>
      <c r="V73" s="75">
        <v>4.5</v>
      </c>
      <c r="W73" s="75">
        <v>4.5</v>
      </c>
      <c r="X73" s="75">
        <v>4.5</v>
      </c>
      <c r="Y73" s="75">
        <v>4.5</v>
      </c>
      <c r="Z73" s="75">
        <v>4.5</v>
      </c>
      <c r="AA73" s="75">
        <v>4.5</v>
      </c>
      <c r="AB73" s="75">
        <v>4.5</v>
      </c>
      <c r="AC73" s="75">
        <v>4.5</v>
      </c>
      <c r="AD73" s="75">
        <v>4.5</v>
      </c>
      <c r="AE73" s="75">
        <v>4.5</v>
      </c>
      <c r="AF73" s="75">
        <v>4.5</v>
      </c>
      <c r="AG73" s="65">
        <v>10.050000000000001</v>
      </c>
      <c r="AH73" s="48">
        <f t="shared" si="8"/>
        <v>4.5</v>
      </c>
      <c r="AI73" s="49">
        <f t="shared" si="9"/>
        <v>4.5</v>
      </c>
      <c r="AK73" s="51"/>
      <c r="AY73" s="1" t="s">
        <v>96</v>
      </c>
      <c r="AZ73" s="81">
        <f>ROUND(C91,0)</f>
        <v>0</v>
      </c>
      <c r="BA73" s="81">
        <f>D91</f>
        <v>0</v>
      </c>
      <c r="BB73" s="81">
        <f>E91</f>
        <v>0</v>
      </c>
      <c r="BC73" s="81">
        <f>F91</f>
        <v>0</v>
      </c>
      <c r="BD73" s="81">
        <f>G91</f>
        <v>0</v>
      </c>
      <c r="BE73" s="81">
        <f>I91</f>
        <v>0</v>
      </c>
      <c r="BF73" s="81">
        <f>K91</f>
        <v>0</v>
      </c>
      <c r="BG73" s="81">
        <f t="shared" ref="BG73:BP73" si="41">M91</f>
        <v>0</v>
      </c>
      <c r="BH73" s="81">
        <f t="shared" si="41"/>
        <v>0</v>
      </c>
      <c r="BI73" s="81">
        <f t="shared" si="41"/>
        <v>0</v>
      </c>
      <c r="BJ73" s="81">
        <f t="shared" si="41"/>
        <v>0</v>
      </c>
      <c r="BK73" s="81">
        <f t="shared" si="41"/>
        <v>0</v>
      </c>
      <c r="BL73" s="81">
        <f t="shared" si="41"/>
        <v>0</v>
      </c>
      <c r="BM73" s="81">
        <f t="shared" si="41"/>
        <v>0</v>
      </c>
      <c r="BN73" s="81">
        <f t="shared" si="41"/>
        <v>0</v>
      </c>
      <c r="BO73" s="81">
        <f t="shared" si="41"/>
        <v>0</v>
      </c>
      <c r="BP73" s="81">
        <f t="shared" si="41"/>
        <v>0</v>
      </c>
      <c r="BQ73" s="81">
        <f>X91</f>
        <v>0</v>
      </c>
      <c r="BR73" s="81">
        <f>Z91</f>
        <v>0</v>
      </c>
      <c r="BS73" s="81">
        <f>AB91</f>
        <v>0</v>
      </c>
      <c r="BT73" s="81">
        <f>AD91</f>
        <v>0</v>
      </c>
      <c r="BU73" s="81">
        <f>AE91</f>
        <v>0</v>
      </c>
      <c r="BV73" s="81">
        <f>AF91</f>
        <v>0</v>
      </c>
      <c r="BW73" s="81">
        <f>B91</f>
        <v>0</v>
      </c>
    </row>
    <row r="74" spans="1:75" x14ac:dyDescent="0.25">
      <c r="A74" s="64" t="s">
        <v>97</v>
      </c>
      <c r="B74" s="75">
        <v>4.5</v>
      </c>
      <c r="C74" s="75">
        <v>4.5</v>
      </c>
      <c r="D74" s="75">
        <v>4.5</v>
      </c>
      <c r="E74" s="75">
        <v>4.5</v>
      </c>
      <c r="F74" s="75">
        <v>4.5</v>
      </c>
      <c r="G74" s="75">
        <v>4.5</v>
      </c>
      <c r="H74" s="75">
        <v>4.5</v>
      </c>
      <c r="I74" s="75">
        <v>4.5</v>
      </c>
      <c r="J74" s="75">
        <v>4.5</v>
      </c>
      <c r="K74" s="75">
        <v>4.5</v>
      </c>
      <c r="L74" s="75">
        <v>4.5</v>
      </c>
      <c r="M74" s="75">
        <v>4.5</v>
      </c>
      <c r="N74" s="75">
        <v>4.5</v>
      </c>
      <c r="O74" s="75">
        <v>4.5</v>
      </c>
      <c r="P74" s="75">
        <v>4.5</v>
      </c>
      <c r="Q74" s="75">
        <v>4.5</v>
      </c>
      <c r="R74" s="75">
        <v>4.5</v>
      </c>
      <c r="S74" s="75">
        <v>4.5</v>
      </c>
      <c r="T74" s="75">
        <v>4.5</v>
      </c>
      <c r="U74" s="75">
        <v>4.5</v>
      </c>
      <c r="V74" s="75">
        <v>4.5</v>
      </c>
      <c r="W74" s="75">
        <v>4.5</v>
      </c>
      <c r="X74" s="75">
        <v>4.5</v>
      </c>
      <c r="Y74" s="75">
        <v>4.5</v>
      </c>
      <c r="Z74" s="75">
        <v>4.5</v>
      </c>
      <c r="AA74" s="75">
        <v>4.5</v>
      </c>
      <c r="AB74" s="75">
        <v>4.5</v>
      </c>
      <c r="AC74" s="75">
        <v>4.5</v>
      </c>
      <c r="AD74" s="75">
        <v>4.5</v>
      </c>
      <c r="AE74" s="75">
        <v>4.5</v>
      </c>
      <c r="AF74" s="75">
        <v>4.5</v>
      </c>
      <c r="AG74" s="65">
        <v>6.2</v>
      </c>
      <c r="AH74" s="48">
        <f t="shared" si="8"/>
        <v>4.5</v>
      </c>
      <c r="AI74" s="49">
        <f t="shared" si="9"/>
        <v>4.5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</row>
    <row r="75" spans="1:75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>
        <v>3.54</v>
      </c>
      <c r="W75" s="84">
        <v>3.54</v>
      </c>
      <c r="X75" s="84">
        <v>3.54</v>
      </c>
      <c r="Y75" s="84">
        <v>3.5</v>
      </c>
      <c r="Z75" s="84">
        <v>5.5</v>
      </c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8"/>
        <v>5.5</v>
      </c>
      <c r="AI75" s="49">
        <f t="shared" si="9"/>
        <v>3.5</v>
      </c>
      <c r="AK75" s="51"/>
      <c r="AZ75" s="81">
        <f>VALUE(AZ68)</f>
        <v>45</v>
      </c>
      <c r="BA75" s="81">
        <f t="shared" ref="BA75:BW75" si="42">VALUE(BA68)</f>
        <v>39.200000000000003</v>
      </c>
      <c r="BB75" s="81">
        <f t="shared" si="42"/>
        <v>48.3</v>
      </c>
      <c r="BC75" s="81">
        <f t="shared" si="42"/>
        <v>37.4</v>
      </c>
      <c r="BD75" s="81">
        <f t="shared" si="42"/>
        <v>44.5</v>
      </c>
      <c r="BE75" s="81">
        <f t="shared" si="42"/>
        <v>41.5</v>
      </c>
      <c r="BF75" s="81">
        <f t="shared" si="42"/>
        <v>44.9</v>
      </c>
      <c r="BG75" s="81">
        <f t="shared" si="42"/>
        <v>43.6</v>
      </c>
      <c r="BH75" s="81">
        <f t="shared" si="42"/>
        <v>17.8</v>
      </c>
      <c r="BI75" s="81">
        <f t="shared" si="42"/>
        <v>26.5</v>
      </c>
      <c r="BJ75" s="81">
        <f t="shared" si="42"/>
        <v>25.6</v>
      </c>
      <c r="BK75" s="81">
        <f t="shared" si="42"/>
        <v>26.9</v>
      </c>
      <c r="BL75" s="81">
        <f t="shared" si="42"/>
        <v>24.5</v>
      </c>
      <c r="BM75" s="81">
        <f t="shared" si="42"/>
        <v>26.5</v>
      </c>
      <c r="BN75" s="81">
        <f t="shared" si="42"/>
        <v>22.8</v>
      </c>
      <c r="BO75" s="81">
        <f t="shared" si="42"/>
        <v>23.8</v>
      </c>
      <c r="BP75" s="81">
        <f t="shared" si="42"/>
        <v>27.5</v>
      </c>
      <c r="BQ75" s="81">
        <f t="shared" si="42"/>
        <v>26.5</v>
      </c>
      <c r="BR75" s="81">
        <f t="shared" si="42"/>
        <v>45</v>
      </c>
      <c r="BS75" s="81">
        <f t="shared" si="42"/>
        <v>40.4</v>
      </c>
      <c r="BT75" s="81">
        <f t="shared" si="42"/>
        <v>26.6</v>
      </c>
      <c r="BU75" s="81">
        <f t="shared" si="42"/>
        <v>28</v>
      </c>
      <c r="BV75" s="81">
        <f t="shared" si="42"/>
        <v>26.9</v>
      </c>
      <c r="BW75" s="81">
        <f t="shared" si="42"/>
        <v>50.4</v>
      </c>
    </row>
    <row r="76" spans="1:75" ht="15.75" thickBot="1" x14ac:dyDescent="0.3">
      <c r="A76" s="86" t="s">
        <v>99</v>
      </c>
      <c r="B76" s="70">
        <f t="shared" ref="B76:C76" si="43">SUM(B63:B75)</f>
        <v>193.54</v>
      </c>
      <c r="C76" s="70">
        <f t="shared" si="43"/>
        <v>197.14</v>
      </c>
      <c r="D76" s="70">
        <f t="shared" ref="D76" si="44">SUM(D63:D75)</f>
        <v>108.04</v>
      </c>
      <c r="E76" s="70">
        <f t="shared" ref="E76:AG76" si="45">SUM(E63:E75)</f>
        <v>94.34</v>
      </c>
      <c r="F76" s="70">
        <f t="shared" si="45"/>
        <v>80.14</v>
      </c>
      <c r="G76" s="70">
        <f t="shared" si="45"/>
        <v>85.04</v>
      </c>
      <c r="H76" s="70">
        <f t="shared" si="45"/>
        <v>153.83999999999997</v>
      </c>
      <c r="I76" s="70">
        <f t="shared" si="45"/>
        <v>158.73999999999998</v>
      </c>
      <c r="J76" s="70">
        <f t="shared" si="45"/>
        <v>223.63999999999996</v>
      </c>
      <c r="K76" s="70">
        <f t="shared" si="45"/>
        <v>270.24000000000007</v>
      </c>
      <c r="L76" s="70">
        <f t="shared" si="45"/>
        <v>267.33999999999997</v>
      </c>
      <c r="M76" s="70">
        <f t="shared" si="45"/>
        <v>284.94</v>
      </c>
      <c r="N76" s="70">
        <f t="shared" si="45"/>
        <v>237.64000000000001</v>
      </c>
      <c r="O76" s="70">
        <f t="shared" si="45"/>
        <v>238.94</v>
      </c>
      <c r="P76" s="70">
        <f t="shared" si="45"/>
        <v>222.44</v>
      </c>
      <c r="Q76" s="70">
        <f t="shared" si="45"/>
        <v>206.04000000000002</v>
      </c>
      <c r="R76" s="70">
        <f t="shared" si="45"/>
        <v>189.64000000000001</v>
      </c>
      <c r="S76" s="70">
        <f t="shared" si="45"/>
        <v>198.44</v>
      </c>
      <c r="T76" s="70">
        <f t="shared" si="45"/>
        <v>236.14000000000001</v>
      </c>
      <c r="U76" s="70">
        <f t="shared" si="45"/>
        <v>257.04000000000002</v>
      </c>
      <c r="V76" s="70">
        <f t="shared" si="45"/>
        <v>288.23999999999995</v>
      </c>
      <c r="W76" s="70">
        <f t="shared" si="45"/>
        <v>277.24</v>
      </c>
      <c r="X76" s="70">
        <f t="shared" si="45"/>
        <v>267.94</v>
      </c>
      <c r="Y76" s="70">
        <f>SUM(Y63:Y75)</f>
        <v>367.79999999999995</v>
      </c>
      <c r="Z76" s="70">
        <f>SUM(Z63:Z75)</f>
        <v>404.9</v>
      </c>
      <c r="AA76" s="70">
        <f t="shared" si="45"/>
        <v>398.64</v>
      </c>
      <c r="AB76" s="70">
        <f t="shared" ref="AB76" si="46">SUM(AB63:AB75)</f>
        <v>387.74000000000007</v>
      </c>
      <c r="AC76" s="70">
        <f t="shared" si="45"/>
        <v>341.84000000000003</v>
      </c>
      <c r="AD76" s="70">
        <f t="shared" si="45"/>
        <v>315.44000000000005</v>
      </c>
      <c r="AE76" s="70">
        <f t="shared" ref="AE76:AF76" si="47">SUM(AE63:AE75)</f>
        <v>169.14</v>
      </c>
      <c r="AF76" s="70">
        <f t="shared" si="47"/>
        <v>131.04</v>
      </c>
      <c r="AG76" s="71">
        <f t="shared" si="45"/>
        <v>489.91</v>
      </c>
      <c r="AH76" s="48">
        <f t="shared" si="8"/>
        <v>404.9</v>
      </c>
      <c r="AI76" s="49">
        <f t="shared" si="9"/>
        <v>80.14</v>
      </c>
      <c r="AK76" s="51"/>
      <c r="AZ76" s="81">
        <f t="shared" ref="AZ76:BW80" si="48">VALUE(AZ69)</f>
        <v>0</v>
      </c>
      <c r="BA76" s="81">
        <f t="shared" si="48"/>
        <v>0</v>
      </c>
      <c r="BB76" s="81">
        <f t="shared" si="48"/>
        <v>0</v>
      </c>
      <c r="BC76" s="81">
        <f t="shared" si="48"/>
        <v>0</v>
      </c>
      <c r="BD76" s="81">
        <f t="shared" si="48"/>
        <v>0</v>
      </c>
      <c r="BE76" s="81">
        <f t="shared" si="48"/>
        <v>0</v>
      </c>
      <c r="BF76" s="81">
        <f t="shared" si="48"/>
        <v>0</v>
      </c>
      <c r="BG76" s="81">
        <f t="shared" si="48"/>
        <v>0</v>
      </c>
      <c r="BH76" s="81">
        <f t="shared" si="48"/>
        <v>0</v>
      </c>
      <c r="BI76" s="81">
        <f t="shared" si="48"/>
        <v>0</v>
      </c>
      <c r="BJ76" s="81">
        <f t="shared" si="48"/>
        <v>0</v>
      </c>
      <c r="BK76" s="81">
        <f t="shared" si="48"/>
        <v>0</v>
      </c>
      <c r="BL76" s="81">
        <f t="shared" si="48"/>
        <v>0</v>
      </c>
      <c r="BM76" s="81">
        <f t="shared" si="48"/>
        <v>0</v>
      </c>
      <c r="BN76" s="81">
        <f t="shared" si="48"/>
        <v>0</v>
      </c>
      <c r="BO76" s="81">
        <f t="shared" si="48"/>
        <v>0</v>
      </c>
      <c r="BP76" s="81">
        <f t="shared" si="48"/>
        <v>0</v>
      </c>
      <c r="BQ76" s="81">
        <f t="shared" si="48"/>
        <v>0</v>
      </c>
      <c r="BR76" s="81">
        <f t="shared" si="48"/>
        <v>0</v>
      </c>
      <c r="BS76" s="81">
        <f t="shared" si="48"/>
        <v>0</v>
      </c>
      <c r="BT76" s="81">
        <f t="shared" si="48"/>
        <v>0</v>
      </c>
      <c r="BU76" s="81">
        <f t="shared" si="48"/>
        <v>0</v>
      </c>
      <c r="BV76" s="81">
        <f t="shared" si="48"/>
        <v>0</v>
      </c>
      <c r="BW76" s="81">
        <f t="shared" si="48"/>
        <v>0</v>
      </c>
    </row>
    <row r="77" spans="1:75" x14ac:dyDescent="0.25">
      <c r="A77" s="45" t="s">
        <v>100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60">
        <v>60</v>
      </c>
      <c r="AH77" s="48">
        <f t="shared" si="8"/>
        <v>0</v>
      </c>
      <c r="AI77" s="49">
        <f t="shared" si="9"/>
        <v>0</v>
      </c>
      <c r="AK77" s="51"/>
      <c r="AZ77" s="81">
        <f t="shared" si="48"/>
        <v>203</v>
      </c>
      <c r="BA77" s="81">
        <f t="shared" si="48"/>
        <v>268.2</v>
      </c>
      <c r="BB77" s="81">
        <f t="shared" si="48"/>
        <v>248.9</v>
      </c>
      <c r="BC77" s="81">
        <f t="shared" si="48"/>
        <v>225</v>
      </c>
      <c r="BD77" s="81">
        <f t="shared" si="48"/>
        <v>240</v>
      </c>
      <c r="BE77" s="81">
        <f t="shared" si="48"/>
        <v>184</v>
      </c>
      <c r="BF77" s="81">
        <f t="shared" si="48"/>
        <v>184</v>
      </c>
      <c r="BG77" s="81">
        <f t="shared" si="48"/>
        <v>194.5</v>
      </c>
      <c r="BH77" s="81">
        <f t="shared" si="48"/>
        <v>194</v>
      </c>
      <c r="BI77" s="81">
        <f t="shared" si="48"/>
        <v>141.4</v>
      </c>
      <c r="BJ77" s="81">
        <f t="shared" si="48"/>
        <v>140</v>
      </c>
      <c r="BK77" s="81">
        <f t="shared" si="48"/>
        <v>140.80000000000001</v>
      </c>
      <c r="BL77" s="81">
        <f t="shared" si="48"/>
        <v>152</v>
      </c>
      <c r="BM77" s="81">
        <f t="shared" si="48"/>
        <v>149.1</v>
      </c>
      <c r="BN77" s="81">
        <f t="shared" si="48"/>
        <v>149</v>
      </c>
      <c r="BO77" s="81">
        <f t="shared" si="48"/>
        <v>159.4</v>
      </c>
      <c r="BP77" s="81">
        <f t="shared" si="48"/>
        <v>132.6</v>
      </c>
      <c r="BQ77" s="81">
        <f t="shared" si="48"/>
        <v>161.19999999999999</v>
      </c>
      <c r="BR77" s="81">
        <f t="shared" si="48"/>
        <v>146.1</v>
      </c>
      <c r="BS77" s="81">
        <f t="shared" si="48"/>
        <v>60</v>
      </c>
      <c r="BT77" s="81">
        <f t="shared" si="48"/>
        <v>142</v>
      </c>
      <c r="BU77" s="81">
        <f t="shared" si="48"/>
        <v>102</v>
      </c>
      <c r="BV77" s="81">
        <f t="shared" si="48"/>
        <v>98.7</v>
      </c>
      <c r="BW77" s="81">
        <f t="shared" si="48"/>
        <v>203.5</v>
      </c>
    </row>
    <row r="78" spans="1:75" x14ac:dyDescent="0.25">
      <c r="A78" s="64" t="s">
        <v>101</v>
      </c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65">
        <v>32</v>
      </c>
      <c r="AH78" s="48">
        <f t="shared" si="8"/>
        <v>0</v>
      </c>
      <c r="AI78" s="49">
        <f t="shared" si="9"/>
        <v>0</v>
      </c>
      <c r="AK78" s="51"/>
      <c r="AZ78" s="81">
        <f t="shared" si="48"/>
        <v>0</v>
      </c>
      <c r="BA78" s="81">
        <f t="shared" si="48"/>
        <v>0</v>
      </c>
      <c r="BB78" s="81">
        <f t="shared" si="48"/>
        <v>0</v>
      </c>
      <c r="BC78" s="81">
        <f t="shared" si="48"/>
        <v>0</v>
      </c>
      <c r="BD78" s="81">
        <f t="shared" si="48"/>
        <v>0</v>
      </c>
      <c r="BE78" s="81">
        <f t="shared" si="48"/>
        <v>0</v>
      </c>
      <c r="BF78" s="81">
        <f t="shared" si="48"/>
        <v>0</v>
      </c>
      <c r="BG78" s="81">
        <f t="shared" si="48"/>
        <v>0</v>
      </c>
      <c r="BH78" s="81">
        <f t="shared" si="48"/>
        <v>0</v>
      </c>
      <c r="BI78" s="81">
        <f t="shared" si="48"/>
        <v>0</v>
      </c>
      <c r="BJ78" s="81">
        <f t="shared" si="48"/>
        <v>0</v>
      </c>
      <c r="BK78" s="81">
        <f t="shared" si="48"/>
        <v>0</v>
      </c>
      <c r="BL78" s="81">
        <f t="shared" si="48"/>
        <v>0</v>
      </c>
      <c r="BM78" s="81">
        <f t="shared" si="48"/>
        <v>0</v>
      </c>
      <c r="BN78" s="81">
        <f t="shared" si="48"/>
        <v>0</v>
      </c>
      <c r="BO78" s="81">
        <f t="shared" si="48"/>
        <v>0</v>
      </c>
      <c r="BP78" s="81">
        <f t="shared" si="48"/>
        <v>0</v>
      </c>
      <c r="BQ78" s="81">
        <f t="shared" si="48"/>
        <v>0</v>
      </c>
      <c r="BR78" s="81">
        <f t="shared" si="48"/>
        <v>0</v>
      </c>
      <c r="BS78" s="81">
        <f t="shared" si="48"/>
        <v>0</v>
      </c>
      <c r="BT78" s="81">
        <f t="shared" si="48"/>
        <v>0</v>
      </c>
      <c r="BU78" s="81">
        <f t="shared" si="48"/>
        <v>0</v>
      </c>
      <c r="BV78" s="81">
        <f t="shared" si="48"/>
        <v>0</v>
      </c>
      <c r="BW78" s="81">
        <f t="shared" si="48"/>
        <v>0</v>
      </c>
    </row>
    <row r="79" spans="1:75" ht="15.75" thickBot="1" x14ac:dyDescent="0.3">
      <c r="A79" s="83" t="s">
        <v>102</v>
      </c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8">
        <v>14</v>
      </c>
      <c r="AH79" s="48">
        <f t="shared" si="8"/>
        <v>0</v>
      </c>
      <c r="AI79" s="49">
        <f t="shared" si="9"/>
        <v>0</v>
      </c>
      <c r="AK79" s="51"/>
      <c r="AZ79" s="81">
        <f t="shared" si="48"/>
        <v>0</v>
      </c>
      <c r="BA79" s="81">
        <f t="shared" si="48"/>
        <v>0</v>
      </c>
      <c r="BB79" s="81">
        <f t="shared" si="48"/>
        <v>0</v>
      </c>
      <c r="BC79" s="81">
        <f t="shared" si="48"/>
        <v>0</v>
      </c>
      <c r="BD79" s="81">
        <f t="shared" si="48"/>
        <v>0</v>
      </c>
      <c r="BE79" s="81">
        <f t="shared" si="48"/>
        <v>0</v>
      </c>
      <c r="BF79" s="81">
        <f t="shared" si="48"/>
        <v>0</v>
      </c>
      <c r="BG79" s="81">
        <f t="shared" si="48"/>
        <v>0</v>
      </c>
      <c r="BH79" s="81">
        <f t="shared" si="48"/>
        <v>0</v>
      </c>
      <c r="BI79" s="81">
        <f t="shared" si="48"/>
        <v>0</v>
      </c>
      <c r="BJ79" s="81">
        <f t="shared" si="48"/>
        <v>0</v>
      </c>
      <c r="BK79" s="81">
        <f t="shared" si="48"/>
        <v>0</v>
      </c>
      <c r="BL79" s="81">
        <f t="shared" si="48"/>
        <v>0</v>
      </c>
      <c r="BM79" s="81">
        <f t="shared" si="48"/>
        <v>0</v>
      </c>
      <c r="BN79" s="81">
        <f t="shared" si="48"/>
        <v>0</v>
      </c>
      <c r="BO79" s="81">
        <f t="shared" si="48"/>
        <v>0</v>
      </c>
      <c r="BP79" s="81">
        <f t="shared" si="48"/>
        <v>0</v>
      </c>
      <c r="BQ79" s="81">
        <f t="shared" si="48"/>
        <v>0</v>
      </c>
      <c r="BR79" s="81">
        <f t="shared" si="48"/>
        <v>0</v>
      </c>
      <c r="BS79" s="81">
        <f t="shared" si="48"/>
        <v>0</v>
      </c>
      <c r="BT79" s="81">
        <f t="shared" si="48"/>
        <v>0</v>
      </c>
      <c r="BU79" s="81">
        <f t="shared" si="48"/>
        <v>0</v>
      </c>
      <c r="BV79" s="81">
        <f t="shared" si="48"/>
        <v>0</v>
      </c>
      <c r="BW79" s="81">
        <f t="shared" si="48"/>
        <v>0</v>
      </c>
    </row>
    <row r="80" spans="1:75" ht="15.75" thickBot="1" x14ac:dyDescent="0.3">
      <c r="A80" s="86" t="s">
        <v>103</v>
      </c>
      <c r="B80" s="70">
        <f t="shared" ref="B80:C80" si="49">B77+B78+B79</f>
        <v>0</v>
      </c>
      <c r="C80" s="70">
        <f t="shared" si="49"/>
        <v>0</v>
      </c>
      <c r="D80" s="70">
        <f t="shared" ref="D80" si="50">D77+D78+D79</f>
        <v>0</v>
      </c>
      <c r="E80" s="70">
        <f t="shared" ref="E80:AD80" si="51">E77+E78+E79</f>
        <v>0</v>
      </c>
      <c r="F80" s="70">
        <f t="shared" si="51"/>
        <v>0</v>
      </c>
      <c r="G80" s="70">
        <v>0</v>
      </c>
      <c r="H80" s="70">
        <f t="shared" si="51"/>
        <v>0</v>
      </c>
      <c r="I80" s="70">
        <f t="shared" si="51"/>
        <v>0</v>
      </c>
      <c r="J80" s="70">
        <f t="shared" si="51"/>
        <v>0</v>
      </c>
      <c r="K80" s="70">
        <f t="shared" si="51"/>
        <v>0</v>
      </c>
      <c r="L80" s="70">
        <f t="shared" si="51"/>
        <v>0</v>
      </c>
      <c r="M80" s="70">
        <f t="shared" si="51"/>
        <v>0</v>
      </c>
      <c r="N80" s="70">
        <f t="shared" si="51"/>
        <v>0</v>
      </c>
      <c r="O80" s="70">
        <f t="shared" si="51"/>
        <v>0</v>
      </c>
      <c r="P80" s="70">
        <f t="shared" si="51"/>
        <v>0</v>
      </c>
      <c r="Q80" s="70">
        <f t="shared" si="51"/>
        <v>0</v>
      </c>
      <c r="R80" s="70">
        <f t="shared" si="51"/>
        <v>0</v>
      </c>
      <c r="S80" s="70">
        <f t="shared" si="51"/>
        <v>0</v>
      </c>
      <c r="T80" s="70">
        <f t="shared" si="51"/>
        <v>0</v>
      </c>
      <c r="U80" s="70">
        <f t="shared" si="51"/>
        <v>0</v>
      </c>
      <c r="V80" s="70">
        <f t="shared" si="51"/>
        <v>0</v>
      </c>
      <c r="W80" s="70">
        <f t="shared" si="51"/>
        <v>0</v>
      </c>
      <c r="X80" s="70">
        <f t="shared" si="51"/>
        <v>0</v>
      </c>
      <c r="Y80" s="70">
        <f>Y77+Y78+Y79</f>
        <v>0</v>
      </c>
      <c r="Z80" s="70">
        <f>Z77+Z78+Z79</f>
        <v>0</v>
      </c>
      <c r="AA80" s="70">
        <f t="shared" si="51"/>
        <v>0</v>
      </c>
      <c r="AB80" s="70">
        <f t="shared" ref="AB80" si="52">AB77+AB78+AB79</f>
        <v>0</v>
      </c>
      <c r="AC80" s="70">
        <f t="shared" si="51"/>
        <v>0</v>
      </c>
      <c r="AD80" s="70">
        <f t="shared" si="51"/>
        <v>0</v>
      </c>
      <c r="AE80" s="70">
        <f t="shared" ref="AE80:AF80" si="53">AE77+AE78+AE79</f>
        <v>0</v>
      </c>
      <c r="AF80" s="70">
        <f t="shared" si="53"/>
        <v>0</v>
      </c>
      <c r="AG80" s="71">
        <f>SUM(AG77:AG79)</f>
        <v>106</v>
      </c>
      <c r="AH80" s="48">
        <f t="shared" si="8"/>
        <v>0</v>
      </c>
      <c r="AI80" s="49">
        <f t="shared" si="9"/>
        <v>0</v>
      </c>
      <c r="AK80" s="51"/>
      <c r="AZ80" s="81">
        <f t="shared" si="48"/>
        <v>0</v>
      </c>
      <c r="BA80" s="81">
        <f t="shared" si="48"/>
        <v>0</v>
      </c>
      <c r="BB80" s="81">
        <f t="shared" si="48"/>
        <v>0</v>
      </c>
      <c r="BC80" s="81">
        <f t="shared" si="48"/>
        <v>0</v>
      </c>
      <c r="BD80" s="81">
        <f t="shared" si="48"/>
        <v>0</v>
      </c>
      <c r="BE80" s="81">
        <f t="shared" si="48"/>
        <v>0</v>
      </c>
      <c r="BF80" s="81">
        <f t="shared" si="48"/>
        <v>0</v>
      </c>
      <c r="BG80" s="81">
        <f t="shared" si="48"/>
        <v>0</v>
      </c>
      <c r="BH80" s="81">
        <f t="shared" si="48"/>
        <v>0</v>
      </c>
      <c r="BI80" s="81">
        <f t="shared" si="48"/>
        <v>0</v>
      </c>
      <c r="BJ80" s="81">
        <f t="shared" si="48"/>
        <v>0</v>
      </c>
      <c r="BK80" s="81">
        <f t="shared" si="48"/>
        <v>0</v>
      </c>
      <c r="BL80" s="81">
        <f t="shared" si="48"/>
        <v>0</v>
      </c>
      <c r="BM80" s="81">
        <f t="shared" si="48"/>
        <v>0</v>
      </c>
      <c r="BN80" s="81">
        <f t="shared" si="48"/>
        <v>0</v>
      </c>
      <c r="BO80" s="81">
        <f t="shared" si="48"/>
        <v>0</v>
      </c>
      <c r="BP80" s="81">
        <f t="shared" si="48"/>
        <v>0</v>
      </c>
      <c r="BQ80" s="81">
        <f t="shared" si="48"/>
        <v>0</v>
      </c>
      <c r="BR80" s="81">
        <f t="shared" si="48"/>
        <v>0</v>
      </c>
      <c r="BS80" s="81">
        <f t="shared" si="48"/>
        <v>0</v>
      </c>
      <c r="BT80" s="81">
        <f t="shared" si="48"/>
        <v>0</v>
      </c>
      <c r="BU80" s="81">
        <f t="shared" si="48"/>
        <v>0</v>
      </c>
      <c r="BV80" s="81">
        <f t="shared" si="48"/>
        <v>0</v>
      </c>
      <c r="BW80" s="81">
        <f t="shared" si="48"/>
        <v>0</v>
      </c>
    </row>
    <row r="81" spans="1:64" x14ac:dyDescent="0.25">
      <c r="A81" s="45" t="s">
        <v>104</v>
      </c>
      <c r="B81" s="46">
        <v>50.4</v>
      </c>
      <c r="C81" s="46">
        <v>44.9</v>
      </c>
      <c r="D81" s="46">
        <v>39.200000000000003</v>
      </c>
      <c r="E81" s="46">
        <v>48.3</v>
      </c>
      <c r="F81" s="46">
        <v>37.4</v>
      </c>
      <c r="G81" s="46">
        <v>44.5</v>
      </c>
      <c r="H81" s="46">
        <v>40.200000000000003</v>
      </c>
      <c r="I81" s="46">
        <v>41.5</v>
      </c>
      <c r="J81" s="46">
        <v>47.4</v>
      </c>
      <c r="K81" s="46">
        <v>44.9</v>
      </c>
      <c r="L81" s="46">
        <v>47.1</v>
      </c>
      <c r="M81" s="46">
        <v>43.6</v>
      </c>
      <c r="N81" s="46">
        <v>17.8</v>
      </c>
      <c r="O81" s="46">
        <v>26.5</v>
      </c>
      <c r="P81" s="46">
        <v>25.6</v>
      </c>
      <c r="Q81" s="46">
        <v>26.9</v>
      </c>
      <c r="R81" s="46">
        <v>24.5</v>
      </c>
      <c r="S81" s="46">
        <v>26.5</v>
      </c>
      <c r="T81" s="46">
        <v>22.8</v>
      </c>
      <c r="U81" s="46">
        <v>23.8</v>
      </c>
      <c r="V81" s="46">
        <v>27.5</v>
      </c>
      <c r="W81" s="46">
        <v>24.9</v>
      </c>
      <c r="X81" s="46">
        <v>26.5</v>
      </c>
      <c r="Y81" s="46">
        <v>36.5</v>
      </c>
      <c r="Z81" s="46">
        <v>45</v>
      </c>
      <c r="AA81" s="46">
        <v>46.9</v>
      </c>
      <c r="AB81" s="46">
        <v>40.4</v>
      </c>
      <c r="AC81" s="46">
        <v>27.1</v>
      </c>
      <c r="AD81" s="46">
        <v>26.6</v>
      </c>
      <c r="AE81" s="46">
        <v>28</v>
      </c>
      <c r="AF81" s="46">
        <v>26.9</v>
      </c>
      <c r="AG81" s="60"/>
      <c r="AH81" s="48">
        <f t="shared" si="8"/>
        <v>50.4</v>
      </c>
      <c r="AI81" s="49">
        <f t="shared" si="9"/>
        <v>17.8</v>
      </c>
      <c r="AK81" s="51"/>
      <c r="AY81" s="81"/>
    </row>
    <row r="82" spans="1:64" x14ac:dyDescent="0.25">
      <c r="A82" s="64" t="s">
        <v>105</v>
      </c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65"/>
      <c r="AH82" s="48">
        <f t="shared" ref="AH82:AH123" si="54">MAX(B82:AF82)</f>
        <v>0</v>
      </c>
      <c r="AI82" s="49">
        <f t="shared" ref="AI82:AI123" si="55">MIN(B82:AF82)</f>
        <v>0</v>
      </c>
      <c r="AK82" s="51"/>
      <c r="AY82" s="81"/>
      <c r="BF82" s="81"/>
      <c r="BG82" s="81"/>
      <c r="BH82" s="81"/>
      <c r="BI82" s="81"/>
      <c r="BJ82" s="81"/>
      <c r="BK82" s="81"/>
    </row>
    <row r="83" spans="1:64" x14ac:dyDescent="0.25">
      <c r="A83" s="64" t="s">
        <v>106</v>
      </c>
      <c r="B83" s="75">
        <v>203.5</v>
      </c>
      <c r="C83" s="75">
        <v>202.6</v>
      </c>
      <c r="D83" s="75">
        <v>268.2</v>
      </c>
      <c r="E83" s="75">
        <v>248.9</v>
      </c>
      <c r="F83" s="75">
        <v>225</v>
      </c>
      <c r="G83" s="75">
        <v>240</v>
      </c>
      <c r="H83" s="75">
        <v>182</v>
      </c>
      <c r="I83" s="75">
        <v>184</v>
      </c>
      <c r="J83" s="75">
        <v>188.8</v>
      </c>
      <c r="K83" s="75">
        <v>184</v>
      </c>
      <c r="L83" s="75">
        <v>189</v>
      </c>
      <c r="M83" s="75">
        <v>194.5</v>
      </c>
      <c r="N83" s="75">
        <v>194</v>
      </c>
      <c r="O83" s="75">
        <v>141.4</v>
      </c>
      <c r="P83" s="75">
        <v>140</v>
      </c>
      <c r="Q83" s="75">
        <v>140.80000000000001</v>
      </c>
      <c r="R83" s="75">
        <v>152</v>
      </c>
      <c r="S83" s="75">
        <v>149.1</v>
      </c>
      <c r="T83" s="75">
        <v>149</v>
      </c>
      <c r="U83" s="75">
        <v>159.4</v>
      </c>
      <c r="V83" s="75">
        <v>132.6</v>
      </c>
      <c r="W83" s="75">
        <v>179</v>
      </c>
      <c r="X83" s="75">
        <v>161.19999999999999</v>
      </c>
      <c r="Y83" s="75">
        <v>141</v>
      </c>
      <c r="Z83" s="75">
        <v>146.1</v>
      </c>
      <c r="AA83" s="75">
        <v>60</v>
      </c>
      <c r="AB83" s="75">
        <v>60</v>
      </c>
      <c r="AC83" s="75">
        <v>147</v>
      </c>
      <c r="AD83" s="75">
        <v>142</v>
      </c>
      <c r="AE83" s="75">
        <v>102</v>
      </c>
      <c r="AF83" s="75">
        <v>98.7</v>
      </c>
      <c r="AG83" s="87"/>
      <c r="AH83" s="48">
        <f t="shared" si="54"/>
        <v>268.2</v>
      </c>
      <c r="AI83" s="49">
        <f t="shared" si="55"/>
        <v>60</v>
      </c>
      <c r="AK83" s="51"/>
      <c r="AY83" s="81"/>
      <c r="BF83" s="80"/>
      <c r="BG83" s="80"/>
      <c r="BH83" s="80"/>
      <c r="BI83" s="80"/>
      <c r="BJ83" s="80"/>
      <c r="BK83" s="81"/>
    </row>
    <row r="84" spans="1:64" x14ac:dyDescent="0.25">
      <c r="A84" s="64" t="s">
        <v>107</v>
      </c>
      <c r="B84" s="75">
        <v>0</v>
      </c>
      <c r="C84" s="75">
        <v>0</v>
      </c>
      <c r="D84" s="75">
        <v>0</v>
      </c>
      <c r="E84" s="88">
        <v>0</v>
      </c>
      <c r="F84" s="88">
        <v>0</v>
      </c>
      <c r="G84" s="88">
        <v>0</v>
      </c>
      <c r="H84" s="88">
        <v>0</v>
      </c>
      <c r="I84" s="88">
        <v>0</v>
      </c>
      <c r="J84" s="88">
        <v>0</v>
      </c>
      <c r="K84" s="88">
        <v>0</v>
      </c>
      <c r="L84" s="88">
        <v>0</v>
      </c>
      <c r="M84" s="88">
        <v>0</v>
      </c>
      <c r="N84" s="88">
        <v>0</v>
      </c>
      <c r="O84" s="88">
        <v>0</v>
      </c>
      <c r="P84" s="88">
        <v>0</v>
      </c>
      <c r="Q84" s="88">
        <v>0</v>
      </c>
      <c r="R84" s="88">
        <v>0</v>
      </c>
      <c r="S84" s="88">
        <v>0</v>
      </c>
      <c r="T84" s="88">
        <v>0</v>
      </c>
      <c r="U84" s="88">
        <v>0</v>
      </c>
      <c r="V84" s="88">
        <v>0</v>
      </c>
      <c r="W84" s="88">
        <v>0</v>
      </c>
      <c r="X84" s="88">
        <v>0</v>
      </c>
      <c r="Y84" s="88">
        <v>0</v>
      </c>
      <c r="Z84" s="88">
        <v>0</v>
      </c>
      <c r="AA84" s="88">
        <v>0</v>
      </c>
      <c r="AB84" s="88">
        <v>0</v>
      </c>
      <c r="AC84" s="88"/>
      <c r="AD84" s="88"/>
      <c r="AE84" s="88"/>
      <c r="AF84" s="88"/>
      <c r="AG84" s="87"/>
      <c r="AH84" s="48">
        <f t="shared" si="54"/>
        <v>0</v>
      </c>
      <c r="AI84" s="49">
        <f t="shared" si="55"/>
        <v>0</v>
      </c>
      <c r="AK84" s="51"/>
      <c r="AY84" s="81"/>
      <c r="BF84" s="80"/>
      <c r="BG84" s="81">
        <f t="array" ref="BG84:BL107">TRANSPOSE(AZ68:BW73)</f>
        <v>45</v>
      </c>
      <c r="BH84" s="81">
        <v>0</v>
      </c>
      <c r="BI84" s="81">
        <v>203</v>
      </c>
      <c r="BJ84" s="81">
        <v>0</v>
      </c>
      <c r="BK84" s="81">
        <v>0</v>
      </c>
      <c r="BL84" s="81">
        <v>0</v>
      </c>
    </row>
    <row r="85" spans="1:64" x14ac:dyDescent="0.25">
      <c r="A85" s="64" t="s">
        <v>108</v>
      </c>
      <c r="B85" s="46">
        <v>0</v>
      </c>
      <c r="C85" s="46">
        <v>0</v>
      </c>
      <c r="D85" s="46">
        <v>0</v>
      </c>
      <c r="E85" s="46">
        <v>0</v>
      </c>
      <c r="F85" s="46">
        <v>0</v>
      </c>
      <c r="G85" s="46">
        <v>0</v>
      </c>
      <c r="H85" s="46">
        <v>0</v>
      </c>
      <c r="I85" s="46">
        <v>0</v>
      </c>
      <c r="J85" s="46">
        <v>0</v>
      </c>
      <c r="K85" s="46">
        <v>0</v>
      </c>
      <c r="L85" s="46">
        <v>0</v>
      </c>
      <c r="M85" s="46">
        <v>0</v>
      </c>
      <c r="N85" s="46">
        <v>0</v>
      </c>
      <c r="O85" s="46">
        <v>0</v>
      </c>
      <c r="P85" s="46">
        <v>0</v>
      </c>
      <c r="Q85" s="46">
        <v>0</v>
      </c>
      <c r="R85" s="46">
        <v>0</v>
      </c>
      <c r="S85" s="46">
        <v>0</v>
      </c>
      <c r="T85" s="46">
        <v>0</v>
      </c>
      <c r="U85" s="46">
        <v>0</v>
      </c>
      <c r="V85" s="46">
        <v>0</v>
      </c>
      <c r="W85" s="46">
        <v>0</v>
      </c>
      <c r="X85" s="46">
        <v>0</v>
      </c>
      <c r="Y85" s="46">
        <v>0</v>
      </c>
      <c r="Z85" s="46">
        <v>0</v>
      </c>
      <c r="AA85" s="46">
        <v>0</v>
      </c>
      <c r="AB85" s="46">
        <v>0</v>
      </c>
      <c r="AC85" s="46"/>
      <c r="AD85" s="46"/>
      <c r="AE85" s="46"/>
      <c r="AF85" s="46"/>
      <c r="AG85" s="87"/>
      <c r="AH85" s="48">
        <f t="shared" si="54"/>
        <v>0</v>
      </c>
      <c r="AI85" s="49">
        <f t="shared" si="55"/>
        <v>0</v>
      </c>
      <c r="AK85" s="51"/>
      <c r="AY85" s="81"/>
      <c r="BF85" s="80"/>
      <c r="BG85" s="81">
        <v>39.200000000000003</v>
      </c>
      <c r="BH85" s="81">
        <v>0</v>
      </c>
      <c r="BI85" s="81">
        <v>268.2</v>
      </c>
      <c r="BJ85" s="81">
        <v>0</v>
      </c>
      <c r="BK85" s="81">
        <v>0</v>
      </c>
      <c r="BL85" s="81">
        <v>0</v>
      </c>
    </row>
    <row r="86" spans="1:64" x14ac:dyDescent="0.25">
      <c r="A86" s="64" t="s">
        <v>109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7"/>
      <c r="AH86" s="48">
        <f t="shared" si="54"/>
        <v>0</v>
      </c>
      <c r="AI86" s="49">
        <f t="shared" si="55"/>
        <v>0</v>
      </c>
      <c r="AK86" s="51"/>
      <c r="AY86" s="81"/>
      <c r="BF86" s="80"/>
      <c r="BG86" s="81">
        <v>48.3</v>
      </c>
      <c r="BH86" s="81">
        <v>0</v>
      </c>
      <c r="BI86" s="81">
        <v>248.9</v>
      </c>
      <c r="BJ86" s="81">
        <v>0</v>
      </c>
      <c r="BK86" s="81">
        <v>0</v>
      </c>
      <c r="BL86" s="81">
        <v>0</v>
      </c>
    </row>
    <row r="87" spans="1:64" ht="15.75" thickBot="1" x14ac:dyDescent="0.3">
      <c r="A87" s="64" t="s">
        <v>110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7"/>
      <c r="AH87" s="48">
        <f t="shared" si="54"/>
        <v>0</v>
      </c>
      <c r="AI87" s="49">
        <f t="shared" si="55"/>
        <v>0</v>
      </c>
      <c r="AK87" s="51"/>
      <c r="AL87" s="90" t="s">
        <v>111</v>
      </c>
      <c r="AM87" s="90"/>
      <c r="AY87" s="81"/>
      <c r="BF87" s="81"/>
      <c r="BG87" s="81">
        <v>37.4</v>
      </c>
      <c r="BH87" s="81">
        <v>0</v>
      </c>
      <c r="BI87" s="81">
        <v>225</v>
      </c>
      <c r="BJ87" s="81">
        <v>0</v>
      </c>
      <c r="BK87" s="81">
        <v>0</v>
      </c>
      <c r="BL87" s="81">
        <v>0</v>
      </c>
    </row>
    <row r="88" spans="1:64" x14ac:dyDescent="0.25">
      <c r="A88" s="64" t="s">
        <v>112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7"/>
      <c r="AH88" s="48">
        <f t="shared" si="54"/>
        <v>0</v>
      </c>
      <c r="AI88" s="49">
        <f t="shared" si="55"/>
        <v>0</v>
      </c>
      <c r="AK88" s="91"/>
      <c r="AL88" s="92"/>
      <c r="AM88" s="92"/>
      <c r="AN88" s="93"/>
      <c r="AY88" s="81"/>
      <c r="BF88" s="81"/>
      <c r="BG88" s="81">
        <v>44.5</v>
      </c>
      <c r="BH88" s="81">
        <v>0</v>
      </c>
      <c r="BI88" s="81">
        <v>240</v>
      </c>
      <c r="BJ88" s="81">
        <v>0</v>
      </c>
      <c r="BK88" s="81">
        <v>0</v>
      </c>
      <c r="BL88" s="81">
        <v>0</v>
      </c>
    </row>
    <row r="89" spans="1:64" x14ac:dyDescent="0.25">
      <c r="A89" s="64" t="s">
        <v>113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7"/>
      <c r="AH89" s="48">
        <f t="shared" si="54"/>
        <v>0</v>
      </c>
      <c r="AI89" s="49">
        <f t="shared" si="55"/>
        <v>0</v>
      </c>
      <c r="AK89" s="94" t="s">
        <v>114</v>
      </c>
      <c r="AL89" s="75"/>
      <c r="AM89" s="88"/>
      <c r="AN89" s="95"/>
      <c r="AY89" s="81"/>
      <c r="BF89" s="81"/>
      <c r="BG89" s="81">
        <v>41.5</v>
      </c>
      <c r="BH89" s="81">
        <v>0</v>
      </c>
      <c r="BI89" s="81">
        <v>184</v>
      </c>
      <c r="BJ89" s="81">
        <v>0</v>
      </c>
      <c r="BK89" s="81">
        <v>0</v>
      </c>
      <c r="BL89" s="81">
        <v>0</v>
      </c>
    </row>
    <row r="90" spans="1:64" x14ac:dyDescent="0.25">
      <c r="A90" s="96" t="s">
        <v>115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97"/>
      <c r="AH90" s="48">
        <f t="shared" si="54"/>
        <v>0</v>
      </c>
      <c r="AI90" s="49">
        <f t="shared" si="55"/>
        <v>0</v>
      </c>
      <c r="AK90" s="94" t="s">
        <v>116</v>
      </c>
      <c r="AL90" s="88"/>
      <c r="AM90" s="88"/>
      <c r="AN90" s="95"/>
      <c r="AY90" s="81"/>
      <c r="BF90" s="81"/>
      <c r="BG90" s="81">
        <v>44.9</v>
      </c>
      <c r="BH90" s="81">
        <v>0</v>
      </c>
      <c r="BI90" s="81">
        <v>184</v>
      </c>
      <c r="BJ90" s="81">
        <v>0</v>
      </c>
      <c r="BK90" s="81">
        <v>0</v>
      </c>
      <c r="BL90" s="81">
        <v>0</v>
      </c>
    </row>
    <row r="91" spans="1:64" ht="15.75" thickBot="1" x14ac:dyDescent="0.3">
      <c r="A91" s="96" t="s">
        <v>117</v>
      </c>
      <c r="B91" s="89">
        <v>0</v>
      </c>
      <c r="C91" s="89">
        <v>0</v>
      </c>
      <c r="D91" s="89">
        <v>0</v>
      </c>
      <c r="E91" s="89">
        <v>0</v>
      </c>
      <c r="F91" s="89">
        <v>0</v>
      </c>
      <c r="G91" s="89">
        <v>0</v>
      </c>
      <c r="H91" s="89">
        <v>0</v>
      </c>
      <c r="I91" s="89">
        <v>0</v>
      </c>
      <c r="J91" s="89">
        <v>0</v>
      </c>
      <c r="K91" s="89">
        <v>0</v>
      </c>
      <c r="L91" s="89">
        <v>0</v>
      </c>
      <c r="M91" s="89">
        <v>0</v>
      </c>
      <c r="N91" s="89">
        <v>0</v>
      </c>
      <c r="O91" s="89">
        <v>0</v>
      </c>
      <c r="P91" s="89">
        <v>0</v>
      </c>
      <c r="Q91" s="89">
        <v>0</v>
      </c>
      <c r="R91" s="89">
        <v>0</v>
      </c>
      <c r="S91" s="89">
        <v>0</v>
      </c>
      <c r="T91" s="89">
        <v>0</v>
      </c>
      <c r="U91" s="89">
        <v>0</v>
      </c>
      <c r="V91" s="89">
        <v>0</v>
      </c>
      <c r="W91" s="89">
        <v>0</v>
      </c>
      <c r="X91" s="89">
        <v>0</v>
      </c>
      <c r="Y91" s="89">
        <v>0</v>
      </c>
      <c r="Z91" s="89">
        <v>0</v>
      </c>
      <c r="AA91" s="89">
        <v>0</v>
      </c>
      <c r="AB91" s="89">
        <v>0</v>
      </c>
      <c r="AC91" s="89"/>
      <c r="AD91" s="89"/>
      <c r="AE91" s="89"/>
      <c r="AF91" s="89"/>
      <c r="AG91" s="97"/>
      <c r="AH91" s="48">
        <f t="shared" si="54"/>
        <v>0</v>
      </c>
      <c r="AI91" s="49">
        <f t="shared" si="55"/>
        <v>0</v>
      </c>
      <c r="AK91" s="98"/>
      <c r="AL91" s="46"/>
      <c r="AM91" s="46"/>
      <c r="AN91" s="99"/>
      <c r="AY91" s="81"/>
      <c r="BF91" s="81"/>
      <c r="BG91" s="81">
        <v>43.6</v>
      </c>
      <c r="BH91" s="81">
        <v>0</v>
      </c>
      <c r="BI91" s="81">
        <v>194.5</v>
      </c>
      <c r="BJ91" s="81">
        <v>0</v>
      </c>
      <c r="BK91" s="81">
        <v>0</v>
      </c>
      <c r="BL91" s="81">
        <v>0</v>
      </c>
    </row>
    <row r="92" spans="1:64" ht="15.75" thickBot="1" x14ac:dyDescent="0.3">
      <c r="A92" s="86" t="s">
        <v>118</v>
      </c>
      <c r="B92" s="70">
        <f t="shared" ref="B92:C92" si="56">SUMIF(B81:B91,"&gt;0")</f>
        <v>253.9</v>
      </c>
      <c r="C92" s="70">
        <f t="shared" si="56"/>
        <v>247.5</v>
      </c>
      <c r="D92" s="70">
        <f t="shared" ref="D92" si="57">SUMIF(D81:D91,"&gt;0")</f>
        <v>307.39999999999998</v>
      </c>
      <c r="E92" s="70">
        <f t="shared" ref="E92:AF92" si="58">SUMIF(E81:E91,"&gt;0")</f>
        <v>297.2</v>
      </c>
      <c r="F92" s="70">
        <f t="shared" si="58"/>
        <v>262.39999999999998</v>
      </c>
      <c r="G92" s="70">
        <f t="shared" si="58"/>
        <v>284.5</v>
      </c>
      <c r="H92" s="70">
        <f t="shared" si="58"/>
        <v>222.2</v>
      </c>
      <c r="I92" s="70">
        <f t="shared" si="58"/>
        <v>225.5</v>
      </c>
      <c r="J92" s="70">
        <f t="shared" si="58"/>
        <v>236.20000000000002</v>
      </c>
      <c r="K92" s="70">
        <f t="shared" si="58"/>
        <v>228.9</v>
      </c>
      <c r="L92" s="70">
        <f t="shared" si="58"/>
        <v>236.1</v>
      </c>
      <c r="M92" s="70">
        <f t="shared" si="58"/>
        <v>238.1</v>
      </c>
      <c r="N92" s="70">
        <f t="shared" si="58"/>
        <v>211.8</v>
      </c>
      <c r="O92" s="70">
        <f t="shared" si="58"/>
        <v>167.9</v>
      </c>
      <c r="P92" s="70">
        <f t="shared" si="58"/>
        <v>165.6</v>
      </c>
      <c r="Q92" s="70">
        <f t="shared" si="58"/>
        <v>167.70000000000002</v>
      </c>
      <c r="R92" s="70">
        <f t="shared" si="58"/>
        <v>176.5</v>
      </c>
      <c r="S92" s="70">
        <f t="shared" si="58"/>
        <v>175.6</v>
      </c>
      <c r="T92" s="70">
        <f t="shared" si="58"/>
        <v>171.8</v>
      </c>
      <c r="U92" s="70">
        <f t="shared" si="58"/>
        <v>183.20000000000002</v>
      </c>
      <c r="V92" s="70">
        <f t="shared" si="58"/>
        <v>160.1</v>
      </c>
      <c r="W92" s="70">
        <f t="shared" si="58"/>
        <v>203.9</v>
      </c>
      <c r="X92" s="70">
        <f t="shared" si="58"/>
        <v>187.7</v>
      </c>
      <c r="Y92" s="70">
        <f>SUMIF(Y81:Y91,"&gt;0")</f>
        <v>177.5</v>
      </c>
      <c r="Z92" s="70">
        <f>SUMIF(Z81:Z91,"&gt;0")</f>
        <v>191.1</v>
      </c>
      <c r="AA92" s="70">
        <f t="shared" si="58"/>
        <v>106.9</v>
      </c>
      <c r="AB92" s="70">
        <f t="shared" ref="AB92" si="59">SUMIF(AB81:AB91,"&gt;0")</f>
        <v>100.4</v>
      </c>
      <c r="AC92" s="70">
        <f t="shared" si="58"/>
        <v>174.1</v>
      </c>
      <c r="AD92" s="70">
        <f t="shared" si="58"/>
        <v>168.6</v>
      </c>
      <c r="AE92" s="70">
        <f t="shared" si="58"/>
        <v>130</v>
      </c>
      <c r="AF92" s="70">
        <f t="shared" si="58"/>
        <v>125.6</v>
      </c>
      <c r="AG92" s="100">
        <f>SUM(AG81:AG91)</f>
        <v>0</v>
      </c>
      <c r="AH92" s="48">
        <f t="shared" si="54"/>
        <v>307.39999999999998</v>
      </c>
      <c r="AI92" s="49">
        <f t="shared" si="55"/>
        <v>100.4</v>
      </c>
      <c r="AK92" s="98"/>
      <c r="AL92" s="89"/>
      <c r="AM92" s="101"/>
      <c r="AN92" s="202"/>
      <c r="AY92" s="81"/>
      <c r="BF92" s="81"/>
      <c r="BG92" s="81">
        <v>17.8</v>
      </c>
      <c r="BH92" s="81">
        <v>0</v>
      </c>
      <c r="BI92" s="81">
        <v>194</v>
      </c>
      <c r="BJ92" s="81">
        <v>0</v>
      </c>
      <c r="BK92" s="81">
        <v>0</v>
      </c>
      <c r="BL92" s="81">
        <v>0</v>
      </c>
    </row>
    <row r="93" spans="1:64" x14ac:dyDescent="0.25">
      <c r="A93" s="45" t="s">
        <v>119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54"/>
        <v>0</v>
      </c>
      <c r="AI93" s="49">
        <f t="shared" si="55"/>
        <v>0</v>
      </c>
      <c r="AK93" s="98"/>
      <c r="AL93" s="89"/>
      <c r="AM93" s="89"/>
      <c r="AN93" s="203"/>
      <c r="BF93" s="81"/>
      <c r="BG93" s="81">
        <v>26.5</v>
      </c>
      <c r="BH93" s="81">
        <v>0</v>
      </c>
      <c r="BI93" s="81">
        <v>141.4</v>
      </c>
      <c r="BJ93" s="81">
        <v>0</v>
      </c>
      <c r="BK93" s="81">
        <v>0</v>
      </c>
      <c r="BL93" s="81">
        <v>0</v>
      </c>
    </row>
    <row r="94" spans="1:64" ht="15.75" thickBot="1" x14ac:dyDescent="0.3">
      <c r="A94" s="64" t="s">
        <v>120</v>
      </c>
      <c r="B94" s="89">
        <v>0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54"/>
        <v>0</v>
      </c>
      <c r="AI94" s="49">
        <f t="shared" si="55"/>
        <v>0</v>
      </c>
      <c r="AK94" s="103"/>
      <c r="AL94" s="104"/>
      <c r="AM94" s="104"/>
      <c r="AN94" s="105"/>
      <c r="BF94" s="81"/>
      <c r="BG94" s="81">
        <v>25.6</v>
      </c>
      <c r="BH94" s="81">
        <v>0</v>
      </c>
      <c r="BI94" s="81">
        <v>140</v>
      </c>
      <c r="BJ94" s="81">
        <v>0</v>
      </c>
      <c r="BK94" s="81">
        <v>0</v>
      </c>
      <c r="BL94" s="81">
        <v>0</v>
      </c>
    </row>
    <row r="95" spans="1:64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0</v>
      </c>
      <c r="Y95" s="106">
        <v>0</v>
      </c>
      <c r="Z95" s="106">
        <v>0</v>
      </c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54"/>
        <v>0</v>
      </c>
      <c r="AI95" s="49">
        <f t="shared" si="55"/>
        <v>0</v>
      </c>
      <c r="BF95" s="81"/>
      <c r="BG95" s="81">
        <v>26.9</v>
      </c>
      <c r="BH95" s="81">
        <v>0</v>
      </c>
      <c r="BI95" s="81">
        <v>140.80000000000001</v>
      </c>
      <c r="BJ95" s="81">
        <v>0</v>
      </c>
      <c r="BK95" s="81">
        <v>0</v>
      </c>
      <c r="BL95" s="81">
        <v>0</v>
      </c>
    </row>
    <row r="96" spans="1:64" ht="15.75" thickBot="1" x14ac:dyDescent="0.3">
      <c r="A96" s="86" t="s">
        <v>122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>
        <v>0</v>
      </c>
      <c r="Y96" s="70"/>
      <c r="Z96" s="70"/>
      <c r="AA96" s="70"/>
      <c r="AB96" s="70"/>
      <c r="AC96" s="70"/>
      <c r="AD96" s="70"/>
      <c r="AE96" s="70"/>
      <c r="AF96" s="70"/>
      <c r="AG96" s="100">
        <f>SUM(AG93:AG95)</f>
        <v>55.4</v>
      </c>
      <c r="AH96" s="48">
        <f t="shared" si="54"/>
        <v>0</v>
      </c>
      <c r="AI96" s="49">
        <f t="shared" si="55"/>
        <v>0</v>
      </c>
      <c r="BF96" s="81"/>
      <c r="BG96" s="81">
        <v>24.5</v>
      </c>
      <c r="BH96" s="81">
        <v>0</v>
      </c>
      <c r="BI96" s="81">
        <v>152</v>
      </c>
      <c r="BJ96" s="81">
        <v>0</v>
      </c>
      <c r="BK96" s="81">
        <v>0</v>
      </c>
      <c r="BL96" s="81">
        <v>0</v>
      </c>
    </row>
    <row r="97" spans="1:64" ht="15.75" thickBot="1" x14ac:dyDescent="0.3">
      <c r="A97" s="86" t="s">
        <v>123</v>
      </c>
      <c r="B97" s="107">
        <f t="shared" ref="B97:C97" si="60">B58+B62+B80+B76+B92+B96</f>
        <v>934.09</v>
      </c>
      <c r="C97" s="107">
        <f t="shared" si="60"/>
        <v>916.29</v>
      </c>
      <c r="D97" s="107">
        <f t="shared" ref="D97" si="61">D58+D62+D80+D76+D92+D96</f>
        <v>887.09</v>
      </c>
      <c r="E97" s="107">
        <f t="shared" ref="E97:AG97" si="62">E58+E62+E80+E76+E92+E96</f>
        <v>867.19</v>
      </c>
      <c r="F97" s="107">
        <f t="shared" si="62"/>
        <v>820.19</v>
      </c>
      <c r="G97" s="107">
        <f t="shared" si="62"/>
        <v>847.19</v>
      </c>
      <c r="H97" s="107">
        <f t="shared" si="62"/>
        <v>893.69</v>
      </c>
      <c r="I97" s="107">
        <f t="shared" si="62"/>
        <v>931.8900000000001</v>
      </c>
      <c r="J97" s="107">
        <f t="shared" si="62"/>
        <v>1009.4900000000001</v>
      </c>
      <c r="K97" s="107">
        <f t="shared" si="62"/>
        <v>1028.7900000000002</v>
      </c>
      <c r="L97" s="107">
        <f t="shared" si="62"/>
        <v>1074.0899999999999</v>
      </c>
      <c r="M97" s="107">
        <f t="shared" si="62"/>
        <v>1105.0899999999999</v>
      </c>
      <c r="N97" s="107">
        <f t="shared" si="62"/>
        <v>1006.5899999999999</v>
      </c>
      <c r="O97" s="107">
        <f t="shared" si="62"/>
        <v>958.9899999999999</v>
      </c>
      <c r="P97" s="107">
        <f t="shared" si="62"/>
        <v>906.59</v>
      </c>
      <c r="Q97" s="107">
        <f t="shared" si="62"/>
        <v>883.09</v>
      </c>
      <c r="R97" s="107">
        <f t="shared" si="62"/>
        <v>879.68999999999994</v>
      </c>
      <c r="S97" s="107">
        <f t="shared" si="62"/>
        <v>887.59</v>
      </c>
      <c r="T97" s="107">
        <f t="shared" si="62"/>
        <v>921.49</v>
      </c>
      <c r="U97" s="107">
        <f t="shared" si="62"/>
        <v>953.79</v>
      </c>
      <c r="V97" s="107">
        <f t="shared" si="62"/>
        <v>986.89</v>
      </c>
      <c r="W97" s="107">
        <f t="shared" si="62"/>
        <v>1019.6899999999999</v>
      </c>
      <c r="X97" s="107">
        <f t="shared" si="62"/>
        <v>1099.19</v>
      </c>
      <c r="Y97" s="107">
        <f>Y58+Y62+Y80+Y76+Y92+Y96</f>
        <v>1238.8499999999999</v>
      </c>
      <c r="Z97" s="107">
        <f>Z58+Z62+Z80+Z76+Z92+Z96</f>
        <v>1289.5499999999997</v>
      </c>
      <c r="AA97" s="107">
        <f t="shared" si="62"/>
        <v>1229.0900000000001</v>
      </c>
      <c r="AB97" s="107">
        <f t="shared" ref="AB97" si="63">AB58+AB62+AB80+AB76+AB92+AB96</f>
        <v>1141.9900000000002</v>
      </c>
      <c r="AC97" s="107">
        <f t="shared" si="62"/>
        <v>1081.49</v>
      </c>
      <c r="AD97" s="107">
        <f t="shared" si="62"/>
        <v>1059.29</v>
      </c>
      <c r="AE97" s="107">
        <f t="shared" si="62"/>
        <v>926.29</v>
      </c>
      <c r="AF97" s="107">
        <f t="shared" si="62"/>
        <v>809.79</v>
      </c>
      <c r="AG97" s="71">
        <f t="shared" si="62"/>
        <v>2231.81</v>
      </c>
      <c r="AH97" s="48">
        <f t="shared" si="54"/>
        <v>1289.5499999999997</v>
      </c>
      <c r="AI97" s="49">
        <f t="shared" si="55"/>
        <v>809.79</v>
      </c>
      <c r="BF97" s="81"/>
      <c r="BG97" s="81">
        <v>26.5</v>
      </c>
      <c r="BH97" s="81">
        <v>0</v>
      </c>
      <c r="BI97" s="81">
        <v>149.1</v>
      </c>
      <c r="BJ97" s="81">
        <v>0</v>
      </c>
      <c r="BK97" s="81">
        <v>0</v>
      </c>
      <c r="BL97" s="81">
        <v>0</v>
      </c>
    </row>
    <row r="98" spans="1:64" ht="15.75" thickBot="1" x14ac:dyDescent="0.3">
      <c r="A98" s="108" t="s">
        <v>124</v>
      </c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0"/>
      <c r="AH98" s="48">
        <f t="shared" si="54"/>
        <v>0</v>
      </c>
      <c r="AI98" s="49">
        <f t="shared" si="55"/>
        <v>0</v>
      </c>
      <c r="BF98" s="81"/>
      <c r="BG98" s="81">
        <v>22.8</v>
      </c>
      <c r="BH98" s="81">
        <v>0</v>
      </c>
      <c r="BI98" s="81">
        <v>149</v>
      </c>
      <c r="BJ98" s="81">
        <v>0</v>
      </c>
      <c r="BK98" s="81">
        <v>0</v>
      </c>
      <c r="BL98" s="81">
        <v>0</v>
      </c>
    </row>
    <row r="99" spans="1:64" ht="15.75" thickBot="1" x14ac:dyDescent="0.3">
      <c r="A99" s="86" t="s">
        <v>125</v>
      </c>
      <c r="B99" s="107">
        <f t="shared" ref="B99:C99" si="64">B97+B98</f>
        <v>934.09</v>
      </c>
      <c r="C99" s="107">
        <f t="shared" si="64"/>
        <v>916.29</v>
      </c>
      <c r="D99" s="107">
        <f t="shared" ref="D99" si="65">D97+D98</f>
        <v>887.09</v>
      </c>
      <c r="E99" s="107">
        <f t="shared" ref="E99:AF99" si="66">E97+E98</f>
        <v>867.19</v>
      </c>
      <c r="F99" s="107">
        <f t="shared" si="66"/>
        <v>820.19</v>
      </c>
      <c r="G99" s="107">
        <f t="shared" si="66"/>
        <v>847.19</v>
      </c>
      <c r="H99" s="107">
        <f t="shared" si="66"/>
        <v>893.69</v>
      </c>
      <c r="I99" s="107">
        <f t="shared" si="66"/>
        <v>931.8900000000001</v>
      </c>
      <c r="J99" s="107">
        <f t="shared" si="66"/>
        <v>1009.4900000000001</v>
      </c>
      <c r="K99" s="107">
        <f t="shared" si="66"/>
        <v>1028.7900000000002</v>
      </c>
      <c r="L99" s="107">
        <f t="shared" si="66"/>
        <v>1074.0899999999999</v>
      </c>
      <c r="M99" s="107">
        <f t="shared" si="66"/>
        <v>1105.0899999999999</v>
      </c>
      <c r="N99" s="107">
        <f t="shared" si="66"/>
        <v>1006.5899999999999</v>
      </c>
      <c r="O99" s="107">
        <f t="shared" si="66"/>
        <v>958.9899999999999</v>
      </c>
      <c r="P99" s="107">
        <f t="shared" si="66"/>
        <v>906.59</v>
      </c>
      <c r="Q99" s="107">
        <f t="shared" si="66"/>
        <v>883.09</v>
      </c>
      <c r="R99" s="107">
        <f t="shared" si="66"/>
        <v>879.68999999999994</v>
      </c>
      <c r="S99" s="107">
        <f t="shared" si="66"/>
        <v>887.59</v>
      </c>
      <c r="T99" s="107">
        <f t="shared" si="66"/>
        <v>921.49</v>
      </c>
      <c r="U99" s="107">
        <f t="shared" si="66"/>
        <v>953.79</v>
      </c>
      <c r="V99" s="107">
        <f t="shared" si="66"/>
        <v>986.89</v>
      </c>
      <c r="W99" s="107">
        <f t="shared" si="66"/>
        <v>1019.6899999999999</v>
      </c>
      <c r="X99" s="107">
        <f t="shared" si="66"/>
        <v>1099.19</v>
      </c>
      <c r="Y99" s="107">
        <f>Y97+Y98</f>
        <v>1238.8499999999999</v>
      </c>
      <c r="Z99" s="107">
        <f>Z97+Z98</f>
        <v>1289.5499999999997</v>
      </c>
      <c r="AA99" s="107">
        <f t="shared" si="66"/>
        <v>1229.0900000000001</v>
      </c>
      <c r="AB99" s="107">
        <f t="shared" ref="AB99" si="67">AB97+AB98</f>
        <v>1141.9900000000002</v>
      </c>
      <c r="AC99" s="107">
        <f t="shared" si="66"/>
        <v>1081.49</v>
      </c>
      <c r="AD99" s="107">
        <f t="shared" si="66"/>
        <v>1059.29</v>
      </c>
      <c r="AE99" s="107">
        <f t="shared" si="66"/>
        <v>926.29</v>
      </c>
      <c r="AF99" s="107">
        <f t="shared" si="66"/>
        <v>809.79</v>
      </c>
      <c r="AG99" s="100">
        <f>AG96+AG92+AG80+AG76+AG58+AG98</f>
        <v>1693.71</v>
      </c>
      <c r="AH99" s="48">
        <f t="shared" si="54"/>
        <v>1289.5499999999997</v>
      </c>
      <c r="AI99" s="49">
        <f t="shared" si="55"/>
        <v>809.79</v>
      </c>
      <c r="BF99" s="81"/>
      <c r="BG99" s="81">
        <v>23.8</v>
      </c>
      <c r="BH99" s="81">
        <v>0</v>
      </c>
      <c r="BI99" s="81">
        <v>159.4</v>
      </c>
      <c r="BJ99" s="81">
        <v>0</v>
      </c>
      <c r="BK99" s="81">
        <v>0</v>
      </c>
      <c r="BL99" s="81">
        <v>0</v>
      </c>
    </row>
    <row r="100" spans="1:64" ht="15.75" thickBot="1" x14ac:dyDescent="0.3">
      <c r="A100" s="86" t="s">
        <v>126</v>
      </c>
      <c r="B100" s="107">
        <f t="shared" ref="B100:C100" si="68">B99-(B107)</f>
        <v>934.09</v>
      </c>
      <c r="C100" s="107">
        <f t="shared" si="68"/>
        <v>916.29</v>
      </c>
      <c r="D100" s="107">
        <f t="shared" ref="D100" si="69">D99-(D107)</f>
        <v>887.09</v>
      </c>
      <c r="E100" s="107">
        <f t="shared" ref="E100:M100" si="70">E99-(E107)</f>
        <v>867.19</v>
      </c>
      <c r="F100" s="107">
        <f t="shared" si="70"/>
        <v>820.19</v>
      </c>
      <c r="G100" s="107">
        <f t="shared" si="70"/>
        <v>847.19</v>
      </c>
      <c r="H100" s="107">
        <f t="shared" si="70"/>
        <v>893.69</v>
      </c>
      <c r="I100" s="107">
        <f t="shared" si="70"/>
        <v>931.8900000000001</v>
      </c>
      <c r="J100" s="107">
        <f t="shared" si="70"/>
        <v>1009.4900000000001</v>
      </c>
      <c r="K100" s="107">
        <f t="shared" si="70"/>
        <v>1028.7900000000002</v>
      </c>
      <c r="L100" s="107">
        <f t="shared" si="70"/>
        <v>1074.0899999999999</v>
      </c>
      <c r="M100" s="107">
        <f t="shared" si="70"/>
        <v>1105.0899999999999</v>
      </c>
      <c r="N100" s="107">
        <f>N99-(N107)</f>
        <v>1006.5899999999999</v>
      </c>
      <c r="O100" s="107">
        <f t="shared" ref="O100:AF100" si="71">O99-(O107)</f>
        <v>958.9899999999999</v>
      </c>
      <c r="P100" s="107">
        <f t="shared" si="71"/>
        <v>906.59</v>
      </c>
      <c r="Q100" s="107">
        <f t="shared" si="71"/>
        <v>883.09</v>
      </c>
      <c r="R100" s="107">
        <f t="shared" si="71"/>
        <v>879.68999999999994</v>
      </c>
      <c r="S100" s="107">
        <f t="shared" si="71"/>
        <v>887.59</v>
      </c>
      <c r="T100" s="107">
        <f t="shared" si="71"/>
        <v>921.49</v>
      </c>
      <c r="U100" s="107">
        <f t="shared" si="71"/>
        <v>953.79</v>
      </c>
      <c r="V100" s="107">
        <f t="shared" si="71"/>
        <v>986.89</v>
      </c>
      <c r="W100" s="107">
        <f t="shared" si="71"/>
        <v>1019.6899999999999</v>
      </c>
      <c r="X100" s="107">
        <f t="shared" si="71"/>
        <v>1099.19</v>
      </c>
      <c r="Y100" s="107">
        <f t="shared" si="71"/>
        <v>1238.8499999999999</v>
      </c>
      <c r="Z100" s="107">
        <f t="shared" si="71"/>
        <v>1289.5499999999997</v>
      </c>
      <c r="AA100" s="107">
        <f t="shared" si="71"/>
        <v>1229.0900000000001</v>
      </c>
      <c r="AB100" s="107">
        <f t="shared" ref="AB100" si="72">AB99-(AB107)</f>
        <v>1141.9900000000002</v>
      </c>
      <c r="AC100" s="107">
        <f t="shared" si="71"/>
        <v>1081.49</v>
      </c>
      <c r="AD100" s="107">
        <f t="shared" si="71"/>
        <v>1059.29</v>
      </c>
      <c r="AE100" s="107">
        <f t="shared" si="71"/>
        <v>926.29</v>
      </c>
      <c r="AF100" s="107">
        <f t="shared" si="71"/>
        <v>809.79</v>
      </c>
      <c r="AG100" s="100"/>
      <c r="AH100" s="48">
        <f t="shared" si="54"/>
        <v>1289.5499999999997</v>
      </c>
      <c r="AI100" s="49">
        <f t="shared" si="55"/>
        <v>809.79</v>
      </c>
      <c r="BF100" s="81"/>
      <c r="BG100" s="81">
        <v>27.5</v>
      </c>
      <c r="BH100" s="81">
        <v>0</v>
      </c>
      <c r="BI100" s="81">
        <v>132.6</v>
      </c>
      <c r="BJ100" s="81">
        <v>0</v>
      </c>
      <c r="BK100" s="81">
        <v>0</v>
      </c>
      <c r="BL100" s="81">
        <v>0</v>
      </c>
    </row>
    <row r="101" spans="1:64" x14ac:dyDescent="0.25">
      <c r="A101" s="45" t="s">
        <v>107</v>
      </c>
      <c r="B101" s="88">
        <f t="shared" ref="B101:C101" si="73">IF(B84&lt;0,B84*-1,0)</f>
        <v>0</v>
      </c>
      <c r="C101" s="88">
        <f t="shared" si="73"/>
        <v>0</v>
      </c>
      <c r="D101" s="88">
        <f t="shared" ref="D101" si="74">IF(D84&lt;0,D84*-1,0)</f>
        <v>0</v>
      </c>
      <c r="E101" s="88">
        <f t="shared" ref="E101:AF101" si="75">IF(E84&lt;0,E84*-1,0)</f>
        <v>0</v>
      </c>
      <c r="F101" s="88">
        <f t="shared" si="75"/>
        <v>0</v>
      </c>
      <c r="G101" s="88">
        <f t="shared" si="75"/>
        <v>0</v>
      </c>
      <c r="H101" s="88">
        <f t="shared" si="75"/>
        <v>0</v>
      </c>
      <c r="I101" s="88">
        <f t="shared" si="75"/>
        <v>0</v>
      </c>
      <c r="J101" s="88">
        <f t="shared" si="75"/>
        <v>0</v>
      </c>
      <c r="K101" s="88">
        <f t="shared" si="75"/>
        <v>0</v>
      </c>
      <c r="L101" s="88">
        <f t="shared" si="75"/>
        <v>0</v>
      </c>
      <c r="M101" s="88">
        <f t="shared" si="75"/>
        <v>0</v>
      </c>
      <c r="N101" s="88">
        <f t="shared" si="75"/>
        <v>0</v>
      </c>
      <c r="O101" s="88">
        <f t="shared" si="75"/>
        <v>0</v>
      </c>
      <c r="P101" s="88">
        <f t="shared" si="75"/>
        <v>0</v>
      </c>
      <c r="Q101" s="88">
        <f t="shared" si="75"/>
        <v>0</v>
      </c>
      <c r="R101" s="88">
        <f t="shared" si="75"/>
        <v>0</v>
      </c>
      <c r="S101" s="88">
        <f t="shared" si="75"/>
        <v>0</v>
      </c>
      <c r="T101" s="88">
        <f t="shared" si="75"/>
        <v>0</v>
      </c>
      <c r="U101" s="88">
        <f t="shared" si="75"/>
        <v>0</v>
      </c>
      <c r="V101" s="88">
        <f t="shared" si="75"/>
        <v>0</v>
      </c>
      <c r="W101" s="88">
        <f t="shared" si="75"/>
        <v>0</v>
      </c>
      <c r="X101" s="88">
        <f t="shared" si="75"/>
        <v>0</v>
      </c>
      <c r="Y101" s="88">
        <f t="shared" si="75"/>
        <v>0</v>
      </c>
      <c r="Z101" s="88">
        <f t="shared" si="75"/>
        <v>0</v>
      </c>
      <c r="AA101" s="88">
        <f t="shared" si="75"/>
        <v>0</v>
      </c>
      <c r="AB101" s="88">
        <f t="shared" ref="AB101" si="76">IF(AB84&lt;0,AB84*-1,0)</f>
        <v>0</v>
      </c>
      <c r="AC101" s="88">
        <f t="shared" si="75"/>
        <v>0</v>
      </c>
      <c r="AD101" s="88">
        <f t="shared" si="75"/>
        <v>0</v>
      </c>
      <c r="AE101" s="88">
        <f t="shared" si="75"/>
        <v>0</v>
      </c>
      <c r="AF101" s="88">
        <f t="shared" si="75"/>
        <v>0</v>
      </c>
      <c r="AG101" s="60"/>
      <c r="AH101" s="48">
        <f t="shared" si="54"/>
        <v>0</v>
      </c>
      <c r="AI101" s="49">
        <f t="shared" si="55"/>
        <v>0</v>
      </c>
      <c r="BF101" s="80"/>
      <c r="BG101" s="81">
        <v>26.5</v>
      </c>
      <c r="BH101" s="81">
        <v>0</v>
      </c>
      <c r="BI101" s="81">
        <v>161.19999999999999</v>
      </c>
      <c r="BJ101" s="81">
        <v>0</v>
      </c>
      <c r="BK101" s="81">
        <v>0</v>
      </c>
      <c r="BL101" s="81">
        <v>0</v>
      </c>
    </row>
    <row r="102" spans="1:64" x14ac:dyDescent="0.25">
      <c r="A102" s="64" t="s">
        <v>105</v>
      </c>
      <c r="B102" s="88">
        <f t="shared" ref="B102:C102" si="77">IF(B82&lt;0,B82*-1,0)</f>
        <v>0</v>
      </c>
      <c r="C102" s="88">
        <f t="shared" si="77"/>
        <v>0</v>
      </c>
      <c r="D102" s="88">
        <f t="shared" ref="D102" si="78">IF(D82&lt;0,D82*-1,0)</f>
        <v>0</v>
      </c>
      <c r="E102" s="88">
        <f t="shared" ref="E102:AF102" si="79">IF(E82&lt;0,E82*-1,0)</f>
        <v>0</v>
      </c>
      <c r="F102" s="88">
        <f t="shared" si="79"/>
        <v>0</v>
      </c>
      <c r="G102" s="88">
        <f t="shared" si="79"/>
        <v>0</v>
      </c>
      <c r="H102" s="88">
        <f t="shared" si="79"/>
        <v>0</v>
      </c>
      <c r="I102" s="88">
        <f t="shared" si="79"/>
        <v>0</v>
      </c>
      <c r="J102" s="88">
        <f t="shared" si="79"/>
        <v>0</v>
      </c>
      <c r="K102" s="88">
        <f t="shared" si="79"/>
        <v>0</v>
      </c>
      <c r="L102" s="88">
        <f t="shared" si="79"/>
        <v>0</v>
      </c>
      <c r="M102" s="88">
        <f t="shared" si="79"/>
        <v>0</v>
      </c>
      <c r="N102" s="88">
        <f t="shared" si="79"/>
        <v>0</v>
      </c>
      <c r="O102" s="88">
        <f t="shared" si="79"/>
        <v>0</v>
      </c>
      <c r="P102" s="88">
        <f t="shared" si="79"/>
        <v>0</v>
      </c>
      <c r="Q102" s="88">
        <f t="shared" si="79"/>
        <v>0</v>
      </c>
      <c r="R102" s="88">
        <f t="shared" si="79"/>
        <v>0</v>
      </c>
      <c r="S102" s="88">
        <f t="shared" si="79"/>
        <v>0</v>
      </c>
      <c r="T102" s="88">
        <f t="shared" si="79"/>
        <v>0</v>
      </c>
      <c r="U102" s="88">
        <f t="shared" si="79"/>
        <v>0</v>
      </c>
      <c r="V102" s="88">
        <f t="shared" si="79"/>
        <v>0</v>
      </c>
      <c r="W102" s="88">
        <f t="shared" si="79"/>
        <v>0</v>
      </c>
      <c r="X102" s="88">
        <f t="shared" si="79"/>
        <v>0</v>
      </c>
      <c r="Y102" s="88">
        <f t="shared" si="79"/>
        <v>0</v>
      </c>
      <c r="Z102" s="88">
        <f t="shared" si="79"/>
        <v>0</v>
      </c>
      <c r="AA102" s="88">
        <f t="shared" si="79"/>
        <v>0</v>
      </c>
      <c r="AB102" s="88">
        <f t="shared" ref="AB102" si="80">IF(AB82&lt;0,AB82*-1,0)</f>
        <v>0</v>
      </c>
      <c r="AC102" s="88">
        <f t="shared" si="79"/>
        <v>0</v>
      </c>
      <c r="AD102" s="88">
        <f t="shared" si="79"/>
        <v>0</v>
      </c>
      <c r="AE102" s="88">
        <f t="shared" si="79"/>
        <v>0</v>
      </c>
      <c r="AF102" s="88">
        <f t="shared" si="79"/>
        <v>0</v>
      </c>
      <c r="AG102" s="65"/>
      <c r="AH102" s="48">
        <f t="shared" si="54"/>
        <v>0</v>
      </c>
      <c r="AI102" s="49">
        <f t="shared" si="55"/>
        <v>0</v>
      </c>
      <c r="BF102" s="80"/>
      <c r="BG102" s="81">
        <v>45</v>
      </c>
      <c r="BH102" s="81">
        <v>0</v>
      </c>
      <c r="BI102" s="81">
        <v>146.1</v>
      </c>
      <c r="BJ102" s="81">
        <v>0</v>
      </c>
      <c r="BK102" s="81">
        <v>0</v>
      </c>
      <c r="BL102" s="81">
        <v>0</v>
      </c>
    </row>
    <row r="103" spans="1:64" x14ac:dyDescent="0.25">
      <c r="A103" s="96" t="s">
        <v>127</v>
      </c>
      <c r="B103" s="88">
        <f t="shared" ref="B103:C103" si="81">IF(B85&lt;0,B85*-1,0)</f>
        <v>0</v>
      </c>
      <c r="C103" s="88">
        <f t="shared" si="81"/>
        <v>0</v>
      </c>
      <c r="D103" s="88">
        <f t="shared" ref="D103" si="82">IF(D85&lt;0,D85*-1,0)</f>
        <v>0</v>
      </c>
      <c r="E103" s="88">
        <f t="shared" ref="E103:AF103" si="83">IF(E85&lt;0,E85*-1,0)</f>
        <v>0</v>
      </c>
      <c r="F103" s="88">
        <f t="shared" si="83"/>
        <v>0</v>
      </c>
      <c r="G103" s="88">
        <f t="shared" si="83"/>
        <v>0</v>
      </c>
      <c r="H103" s="88">
        <f t="shared" si="83"/>
        <v>0</v>
      </c>
      <c r="I103" s="88">
        <f t="shared" si="83"/>
        <v>0</v>
      </c>
      <c r="J103" s="88">
        <f t="shared" si="83"/>
        <v>0</v>
      </c>
      <c r="K103" s="88">
        <f t="shared" si="83"/>
        <v>0</v>
      </c>
      <c r="L103" s="88">
        <f t="shared" si="83"/>
        <v>0</v>
      </c>
      <c r="M103" s="88">
        <f t="shared" si="83"/>
        <v>0</v>
      </c>
      <c r="N103" s="88">
        <f t="shared" si="83"/>
        <v>0</v>
      </c>
      <c r="O103" s="88">
        <f t="shared" si="83"/>
        <v>0</v>
      </c>
      <c r="P103" s="88">
        <f t="shared" si="83"/>
        <v>0</v>
      </c>
      <c r="Q103" s="88">
        <f t="shared" si="83"/>
        <v>0</v>
      </c>
      <c r="R103" s="88">
        <f t="shared" si="83"/>
        <v>0</v>
      </c>
      <c r="S103" s="88">
        <f t="shared" si="83"/>
        <v>0</v>
      </c>
      <c r="T103" s="88">
        <f t="shared" si="83"/>
        <v>0</v>
      </c>
      <c r="U103" s="88">
        <f t="shared" si="83"/>
        <v>0</v>
      </c>
      <c r="V103" s="88">
        <f t="shared" si="83"/>
        <v>0</v>
      </c>
      <c r="W103" s="88">
        <f t="shared" si="83"/>
        <v>0</v>
      </c>
      <c r="X103" s="88">
        <f t="shared" si="83"/>
        <v>0</v>
      </c>
      <c r="Y103" s="88">
        <f t="shared" si="83"/>
        <v>0</v>
      </c>
      <c r="Z103" s="88">
        <f t="shared" si="83"/>
        <v>0</v>
      </c>
      <c r="AA103" s="88">
        <f t="shared" si="83"/>
        <v>0</v>
      </c>
      <c r="AB103" s="88">
        <f t="shared" ref="AB103" si="84">IF(AB85&lt;0,AB85*-1,0)</f>
        <v>0</v>
      </c>
      <c r="AC103" s="88">
        <f t="shared" si="83"/>
        <v>0</v>
      </c>
      <c r="AD103" s="88">
        <f t="shared" si="83"/>
        <v>0</v>
      </c>
      <c r="AE103" s="88">
        <f t="shared" si="83"/>
        <v>0</v>
      </c>
      <c r="AF103" s="88">
        <f t="shared" si="83"/>
        <v>0</v>
      </c>
      <c r="AG103" s="110"/>
      <c r="AH103" s="48">
        <f t="shared" si="54"/>
        <v>0</v>
      </c>
      <c r="AI103" s="49">
        <f t="shared" si="55"/>
        <v>0</v>
      </c>
      <c r="BF103" s="80"/>
      <c r="BG103" s="81">
        <v>40.4</v>
      </c>
      <c r="BH103" s="81">
        <v>0</v>
      </c>
      <c r="BI103" s="81">
        <v>60</v>
      </c>
      <c r="BJ103" s="81">
        <v>0</v>
      </c>
      <c r="BK103" s="81">
        <v>0</v>
      </c>
      <c r="BL103" s="81">
        <v>0</v>
      </c>
    </row>
    <row r="104" spans="1:64" x14ac:dyDescent="0.25">
      <c r="A104" s="96" t="s">
        <v>128</v>
      </c>
      <c r="B104" s="88">
        <f t="shared" ref="B104:C104" si="85">IF(B83&lt;0,B83*-1,0)</f>
        <v>0</v>
      </c>
      <c r="C104" s="88">
        <f t="shared" si="85"/>
        <v>0</v>
      </c>
      <c r="D104" s="88">
        <f t="shared" ref="D104" si="86">IF(D83&lt;0,D83*-1,0)</f>
        <v>0</v>
      </c>
      <c r="E104" s="88">
        <f t="shared" ref="E104:AF104" si="87">IF(E83&lt;0,E83*-1,0)</f>
        <v>0</v>
      </c>
      <c r="F104" s="88">
        <f t="shared" si="87"/>
        <v>0</v>
      </c>
      <c r="G104" s="88">
        <f t="shared" si="87"/>
        <v>0</v>
      </c>
      <c r="H104" s="88">
        <f t="shared" si="87"/>
        <v>0</v>
      </c>
      <c r="I104" s="88">
        <f t="shared" si="87"/>
        <v>0</v>
      </c>
      <c r="J104" s="88">
        <f t="shared" si="87"/>
        <v>0</v>
      </c>
      <c r="K104" s="88">
        <f t="shared" si="87"/>
        <v>0</v>
      </c>
      <c r="L104" s="88">
        <f t="shared" si="87"/>
        <v>0</v>
      </c>
      <c r="M104" s="88">
        <f t="shared" si="87"/>
        <v>0</v>
      </c>
      <c r="N104" s="88">
        <f t="shared" si="87"/>
        <v>0</v>
      </c>
      <c r="O104" s="88">
        <f t="shared" si="87"/>
        <v>0</v>
      </c>
      <c r="P104" s="88">
        <f t="shared" si="87"/>
        <v>0</v>
      </c>
      <c r="Q104" s="88">
        <f t="shared" si="87"/>
        <v>0</v>
      </c>
      <c r="R104" s="88">
        <f t="shared" si="87"/>
        <v>0</v>
      </c>
      <c r="S104" s="88">
        <f t="shared" si="87"/>
        <v>0</v>
      </c>
      <c r="T104" s="88">
        <f t="shared" si="87"/>
        <v>0</v>
      </c>
      <c r="U104" s="88">
        <f t="shared" si="87"/>
        <v>0</v>
      </c>
      <c r="V104" s="88">
        <f t="shared" si="87"/>
        <v>0</v>
      </c>
      <c r="W104" s="88">
        <f t="shared" si="87"/>
        <v>0</v>
      </c>
      <c r="X104" s="88">
        <f t="shared" si="87"/>
        <v>0</v>
      </c>
      <c r="Y104" s="88">
        <f t="shared" si="87"/>
        <v>0</v>
      </c>
      <c r="Z104" s="88">
        <f t="shared" si="87"/>
        <v>0</v>
      </c>
      <c r="AA104" s="88">
        <f t="shared" si="87"/>
        <v>0</v>
      </c>
      <c r="AB104" s="88">
        <f t="shared" ref="AB104" si="88">IF(AB83&lt;0,AB83*-1,0)</f>
        <v>0</v>
      </c>
      <c r="AC104" s="88">
        <f t="shared" si="87"/>
        <v>0</v>
      </c>
      <c r="AD104" s="88">
        <f t="shared" si="87"/>
        <v>0</v>
      </c>
      <c r="AE104" s="88">
        <f t="shared" si="87"/>
        <v>0</v>
      </c>
      <c r="AF104" s="88">
        <f t="shared" si="87"/>
        <v>0</v>
      </c>
      <c r="AG104" s="110"/>
      <c r="AH104" s="48">
        <f t="shared" si="54"/>
        <v>0</v>
      </c>
      <c r="AI104" s="49">
        <f t="shared" si="55"/>
        <v>0</v>
      </c>
      <c r="BF104" s="80"/>
      <c r="BG104" s="81">
        <v>26.6</v>
      </c>
      <c r="BH104" s="81">
        <v>0</v>
      </c>
      <c r="BI104" s="81">
        <v>142</v>
      </c>
      <c r="BJ104" s="81">
        <v>0</v>
      </c>
      <c r="BK104" s="81">
        <v>0</v>
      </c>
      <c r="BL104" s="81">
        <v>0</v>
      </c>
    </row>
    <row r="105" spans="1:64" x14ac:dyDescent="0.25">
      <c r="A105" s="96" t="s">
        <v>104</v>
      </c>
      <c r="B105" s="88">
        <f t="shared" ref="B105:C105" si="89">IF(B81&lt;0,B81*-1,0)</f>
        <v>0</v>
      </c>
      <c r="C105" s="88">
        <f t="shared" si="89"/>
        <v>0</v>
      </c>
      <c r="D105" s="88">
        <f t="shared" ref="D105" si="90">IF(D81&lt;0,D81*-1,0)</f>
        <v>0</v>
      </c>
      <c r="E105" s="88">
        <f t="shared" ref="E105:AF105" si="91">IF(E81&lt;0,E81*-1,0)</f>
        <v>0</v>
      </c>
      <c r="F105" s="88">
        <f t="shared" si="91"/>
        <v>0</v>
      </c>
      <c r="G105" s="88">
        <f t="shared" si="91"/>
        <v>0</v>
      </c>
      <c r="H105" s="88">
        <f t="shared" si="91"/>
        <v>0</v>
      </c>
      <c r="I105" s="88">
        <f t="shared" si="91"/>
        <v>0</v>
      </c>
      <c r="J105" s="88">
        <f t="shared" si="91"/>
        <v>0</v>
      </c>
      <c r="K105" s="88">
        <f t="shared" si="91"/>
        <v>0</v>
      </c>
      <c r="L105" s="88">
        <f t="shared" si="91"/>
        <v>0</v>
      </c>
      <c r="M105" s="88">
        <f t="shared" si="91"/>
        <v>0</v>
      </c>
      <c r="N105" s="88">
        <f t="shared" si="91"/>
        <v>0</v>
      </c>
      <c r="O105" s="88">
        <f t="shared" si="91"/>
        <v>0</v>
      </c>
      <c r="P105" s="88">
        <f t="shared" si="91"/>
        <v>0</v>
      </c>
      <c r="Q105" s="88">
        <f t="shared" si="91"/>
        <v>0</v>
      </c>
      <c r="R105" s="88">
        <f t="shared" si="91"/>
        <v>0</v>
      </c>
      <c r="S105" s="88">
        <f t="shared" si="91"/>
        <v>0</v>
      </c>
      <c r="T105" s="88">
        <f t="shared" si="91"/>
        <v>0</v>
      </c>
      <c r="U105" s="88">
        <f t="shared" si="91"/>
        <v>0</v>
      </c>
      <c r="V105" s="88">
        <f t="shared" si="91"/>
        <v>0</v>
      </c>
      <c r="W105" s="88">
        <f t="shared" si="91"/>
        <v>0</v>
      </c>
      <c r="X105" s="88">
        <f t="shared" si="91"/>
        <v>0</v>
      </c>
      <c r="Y105" s="88">
        <f t="shared" si="91"/>
        <v>0</v>
      </c>
      <c r="Z105" s="88">
        <f t="shared" si="91"/>
        <v>0</v>
      </c>
      <c r="AA105" s="88">
        <f t="shared" si="91"/>
        <v>0</v>
      </c>
      <c r="AB105" s="88">
        <f t="shared" ref="AB105" si="92">IF(AB81&lt;0,AB81*-1,0)</f>
        <v>0</v>
      </c>
      <c r="AC105" s="88">
        <f t="shared" si="91"/>
        <v>0</v>
      </c>
      <c r="AD105" s="88">
        <f t="shared" si="91"/>
        <v>0</v>
      </c>
      <c r="AE105" s="88">
        <f t="shared" si="91"/>
        <v>0</v>
      </c>
      <c r="AF105" s="88">
        <f t="shared" si="91"/>
        <v>0</v>
      </c>
      <c r="AG105" s="110"/>
      <c r="AH105" s="48">
        <f t="shared" si="54"/>
        <v>0</v>
      </c>
      <c r="AI105" s="49">
        <f t="shared" si="55"/>
        <v>0</v>
      </c>
      <c r="BF105" s="80"/>
      <c r="BG105" s="81">
        <v>28</v>
      </c>
      <c r="BH105" s="81">
        <v>0</v>
      </c>
      <c r="BI105" s="81">
        <v>102</v>
      </c>
      <c r="BJ105" s="81">
        <v>0</v>
      </c>
      <c r="BK105" s="81">
        <v>0</v>
      </c>
      <c r="BL105" s="81">
        <v>0</v>
      </c>
    </row>
    <row r="106" spans="1:64" ht="15.75" thickBot="1" x14ac:dyDescent="0.3">
      <c r="A106" s="96" t="s">
        <v>129</v>
      </c>
      <c r="B106" s="106">
        <v>0</v>
      </c>
      <c r="C106" s="106">
        <v>0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0</v>
      </c>
      <c r="Y106" s="106">
        <v>0</v>
      </c>
      <c r="Z106" s="106">
        <v>0</v>
      </c>
      <c r="AA106" s="106">
        <v>0</v>
      </c>
      <c r="AB106" s="106">
        <v>0</v>
      </c>
      <c r="AC106" s="106">
        <v>0</v>
      </c>
      <c r="AD106" s="106">
        <v>0</v>
      </c>
      <c r="AE106" s="106">
        <v>0</v>
      </c>
      <c r="AF106" s="106">
        <v>0</v>
      </c>
      <c r="AG106" s="97"/>
      <c r="AH106" s="48">
        <f t="shared" si="54"/>
        <v>0</v>
      </c>
      <c r="AI106" s="49">
        <f t="shared" si="55"/>
        <v>0</v>
      </c>
      <c r="BG106" s="81">
        <v>26.9</v>
      </c>
      <c r="BH106" s="81">
        <v>0</v>
      </c>
      <c r="BI106" s="81">
        <v>98.7</v>
      </c>
      <c r="BJ106" s="81">
        <v>0</v>
      </c>
      <c r="BK106" s="81">
        <v>0</v>
      </c>
      <c r="BL106" s="81">
        <v>0</v>
      </c>
    </row>
    <row r="107" spans="1:64" ht="15.75" thickBot="1" x14ac:dyDescent="0.3">
      <c r="A107" s="111" t="s">
        <v>130</v>
      </c>
      <c r="B107" s="70">
        <f t="shared" ref="B107:C107" si="93">SUM(B101:B106)</f>
        <v>0</v>
      </c>
      <c r="C107" s="70">
        <f t="shared" si="93"/>
        <v>0</v>
      </c>
      <c r="D107" s="70">
        <f t="shared" ref="D107" si="94">SUM(D101:D106)</f>
        <v>0</v>
      </c>
      <c r="E107" s="70">
        <f t="shared" ref="E107:AF107" si="95">SUM(E101:E106)</f>
        <v>0</v>
      </c>
      <c r="F107" s="70">
        <f t="shared" si="95"/>
        <v>0</v>
      </c>
      <c r="G107" s="70">
        <f t="shared" si="95"/>
        <v>0</v>
      </c>
      <c r="H107" s="70">
        <f t="shared" si="95"/>
        <v>0</v>
      </c>
      <c r="I107" s="70">
        <f t="shared" si="95"/>
        <v>0</v>
      </c>
      <c r="J107" s="70">
        <f t="shared" si="95"/>
        <v>0</v>
      </c>
      <c r="K107" s="70">
        <f t="shared" si="95"/>
        <v>0</v>
      </c>
      <c r="L107" s="70">
        <f t="shared" si="95"/>
        <v>0</v>
      </c>
      <c r="M107" s="70">
        <f t="shared" si="95"/>
        <v>0</v>
      </c>
      <c r="N107" s="70">
        <f t="shared" si="95"/>
        <v>0</v>
      </c>
      <c r="O107" s="70">
        <f t="shared" si="95"/>
        <v>0</v>
      </c>
      <c r="P107" s="70">
        <f t="shared" si="95"/>
        <v>0</v>
      </c>
      <c r="Q107" s="70">
        <f t="shared" si="95"/>
        <v>0</v>
      </c>
      <c r="R107" s="70">
        <f t="shared" si="95"/>
        <v>0</v>
      </c>
      <c r="S107" s="70">
        <f t="shared" si="95"/>
        <v>0</v>
      </c>
      <c r="T107" s="70">
        <f t="shared" si="95"/>
        <v>0</v>
      </c>
      <c r="U107" s="70">
        <f t="shared" si="95"/>
        <v>0</v>
      </c>
      <c r="V107" s="70">
        <f t="shared" si="95"/>
        <v>0</v>
      </c>
      <c r="W107" s="70">
        <f t="shared" si="95"/>
        <v>0</v>
      </c>
      <c r="X107" s="70">
        <f t="shared" si="95"/>
        <v>0</v>
      </c>
      <c r="Y107" s="70">
        <f t="shared" si="95"/>
        <v>0</v>
      </c>
      <c r="Z107" s="70">
        <f t="shared" si="95"/>
        <v>0</v>
      </c>
      <c r="AA107" s="70">
        <f t="shared" si="95"/>
        <v>0</v>
      </c>
      <c r="AB107" s="70">
        <f t="shared" ref="AB107" si="96">SUM(AB101:AB106)</f>
        <v>0</v>
      </c>
      <c r="AC107" s="70">
        <f t="shared" si="95"/>
        <v>0</v>
      </c>
      <c r="AD107" s="70">
        <f t="shared" si="95"/>
        <v>0</v>
      </c>
      <c r="AE107" s="70">
        <f t="shared" si="95"/>
        <v>0</v>
      </c>
      <c r="AF107" s="70">
        <f t="shared" si="95"/>
        <v>0</v>
      </c>
      <c r="AG107" s="100"/>
      <c r="AH107" s="48">
        <f t="shared" si="54"/>
        <v>0</v>
      </c>
      <c r="AI107" s="49">
        <f t="shared" si="55"/>
        <v>0</v>
      </c>
      <c r="AK107" s="51"/>
      <c r="BG107" s="81">
        <v>50.4</v>
      </c>
      <c r="BH107" s="81">
        <v>0</v>
      </c>
      <c r="BI107" s="81">
        <v>203.5</v>
      </c>
      <c r="BJ107" s="81">
        <v>0</v>
      </c>
      <c r="BK107" s="81">
        <v>0</v>
      </c>
      <c r="BL107" s="81">
        <v>0</v>
      </c>
    </row>
    <row r="108" spans="1:64" ht="15.75" thickBot="1" x14ac:dyDescent="0.3">
      <c r="A108" s="86" t="s">
        <v>131</v>
      </c>
      <c r="B108" s="70">
        <f t="shared" ref="B108:C108" si="97">B92-B107</f>
        <v>253.9</v>
      </c>
      <c r="C108" s="70">
        <f t="shared" si="97"/>
        <v>247.5</v>
      </c>
      <c r="D108" s="70">
        <f t="shared" ref="D108" si="98">D92-D107</f>
        <v>307.39999999999998</v>
      </c>
      <c r="E108" s="70">
        <f t="shared" ref="E108:AF108" si="99">E92-E107</f>
        <v>297.2</v>
      </c>
      <c r="F108" s="70">
        <f t="shared" si="99"/>
        <v>262.39999999999998</v>
      </c>
      <c r="G108" s="70">
        <f t="shared" si="99"/>
        <v>284.5</v>
      </c>
      <c r="H108" s="70">
        <f t="shared" si="99"/>
        <v>222.2</v>
      </c>
      <c r="I108" s="70">
        <f t="shared" si="99"/>
        <v>225.5</v>
      </c>
      <c r="J108" s="70">
        <f t="shared" si="99"/>
        <v>236.20000000000002</v>
      </c>
      <c r="K108" s="70">
        <f t="shared" si="99"/>
        <v>228.9</v>
      </c>
      <c r="L108" s="70">
        <f t="shared" si="99"/>
        <v>236.1</v>
      </c>
      <c r="M108" s="70">
        <f t="shared" si="99"/>
        <v>238.1</v>
      </c>
      <c r="N108" s="70">
        <f t="shared" si="99"/>
        <v>211.8</v>
      </c>
      <c r="O108" s="70">
        <f t="shared" si="99"/>
        <v>167.9</v>
      </c>
      <c r="P108" s="70">
        <f t="shared" si="99"/>
        <v>165.6</v>
      </c>
      <c r="Q108" s="70">
        <f t="shared" si="99"/>
        <v>167.70000000000002</v>
      </c>
      <c r="R108" s="70">
        <f t="shared" si="99"/>
        <v>176.5</v>
      </c>
      <c r="S108" s="70">
        <f t="shared" si="99"/>
        <v>175.6</v>
      </c>
      <c r="T108" s="70">
        <f t="shared" si="99"/>
        <v>171.8</v>
      </c>
      <c r="U108" s="70">
        <f t="shared" si="99"/>
        <v>183.20000000000002</v>
      </c>
      <c r="V108" s="70">
        <f t="shared" si="99"/>
        <v>160.1</v>
      </c>
      <c r="W108" s="70">
        <f t="shared" si="99"/>
        <v>203.9</v>
      </c>
      <c r="X108" s="70">
        <f t="shared" si="99"/>
        <v>187.7</v>
      </c>
      <c r="Y108" s="70">
        <f>Y92-Y107</f>
        <v>177.5</v>
      </c>
      <c r="Z108" s="70">
        <f>Z92-Z107</f>
        <v>191.1</v>
      </c>
      <c r="AA108" s="70">
        <f t="shared" si="99"/>
        <v>106.9</v>
      </c>
      <c r="AB108" s="70">
        <f t="shared" ref="AB108" si="100">AB92-AB107</f>
        <v>100.4</v>
      </c>
      <c r="AC108" s="70">
        <f t="shared" si="99"/>
        <v>174.1</v>
      </c>
      <c r="AD108" s="70">
        <f t="shared" si="99"/>
        <v>168.6</v>
      </c>
      <c r="AE108" s="70">
        <f t="shared" si="99"/>
        <v>130</v>
      </c>
      <c r="AF108" s="70">
        <f t="shared" si="99"/>
        <v>125.6</v>
      </c>
      <c r="AG108" s="100"/>
      <c r="AH108" s="48">
        <f t="shared" si="54"/>
        <v>307.39999999999998</v>
      </c>
      <c r="AI108" s="49">
        <f t="shared" si="55"/>
        <v>100.4</v>
      </c>
    </row>
    <row r="109" spans="1:64" x14ac:dyDescent="0.25">
      <c r="A109" s="112" t="s">
        <v>132</v>
      </c>
      <c r="B109" s="113">
        <v>49.94</v>
      </c>
      <c r="C109" s="113">
        <v>49.97</v>
      </c>
      <c r="D109" s="113">
        <v>50.03</v>
      </c>
      <c r="E109" s="113">
        <v>50.04</v>
      </c>
      <c r="F109" s="113">
        <v>49.963999999999999</v>
      </c>
      <c r="G109" s="113">
        <v>50.002000000000002</v>
      </c>
      <c r="H109" s="113">
        <v>49.984999999999999</v>
      </c>
      <c r="I109" s="113">
        <v>50.024000000000001</v>
      </c>
      <c r="J109" s="113">
        <v>50.091999999999999</v>
      </c>
      <c r="K109" s="113">
        <v>50.02</v>
      </c>
      <c r="L109" s="113">
        <v>50.015999999999998</v>
      </c>
      <c r="M109" s="113">
        <v>50.027000000000001</v>
      </c>
      <c r="N109" s="113">
        <v>49.94</v>
      </c>
      <c r="O109" s="113">
        <v>50.02</v>
      </c>
      <c r="P109" s="113">
        <v>50.133000000000003</v>
      </c>
      <c r="Q109" s="113">
        <v>50.017000000000003</v>
      </c>
      <c r="R109" s="113">
        <v>49.936</v>
      </c>
      <c r="S109" s="113">
        <v>49.970999999999997</v>
      </c>
      <c r="T109" s="113">
        <v>49.912999999999997</v>
      </c>
      <c r="U109" s="113">
        <v>49.923999999999999</v>
      </c>
      <c r="V109" s="113">
        <v>49.92</v>
      </c>
      <c r="W109" s="113">
        <v>50.113</v>
      </c>
      <c r="X109" s="113">
        <v>50.029000000000003</v>
      </c>
      <c r="Y109" s="113">
        <v>49.988</v>
      </c>
      <c r="Z109" s="113">
        <v>49.972000000000001</v>
      </c>
      <c r="AA109" s="113">
        <v>50.009</v>
      </c>
      <c r="AB109" s="113">
        <v>50.058</v>
      </c>
      <c r="AC109" s="113">
        <v>49.999000000000002</v>
      </c>
      <c r="AD109" s="113">
        <v>50.012</v>
      </c>
      <c r="AE109" s="113">
        <v>49.99</v>
      </c>
      <c r="AF109" s="113">
        <v>49.98</v>
      </c>
      <c r="AG109" s="114"/>
      <c r="AH109" s="48">
        <f t="shared" si="54"/>
        <v>50.133000000000003</v>
      </c>
      <c r="AI109" s="49">
        <f t="shared" si="55"/>
        <v>49.912999999999997</v>
      </c>
    </row>
    <row r="110" spans="1:64" x14ac:dyDescent="0.25">
      <c r="A110" s="115" t="s">
        <v>133</v>
      </c>
      <c r="B110" s="75">
        <v>130.4</v>
      </c>
      <c r="C110" s="75">
        <v>130.6</v>
      </c>
      <c r="D110" s="75">
        <v>129.69999999999999</v>
      </c>
      <c r="E110" s="75">
        <v>131</v>
      </c>
      <c r="F110" s="75">
        <v>131.30000000000001</v>
      </c>
      <c r="G110" s="75">
        <v>130.69999999999999</v>
      </c>
      <c r="H110" s="75">
        <v>131.5</v>
      </c>
      <c r="I110" s="75">
        <v>130.9</v>
      </c>
      <c r="J110" s="75">
        <v>129.5</v>
      </c>
      <c r="K110" s="75">
        <v>129</v>
      </c>
      <c r="L110" s="75">
        <v>127.9</v>
      </c>
      <c r="M110" s="75">
        <v>128</v>
      </c>
      <c r="N110" s="75">
        <v>128</v>
      </c>
      <c r="O110" s="75">
        <v>128.6</v>
      </c>
      <c r="P110" s="75">
        <v>128.9</v>
      </c>
      <c r="Q110" s="75">
        <v>128.69999999999999</v>
      </c>
      <c r="R110" s="75">
        <v>128.69999999999999</v>
      </c>
      <c r="S110" s="75">
        <v>128.6</v>
      </c>
      <c r="T110" s="75">
        <v>128.30000000000001</v>
      </c>
      <c r="U110" s="75">
        <v>128.30000000000001</v>
      </c>
      <c r="V110" s="75">
        <v>129.4</v>
      </c>
      <c r="W110" s="75">
        <v>130</v>
      </c>
      <c r="X110" s="75">
        <v>128.4</v>
      </c>
      <c r="Y110" s="75">
        <v>127.3</v>
      </c>
      <c r="Z110" s="75">
        <v>126.6</v>
      </c>
      <c r="AA110" s="75">
        <v>127.7</v>
      </c>
      <c r="AB110" s="75">
        <v>129.19999999999999</v>
      </c>
      <c r="AC110" s="75">
        <v>129.9</v>
      </c>
      <c r="AD110" s="75">
        <v>130.30000000000001</v>
      </c>
      <c r="AE110" s="75">
        <v>131.80000000000001</v>
      </c>
      <c r="AF110" s="75">
        <v>132.80000000000001</v>
      </c>
      <c r="AG110" s="116"/>
      <c r="AH110" s="48">
        <f t="shared" si="54"/>
        <v>132.80000000000001</v>
      </c>
      <c r="AI110" s="49">
        <f t="shared" si="55"/>
        <v>126.6</v>
      </c>
    </row>
    <row r="111" spans="1:64" x14ac:dyDescent="0.25">
      <c r="A111" s="115" t="s">
        <v>134</v>
      </c>
      <c r="B111" s="75">
        <v>133.80000000000001</v>
      </c>
      <c r="C111" s="75">
        <v>134.1</v>
      </c>
      <c r="D111" s="75">
        <v>133.1</v>
      </c>
      <c r="E111" s="75">
        <v>134.1</v>
      </c>
      <c r="F111" s="75">
        <v>134.30000000000001</v>
      </c>
      <c r="G111" s="75">
        <v>134</v>
      </c>
      <c r="H111" s="75">
        <v>134.30000000000001</v>
      </c>
      <c r="I111" s="75">
        <v>133.5</v>
      </c>
      <c r="J111" s="75">
        <v>131.6</v>
      </c>
      <c r="K111" s="75">
        <v>131</v>
      </c>
      <c r="L111" s="75">
        <v>129.6</v>
      </c>
      <c r="M111" s="75">
        <v>129.9</v>
      </c>
      <c r="N111" s="75">
        <v>129.69999999999999</v>
      </c>
      <c r="O111" s="75">
        <v>130.30000000000001</v>
      </c>
      <c r="P111" s="75">
        <v>130.69999999999999</v>
      </c>
      <c r="Q111" s="75">
        <v>130.6</v>
      </c>
      <c r="R111" s="75">
        <v>130.6</v>
      </c>
      <c r="S111" s="75">
        <v>130.6</v>
      </c>
      <c r="T111" s="75">
        <v>130.4</v>
      </c>
      <c r="U111" s="75">
        <v>130.5</v>
      </c>
      <c r="V111" s="75">
        <v>131.69999999999999</v>
      </c>
      <c r="W111" s="75">
        <v>132.1</v>
      </c>
      <c r="X111" s="75">
        <v>130.4</v>
      </c>
      <c r="Y111" s="75">
        <v>129.1</v>
      </c>
      <c r="Z111" s="75">
        <v>128.4</v>
      </c>
      <c r="AA111" s="75">
        <v>129.5</v>
      </c>
      <c r="AB111" s="75">
        <v>131.5</v>
      </c>
      <c r="AC111" s="75">
        <v>132.19999999999999</v>
      </c>
      <c r="AD111" s="75">
        <v>132.9</v>
      </c>
      <c r="AE111" s="75">
        <v>134.6</v>
      </c>
      <c r="AF111" s="75">
        <v>135.6</v>
      </c>
      <c r="AG111" s="116"/>
      <c r="AH111" s="48">
        <f t="shared" si="54"/>
        <v>135.6</v>
      </c>
      <c r="AI111" s="49">
        <f t="shared" si="55"/>
        <v>128.4</v>
      </c>
    </row>
    <row r="112" spans="1:64" x14ac:dyDescent="0.25">
      <c r="A112" s="115" t="s">
        <v>135</v>
      </c>
      <c r="B112" s="75">
        <v>130.19999999999999</v>
      </c>
      <c r="C112" s="75">
        <v>131.1</v>
      </c>
      <c r="D112" s="75">
        <v>130.9</v>
      </c>
      <c r="E112" s="75">
        <v>132.9</v>
      </c>
      <c r="F112" s="75">
        <v>133.1</v>
      </c>
      <c r="G112" s="75">
        <v>132.30000000000001</v>
      </c>
      <c r="H112" s="75">
        <v>132.80000000000001</v>
      </c>
      <c r="I112" s="75">
        <v>132.5</v>
      </c>
      <c r="J112" s="75">
        <v>131.19999999999999</v>
      </c>
      <c r="K112" s="75">
        <v>131.30000000000001</v>
      </c>
      <c r="L112" s="75">
        <v>129.6</v>
      </c>
      <c r="M112" s="75">
        <v>130.9</v>
      </c>
      <c r="N112" s="75">
        <v>132.6</v>
      </c>
      <c r="O112" s="75">
        <v>133.5</v>
      </c>
      <c r="P112" s="75">
        <v>132.69999999999999</v>
      </c>
      <c r="Q112" s="75">
        <v>132.30000000000001</v>
      </c>
      <c r="R112" s="75">
        <v>132.30000000000001</v>
      </c>
      <c r="S112" s="75">
        <v>131.9</v>
      </c>
      <c r="T112" s="75">
        <v>131.4</v>
      </c>
      <c r="U112" s="75">
        <v>130.19999999999999</v>
      </c>
      <c r="V112" s="75">
        <v>131.9</v>
      </c>
      <c r="W112" s="75">
        <v>131.9</v>
      </c>
      <c r="X112" s="75">
        <v>129.4</v>
      </c>
      <c r="Y112" s="75"/>
      <c r="Z112" s="75"/>
      <c r="AA112" s="75"/>
      <c r="AB112" s="75"/>
      <c r="AC112" s="75"/>
      <c r="AD112" s="75"/>
      <c r="AE112" s="75"/>
      <c r="AF112" s="75"/>
      <c r="AG112" s="116"/>
      <c r="AH112" s="48">
        <f t="shared" si="54"/>
        <v>133.5</v>
      </c>
      <c r="AI112" s="49">
        <f t="shared" si="55"/>
        <v>129.4</v>
      </c>
    </row>
    <row r="113" spans="1:35" x14ac:dyDescent="0.25">
      <c r="A113" s="117" t="s">
        <v>136</v>
      </c>
      <c r="B113" s="75">
        <v>130.1</v>
      </c>
      <c r="C113" s="75">
        <v>131.19999999999999</v>
      </c>
      <c r="D113" s="75">
        <v>131.1</v>
      </c>
      <c r="E113" s="75">
        <v>133.1</v>
      </c>
      <c r="F113" s="75">
        <v>133</v>
      </c>
      <c r="G113" s="75">
        <v>132.9</v>
      </c>
      <c r="H113" s="75">
        <v>132.4</v>
      </c>
      <c r="I113" s="75">
        <v>131.6</v>
      </c>
      <c r="J113" s="75">
        <v>129.5</v>
      </c>
      <c r="K113" s="75">
        <v>131</v>
      </c>
      <c r="L113" s="75">
        <v>128.80000000000001</v>
      </c>
      <c r="M113" s="75">
        <v>131</v>
      </c>
      <c r="N113" s="75">
        <v>133.4</v>
      </c>
      <c r="O113" s="75">
        <v>133.9</v>
      </c>
      <c r="P113" s="75">
        <v>132.30000000000001</v>
      </c>
      <c r="Q113" s="75">
        <v>131.80000000000001</v>
      </c>
      <c r="R113" s="75">
        <v>131.80000000000001</v>
      </c>
      <c r="S113" s="75">
        <v>131.4</v>
      </c>
      <c r="T113" s="75">
        <v>131.19999999999999</v>
      </c>
      <c r="U113" s="75">
        <v>130.30000000000001</v>
      </c>
      <c r="V113" s="75">
        <v>130.9</v>
      </c>
      <c r="W113" s="75">
        <v>130.69999999999999</v>
      </c>
      <c r="X113" s="75">
        <v>127.7</v>
      </c>
      <c r="Y113" s="75">
        <v>127.8</v>
      </c>
      <c r="Z113" s="75">
        <v>129.4</v>
      </c>
      <c r="AA113" s="75">
        <v>130.9</v>
      </c>
      <c r="AB113" s="75">
        <v>132.9</v>
      </c>
      <c r="AC113" s="75">
        <v>131.30000000000001</v>
      </c>
      <c r="AD113" s="75">
        <v>128.69999999999999</v>
      </c>
      <c r="AE113" s="75">
        <v>129.19999999999999</v>
      </c>
      <c r="AF113" s="75">
        <v>133.30000000000001</v>
      </c>
      <c r="AG113" s="116"/>
      <c r="AH113" s="48">
        <f t="shared" si="54"/>
        <v>133.9</v>
      </c>
      <c r="AI113" s="49">
        <f t="shared" si="55"/>
        <v>127.7</v>
      </c>
    </row>
    <row r="114" spans="1:35" x14ac:dyDescent="0.25">
      <c r="A114" s="117" t="s">
        <v>137</v>
      </c>
      <c r="B114" s="118">
        <v>135.5</v>
      </c>
      <c r="C114" s="118">
        <v>132.1</v>
      </c>
      <c r="D114" s="118">
        <v>130.5</v>
      </c>
      <c r="E114" s="118">
        <v>132.4</v>
      </c>
      <c r="F114" s="118">
        <v>131.69999999999999</v>
      </c>
      <c r="G114" s="118">
        <v>131.6</v>
      </c>
      <c r="H114" s="118">
        <v>134.1</v>
      </c>
      <c r="I114" s="118">
        <v>134.1</v>
      </c>
      <c r="J114" s="118">
        <v>134.9</v>
      </c>
      <c r="K114" s="118">
        <v>135</v>
      </c>
      <c r="L114" s="118">
        <v>134.80000000000001</v>
      </c>
      <c r="M114" s="118">
        <v>135.5</v>
      </c>
      <c r="N114" s="118">
        <v>132.4</v>
      </c>
      <c r="O114" s="118">
        <v>132.9</v>
      </c>
      <c r="P114" s="118">
        <v>133.80000000000001</v>
      </c>
      <c r="Q114" s="118">
        <v>132.69999999999999</v>
      </c>
      <c r="R114" s="118">
        <v>132.69999999999999</v>
      </c>
      <c r="S114" s="118">
        <v>132.5</v>
      </c>
      <c r="T114" s="118">
        <v>132.5</v>
      </c>
      <c r="U114" s="118">
        <v>132.6</v>
      </c>
      <c r="V114" s="118">
        <v>134.69999999999999</v>
      </c>
      <c r="W114" s="118">
        <v>135.6</v>
      </c>
      <c r="X114" s="118">
        <v>135.4</v>
      </c>
      <c r="Y114" s="118">
        <v>134</v>
      </c>
      <c r="Z114" s="118">
        <v>132.69999999999999</v>
      </c>
      <c r="AA114" s="118">
        <v>133.5</v>
      </c>
      <c r="AB114" s="118">
        <v>136.19999999999999</v>
      </c>
      <c r="AC114" s="118">
        <v>135.69999999999999</v>
      </c>
      <c r="AD114" s="118">
        <v>136</v>
      </c>
      <c r="AE114" s="118">
        <v>136.19999999999999</v>
      </c>
      <c r="AF114" s="118">
        <v>136.80000000000001</v>
      </c>
      <c r="AG114" s="119"/>
      <c r="AH114" s="48">
        <f t="shared" si="54"/>
        <v>136.80000000000001</v>
      </c>
      <c r="AI114" s="49">
        <f t="shared" si="55"/>
        <v>130.5</v>
      </c>
    </row>
    <row r="115" spans="1:35" x14ac:dyDescent="0.25">
      <c r="A115" s="115" t="s">
        <v>138</v>
      </c>
      <c r="B115" s="75">
        <v>126.4</v>
      </c>
      <c r="C115" s="75">
        <v>132.19999999999999</v>
      </c>
      <c r="D115" s="75">
        <v>129.19999999999999</v>
      </c>
      <c r="E115" s="75">
        <v>133.19999999999999</v>
      </c>
      <c r="F115" s="75">
        <v>135.5</v>
      </c>
      <c r="G115" s="75">
        <v>133.80000000000001</v>
      </c>
      <c r="H115" s="75">
        <v>131.9</v>
      </c>
      <c r="I115" s="75">
        <v>132.9</v>
      </c>
      <c r="J115" s="75">
        <v>132.4</v>
      </c>
      <c r="K115" s="75">
        <v>128.5</v>
      </c>
      <c r="L115" s="75">
        <v>127.8</v>
      </c>
      <c r="M115" s="75">
        <v>132</v>
      </c>
      <c r="N115" s="75">
        <v>133.19999999999999</v>
      </c>
      <c r="O115" s="75">
        <v>131.9</v>
      </c>
      <c r="P115" s="75">
        <v>133.80000000000001</v>
      </c>
      <c r="Q115" s="75">
        <v>135.1</v>
      </c>
      <c r="R115" s="75">
        <v>135.1</v>
      </c>
      <c r="S115" s="75">
        <v>135.80000000000001</v>
      </c>
      <c r="T115" s="75">
        <v>133.4</v>
      </c>
      <c r="U115" s="75">
        <v>137.30000000000001</v>
      </c>
      <c r="V115" s="75">
        <v>131.80000000000001</v>
      </c>
      <c r="W115" s="75">
        <v>130.19999999999999</v>
      </c>
      <c r="X115" s="75">
        <v>129.9</v>
      </c>
      <c r="Y115" s="75">
        <v>129.69999999999999</v>
      </c>
      <c r="Z115" s="75">
        <v>126.3</v>
      </c>
      <c r="AA115" s="75">
        <v>133.80000000000001</v>
      </c>
      <c r="AB115" s="75">
        <v>135</v>
      </c>
      <c r="AC115" s="75">
        <v>132.9</v>
      </c>
      <c r="AD115" s="75">
        <v>134.69999999999999</v>
      </c>
      <c r="AE115" s="75">
        <v>137.30000000000001</v>
      </c>
      <c r="AF115" s="75">
        <v>136.69999999999999</v>
      </c>
      <c r="AG115" s="116"/>
      <c r="AH115" s="48">
        <f t="shared" si="54"/>
        <v>137.30000000000001</v>
      </c>
      <c r="AI115" s="49">
        <f t="shared" si="55"/>
        <v>126.3</v>
      </c>
    </row>
    <row r="116" spans="1:35" ht="15.75" thickBot="1" x14ac:dyDescent="0.3">
      <c r="A116" s="115" t="s">
        <v>139</v>
      </c>
      <c r="B116" s="104">
        <v>67.3</v>
      </c>
      <c r="C116" s="104">
        <v>67.599999999999994</v>
      </c>
      <c r="D116" s="104">
        <v>64.7</v>
      </c>
      <c r="E116" s="104">
        <v>67.8</v>
      </c>
      <c r="F116" s="104">
        <v>67.7</v>
      </c>
      <c r="G116" s="104">
        <v>67.400000000000006</v>
      </c>
      <c r="H116" s="104">
        <v>67.599999999999994</v>
      </c>
      <c r="I116" s="104">
        <v>67.099999999999994</v>
      </c>
      <c r="J116" s="104">
        <v>65.900000000000006</v>
      </c>
      <c r="K116" s="104">
        <v>65.7</v>
      </c>
      <c r="L116" s="104">
        <v>64.8</v>
      </c>
      <c r="M116" s="104">
        <v>65.2</v>
      </c>
      <c r="N116" s="104">
        <v>65.099999999999994</v>
      </c>
      <c r="O116" s="104">
        <v>65.3</v>
      </c>
      <c r="P116" s="104">
        <v>65.599999999999994</v>
      </c>
      <c r="Q116" s="104">
        <v>65.599999999999994</v>
      </c>
      <c r="R116" s="104">
        <v>65.599999999999994</v>
      </c>
      <c r="S116" s="104">
        <v>65.599999999999994</v>
      </c>
      <c r="T116" s="104">
        <v>65.5</v>
      </c>
      <c r="U116" s="104">
        <v>65.7</v>
      </c>
      <c r="V116" s="104">
        <v>66.3</v>
      </c>
      <c r="W116" s="104">
        <v>65.400000000000006</v>
      </c>
      <c r="X116" s="104">
        <v>65.3</v>
      </c>
      <c r="Y116" s="104">
        <v>64.599999999999994</v>
      </c>
      <c r="Z116" s="104">
        <v>64.3</v>
      </c>
      <c r="AA116" s="104">
        <v>65.099999999999994</v>
      </c>
      <c r="AB116" s="104">
        <v>66.099999999999994</v>
      </c>
      <c r="AC116" s="104">
        <v>66.400000000000006</v>
      </c>
      <c r="AD116" s="104">
        <v>66.7</v>
      </c>
      <c r="AE116" s="104">
        <v>67.5</v>
      </c>
      <c r="AF116" s="104">
        <v>68</v>
      </c>
      <c r="AG116" s="120"/>
      <c r="AH116" s="48">
        <f t="shared" si="54"/>
        <v>68</v>
      </c>
      <c r="AI116" s="49">
        <f t="shared" si="55"/>
        <v>64.3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 t="s">
        <v>140</v>
      </c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54"/>
        <v>0</v>
      </c>
      <c r="AI117" s="49">
        <f t="shared" si="55"/>
        <v>0</v>
      </c>
    </row>
    <row r="118" spans="1:35" ht="15.75" thickBot="1" x14ac:dyDescent="0.3">
      <c r="A118" s="122" t="s">
        <v>141</v>
      </c>
      <c r="B118" s="123">
        <f t="shared" ref="B118:C118" si="101">SUM(B22,B28,B31:B32,B66,B68:B69,B71,B73,B119:B123,B155,B161,B167,B176,B178,B190,B197,B200:B201,B208,B210,B212,B216:B218,B220:B222,B227,B233:B234,B236:B238,B246,B251)</f>
        <v>137.78</v>
      </c>
      <c r="C118" s="123">
        <f t="shared" si="101"/>
        <v>121.97999999999999</v>
      </c>
      <c r="D118" s="123">
        <f t="shared" ref="D118" si="102">SUM(D22,D28,D31:D32,D66,D68:D69,D71,D73,D119:D123,D155,D161,D167,D176,D178,D190,D197,D200:D201,D208,D210,D212,D216:D218,D220:D222,D227,D233:D234,D236:D238,D246,D251)</f>
        <v>120.91999999999999</v>
      </c>
      <c r="E118" s="123">
        <f t="shared" ref="E118:O118" si="103">SUM(E22,E28,E31:E32,E66,E68:E69,E71,E73,E119:E123,E155,E161,E167,E176,E178,E190,E197,E200:E201,E208,E210,E212,E216:E218,E220:E222,E227,E233:E234,E236:E238,E246,E251)</f>
        <v>118.81499999999997</v>
      </c>
      <c r="F118" s="123">
        <f t="shared" si="103"/>
        <v>114.67800000000001</v>
      </c>
      <c r="G118" s="123">
        <f t="shared" si="103"/>
        <v>126.94599999999998</v>
      </c>
      <c r="H118" s="123">
        <f t="shared" si="103"/>
        <v>155.251</v>
      </c>
      <c r="I118" s="123">
        <f t="shared" si="103"/>
        <v>187.25099999999998</v>
      </c>
      <c r="J118" s="123">
        <f t="shared" si="103"/>
        <v>240.798</v>
      </c>
      <c r="K118" s="123">
        <f t="shared" si="103"/>
        <v>262.25</v>
      </c>
      <c r="L118" s="123">
        <f t="shared" si="103"/>
        <v>301.226</v>
      </c>
      <c r="M118" s="123">
        <f t="shared" si="103"/>
        <v>316.64</v>
      </c>
      <c r="N118" s="123">
        <f t="shared" si="103"/>
        <v>296.31699999999995</v>
      </c>
      <c r="O118" s="123">
        <f t="shared" si="103"/>
        <v>294.96799999999996</v>
      </c>
      <c r="P118" s="123">
        <v>42</v>
      </c>
      <c r="Q118" s="123">
        <f t="shared" ref="Q118:AF118" si="104">SUM(Q22,Q28,Q31:Q32,Q66,Q68:Q69,Q71,Q73,Q119:Q123,Q155,Q161,Q167,Q176,Q178,Q190,Q197,Q200:Q201,Q208,Q210,Q212,Q216:Q218,Q220:Q222,Q227,Q233:Q234,Q236:Q238,Q246,Q251)</f>
        <v>260.29399999999998</v>
      </c>
      <c r="R118" s="123">
        <f t="shared" si="104"/>
        <v>252.14</v>
      </c>
      <c r="S118" s="123">
        <f t="shared" si="104"/>
        <v>177.64000000000001</v>
      </c>
      <c r="T118" s="123">
        <f t="shared" si="104"/>
        <v>249.44</v>
      </c>
      <c r="U118" s="123">
        <f t="shared" si="104"/>
        <v>197.83999999999997</v>
      </c>
      <c r="V118" s="123">
        <f t="shared" si="104"/>
        <v>205.24</v>
      </c>
      <c r="W118" s="123">
        <f t="shared" si="104"/>
        <v>204.14</v>
      </c>
      <c r="X118" s="123">
        <f t="shared" si="104"/>
        <v>199.44</v>
      </c>
      <c r="Y118" s="123">
        <f t="shared" ref="Y118:Z118" si="105">SUM(Y20,Y26,Y37:Y38,Y66,Y68:Y69,Y71,Y73,Y119:Y123,Y148,Y154,Y160,Y169,Y171,Y183,Y190,Y193:Y194,Y201,Y203,Y205,Y209:Y211,Y213:Y215,Y220,Y226:Y227,Y229:Y231,Y239,Y244)</f>
        <v>257.2</v>
      </c>
      <c r="Z118" s="123">
        <f t="shared" si="105"/>
        <v>261.29999999999995</v>
      </c>
      <c r="AA118" s="123">
        <f t="shared" si="104"/>
        <v>252.24</v>
      </c>
      <c r="AB118" s="123">
        <f t="shared" ref="AB118" si="106">SUM(AB22,AB28,AB31:AB32,AB66,AB68:AB69,AB71,AB73,AB119:AB123,AB155,AB161,AB167,AB176,AB178,AB190,AB197,AB200:AB201,AB208,AB210,AB212,AB216:AB218,AB220:AB222,AB227,AB233:AB234,AB236:AB238,AB246,AB251)</f>
        <v>231.64000000000001</v>
      </c>
      <c r="AC118" s="123">
        <f t="shared" si="104"/>
        <v>210.84</v>
      </c>
      <c r="AD118" s="123">
        <f t="shared" si="104"/>
        <v>187.83999999999997</v>
      </c>
      <c r="AE118" s="123">
        <f t="shared" si="104"/>
        <v>111.14</v>
      </c>
      <c r="AF118" s="123">
        <f t="shared" si="104"/>
        <v>106.44</v>
      </c>
      <c r="AG118" s="124"/>
      <c r="AH118" s="48">
        <f t="shared" si="54"/>
        <v>316.64</v>
      </c>
      <c r="AI118" s="49">
        <f t="shared" si="55"/>
        <v>42</v>
      </c>
    </row>
    <row r="119" spans="1:35" x14ac:dyDescent="0.25">
      <c r="A119" s="125" t="s">
        <v>142</v>
      </c>
      <c r="B119" s="126">
        <v>9.5</v>
      </c>
      <c r="C119" s="126">
        <v>7.6</v>
      </c>
      <c r="D119" s="126">
        <v>-11.1</v>
      </c>
      <c r="E119" s="126">
        <v>-7.9</v>
      </c>
      <c r="F119" s="126">
        <v>-11.8</v>
      </c>
      <c r="G119" s="126">
        <v>-13.7</v>
      </c>
      <c r="H119" s="126">
        <v>5.2</v>
      </c>
      <c r="I119" s="126">
        <v>3.8</v>
      </c>
      <c r="J119" s="126">
        <v>9.6</v>
      </c>
      <c r="K119" s="126">
        <v>24.5</v>
      </c>
      <c r="L119" s="126">
        <v>24.3</v>
      </c>
      <c r="M119" s="126">
        <v>26.2</v>
      </c>
      <c r="N119" s="126">
        <v>25.7</v>
      </c>
      <c r="O119" s="126">
        <v>27.7</v>
      </c>
      <c r="P119" s="126">
        <v>25.5</v>
      </c>
      <c r="Q119" s="126">
        <v>25.9</v>
      </c>
      <c r="R119" s="126">
        <v>20.7</v>
      </c>
      <c r="S119" s="126">
        <v>18.5</v>
      </c>
      <c r="T119" s="126">
        <v>24.8</v>
      </c>
      <c r="U119" s="126">
        <v>31.2</v>
      </c>
      <c r="V119" s="126">
        <v>33.200000000000003</v>
      </c>
      <c r="W119" s="126">
        <v>30.6</v>
      </c>
      <c r="X119" s="126">
        <v>23.2</v>
      </c>
      <c r="Y119" s="126">
        <v>47</v>
      </c>
      <c r="Z119" s="126">
        <v>50</v>
      </c>
      <c r="AA119" s="126">
        <v>55.6</v>
      </c>
      <c r="AB119" s="126">
        <v>54.5</v>
      </c>
      <c r="AC119" s="126">
        <v>45.4</v>
      </c>
      <c r="AD119" s="126">
        <v>39.9</v>
      </c>
      <c r="AE119" s="126">
        <v>11.7</v>
      </c>
      <c r="AF119" s="126">
        <v>15.7</v>
      </c>
      <c r="AG119" s="127">
        <v>75</v>
      </c>
      <c r="AH119" s="48">
        <f t="shared" si="54"/>
        <v>55.6</v>
      </c>
      <c r="AI119" s="49">
        <f t="shared" si="55"/>
        <v>-13.7</v>
      </c>
    </row>
    <row r="120" spans="1:35" x14ac:dyDescent="0.25">
      <c r="A120" s="128" t="s">
        <v>143</v>
      </c>
      <c r="B120" s="129">
        <v>13.3</v>
      </c>
      <c r="C120" s="129">
        <v>9</v>
      </c>
      <c r="D120" s="129">
        <v>-16.2</v>
      </c>
      <c r="E120" s="129">
        <v>-11.9</v>
      </c>
      <c r="F120" s="129">
        <v>-16.100000000000001</v>
      </c>
      <c r="G120" s="129">
        <v>-18.2</v>
      </c>
      <c r="H120" s="129">
        <v>6.7</v>
      </c>
      <c r="I120" s="129">
        <v>3.7</v>
      </c>
      <c r="J120" s="129">
        <v>14.9</v>
      </c>
      <c r="K120" s="129">
        <v>36.700000000000003</v>
      </c>
      <c r="L120" s="129">
        <v>33</v>
      </c>
      <c r="M120" s="129">
        <v>39.299999999999997</v>
      </c>
      <c r="N120" s="129">
        <v>37.299999999999997</v>
      </c>
      <c r="O120" s="129">
        <v>40</v>
      </c>
      <c r="P120" s="129">
        <v>34.700000000000003</v>
      </c>
      <c r="Q120" s="129">
        <v>35.9</v>
      </c>
      <c r="R120" s="129">
        <v>28.4</v>
      </c>
      <c r="S120" s="129">
        <v>29.3</v>
      </c>
      <c r="T120" s="129">
        <v>40.1</v>
      </c>
      <c r="U120" s="129">
        <v>48.2</v>
      </c>
      <c r="V120" s="129">
        <v>51.1</v>
      </c>
      <c r="W120" s="129">
        <v>47.3</v>
      </c>
      <c r="X120" s="129">
        <v>37</v>
      </c>
      <c r="Y120" s="129">
        <v>65.5</v>
      </c>
      <c r="Z120" s="129">
        <v>69.599999999999994</v>
      </c>
      <c r="AA120" s="129">
        <v>78.2</v>
      </c>
      <c r="AB120" s="129">
        <v>75.5</v>
      </c>
      <c r="AC120" s="129">
        <v>63.9</v>
      </c>
      <c r="AD120" s="129">
        <v>54.4</v>
      </c>
      <c r="AE120" s="129">
        <v>14</v>
      </c>
      <c r="AF120" s="129">
        <v>18.2</v>
      </c>
      <c r="AG120" s="127">
        <v>240</v>
      </c>
      <c r="AH120" s="48">
        <f t="shared" si="54"/>
        <v>78.2</v>
      </c>
      <c r="AI120" s="49">
        <f t="shared" si="55"/>
        <v>-18.2</v>
      </c>
    </row>
    <row r="121" spans="1:35" x14ac:dyDescent="0.25">
      <c r="A121" s="128" t="s">
        <v>144</v>
      </c>
      <c r="B121" s="129">
        <v>-37</v>
      </c>
      <c r="C121" s="129">
        <v>-39.799999999999997</v>
      </c>
      <c r="D121" s="129">
        <v>-23</v>
      </c>
      <c r="E121" s="129">
        <v>-20.3</v>
      </c>
      <c r="F121" s="129">
        <v>-18</v>
      </c>
      <c r="G121" s="129">
        <v>-14</v>
      </c>
      <c r="H121" s="129">
        <v>-20.7</v>
      </c>
      <c r="I121" s="129">
        <v>-5.8</v>
      </c>
      <c r="J121" s="129">
        <v>6.5</v>
      </c>
      <c r="K121" s="129">
        <v>3.3</v>
      </c>
      <c r="L121" s="129">
        <v>19.3</v>
      </c>
      <c r="M121" s="129">
        <v>18.899999999999999</v>
      </c>
      <c r="N121" s="129">
        <v>13.1</v>
      </c>
      <c r="O121" s="129">
        <v>12.6</v>
      </c>
      <c r="P121" s="129">
        <v>12</v>
      </c>
      <c r="Q121" s="129">
        <v>4.7</v>
      </c>
      <c r="R121" s="129">
        <v>5.7</v>
      </c>
      <c r="S121" s="129">
        <v>5.5</v>
      </c>
      <c r="T121" s="129">
        <v>2</v>
      </c>
      <c r="U121" s="129">
        <v>2</v>
      </c>
      <c r="V121" s="129">
        <v>3</v>
      </c>
      <c r="W121" s="129">
        <v>7</v>
      </c>
      <c r="X121" s="129">
        <v>18</v>
      </c>
      <c r="Y121" s="129">
        <v>13</v>
      </c>
      <c r="Z121" s="129">
        <v>10</v>
      </c>
      <c r="AA121" s="129">
        <v>0.2</v>
      </c>
      <c r="AB121" s="129">
        <f>-5-6.6</f>
        <v>-11.6</v>
      </c>
      <c r="AC121" s="129">
        <v>-10.199999999999999</v>
      </c>
      <c r="AD121" s="129">
        <f>-8-10.8</f>
        <v>-18.8</v>
      </c>
      <c r="AE121" s="129">
        <f>-11-12.4</f>
        <v>-23.4</v>
      </c>
      <c r="AF121" s="129">
        <f>-13.8-15.9</f>
        <v>-29.700000000000003</v>
      </c>
      <c r="AG121" s="127">
        <v>240</v>
      </c>
      <c r="AH121" s="48">
        <f t="shared" si="54"/>
        <v>19.3</v>
      </c>
      <c r="AI121" s="49">
        <f t="shared" si="55"/>
        <v>-39.799999999999997</v>
      </c>
    </row>
    <row r="122" spans="1:35" ht="15.75" thickBot="1" x14ac:dyDescent="0.3">
      <c r="A122" s="128" t="s">
        <v>145</v>
      </c>
      <c r="B122" s="129">
        <v>5.8</v>
      </c>
      <c r="C122" s="129">
        <v>3.8</v>
      </c>
      <c r="D122" s="129">
        <v>3.9</v>
      </c>
      <c r="E122" s="129">
        <v>4.3</v>
      </c>
      <c r="F122" s="129">
        <v>5.0999999999999996</v>
      </c>
      <c r="G122" s="129">
        <v>5.7</v>
      </c>
      <c r="H122" s="129">
        <v>7.2</v>
      </c>
      <c r="I122" s="129">
        <v>10.199999999999999</v>
      </c>
      <c r="J122" s="129">
        <v>15.5</v>
      </c>
      <c r="K122" s="129">
        <v>17.7</v>
      </c>
      <c r="L122" s="129">
        <v>21.1</v>
      </c>
      <c r="M122" s="129">
        <v>21.1</v>
      </c>
      <c r="N122" s="129">
        <v>18.399999999999999</v>
      </c>
      <c r="O122" s="129">
        <v>19.399999999999999</v>
      </c>
      <c r="P122" s="129">
        <v>16.899999999999999</v>
      </c>
      <c r="Q122" s="129">
        <v>14.6</v>
      </c>
      <c r="R122" s="129">
        <v>13.6</v>
      </c>
      <c r="S122" s="129">
        <v>13.5</v>
      </c>
      <c r="T122" s="129">
        <v>14.3</v>
      </c>
      <c r="U122" s="129">
        <v>14.7</v>
      </c>
      <c r="V122" s="129">
        <v>17.100000000000001</v>
      </c>
      <c r="W122" s="129">
        <v>18.7</v>
      </c>
      <c r="X122" s="129">
        <v>21</v>
      </c>
      <c r="Y122" s="129">
        <v>23</v>
      </c>
      <c r="Z122" s="129">
        <v>23</v>
      </c>
      <c r="AA122" s="129">
        <v>22.3</v>
      </c>
      <c r="AB122" s="129">
        <v>18</v>
      </c>
      <c r="AC122" s="129">
        <v>14</v>
      </c>
      <c r="AD122" s="129">
        <v>14.6</v>
      </c>
      <c r="AE122" s="129">
        <v>8.3000000000000007</v>
      </c>
      <c r="AF122" s="129">
        <v>5.8</v>
      </c>
      <c r="AG122" s="127">
        <v>60</v>
      </c>
      <c r="AH122" s="48">
        <f t="shared" si="54"/>
        <v>23</v>
      </c>
      <c r="AI122" s="49">
        <f t="shared" si="55"/>
        <v>3.8</v>
      </c>
    </row>
    <row r="123" spans="1:35" x14ac:dyDescent="0.25">
      <c r="A123" s="125" t="s">
        <v>146</v>
      </c>
      <c r="B123" s="130">
        <f>34.4*1.6</f>
        <v>55.04</v>
      </c>
      <c r="C123" s="130">
        <f>28.9*1.6</f>
        <v>46.24</v>
      </c>
      <c r="D123" s="130">
        <f>47.8*1.6</f>
        <v>76.48</v>
      </c>
      <c r="E123" s="130">
        <f>42.5*1.63</f>
        <v>69.274999999999991</v>
      </c>
      <c r="F123" s="130">
        <f>42.6*1.63</f>
        <v>69.438000000000002</v>
      </c>
      <c r="G123" s="130">
        <f>46.2*1.63</f>
        <v>75.305999999999997</v>
      </c>
      <c r="H123" s="130">
        <f>39.7*1.63</f>
        <v>64.710999999999999</v>
      </c>
      <c r="I123" s="130">
        <f>49.7*1.63</f>
        <v>81.010999999999996</v>
      </c>
      <c r="J123" s="130">
        <f>56.6*1.63</f>
        <v>92.257999999999996</v>
      </c>
      <c r="K123" s="130">
        <f>47*1.63</f>
        <v>76.61</v>
      </c>
      <c r="L123" s="130">
        <f>62.2*1.63</f>
        <v>101.386</v>
      </c>
      <c r="M123" s="130">
        <v>103</v>
      </c>
      <c r="N123" s="130">
        <f>53.1*1.67</f>
        <v>88.676999999999992</v>
      </c>
      <c r="O123" s="130">
        <f>48.4*1.67</f>
        <v>80.827999999999989</v>
      </c>
      <c r="P123" s="130">
        <f>41.9*1.67</f>
        <v>69.972999999999999</v>
      </c>
      <c r="Q123" s="130">
        <f>36.2*1.67</f>
        <v>60.454000000000001</v>
      </c>
      <c r="R123" s="130">
        <v>65</v>
      </c>
      <c r="S123" s="130">
        <v>-5.6</v>
      </c>
      <c r="T123" s="130">
        <f>37*1.6</f>
        <v>59.2</v>
      </c>
      <c r="U123" s="130"/>
      <c r="V123" s="130"/>
      <c r="W123" s="130"/>
      <c r="X123" s="130"/>
      <c r="Y123" s="130"/>
      <c r="Z123" s="130"/>
      <c r="AA123" s="130"/>
      <c r="AB123" s="130"/>
      <c r="AC123" s="130"/>
      <c r="AD123" s="130"/>
      <c r="AE123" s="130"/>
      <c r="AF123" s="130"/>
      <c r="AG123" s="131">
        <v>120</v>
      </c>
      <c r="AH123" s="48">
        <f t="shared" si="54"/>
        <v>103</v>
      </c>
      <c r="AI123" s="49">
        <f t="shared" si="55"/>
        <v>-5.6</v>
      </c>
    </row>
    <row r="124" spans="1:35" x14ac:dyDescent="0.25">
      <c r="A124" s="128" t="s">
        <v>147</v>
      </c>
      <c r="B124" s="130">
        <v>51.7</v>
      </c>
      <c r="C124" s="130">
        <v>48.1</v>
      </c>
      <c r="D124" s="130">
        <v>62.3</v>
      </c>
      <c r="E124" s="130">
        <v>61.8</v>
      </c>
      <c r="F124" s="130">
        <v>60.8</v>
      </c>
      <c r="G124" s="130">
        <v>64.599999999999994</v>
      </c>
      <c r="H124" s="130">
        <v>58.8</v>
      </c>
      <c r="I124" s="130">
        <v>67.400000000000006</v>
      </c>
      <c r="J124" s="130">
        <v>72.8</v>
      </c>
      <c r="K124" s="130">
        <v>65</v>
      </c>
      <c r="L124" s="130">
        <v>76.8</v>
      </c>
      <c r="M124" s="130">
        <v>75</v>
      </c>
      <c r="N124" s="130">
        <v>67.599999999999994</v>
      </c>
      <c r="O124" s="130">
        <v>64.2</v>
      </c>
      <c r="P124" s="130">
        <v>58.1</v>
      </c>
      <c r="Q124" s="130">
        <v>52.6</v>
      </c>
      <c r="R124" s="130">
        <v>54.4</v>
      </c>
      <c r="S124" s="130">
        <v>56</v>
      </c>
      <c r="T124" s="130">
        <v>53</v>
      </c>
      <c r="U124" s="130">
        <v>52.5</v>
      </c>
      <c r="V124" s="130">
        <v>54.8</v>
      </c>
      <c r="W124" s="130">
        <v>58.9</v>
      </c>
      <c r="X124" s="130">
        <v>76</v>
      </c>
      <c r="Y124" s="130">
        <v>73</v>
      </c>
      <c r="Z124" s="130">
        <v>71</v>
      </c>
      <c r="AA124" s="130">
        <v>63</v>
      </c>
      <c r="AB124" s="130">
        <v>51.2</v>
      </c>
      <c r="AC124" s="130">
        <v>51.5</v>
      </c>
      <c r="AD124" s="130">
        <v>50.7</v>
      </c>
      <c r="AE124" s="130">
        <v>54.4</v>
      </c>
      <c r="AF124" s="130">
        <v>41.9</v>
      </c>
      <c r="AG124" s="131"/>
      <c r="AH124" s="48"/>
      <c r="AI124" s="49"/>
    </row>
    <row r="125" spans="1:35" x14ac:dyDescent="0.25">
      <c r="A125" s="128" t="s">
        <v>148</v>
      </c>
      <c r="B125" s="130">
        <v>28.7</v>
      </c>
      <c r="C125" s="130">
        <v>29.5</v>
      </c>
      <c r="D125" s="130">
        <v>56.6</v>
      </c>
      <c r="E125" s="130">
        <v>53.4</v>
      </c>
      <c r="F125" s="130">
        <v>54</v>
      </c>
      <c r="G125" s="130">
        <v>53</v>
      </c>
      <c r="H125" s="130">
        <v>28.8</v>
      </c>
      <c r="I125" s="130">
        <v>26</v>
      </c>
      <c r="J125" s="130">
        <v>5.3</v>
      </c>
      <c r="K125" s="130">
        <v>20</v>
      </c>
      <c r="L125" s="130">
        <v>-15</v>
      </c>
      <c r="M125" s="130">
        <v>-21.3</v>
      </c>
      <c r="N125" s="130">
        <v>-15.8</v>
      </c>
      <c r="O125" s="130">
        <v>-16.899999999999999</v>
      </c>
      <c r="P125" s="130">
        <v>-11.2</v>
      </c>
      <c r="Q125" s="130">
        <v>-11.8</v>
      </c>
      <c r="R125" s="130">
        <v>-6</v>
      </c>
      <c r="S125" s="130">
        <v>-5.2</v>
      </c>
      <c r="T125" s="130">
        <v>-16</v>
      </c>
      <c r="U125" s="130">
        <v>-22</v>
      </c>
      <c r="V125" s="130">
        <v>-27.4</v>
      </c>
      <c r="W125" s="130">
        <v>-25.7</v>
      </c>
      <c r="X125" s="130">
        <v>-13</v>
      </c>
      <c r="Y125" s="130">
        <v>-41</v>
      </c>
      <c r="Z125" s="130">
        <v>-44</v>
      </c>
      <c r="AA125" s="130">
        <v>-51.1</v>
      </c>
      <c r="AB125" s="130">
        <v>-50</v>
      </c>
      <c r="AC125" s="130">
        <v>-39.700000000000003</v>
      </c>
      <c r="AD125" s="130">
        <v>-25.6</v>
      </c>
      <c r="AE125" s="130">
        <v>16.3</v>
      </c>
      <c r="AF125" s="130">
        <v>12.2</v>
      </c>
      <c r="AG125" s="131"/>
      <c r="AH125" s="48"/>
      <c r="AI125" s="49"/>
    </row>
    <row r="126" spans="1:35" ht="15.75" thickBot="1" x14ac:dyDescent="0.3">
      <c r="A126" s="128" t="s">
        <v>149</v>
      </c>
      <c r="B126" s="130">
        <v>58.2</v>
      </c>
      <c r="C126" s="130">
        <v>51.8</v>
      </c>
      <c r="D126" s="130">
        <v>70.400000000000006</v>
      </c>
      <c r="E126" s="130">
        <v>66.8</v>
      </c>
      <c r="F126" s="130">
        <v>64.599999999999994</v>
      </c>
      <c r="G126" s="130">
        <v>68.599999999999994</v>
      </c>
      <c r="H126" s="130">
        <v>60.4</v>
      </c>
      <c r="I126" s="130">
        <v>64</v>
      </c>
      <c r="J126" s="130">
        <v>68.3</v>
      </c>
      <c r="K126" s="130">
        <v>57.5</v>
      </c>
      <c r="L126" s="130">
        <v>68.8</v>
      </c>
      <c r="M126" s="130">
        <v>64.3</v>
      </c>
      <c r="N126" s="130">
        <v>61.5</v>
      </c>
      <c r="O126" s="130">
        <v>52.4</v>
      </c>
      <c r="P126" s="130">
        <v>51.9</v>
      </c>
      <c r="Q126" s="130">
        <v>42</v>
      </c>
      <c r="R126" s="130">
        <v>47.9</v>
      </c>
      <c r="S126" s="130">
        <v>49</v>
      </c>
      <c r="T126" s="130">
        <v>42.3</v>
      </c>
      <c r="U126" s="130">
        <v>41</v>
      </c>
      <c r="V126" s="130">
        <v>41.1</v>
      </c>
      <c r="W126" s="130">
        <v>48.1</v>
      </c>
      <c r="X126" s="130">
        <v>64</v>
      </c>
      <c r="Y126" s="130">
        <v>55</v>
      </c>
      <c r="Z126" s="130">
        <v>56</v>
      </c>
      <c r="AA126" s="130">
        <v>44</v>
      </c>
      <c r="AB126" s="130">
        <v>35.6</v>
      </c>
      <c r="AC126" s="130">
        <v>38.799999999999997</v>
      </c>
      <c r="AD126" s="130">
        <v>35.799999999999997</v>
      </c>
      <c r="AE126" s="130">
        <v>43.4</v>
      </c>
      <c r="AF126" s="130">
        <v>34.799999999999997</v>
      </c>
      <c r="AG126" s="127"/>
      <c r="AH126" s="48">
        <f>MAX(B126:AF126)</f>
        <v>70.400000000000006</v>
      </c>
      <c r="AI126" s="49">
        <f>MIN(B126:AF126)</f>
        <v>34.799999999999997</v>
      </c>
    </row>
    <row r="127" spans="1:35" x14ac:dyDescent="0.25">
      <c r="A127" s="125" t="s">
        <v>305</v>
      </c>
      <c r="B127" s="130">
        <v>-15.9</v>
      </c>
      <c r="C127" s="130">
        <v>-13.3</v>
      </c>
      <c r="D127" s="130">
        <v>-0.2</v>
      </c>
      <c r="E127" s="130">
        <v>-6</v>
      </c>
      <c r="F127" s="130">
        <v>-5.0999999999999996</v>
      </c>
      <c r="G127" s="130">
        <v>3.2</v>
      </c>
      <c r="H127" s="130">
        <v>-45.5</v>
      </c>
      <c r="I127" s="130">
        <v>-40</v>
      </c>
      <c r="J127" s="130">
        <v>-48</v>
      </c>
      <c r="K127" s="130">
        <v>-40.799999999999997</v>
      </c>
      <c r="L127" s="130">
        <v>-58</v>
      </c>
      <c r="M127" s="130">
        <v>-23.1</v>
      </c>
      <c r="N127" s="130">
        <v>-7.6</v>
      </c>
      <c r="O127" s="130">
        <v>-18</v>
      </c>
      <c r="P127" s="130">
        <v>0</v>
      </c>
      <c r="Q127" s="130">
        <v>-4.2</v>
      </c>
      <c r="R127" s="130">
        <v>-3</v>
      </c>
      <c r="S127" s="130">
        <v>-3</v>
      </c>
      <c r="T127" s="130">
        <v>-7</v>
      </c>
      <c r="U127" s="130">
        <v>-7</v>
      </c>
      <c r="V127" s="130">
        <v>-17</v>
      </c>
      <c r="W127" s="130">
        <v>-14.2</v>
      </c>
      <c r="X127" s="130">
        <v>-50</v>
      </c>
      <c r="Y127" s="130">
        <v>-75.3</v>
      </c>
      <c r="Z127" s="130">
        <v>-76</v>
      </c>
      <c r="AA127" s="130">
        <v>-100</v>
      </c>
      <c r="AB127" s="130">
        <v>-120</v>
      </c>
      <c r="AC127" s="130">
        <v>-43.3</v>
      </c>
      <c r="AD127" s="130">
        <v>-53.3</v>
      </c>
      <c r="AE127" s="130">
        <v>-136</v>
      </c>
      <c r="AF127" s="130">
        <v>-71</v>
      </c>
      <c r="AG127" s="127"/>
      <c r="AH127" s="48">
        <f>MAX(B127:AF127)</f>
        <v>3.2</v>
      </c>
      <c r="AI127" s="49">
        <f>MIN(B127:AF127)</f>
        <v>-136</v>
      </c>
    </row>
    <row r="128" spans="1:35" x14ac:dyDescent="0.25">
      <c r="A128" s="128" t="s">
        <v>151</v>
      </c>
      <c r="B128" s="118">
        <v>17.7</v>
      </c>
      <c r="C128" s="118">
        <v>17.600000000000001</v>
      </c>
      <c r="D128" s="118">
        <v>20</v>
      </c>
      <c r="E128" s="118">
        <v>19.600000000000001</v>
      </c>
      <c r="F128" s="118">
        <v>18.399999999999999</v>
      </c>
      <c r="G128" s="118">
        <v>16.8</v>
      </c>
      <c r="H128" s="118">
        <v>12</v>
      </c>
      <c r="I128" s="118">
        <v>5.7</v>
      </c>
      <c r="J128" s="118">
        <v>-5.0999999999999996</v>
      </c>
      <c r="K128" s="118">
        <v>-7</v>
      </c>
      <c r="L128" s="118">
        <v>-8.6999999999999993</v>
      </c>
      <c r="M128" s="118">
        <v>-12</v>
      </c>
      <c r="N128" s="118">
        <v>-2.5</v>
      </c>
      <c r="O128" s="118">
        <v>0.6</v>
      </c>
      <c r="P128" s="118">
        <v>11.9</v>
      </c>
      <c r="Q128" s="118">
        <v>10.5</v>
      </c>
      <c r="R128" s="118">
        <v>7.3</v>
      </c>
      <c r="S128" s="118">
        <v>140</v>
      </c>
      <c r="T128" s="118">
        <v>10</v>
      </c>
      <c r="U128" s="118">
        <v>9</v>
      </c>
      <c r="V128" s="118">
        <v>2.2999999999999998</v>
      </c>
      <c r="W128" s="118">
        <v>-2.4</v>
      </c>
      <c r="X128" s="118">
        <v>-17</v>
      </c>
      <c r="Y128" s="118"/>
      <c r="Z128" s="118"/>
      <c r="AA128" s="118"/>
      <c r="AB128" s="118"/>
      <c r="AC128" s="118"/>
      <c r="AD128" s="118"/>
      <c r="AE128" s="118"/>
      <c r="AF128" s="118"/>
      <c r="AG128" s="127"/>
      <c r="AH128" s="48">
        <f>MAX(B128:AF128)</f>
        <v>140</v>
      </c>
      <c r="AI128" s="49">
        <f>MIN(B128:AF128)</f>
        <v>-17</v>
      </c>
    </row>
    <row r="129" spans="1:37" x14ac:dyDescent="0.25">
      <c r="A129" s="128" t="s">
        <v>306</v>
      </c>
      <c r="B129" s="118">
        <v>39.799999999999997</v>
      </c>
      <c r="C129" s="118">
        <v>39.200000000000003</v>
      </c>
      <c r="D129" s="118">
        <v>38.5</v>
      </c>
      <c r="E129" s="118">
        <v>36.1</v>
      </c>
      <c r="F129" s="118">
        <v>31.8</v>
      </c>
      <c r="G129" s="118">
        <v>35.6</v>
      </c>
      <c r="H129" s="118">
        <v>35.1</v>
      </c>
      <c r="I129" s="118">
        <v>34.299999999999997</v>
      </c>
      <c r="J129" s="118">
        <v>35</v>
      </c>
      <c r="K129" s="118">
        <v>36.9</v>
      </c>
      <c r="L129" s="118">
        <v>37.799999999999997</v>
      </c>
      <c r="M129" s="118">
        <v>39.299999999999997</v>
      </c>
      <c r="N129" s="118">
        <v>31.8</v>
      </c>
      <c r="O129" s="118">
        <v>28.6</v>
      </c>
      <c r="P129" s="118">
        <v>17.899999999999999</v>
      </c>
      <c r="Q129" s="118">
        <v>22</v>
      </c>
      <c r="R129" s="118">
        <v>42.4</v>
      </c>
      <c r="S129" s="118">
        <v>22</v>
      </c>
      <c r="T129" s="118">
        <v>26.4</v>
      </c>
      <c r="U129" s="118">
        <v>27</v>
      </c>
      <c r="V129" s="118">
        <v>31</v>
      </c>
      <c r="W129" s="118">
        <v>39</v>
      </c>
      <c r="X129" s="118">
        <v>54</v>
      </c>
      <c r="Y129" s="118">
        <v>72.2</v>
      </c>
      <c r="Z129" s="118">
        <v>67.2</v>
      </c>
      <c r="AA129" s="118">
        <v>63.4</v>
      </c>
      <c r="AB129" s="118">
        <v>59.6</v>
      </c>
      <c r="AC129" s="118">
        <v>51.7</v>
      </c>
      <c r="AD129" s="118">
        <v>62.9</v>
      </c>
      <c r="AE129" s="118">
        <v>46.4</v>
      </c>
      <c r="AF129" s="118">
        <v>27</v>
      </c>
      <c r="AG129" s="127"/>
      <c r="AH129" s="48">
        <f>MAX(B129:AF129)</f>
        <v>72.2</v>
      </c>
      <c r="AI129" s="49">
        <f>MIN(B129:AF129)</f>
        <v>17.899999999999999</v>
      </c>
    </row>
    <row r="130" spans="1:37" ht="15.75" thickBot="1" x14ac:dyDescent="0.3">
      <c r="A130" s="128" t="s">
        <v>153</v>
      </c>
      <c r="B130" s="118">
        <v>52.3</v>
      </c>
      <c r="C130" s="118">
        <v>51.3</v>
      </c>
      <c r="D130" s="118">
        <v>49.9</v>
      </c>
      <c r="E130" s="118">
        <v>46.1</v>
      </c>
      <c r="F130" s="118">
        <v>45</v>
      </c>
      <c r="G130" s="118">
        <v>43.5</v>
      </c>
      <c r="H130" s="118">
        <v>45.4</v>
      </c>
      <c r="I130" s="118">
        <v>45.7</v>
      </c>
      <c r="J130" s="118">
        <v>47.2</v>
      </c>
      <c r="K130" s="118">
        <v>51.9</v>
      </c>
      <c r="L130" s="118">
        <v>51</v>
      </c>
      <c r="M130" s="118">
        <v>53.4</v>
      </c>
      <c r="N130" s="118">
        <v>44.6</v>
      </c>
      <c r="O130" s="118">
        <v>38.6</v>
      </c>
      <c r="P130" s="118">
        <v>62.9</v>
      </c>
      <c r="Q130" s="118">
        <v>64.099999999999994</v>
      </c>
      <c r="R130" s="118">
        <v>0</v>
      </c>
      <c r="S130" s="118">
        <v>65</v>
      </c>
      <c r="T130" s="118">
        <v>0</v>
      </c>
      <c r="U130" s="118">
        <v>0</v>
      </c>
      <c r="V130" s="118">
        <v>38.299999999999997</v>
      </c>
      <c r="W130" s="118">
        <v>46</v>
      </c>
      <c r="X130" s="118">
        <v>61</v>
      </c>
      <c r="Y130" s="118">
        <v>76.3</v>
      </c>
      <c r="Z130" s="118">
        <v>73</v>
      </c>
      <c r="AA130" s="118">
        <v>70.599999999999994</v>
      </c>
      <c r="AB130" s="118">
        <v>66.599999999999994</v>
      </c>
      <c r="AC130" s="118">
        <v>60.7</v>
      </c>
      <c r="AD130" s="118">
        <v>68</v>
      </c>
      <c r="AE130" s="118">
        <v>58.5</v>
      </c>
      <c r="AF130" s="118">
        <v>37</v>
      </c>
      <c r="AG130" s="127"/>
      <c r="AH130" s="48">
        <f>MAX(B130:AF130)</f>
        <v>76.3</v>
      </c>
      <c r="AI130" s="49">
        <f>MIN(B130:AF130)</f>
        <v>0</v>
      </c>
    </row>
    <row r="131" spans="1:37" x14ac:dyDescent="0.25">
      <c r="A131" s="132" t="s">
        <v>154</v>
      </c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4"/>
      <c r="AG131" s="44"/>
      <c r="AH131" s="48"/>
      <c r="AI131" s="49"/>
    </row>
    <row r="132" spans="1:37" x14ac:dyDescent="0.25">
      <c r="A132" s="135" t="s">
        <v>155</v>
      </c>
      <c r="B132" s="136">
        <v>1983.61</v>
      </c>
      <c r="C132" s="136"/>
      <c r="D132" s="136">
        <v>1984.08</v>
      </c>
      <c r="E132" s="136">
        <v>1984.28</v>
      </c>
      <c r="F132" s="136">
        <v>1984.5</v>
      </c>
      <c r="G132" s="136">
        <v>1984.7</v>
      </c>
      <c r="H132" s="136"/>
      <c r="I132" s="136">
        <v>1984.8</v>
      </c>
      <c r="J132" s="136"/>
      <c r="K132" s="136">
        <v>1984.92</v>
      </c>
      <c r="L132" s="136"/>
      <c r="M132" s="136">
        <v>1984.9</v>
      </c>
      <c r="N132" s="136">
        <v>1984.9</v>
      </c>
      <c r="O132" s="136">
        <v>1985</v>
      </c>
      <c r="P132" s="136">
        <v>1985.1</v>
      </c>
      <c r="Q132" s="136"/>
      <c r="R132" s="136">
        <v>1985.5</v>
      </c>
      <c r="S132" s="136">
        <v>1985.69</v>
      </c>
      <c r="T132" s="136">
        <v>1985.85</v>
      </c>
      <c r="U132" s="136">
        <v>1986.02</v>
      </c>
      <c r="V132" s="136">
        <v>1986.2</v>
      </c>
      <c r="W132" s="136"/>
      <c r="X132" s="136">
        <v>1986.25</v>
      </c>
      <c r="Y132" s="136"/>
      <c r="Z132" s="136">
        <v>1986</v>
      </c>
      <c r="AA132" s="136"/>
      <c r="AB132" s="136">
        <v>1985.68</v>
      </c>
      <c r="AC132" s="136"/>
      <c r="AD132" s="136">
        <v>1985.58</v>
      </c>
      <c r="AE132" s="136">
        <v>1985.6</v>
      </c>
      <c r="AF132" s="137">
        <v>1985.62</v>
      </c>
      <c r="AG132" s="138"/>
      <c r="AH132" s="48"/>
      <c r="AI132" s="49"/>
    </row>
    <row r="133" spans="1:37" x14ac:dyDescent="0.25">
      <c r="A133" s="135" t="s">
        <v>156</v>
      </c>
      <c r="B133" s="139">
        <v>519.82000000000005</v>
      </c>
      <c r="C133" s="139">
        <v>519.96</v>
      </c>
      <c r="D133" s="139">
        <v>520.14</v>
      </c>
      <c r="E133" s="139">
        <v>520.54</v>
      </c>
      <c r="F133" s="139">
        <v>520.87</v>
      </c>
      <c r="G133" s="139">
        <v>521.21</v>
      </c>
      <c r="H133" s="139"/>
      <c r="I133" s="139">
        <v>521.41999999999996</v>
      </c>
      <c r="J133" s="139"/>
      <c r="K133" s="139">
        <v>521.46</v>
      </c>
      <c r="L133" s="139"/>
      <c r="M133" s="139">
        <v>521.41999999999996</v>
      </c>
      <c r="N133" s="139">
        <v>521.54999999999995</v>
      </c>
      <c r="O133" s="139">
        <v>521.78</v>
      </c>
      <c r="P133" s="139">
        <v>521.91</v>
      </c>
      <c r="Q133" s="139"/>
      <c r="R133" s="139">
        <v>522.26</v>
      </c>
      <c r="S133" s="139">
        <v>522.4</v>
      </c>
      <c r="T133" s="139">
        <v>522.54</v>
      </c>
      <c r="U133" s="139">
        <v>522.51</v>
      </c>
      <c r="V133" s="139">
        <v>522.38</v>
      </c>
      <c r="W133" s="139"/>
      <c r="X133" s="139">
        <v>522.25</v>
      </c>
      <c r="Y133" s="139"/>
      <c r="Z133" s="139">
        <v>521.96</v>
      </c>
      <c r="AA133" s="139"/>
      <c r="AB133" s="139">
        <v>521.38</v>
      </c>
      <c r="AC133" s="139"/>
      <c r="AD133" s="139">
        <v>520.94000000000005</v>
      </c>
      <c r="AE133" s="139">
        <v>521</v>
      </c>
      <c r="AF133" s="140">
        <v>521.38</v>
      </c>
      <c r="AG133" s="138"/>
      <c r="AH133" s="48"/>
      <c r="AI133" s="49"/>
    </row>
    <row r="134" spans="1:37" x14ac:dyDescent="0.25">
      <c r="A134" s="135" t="s">
        <v>158</v>
      </c>
      <c r="B134" s="139">
        <v>622.66</v>
      </c>
      <c r="C134" s="139">
        <v>622.69000000000005</v>
      </c>
      <c r="D134" s="139">
        <v>622.76</v>
      </c>
      <c r="E134" s="139">
        <v>623.30999999999995</v>
      </c>
      <c r="F134" s="139">
        <v>623.75</v>
      </c>
      <c r="G134" s="139">
        <v>624.1</v>
      </c>
      <c r="H134" s="139"/>
      <c r="I134" s="139">
        <v>624.27</v>
      </c>
      <c r="J134" s="139"/>
      <c r="K134" s="139">
        <v>624.29</v>
      </c>
      <c r="L134" s="139"/>
      <c r="M134" s="139">
        <v>624.05999999999995</v>
      </c>
      <c r="N134" s="139">
        <v>624.04</v>
      </c>
      <c r="O134" s="139">
        <v>624.16</v>
      </c>
      <c r="P134" s="139">
        <v>624.28</v>
      </c>
      <c r="Q134" s="139"/>
      <c r="R134" s="139">
        <v>625.04</v>
      </c>
      <c r="S134" s="139">
        <v>625.20000000000005</v>
      </c>
      <c r="T134" s="139">
        <v>625.14</v>
      </c>
      <c r="U134" s="139">
        <v>624.72</v>
      </c>
      <c r="V134" s="139">
        <v>624.29</v>
      </c>
      <c r="W134" s="139"/>
      <c r="X134" s="139">
        <v>623.75</v>
      </c>
      <c r="Y134" s="139"/>
      <c r="Z134" s="139">
        <v>623.24</v>
      </c>
      <c r="AA134" s="139"/>
      <c r="AB134" s="139">
        <v>622.63</v>
      </c>
      <c r="AC134" s="139"/>
      <c r="AD134" s="139">
        <v>622.20000000000005</v>
      </c>
      <c r="AE134" s="139">
        <v>622.70000000000005</v>
      </c>
      <c r="AF134" s="140">
        <v>623.16999999999996</v>
      </c>
      <c r="AG134" s="138"/>
      <c r="AH134" s="48"/>
      <c r="AI134" s="49"/>
    </row>
    <row r="135" spans="1:37" x14ac:dyDescent="0.25">
      <c r="A135" s="135" t="s">
        <v>159</v>
      </c>
      <c r="B135" s="139">
        <v>335.26</v>
      </c>
      <c r="C135" s="139">
        <v>335.44</v>
      </c>
      <c r="D135" s="139">
        <v>335.75</v>
      </c>
      <c r="E135" s="139">
        <v>336.05</v>
      </c>
      <c r="F135" s="139">
        <v>336.36</v>
      </c>
      <c r="G135" s="139">
        <v>336.69</v>
      </c>
      <c r="H135" s="139"/>
      <c r="I135" s="139">
        <v>336.97</v>
      </c>
      <c r="J135" s="139"/>
      <c r="K135" s="139">
        <v>337.18</v>
      </c>
      <c r="L135" s="139"/>
      <c r="M135" s="139">
        <v>337.26</v>
      </c>
      <c r="N135" s="139">
        <v>336.99</v>
      </c>
      <c r="O135" s="139">
        <v>336.69</v>
      </c>
      <c r="P135" s="139">
        <v>336.35</v>
      </c>
      <c r="Q135" s="139">
        <v>336.08</v>
      </c>
      <c r="R135" s="139">
        <v>336.08</v>
      </c>
      <c r="S135" s="139">
        <v>336.62</v>
      </c>
      <c r="T135" s="139">
        <v>336.77</v>
      </c>
      <c r="U135" s="139">
        <v>337</v>
      </c>
      <c r="V135" s="139">
        <v>337.14</v>
      </c>
      <c r="W135" s="139"/>
      <c r="X135" s="139">
        <v>337.4</v>
      </c>
      <c r="Y135" s="139"/>
      <c r="Z135" s="139">
        <v>336.99</v>
      </c>
      <c r="AA135" s="139"/>
      <c r="AB135" s="139">
        <v>336.51</v>
      </c>
      <c r="AC135" s="139"/>
      <c r="AD135" s="139">
        <v>336.29</v>
      </c>
      <c r="AE135" s="139">
        <v>336.22</v>
      </c>
      <c r="AF135" s="140">
        <v>336.26</v>
      </c>
      <c r="AG135" s="138"/>
      <c r="AH135" s="48"/>
      <c r="AI135" s="49"/>
    </row>
    <row r="136" spans="1:37" x14ac:dyDescent="0.25">
      <c r="A136" s="135" t="s">
        <v>160</v>
      </c>
      <c r="B136" s="139">
        <v>884.1</v>
      </c>
      <c r="C136" s="139">
        <v>884.9</v>
      </c>
      <c r="D136" s="139">
        <v>885.6</v>
      </c>
      <c r="E136" s="139">
        <v>886.2</v>
      </c>
      <c r="F136" s="139">
        <v>886.8</v>
      </c>
      <c r="G136" s="139">
        <v>887.3</v>
      </c>
      <c r="H136" s="139">
        <v>887.5</v>
      </c>
      <c r="I136" s="139">
        <v>887.7</v>
      </c>
      <c r="J136" s="139"/>
      <c r="K136" s="139">
        <v>887.1</v>
      </c>
      <c r="L136" s="139"/>
      <c r="M136" s="139">
        <v>886.2</v>
      </c>
      <c r="N136" s="139">
        <v>885.7</v>
      </c>
      <c r="O136" s="139">
        <v>885.8</v>
      </c>
      <c r="P136" s="139">
        <v>885.6</v>
      </c>
      <c r="Q136" s="139">
        <v>885.3</v>
      </c>
      <c r="R136" s="139">
        <v>885.3</v>
      </c>
      <c r="S136" s="139">
        <v>885</v>
      </c>
      <c r="T136" s="139">
        <v>884.9</v>
      </c>
      <c r="U136" s="139">
        <v>884.9</v>
      </c>
      <c r="V136" s="139">
        <v>884.9</v>
      </c>
      <c r="W136" s="139"/>
      <c r="X136" s="139">
        <v>884.9</v>
      </c>
      <c r="Y136" s="139"/>
      <c r="Z136" s="139">
        <v>884.7</v>
      </c>
      <c r="AA136" s="139"/>
      <c r="AB136" s="139">
        <v>883.6</v>
      </c>
      <c r="AC136" s="139"/>
      <c r="AD136" s="139">
        <v>882.4</v>
      </c>
      <c r="AE136" s="139">
        <v>882</v>
      </c>
      <c r="AF136" s="140">
        <v>883</v>
      </c>
      <c r="AG136" s="138"/>
      <c r="AH136" s="48"/>
      <c r="AI136" s="49"/>
    </row>
    <row r="137" spans="1:37" ht="15.75" thickBot="1" x14ac:dyDescent="0.3">
      <c r="A137" s="135" t="s">
        <v>161</v>
      </c>
      <c r="B137" s="141">
        <v>1519.74</v>
      </c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>
        <v>1519.76</v>
      </c>
      <c r="N137" s="141"/>
      <c r="O137" s="141"/>
      <c r="P137" s="141"/>
      <c r="Q137" s="141"/>
      <c r="R137" s="141">
        <v>1519.77</v>
      </c>
      <c r="S137" s="141"/>
      <c r="T137" s="141"/>
      <c r="U137" s="141"/>
      <c r="V137" s="141"/>
      <c r="W137" s="141"/>
      <c r="X137" s="141"/>
      <c r="Y137" s="141"/>
      <c r="Z137" s="141">
        <v>1519.78</v>
      </c>
      <c r="AA137" s="141"/>
      <c r="AB137" s="141"/>
      <c r="AC137" s="141"/>
      <c r="AD137" s="141"/>
      <c r="AE137" s="141"/>
      <c r="AF137" s="142"/>
      <c r="AG137" s="138"/>
      <c r="AH137" s="48"/>
      <c r="AI137" s="49"/>
    </row>
    <row r="138" spans="1:37" ht="15.75" thickBot="1" x14ac:dyDescent="0.3">
      <c r="A138" s="143" t="s">
        <v>162</v>
      </c>
      <c r="B138" s="144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107">SUM(B139:B243)</f>
        <v>0</v>
      </c>
      <c r="C244" s="160">
        <f t="shared" si="107"/>
        <v>0</v>
      </c>
      <c r="D244" s="160">
        <f t="shared" si="107"/>
        <v>0</v>
      </c>
      <c r="E244" s="160">
        <f t="shared" si="107"/>
        <v>0</v>
      </c>
      <c r="F244" s="160">
        <f t="shared" si="107"/>
        <v>0</v>
      </c>
      <c r="G244" s="160">
        <f t="shared" si="107"/>
        <v>0</v>
      </c>
      <c r="H244" s="160">
        <f t="shared" si="107"/>
        <v>0</v>
      </c>
      <c r="I244" s="160">
        <f t="shared" si="107"/>
        <v>0</v>
      </c>
      <c r="J244" s="160">
        <f t="shared" si="107"/>
        <v>0</v>
      </c>
      <c r="K244" s="160">
        <f t="shared" si="107"/>
        <v>0</v>
      </c>
      <c r="L244" s="160">
        <f t="shared" si="107"/>
        <v>0</v>
      </c>
      <c r="M244" s="160">
        <f t="shared" si="107"/>
        <v>0</v>
      </c>
      <c r="N244" s="160">
        <f t="shared" si="107"/>
        <v>0</v>
      </c>
      <c r="O244" s="160">
        <f t="shared" si="107"/>
        <v>0</v>
      </c>
      <c r="P244" s="160">
        <f t="shared" si="107"/>
        <v>0</v>
      </c>
      <c r="Q244" s="160">
        <f t="shared" si="107"/>
        <v>0</v>
      </c>
      <c r="R244" s="160">
        <f t="shared" si="107"/>
        <v>0</v>
      </c>
      <c r="S244" s="160">
        <f t="shared" si="107"/>
        <v>0</v>
      </c>
      <c r="T244" s="160">
        <f t="shared" si="107"/>
        <v>0</v>
      </c>
      <c r="U244" s="160">
        <f t="shared" si="107"/>
        <v>0</v>
      </c>
      <c r="V244" s="160">
        <f t="shared" si="107"/>
        <v>0</v>
      </c>
      <c r="W244" s="160">
        <f t="shared" si="107"/>
        <v>0</v>
      </c>
      <c r="X244" s="160">
        <f t="shared" si="107"/>
        <v>0</v>
      </c>
      <c r="Y244" s="160">
        <f t="shared" si="107"/>
        <v>0</v>
      </c>
      <c r="Z244" s="160">
        <f t="shared" si="107"/>
        <v>0</v>
      </c>
      <c r="AA244" s="160">
        <f t="shared" si="107"/>
        <v>0</v>
      </c>
      <c r="AB244" s="160">
        <f t="shared" si="107"/>
        <v>0</v>
      </c>
      <c r="AC244" s="160">
        <f t="shared" si="107"/>
        <v>0</v>
      </c>
      <c r="AD244" s="160">
        <f t="shared" si="107"/>
        <v>0</v>
      </c>
      <c r="AE244" s="160">
        <f t="shared" si="107"/>
        <v>0</v>
      </c>
      <c r="AF244" s="161">
        <f t="shared" si="107"/>
        <v>0</v>
      </c>
      <c r="AG244" s="162">
        <f t="shared" si="107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108">AF246</f>
        <v>0.3</v>
      </c>
      <c r="C246" s="165">
        <v>0.3</v>
      </c>
      <c r="D246" s="165">
        <f t="shared" ref="D246:S251" si="109">C246</f>
        <v>0.3</v>
      </c>
      <c r="E246" s="165">
        <f t="shared" si="109"/>
        <v>0.3</v>
      </c>
      <c r="F246" s="165">
        <f t="shared" si="109"/>
        <v>0.3</v>
      </c>
      <c r="G246" s="165">
        <f t="shared" si="109"/>
        <v>0.3</v>
      </c>
      <c r="H246" s="165">
        <f t="shared" si="109"/>
        <v>0.3</v>
      </c>
      <c r="I246" s="165">
        <f t="shared" si="109"/>
        <v>0.3</v>
      </c>
      <c r="J246" s="165">
        <f t="shared" si="109"/>
        <v>0.3</v>
      </c>
      <c r="K246" s="165">
        <f t="shared" si="109"/>
        <v>0.3</v>
      </c>
      <c r="L246" s="165">
        <f t="shared" si="109"/>
        <v>0.3</v>
      </c>
      <c r="M246" s="165">
        <f t="shared" si="109"/>
        <v>0.3</v>
      </c>
      <c r="N246" s="165">
        <f t="shared" si="109"/>
        <v>0.3</v>
      </c>
      <c r="O246" s="165">
        <f t="shared" si="109"/>
        <v>0.3</v>
      </c>
      <c r="P246" s="165">
        <f t="shared" si="109"/>
        <v>0.3</v>
      </c>
      <c r="Q246" s="165">
        <f t="shared" si="109"/>
        <v>0.3</v>
      </c>
      <c r="R246" s="165">
        <f t="shared" si="109"/>
        <v>0.3</v>
      </c>
      <c r="S246" s="165">
        <f t="shared" si="109"/>
        <v>0.3</v>
      </c>
      <c r="T246" s="165">
        <f t="shared" ref="T246:AF251" si="110">S246</f>
        <v>0.3</v>
      </c>
      <c r="U246" s="165">
        <f t="shared" si="110"/>
        <v>0.3</v>
      </c>
      <c r="V246" s="165">
        <f t="shared" si="110"/>
        <v>0.3</v>
      </c>
      <c r="W246" s="165">
        <f t="shared" si="110"/>
        <v>0.3</v>
      </c>
      <c r="X246" s="165">
        <f t="shared" si="110"/>
        <v>0.3</v>
      </c>
      <c r="Y246" s="165">
        <f t="shared" si="110"/>
        <v>0.3</v>
      </c>
      <c r="Z246" s="165">
        <f t="shared" si="110"/>
        <v>0.3</v>
      </c>
      <c r="AA246" s="165">
        <f t="shared" si="110"/>
        <v>0.3</v>
      </c>
      <c r="AB246" s="165">
        <f t="shared" si="110"/>
        <v>0.3</v>
      </c>
      <c r="AC246" s="165">
        <f t="shared" si="110"/>
        <v>0.3</v>
      </c>
      <c r="AD246" s="165">
        <f t="shared" si="110"/>
        <v>0.3</v>
      </c>
      <c r="AE246" s="165">
        <f t="shared" si="110"/>
        <v>0.3</v>
      </c>
      <c r="AF246" s="165">
        <f t="shared" si="110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108"/>
        <v>0.4</v>
      </c>
      <c r="C247" s="151">
        <v>0.4</v>
      </c>
      <c r="D247" s="151">
        <f t="shared" si="109"/>
        <v>0.4</v>
      </c>
      <c r="E247" s="151">
        <f t="shared" si="109"/>
        <v>0.4</v>
      </c>
      <c r="F247" s="151">
        <f t="shared" si="109"/>
        <v>0.4</v>
      </c>
      <c r="G247" s="151">
        <f t="shared" si="109"/>
        <v>0.4</v>
      </c>
      <c r="H247" s="151">
        <f t="shared" si="109"/>
        <v>0.4</v>
      </c>
      <c r="I247" s="151">
        <f t="shared" si="109"/>
        <v>0.4</v>
      </c>
      <c r="J247" s="151">
        <f t="shared" si="109"/>
        <v>0.4</v>
      </c>
      <c r="K247" s="151">
        <f t="shared" si="109"/>
        <v>0.4</v>
      </c>
      <c r="L247" s="151">
        <f t="shared" si="109"/>
        <v>0.4</v>
      </c>
      <c r="M247" s="151">
        <f t="shared" si="109"/>
        <v>0.4</v>
      </c>
      <c r="N247" s="151">
        <f t="shared" si="109"/>
        <v>0.4</v>
      </c>
      <c r="O247" s="151">
        <f t="shared" si="109"/>
        <v>0.4</v>
      </c>
      <c r="P247" s="151">
        <f t="shared" si="109"/>
        <v>0.4</v>
      </c>
      <c r="Q247" s="151">
        <f t="shared" si="109"/>
        <v>0.4</v>
      </c>
      <c r="R247" s="151">
        <f t="shared" si="109"/>
        <v>0.4</v>
      </c>
      <c r="S247" s="151">
        <f t="shared" si="109"/>
        <v>0.4</v>
      </c>
      <c r="T247" s="151">
        <f t="shared" si="110"/>
        <v>0.4</v>
      </c>
      <c r="U247" s="151">
        <f t="shared" si="110"/>
        <v>0.4</v>
      </c>
      <c r="V247" s="151">
        <f t="shared" si="110"/>
        <v>0.4</v>
      </c>
      <c r="W247" s="151">
        <f t="shared" si="110"/>
        <v>0.4</v>
      </c>
      <c r="X247" s="151">
        <f t="shared" si="110"/>
        <v>0.4</v>
      </c>
      <c r="Y247" s="151">
        <f t="shared" si="110"/>
        <v>0.4</v>
      </c>
      <c r="Z247" s="151">
        <f t="shared" si="110"/>
        <v>0.4</v>
      </c>
      <c r="AA247" s="151">
        <f t="shared" si="110"/>
        <v>0.4</v>
      </c>
      <c r="AB247" s="151">
        <f t="shared" si="110"/>
        <v>0.4</v>
      </c>
      <c r="AC247" s="151">
        <f t="shared" si="110"/>
        <v>0.4</v>
      </c>
      <c r="AD247" s="151">
        <f t="shared" si="110"/>
        <v>0.4</v>
      </c>
      <c r="AE247" s="151">
        <f t="shared" si="110"/>
        <v>0.4</v>
      </c>
      <c r="AF247" s="151">
        <f t="shared" si="110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108"/>
        <v>1.5</v>
      </c>
      <c r="C248" s="151">
        <v>1.5</v>
      </c>
      <c r="D248" s="151">
        <f t="shared" si="109"/>
        <v>1.5</v>
      </c>
      <c r="E248" s="151">
        <f t="shared" si="109"/>
        <v>1.5</v>
      </c>
      <c r="F248" s="151">
        <f t="shared" si="109"/>
        <v>1.5</v>
      </c>
      <c r="G248" s="151">
        <f t="shared" si="109"/>
        <v>1.5</v>
      </c>
      <c r="H248" s="151">
        <f t="shared" si="109"/>
        <v>1.5</v>
      </c>
      <c r="I248" s="151">
        <f t="shared" si="109"/>
        <v>1.5</v>
      </c>
      <c r="J248" s="151">
        <f t="shared" si="109"/>
        <v>1.5</v>
      </c>
      <c r="K248" s="151">
        <f t="shared" si="109"/>
        <v>1.5</v>
      </c>
      <c r="L248" s="151">
        <f t="shared" si="109"/>
        <v>1.5</v>
      </c>
      <c r="M248" s="151">
        <f t="shared" si="109"/>
        <v>1.5</v>
      </c>
      <c r="N248" s="151">
        <f t="shared" si="109"/>
        <v>1.5</v>
      </c>
      <c r="O248" s="151">
        <f t="shared" si="109"/>
        <v>1.5</v>
      </c>
      <c r="P248" s="151">
        <f t="shared" si="109"/>
        <v>1.5</v>
      </c>
      <c r="Q248" s="151">
        <f t="shared" si="109"/>
        <v>1.5</v>
      </c>
      <c r="R248" s="151">
        <f t="shared" si="109"/>
        <v>1.5</v>
      </c>
      <c r="S248" s="151">
        <f t="shared" si="109"/>
        <v>1.5</v>
      </c>
      <c r="T248" s="151">
        <f t="shared" si="110"/>
        <v>1.5</v>
      </c>
      <c r="U248" s="151">
        <f t="shared" si="110"/>
        <v>1.5</v>
      </c>
      <c r="V248" s="151">
        <f t="shared" si="110"/>
        <v>1.5</v>
      </c>
      <c r="W248" s="151">
        <f t="shared" si="110"/>
        <v>1.5</v>
      </c>
      <c r="X248" s="151">
        <f t="shared" si="110"/>
        <v>1.5</v>
      </c>
      <c r="Y248" s="151">
        <f t="shared" si="110"/>
        <v>1.5</v>
      </c>
      <c r="Z248" s="151">
        <f t="shared" si="110"/>
        <v>1.5</v>
      </c>
      <c r="AA248" s="151">
        <f t="shared" si="110"/>
        <v>1.5</v>
      </c>
      <c r="AB248" s="151">
        <f t="shared" si="110"/>
        <v>1.5</v>
      </c>
      <c r="AC248" s="151">
        <f t="shared" si="110"/>
        <v>1.5</v>
      </c>
      <c r="AD248" s="151">
        <f t="shared" si="110"/>
        <v>1.5</v>
      </c>
      <c r="AE248" s="151">
        <f t="shared" si="110"/>
        <v>1.5</v>
      </c>
      <c r="AF248" s="151">
        <f t="shared" si="110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108"/>
        <v>0.3</v>
      </c>
      <c r="C249" s="151">
        <v>0.3</v>
      </c>
      <c r="D249" s="151">
        <f t="shared" si="109"/>
        <v>0.3</v>
      </c>
      <c r="E249" s="151">
        <f t="shared" si="109"/>
        <v>0.3</v>
      </c>
      <c r="F249" s="151">
        <f t="shared" si="109"/>
        <v>0.3</v>
      </c>
      <c r="G249" s="151">
        <f t="shared" si="109"/>
        <v>0.3</v>
      </c>
      <c r="H249" s="151">
        <f t="shared" si="109"/>
        <v>0.3</v>
      </c>
      <c r="I249" s="151">
        <f t="shared" si="109"/>
        <v>0.3</v>
      </c>
      <c r="J249" s="151">
        <f t="shared" si="109"/>
        <v>0.3</v>
      </c>
      <c r="K249" s="151">
        <f t="shared" si="109"/>
        <v>0.3</v>
      </c>
      <c r="L249" s="151">
        <f t="shared" si="109"/>
        <v>0.3</v>
      </c>
      <c r="M249" s="151">
        <f t="shared" si="109"/>
        <v>0.3</v>
      </c>
      <c r="N249" s="151">
        <f t="shared" si="109"/>
        <v>0.3</v>
      </c>
      <c r="O249" s="151">
        <f t="shared" si="109"/>
        <v>0.3</v>
      </c>
      <c r="P249" s="151">
        <f t="shared" si="109"/>
        <v>0.3</v>
      </c>
      <c r="Q249" s="151">
        <f t="shared" si="109"/>
        <v>0.3</v>
      </c>
      <c r="R249" s="151">
        <f t="shared" si="109"/>
        <v>0.3</v>
      </c>
      <c r="S249" s="151">
        <f t="shared" si="109"/>
        <v>0.3</v>
      </c>
      <c r="T249" s="151">
        <f t="shared" si="110"/>
        <v>0.3</v>
      </c>
      <c r="U249" s="151">
        <f t="shared" si="110"/>
        <v>0.3</v>
      </c>
      <c r="V249" s="151">
        <f t="shared" si="110"/>
        <v>0.3</v>
      </c>
      <c r="W249" s="151">
        <f t="shared" si="110"/>
        <v>0.3</v>
      </c>
      <c r="X249" s="151">
        <f t="shared" si="110"/>
        <v>0.3</v>
      </c>
      <c r="Y249" s="151">
        <f t="shared" si="110"/>
        <v>0.3</v>
      </c>
      <c r="Z249" s="151">
        <f t="shared" si="110"/>
        <v>0.3</v>
      </c>
      <c r="AA249" s="151">
        <f t="shared" si="110"/>
        <v>0.3</v>
      </c>
      <c r="AB249" s="151">
        <f t="shared" si="110"/>
        <v>0.3</v>
      </c>
      <c r="AC249" s="151">
        <f t="shared" si="110"/>
        <v>0.3</v>
      </c>
      <c r="AD249" s="151">
        <f t="shared" si="110"/>
        <v>0.3</v>
      </c>
      <c r="AE249" s="151">
        <f t="shared" si="110"/>
        <v>0.3</v>
      </c>
      <c r="AF249" s="151">
        <f t="shared" si="110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108"/>
        <v>0.4</v>
      </c>
      <c r="C250" s="151">
        <v>0.4</v>
      </c>
      <c r="D250" s="151">
        <f t="shared" si="109"/>
        <v>0.4</v>
      </c>
      <c r="E250" s="151">
        <f t="shared" si="109"/>
        <v>0.4</v>
      </c>
      <c r="F250" s="151">
        <f t="shared" si="109"/>
        <v>0.4</v>
      </c>
      <c r="G250" s="151">
        <f t="shared" si="109"/>
        <v>0.4</v>
      </c>
      <c r="H250" s="151">
        <f t="shared" si="109"/>
        <v>0.4</v>
      </c>
      <c r="I250" s="151">
        <f t="shared" si="109"/>
        <v>0.4</v>
      </c>
      <c r="J250" s="151">
        <f t="shared" si="109"/>
        <v>0.4</v>
      </c>
      <c r="K250" s="151">
        <f t="shared" si="109"/>
        <v>0.4</v>
      </c>
      <c r="L250" s="151">
        <f t="shared" si="109"/>
        <v>0.4</v>
      </c>
      <c r="M250" s="151">
        <f t="shared" si="109"/>
        <v>0.4</v>
      </c>
      <c r="N250" s="151">
        <f t="shared" si="109"/>
        <v>0.4</v>
      </c>
      <c r="O250" s="151">
        <f t="shared" si="109"/>
        <v>0.4</v>
      </c>
      <c r="P250" s="151">
        <f t="shared" si="109"/>
        <v>0.4</v>
      </c>
      <c r="Q250" s="151">
        <f t="shared" si="109"/>
        <v>0.4</v>
      </c>
      <c r="R250" s="151">
        <f t="shared" si="109"/>
        <v>0.4</v>
      </c>
      <c r="S250" s="151">
        <f t="shared" si="109"/>
        <v>0.4</v>
      </c>
      <c r="T250" s="151">
        <f t="shared" si="110"/>
        <v>0.4</v>
      </c>
      <c r="U250" s="151">
        <f t="shared" si="110"/>
        <v>0.4</v>
      </c>
      <c r="V250" s="151">
        <f t="shared" si="110"/>
        <v>0.4</v>
      </c>
      <c r="W250" s="151">
        <f t="shared" si="110"/>
        <v>0.4</v>
      </c>
      <c r="X250" s="151">
        <f t="shared" si="110"/>
        <v>0.4</v>
      </c>
      <c r="Y250" s="151">
        <f t="shared" si="110"/>
        <v>0.4</v>
      </c>
      <c r="Z250" s="151">
        <f t="shared" si="110"/>
        <v>0.4</v>
      </c>
      <c r="AA250" s="151">
        <f t="shared" si="110"/>
        <v>0.4</v>
      </c>
      <c r="AB250" s="151">
        <f t="shared" si="110"/>
        <v>0.4</v>
      </c>
      <c r="AC250" s="151">
        <f t="shared" si="110"/>
        <v>0.4</v>
      </c>
      <c r="AD250" s="151">
        <f t="shared" si="110"/>
        <v>0.4</v>
      </c>
      <c r="AE250" s="151">
        <f t="shared" si="110"/>
        <v>0.4</v>
      </c>
      <c r="AF250" s="151">
        <f t="shared" si="110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108"/>
        <v>0.64</v>
      </c>
      <c r="C251" s="156">
        <v>0.64</v>
      </c>
      <c r="D251" s="156">
        <f t="shared" si="109"/>
        <v>0.64</v>
      </c>
      <c r="E251" s="156">
        <f t="shared" si="109"/>
        <v>0.64</v>
      </c>
      <c r="F251" s="156">
        <f t="shared" si="109"/>
        <v>0.64</v>
      </c>
      <c r="G251" s="156">
        <f t="shared" si="109"/>
        <v>0.64</v>
      </c>
      <c r="H251" s="156">
        <f t="shared" si="109"/>
        <v>0.64</v>
      </c>
      <c r="I251" s="156">
        <f t="shared" si="109"/>
        <v>0.64</v>
      </c>
      <c r="J251" s="156">
        <f t="shared" si="109"/>
        <v>0.64</v>
      </c>
      <c r="K251" s="156">
        <f t="shared" si="109"/>
        <v>0.64</v>
      </c>
      <c r="L251" s="156">
        <f t="shared" si="109"/>
        <v>0.64</v>
      </c>
      <c r="M251" s="156">
        <f t="shared" si="109"/>
        <v>0.64</v>
      </c>
      <c r="N251" s="156">
        <f t="shared" si="109"/>
        <v>0.64</v>
      </c>
      <c r="O251" s="156">
        <f t="shared" si="109"/>
        <v>0.64</v>
      </c>
      <c r="P251" s="156">
        <f t="shared" si="109"/>
        <v>0.64</v>
      </c>
      <c r="Q251" s="156">
        <f t="shared" si="109"/>
        <v>0.64</v>
      </c>
      <c r="R251" s="156">
        <f t="shared" si="109"/>
        <v>0.64</v>
      </c>
      <c r="S251" s="156">
        <f t="shared" si="109"/>
        <v>0.64</v>
      </c>
      <c r="T251" s="156">
        <f t="shared" si="110"/>
        <v>0.64</v>
      </c>
      <c r="U251" s="156">
        <f t="shared" si="110"/>
        <v>0.64</v>
      </c>
      <c r="V251" s="156">
        <f t="shared" si="110"/>
        <v>0.64</v>
      </c>
      <c r="W251" s="156">
        <f t="shared" si="110"/>
        <v>0.64</v>
      </c>
      <c r="X251" s="156">
        <f t="shared" si="110"/>
        <v>0.64</v>
      </c>
      <c r="Y251" s="156">
        <f t="shared" si="110"/>
        <v>0.64</v>
      </c>
      <c r="Z251" s="156">
        <f t="shared" si="110"/>
        <v>0.64</v>
      </c>
      <c r="AA251" s="156">
        <f t="shared" si="110"/>
        <v>0.64</v>
      </c>
      <c r="AB251" s="156">
        <f t="shared" si="110"/>
        <v>0.64</v>
      </c>
      <c r="AC251" s="156">
        <f t="shared" si="110"/>
        <v>0.64</v>
      </c>
      <c r="AD251" s="156">
        <f t="shared" si="110"/>
        <v>0.64</v>
      </c>
      <c r="AE251" s="156">
        <f t="shared" si="110"/>
        <v>0.64</v>
      </c>
      <c r="AF251" s="156">
        <f t="shared" si="110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111">SUM(B246:B251)</f>
        <v>3.54</v>
      </c>
      <c r="C252" s="160">
        <f t="shared" si="111"/>
        <v>3.54</v>
      </c>
      <c r="D252" s="160">
        <f t="shared" si="111"/>
        <v>3.54</v>
      </c>
      <c r="E252" s="160">
        <f t="shared" si="111"/>
        <v>3.54</v>
      </c>
      <c r="F252" s="160">
        <f t="shared" si="111"/>
        <v>3.54</v>
      </c>
      <c r="G252" s="160">
        <f t="shared" si="111"/>
        <v>3.54</v>
      </c>
      <c r="H252" s="160">
        <f t="shared" si="111"/>
        <v>3.54</v>
      </c>
      <c r="I252" s="160">
        <f t="shared" si="111"/>
        <v>3.54</v>
      </c>
      <c r="J252" s="160">
        <f t="shared" si="111"/>
        <v>3.54</v>
      </c>
      <c r="K252" s="160">
        <f t="shared" si="111"/>
        <v>3.54</v>
      </c>
      <c r="L252" s="160">
        <f t="shared" si="111"/>
        <v>3.54</v>
      </c>
      <c r="M252" s="160">
        <f t="shared" si="111"/>
        <v>3.54</v>
      </c>
      <c r="N252" s="160">
        <f t="shared" si="111"/>
        <v>3.54</v>
      </c>
      <c r="O252" s="160">
        <f t="shared" si="111"/>
        <v>3.54</v>
      </c>
      <c r="P252" s="160">
        <f t="shared" si="111"/>
        <v>3.54</v>
      </c>
      <c r="Q252" s="160">
        <f t="shared" si="111"/>
        <v>3.54</v>
      </c>
      <c r="R252" s="160">
        <f t="shared" si="111"/>
        <v>3.54</v>
      </c>
      <c r="S252" s="160">
        <f t="shared" si="111"/>
        <v>3.54</v>
      </c>
      <c r="T252" s="160">
        <f t="shared" si="111"/>
        <v>3.54</v>
      </c>
      <c r="U252" s="160">
        <f t="shared" si="111"/>
        <v>3.54</v>
      </c>
      <c r="V252" s="160">
        <f t="shared" si="111"/>
        <v>3.54</v>
      </c>
      <c r="W252" s="160">
        <f t="shared" si="111"/>
        <v>3.54</v>
      </c>
      <c r="X252" s="160">
        <f t="shared" si="111"/>
        <v>3.54</v>
      </c>
      <c r="Y252" s="160">
        <f t="shared" si="111"/>
        <v>3.54</v>
      </c>
      <c r="Z252" s="160">
        <f t="shared" si="111"/>
        <v>3.54</v>
      </c>
      <c r="AA252" s="160">
        <f t="shared" si="111"/>
        <v>3.54</v>
      </c>
      <c r="AB252" s="160">
        <f t="shared" si="111"/>
        <v>3.54</v>
      </c>
      <c r="AC252" s="160">
        <f t="shared" si="111"/>
        <v>3.54</v>
      </c>
      <c r="AD252" s="160">
        <f t="shared" si="111"/>
        <v>3.54</v>
      </c>
      <c r="AE252" s="160">
        <f t="shared" si="111"/>
        <v>3.54</v>
      </c>
      <c r="AF252" s="160">
        <f t="shared" si="111"/>
        <v>3.54</v>
      </c>
      <c r="AG252" s="170">
        <f t="shared" si="111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1105.0899999999999</v>
      </c>
      <c r="C256" s="173">
        <f>INDEX(G9:N9,1,MATCH(MAX(G99:N99),G99:N99,0))</f>
        <v>0.33333333333333331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2080/10/12)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2567" priority="90">
      <formula>$AH11=0</formula>
    </cfRule>
  </conditionalFormatting>
  <conditionalFormatting sqref="A132:A253">
    <cfRule type="expression" dxfId="2566" priority="91">
      <formula>$AH132=0</formula>
    </cfRule>
  </conditionalFormatting>
  <conditionalFormatting sqref="B8">
    <cfRule type="expression" dxfId="2565" priority="151">
      <formula>C$9&lt;8/24</formula>
    </cfRule>
    <cfRule type="expression" dxfId="2564" priority="150">
      <formula>AND(C$9&gt;=8/24,C$9&lt;14/24)</formula>
    </cfRule>
    <cfRule type="expression" dxfId="2563" priority="149">
      <formula>AND(C$9&gt;=14/24,C$9&lt;20/24)</formula>
    </cfRule>
    <cfRule type="expression" dxfId="2562" priority="152">
      <formula>C$9&gt;=20/24</formula>
    </cfRule>
  </conditionalFormatting>
  <conditionalFormatting sqref="B11:L52 M13:AF52 B59:D74 E67:E74 E69:AF74 B77:AF99 B9:AF10 B101:AF117 B119:AF137 B244:AF244 B246:B252">
    <cfRule type="expression" dxfId="2561" priority="41">
      <formula>B$9&gt;=20/24</formula>
    </cfRule>
  </conditionalFormatting>
  <conditionalFormatting sqref="B9:AF10 B11:L52 M13:AF52 B59:D74 E67:E74 E69:AF74 B77:AF99 B101:AF117 B119:AF137 B244:AF244 B246:B252">
    <cfRule type="expression" dxfId="2560" priority="44">
      <formula>B$9&lt;8/24</formula>
    </cfRule>
    <cfRule type="expression" dxfId="2559" priority="43">
      <formula>AND(B$9&gt;=8/24,B$9&lt;14/24)</formula>
    </cfRule>
    <cfRule type="expression" dxfId="2558" priority="42">
      <formula>AND(B$9&gt;=14/24,B$9&lt;20/24)</formula>
    </cfRule>
  </conditionalFormatting>
  <conditionalFormatting sqref="D246:AF252">
    <cfRule type="expression" dxfId="2557" priority="134">
      <formula>D$9&gt;=20/24</formula>
    </cfRule>
    <cfRule type="expression" dxfId="2556" priority="137">
      <formula>D$9&lt;8/24</formula>
    </cfRule>
    <cfRule type="expression" dxfId="2555" priority="136">
      <formula>AND(D$9&gt;=8/24,D$9&lt;14/24)</formula>
    </cfRule>
    <cfRule type="expression" dxfId="2554" priority="135">
      <formula>AND(D$9&gt;=14/24,D$9&lt;20/24)</formula>
    </cfRule>
  </conditionalFormatting>
  <conditionalFormatting sqref="E63:I67 J64:J67 K67">
    <cfRule type="expression" dxfId="2553" priority="55">
      <formula>AND(E$9&gt;=14/24,E$9&lt;20/24)</formula>
    </cfRule>
    <cfRule type="expression" dxfId="2552" priority="54">
      <formula>E$9&gt;=20/24</formula>
    </cfRule>
    <cfRule type="expression" dxfId="2551" priority="56">
      <formula>AND(E$9&gt;=8/24,E$9&lt;14/24)</formula>
    </cfRule>
    <cfRule type="expression" dxfId="2550" priority="57">
      <formula>E$9&lt;8/24</formula>
    </cfRule>
  </conditionalFormatting>
  <conditionalFormatting sqref="E68:K68">
    <cfRule type="expression" dxfId="2549" priority="52">
      <formula>E$9&lt;8/24</formula>
    </cfRule>
    <cfRule type="expression" dxfId="2548" priority="51">
      <formula>AND(E$9&gt;=8/24,E$9&lt;14/24)</formula>
    </cfRule>
    <cfRule type="expression" dxfId="2547" priority="50">
      <formula>AND(E$9&gt;=14/24,E$9&lt;20/24)</formula>
    </cfRule>
    <cfRule type="expression" dxfId="2546" priority="49">
      <formula>E$9&gt;=20/24</formula>
    </cfRule>
  </conditionalFormatting>
  <conditionalFormatting sqref="E11:L55 B11:D80 M13:AD55 AE13:AF80 AC56:AD80 E57:AB80 AG62 AG80">
    <cfRule type="expression" dxfId="2545" priority="40">
      <formula>B11&gt;$AG11</formula>
    </cfRule>
  </conditionalFormatting>
  <conditionalFormatting sqref="E53:Y56 Z53:AF55 B53:D57">
    <cfRule type="expression" dxfId="2544" priority="53">
      <formula>B$9&lt;8/24</formula>
    </cfRule>
  </conditionalFormatting>
  <conditionalFormatting sqref="E56:Y56">
    <cfRule type="expression" dxfId="2543" priority="48">
      <formula>AND(E$9&gt;=8/24,E$9&lt;14/24)</formula>
    </cfRule>
    <cfRule type="expression" dxfId="2542" priority="47">
      <formula>AND(E$9&gt;=14/24,E$9&lt;20/24)</formula>
    </cfRule>
    <cfRule type="expression" dxfId="2541" priority="46">
      <formula>E$9&gt;=20/24</formula>
    </cfRule>
    <cfRule type="expression" dxfId="2540" priority="45">
      <formula>E56&gt;$AG56</formula>
    </cfRule>
  </conditionalFormatting>
  <conditionalFormatting sqref="E57:AB57">
    <cfRule type="expression" dxfId="2539" priority="67">
      <formula>E$9&lt;8/24</formula>
    </cfRule>
  </conditionalFormatting>
  <conditionalFormatting sqref="E53:AF55 B53:D57">
    <cfRule type="expression" dxfId="2538" priority="37">
      <formula>B$9&gt;=20/24</formula>
    </cfRule>
    <cfRule type="expression" dxfId="2537" priority="38">
      <formula>AND(B$9&gt;=14/24,B$9&lt;20/24)</formula>
    </cfRule>
    <cfRule type="expression" dxfId="2536" priority="39">
      <formula>AND(B$9&gt;=8/24,B$9&lt;14/24)</formula>
    </cfRule>
  </conditionalFormatting>
  <conditionalFormatting sqref="E59:AF62">
    <cfRule type="expression" dxfId="2535" priority="68">
      <formula>E$9&gt;=20/24</formula>
    </cfRule>
    <cfRule type="expression" dxfId="2534" priority="70">
      <formula>AND(E$9&gt;=8/24,E$9&lt;14/24)</formula>
    </cfRule>
    <cfRule type="expression" dxfId="2533" priority="71">
      <formula>E$9&lt;8/24</formula>
    </cfRule>
    <cfRule type="expression" dxfId="2532" priority="69">
      <formula>AND(E$9&gt;=14/24,E$9&lt;20/24)</formula>
    </cfRule>
  </conditionalFormatting>
  <conditionalFormatting sqref="F63:L65">
    <cfRule type="expression" dxfId="2531" priority="82">
      <formula>F$9&gt;=20/24</formula>
    </cfRule>
    <cfRule type="expression" dxfId="2530" priority="85">
      <formula>F$9&lt;8/24</formula>
    </cfRule>
    <cfRule type="expression" dxfId="2529" priority="84">
      <formula>AND(F$9&gt;=8/24,F$9&lt;14/24)</formula>
    </cfRule>
    <cfRule type="expression" dxfId="2528" priority="83">
      <formula>AND(F$9&gt;=14/24,F$9&lt;20/24)</formula>
    </cfRule>
  </conditionalFormatting>
  <conditionalFormatting sqref="L68:AF68">
    <cfRule type="expression" dxfId="2527" priority="78">
      <formula>L$9&gt;=20/24</formula>
    </cfRule>
    <cfRule type="expression" dxfId="2526" priority="79">
      <formula>AND(L$9&gt;=14/24,L$9&lt;20/24)</formula>
    </cfRule>
    <cfRule type="expression" dxfId="2525" priority="80">
      <formula>AND(L$9&gt;=8/24,L$9&lt;14/24)</formula>
    </cfRule>
    <cfRule type="expression" dxfId="2524" priority="81">
      <formula>L$9&lt;8/24</formula>
    </cfRule>
  </conditionalFormatting>
  <conditionalFormatting sqref="M8 S8 AB8">
    <cfRule type="expression" dxfId="2523" priority="141">
      <formula>AND(N$9&gt;=14/24,N$9&lt;20/24)</formula>
    </cfRule>
    <cfRule type="expression" dxfId="2522" priority="142">
      <formula>AND(N$9&gt;=8/24,N$9&lt;14/24)</formula>
    </cfRule>
    <cfRule type="expression" dxfId="2521" priority="143">
      <formula>N$9&lt;8/24</formula>
    </cfRule>
  </conditionalFormatting>
  <conditionalFormatting sqref="M63:AB67">
    <cfRule type="expression" dxfId="2520" priority="88">
      <formula>AND(M$9&gt;=8/24,M$9&lt;14/24)</formula>
    </cfRule>
    <cfRule type="expression" dxfId="2519" priority="89">
      <formula>M$9&lt;8/24</formula>
    </cfRule>
    <cfRule type="expression" dxfId="2518" priority="86">
      <formula>M$9&gt;=20/24</formula>
    </cfRule>
    <cfRule type="expression" dxfId="2517" priority="87">
      <formula>AND(M$9&gt;=14/24,M$9&lt;20/24)</formula>
    </cfRule>
  </conditionalFormatting>
  <conditionalFormatting sqref="M11:AF12">
    <cfRule type="expression" dxfId="2516" priority="58">
      <formula>M11&gt;$AG11</formula>
    </cfRule>
    <cfRule type="expression" dxfId="2515" priority="59">
      <formula>M$9&gt;=20/24</formula>
    </cfRule>
    <cfRule type="expression" dxfId="2514" priority="60">
      <formula>AND(M$9&gt;=14/24,M$9&lt;20/24)</formula>
    </cfRule>
    <cfRule type="expression" dxfId="2513" priority="61">
      <formula>AND(M$9&gt;=8/24,M$9&lt;14/24)</formula>
    </cfRule>
    <cfRule type="expression" dxfId="2512" priority="62">
      <formula>M$9&lt;8/24</formula>
    </cfRule>
  </conditionalFormatting>
  <conditionalFormatting sqref="O3:P3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511" priority="140">
      <formula>N$9&gt;=20/24</formula>
    </cfRule>
  </conditionalFormatting>
  <conditionalFormatting sqref="S8">
    <cfRule type="expression" dxfId="2510" priority="128">
      <formula>AND(U$9&gt;=14/24,U$9&lt;20/24)</formula>
    </cfRule>
    <cfRule type="expression" dxfId="2509" priority="127">
      <formula>U$9&gt;=20/24</formula>
    </cfRule>
    <cfRule type="expression" dxfId="2508" priority="129">
      <formula>AND(U$9&gt;=8/24,U$9&lt;14/24)</formula>
    </cfRule>
    <cfRule type="expression" dxfId="2507" priority="130">
      <formula>U$9&lt;8/24</formula>
    </cfRule>
  </conditionalFormatting>
  <conditionalFormatting sqref="T63:AF68">
    <cfRule type="expression" dxfId="2506" priority="75">
      <formula>T$9&lt;8/24</formula>
    </cfRule>
    <cfRule type="expression" dxfId="2505" priority="72">
      <formula>T$9&gt;=20/24</formula>
    </cfRule>
    <cfRule type="expression" dxfId="2504" priority="73">
      <formula>AND(T$9&gt;=14/24,T$9&lt;20/24)</formula>
    </cfRule>
    <cfRule type="expression" dxfId="2503" priority="74">
      <formula>AND(T$9&gt;=8/24,T$9&lt;14/24)</formula>
    </cfRule>
  </conditionalFormatting>
  <conditionalFormatting sqref="V3 AB3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Z56:AB57">
    <cfRule type="expression" dxfId="2502" priority="63">
      <formula>Z56&gt;$AG56</formula>
    </cfRule>
  </conditionalFormatting>
  <conditionalFormatting sqref="Z56:AF57 E57:Z57">
    <cfRule type="expression" dxfId="2501" priority="66">
      <formula>AND(E$9&gt;=8/24,E$9&lt;14/24)</formula>
    </cfRule>
    <cfRule type="expression" dxfId="2500" priority="65">
      <formula>AND(E$9&gt;=14/24,E$9&lt;20/24)</formula>
    </cfRule>
    <cfRule type="expression" dxfId="2499" priority="64">
      <formula>E$9&gt;=20/24</formula>
    </cfRule>
  </conditionalFormatting>
  <conditionalFormatting sqref="Z56:AF57">
    <cfRule type="expression" dxfId="2498" priority="76">
      <formula>Z$9&lt;8/24</formula>
    </cfRule>
  </conditionalFormatting>
  <conditionalFormatting sqref="AB8">
    <cfRule type="expression" dxfId="2497" priority="126">
      <formula>AD$9&lt;8/24</formula>
    </cfRule>
    <cfRule type="expression" dxfId="2496" priority="125">
      <formula>AND(AD$9&gt;=8/24,AD$9&lt;14/24)</formula>
    </cfRule>
    <cfRule type="expression" dxfId="2495" priority="124">
      <formula>AND(AD$9&gt;=14/24,AD$9&lt;20/24)</formula>
    </cfRule>
    <cfRule type="expression" dxfId="2494" priority="123">
      <formula>AD$9&gt;=20/24</formula>
    </cfRule>
  </conditionalFormatting>
  <conditionalFormatting sqref="AG58">
    <cfRule type="expression" dxfId="2493" priority="118">
      <formula>AG58&gt;$AG58</formula>
    </cfRule>
  </conditionalFormatting>
  <conditionalFormatting sqref="AG62">
    <cfRule type="expression" dxfId="2492" priority="102">
      <formula>AND(AG$9&gt;=14/24,AG$9&lt;20/24)</formula>
    </cfRule>
    <cfRule type="expression" dxfId="2491" priority="103">
      <formula>AND(AG$9&gt;=8/24,AG$9&lt;14/24)</formula>
    </cfRule>
    <cfRule type="expression" dxfId="2490" priority="104">
      <formula>AG$9&lt;8/24</formula>
    </cfRule>
    <cfRule type="expression" dxfId="2489" priority="101">
      <formula>AG$9&gt;=20/24</formula>
    </cfRule>
  </conditionalFormatting>
  <conditionalFormatting sqref="AG75:AG76">
    <cfRule type="expression" dxfId="2488" priority="96">
      <formula>AG75&gt;$AG75</formula>
    </cfRule>
  </conditionalFormatting>
  <conditionalFormatting sqref="AG80">
    <cfRule type="expression" dxfId="2487" priority="97">
      <formula>AG$9&gt;=20/24</formula>
    </cfRule>
    <cfRule type="expression" dxfId="2486" priority="98">
      <formula>AND(AG$9&gt;=14/24,AG$9&lt;20/24)</formula>
    </cfRule>
    <cfRule type="expression" dxfId="2485" priority="99">
      <formula>AND(AG$9&gt;=8/24,AG$9&lt;14/24)</formula>
    </cfRule>
    <cfRule type="expression" dxfId="2484" priority="100">
      <formula>AG$9&lt;8/24</formula>
    </cfRule>
  </conditionalFormatting>
  <conditionalFormatting sqref="AG97">
    <cfRule type="expression" dxfId="2483" priority="121">
      <formula>AND(AG$9&gt;=8/24,AG$9&lt;14/24)</formula>
    </cfRule>
    <cfRule type="expression" dxfId="2482" priority="120">
      <formula>AND(AG$9&gt;=14/24,AG$9&lt;20/24)</formula>
    </cfRule>
    <cfRule type="expression" dxfId="2481" priority="119">
      <formula>AG$9&gt;=20/24</formula>
    </cfRule>
    <cfRule type="expression" dxfId="2480" priority="122">
      <formula>AG$9&lt;8/24</formula>
    </cfRule>
  </conditionalFormatting>
  <conditionalFormatting sqref="AL4:AL6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479" priority="144">
      <formula>AJ$9&gt;=20/24</formula>
    </cfRule>
    <cfRule type="expression" dxfId="2478" priority="146">
      <formula>AND(AJ$9&gt;=8/24,AJ$9&lt;14/24)</formula>
    </cfRule>
    <cfRule type="expression" dxfId="2477" priority="147">
      <formula>AJ$9&lt;8/24</formula>
    </cfRule>
    <cfRule type="expression" dxfId="2476" priority="145">
      <formula>AND(AJ$9&gt;=14/24,AJ$9&lt;20/24)</formula>
    </cfRule>
  </conditionalFormatting>
  <conditionalFormatting sqref="AL88:AN88 AL94:AN94">
    <cfRule type="expression" dxfId="2475" priority="111">
      <formula>AL$9&gt;=20/24</formula>
    </cfRule>
    <cfRule type="expression" dxfId="2474" priority="112">
      <formula>AND(AL$9&gt;=14/24,AL$9&lt;20/24)</formula>
    </cfRule>
    <cfRule type="expression" dxfId="2473" priority="113">
      <formula>AND(AL$9&gt;=8/24,AL$9&lt;14/24)</formula>
    </cfRule>
    <cfRule type="expression" dxfId="2472" priority="114">
      <formula>AL$9&lt;8/24</formula>
    </cfRule>
  </conditionalFormatting>
  <conditionalFormatting sqref="AM15:AM21 AN16:AR21">
    <cfRule type="expression" dxfId="2471" priority="14">
      <formula>AND(AX$9&gt;=14/24,AX$9&lt;20/24)</formula>
    </cfRule>
    <cfRule type="expression" dxfId="2470" priority="16">
      <formula>AX$9&lt;8/24</formula>
    </cfRule>
    <cfRule type="expression" dxfId="2469" priority="15">
      <formula>AND(AX$9&gt;=8/24,AX$9&lt;14/24)</formula>
    </cfRule>
    <cfRule type="expression" dxfId="2468" priority="13">
      <formula>AX$9&gt;=20/24</formula>
    </cfRule>
  </conditionalFormatting>
  <conditionalFormatting sqref="AN89:AN92">
    <cfRule type="expression" dxfId="2467" priority="110">
      <formula>AN$9&lt;8/24</formula>
    </cfRule>
    <cfRule type="expression" dxfId="2466" priority="109">
      <formula>AND(AN$9&gt;=8/24,AN$9&lt;14/24)</formula>
    </cfRule>
    <cfRule type="expression" dxfId="2465" priority="108">
      <formula>AND(AN$9&gt;=14/24,AN$9&lt;20/24)</formula>
    </cfRule>
    <cfRule type="expression" dxfId="2464" priority="107">
      <formula>AN$9&gt;=20/24</formula>
    </cfRule>
  </conditionalFormatting>
  <conditionalFormatting sqref="AN15:AR15">
    <cfRule type="expression" dxfId="2463" priority="4">
      <formula>U$9&lt;8/24</formula>
    </cfRule>
    <cfRule type="expression" dxfId="2462" priority="3">
      <formula>AND(U$9&gt;=8/24,U$9&lt;14/24)</formula>
    </cfRule>
    <cfRule type="expression" dxfId="2461" priority="2">
      <formula>AND(U$9&gt;=14/24,U$9&lt;20/24)</formula>
    </cfRule>
    <cfRule type="expression" dxfId="2460" priority="1">
      <formula>U$9&gt;=20/24</formula>
    </cfRule>
  </conditionalFormatting>
  <conditionalFormatting sqref="AS15">
    <cfRule type="expression" dxfId="2459" priority="10">
      <formula>AND(AA$9&gt;=14/24,AA$9&lt;20/24)</formula>
    </cfRule>
    <cfRule type="expression" dxfId="2458" priority="9">
      <formula>AA$9&gt;=20/24</formula>
    </cfRule>
    <cfRule type="expression" dxfId="2457" priority="12">
      <formula>AA$9&lt;8/24</formula>
    </cfRule>
    <cfRule type="expression" dxfId="2456" priority="11">
      <formula>AND(AA$9&gt;=8/24,AA$9&lt;14/24)</formula>
    </cfRule>
  </conditionalFormatting>
  <conditionalFormatting sqref="AS16:AS21">
    <cfRule type="expression" dxfId="2455" priority="19">
      <formula>AND(BE$9&gt;=8/24,BE$9&lt;14/24)</formula>
    </cfRule>
    <cfRule type="expression" dxfId="2454" priority="20">
      <formula>BE$9&lt;8/24</formula>
    </cfRule>
    <cfRule type="expression" dxfId="2453" priority="18">
      <formula>AND(BE$9&gt;=14/24,BE$9&lt;20/24)</formula>
    </cfRule>
    <cfRule type="expression" dxfId="2452" priority="17">
      <formula>BE$9&gt;=20/24</formula>
    </cfRule>
  </conditionalFormatting>
  <conditionalFormatting sqref="AT15 AX15">
    <cfRule type="expression" dxfId="2451" priority="22">
      <formula>AND(AC$9&gt;=14/24,AC$9&lt;20/24)</formula>
    </cfRule>
    <cfRule type="expression" dxfId="2450" priority="21">
      <formula>AC$9&gt;=20/24</formula>
    </cfRule>
    <cfRule type="expression" dxfId="2449" priority="24">
      <formula>AC$9&lt;8/24</formula>
    </cfRule>
    <cfRule type="expression" dxfId="2448" priority="23">
      <formula>AND(AC$9&gt;=8/24,AC$9&lt;14/24)</formula>
    </cfRule>
  </conditionalFormatting>
  <conditionalFormatting sqref="AT16:AT21">
    <cfRule type="expression" dxfId="2447" priority="26">
      <formula>AND(BG$9&gt;=14/24,BG$9&lt;20/24)</formula>
    </cfRule>
    <cfRule type="expression" dxfId="2446" priority="25">
      <formula>BG$9&gt;=20/24</formula>
    </cfRule>
    <cfRule type="expression" dxfId="2445" priority="28">
      <formula>BG$9&lt;8/24</formula>
    </cfRule>
    <cfRule type="expression" dxfId="2444" priority="27">
      <formula>AND(BG$9&gt;=8/24,BG$9&lt;14/24)</formula>
    </cfRule>
  </conditionalFormatting>
  <conditionalFormatting sqref="AU15:AV15">
    <cfRule type="expression" dxfId="2443" priority="32">
      <formula>AE$9&lt;8/24</formula>
    </cfRule>
    <cfRule type="expression" dxfId="2442" priority="31">
      <formula>AND(AE$9&gt;=8/24,AE$9&lt;14/24)</formula>
    </cfRule>
    <cfRule type="expression" dxfId="2441" priority="30">
      <formula>AND(AE$9&gt;=14/24,AE$9&lt;20/24)</formula>
    </cfRule>
    <cfRule type="expression" dxfId="2440" priority="29">
      <formula>AE$9&gt;=20/24</formula>
    </cfRule>
  </conditionalFormatting>
  <conditionalFormatting sqref="AU16:AX21">
    <cfRule type="expression" dxfId="2439" priority="33">
      <formula>BI$9&gt;=20/24</formula>
    </cfRule>
    <cfRule type="expression" dxfId="2438" priority="34">
      <formula>AND(BI$9&gt;=14/24,BI$9&lt;20/24)</formula>
    </cfRule>
    <cfRule type="expression" dxfId="2437" priority="35">
      <formula>AND(BI$9&gt;=8/24,BI$9&lt;14/24)</formula>
    </cfRule>
    <cfRule type="expression" dxfId="2436" priority="36">
      <formula>BI$9&lt;8/24</formula>
    </cfRule>
  </conditionalFormatting>
  <conditionalFormatting sqref="AW15">
    <cfRule type="expression" dxfId="2435" priority="5">
      <formula>B$9&gt;=20/24</formula>
    </cfRule>
    <cfRule type="expression" dxfId="2434" priority="6">
      <formula>AND(B$9&gt;=14/24,B$9&lt;20/24)</formula>
    </cfRule>
    <cfRule type="expression" dxfId="2433" priority="7">
      <formula>AND(B$9&gt;=8/24,B$9&lt;14/24)</formula>
    </cfRule>
    <cfRule type="expression" dxfId="2432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9AAE4-B7B4-4A13-AE06-356FD1FC75B5}">
  <sheetPr codeName="Sheet14"/>
  <dimension ref="A1:CJ294"/>
  <sheetViews>
    <sheetView zoomScale="106" workbookViewId="0">
      <pane xSplit="1" ySplit="10" topLeftCell="B109" activePane="bottomRight" state="frozen"/>
      <selection activeCell="Z63" sqref="Z63"/>
      <selection pane="topRight" activeCell="Z63" sqref="Z63"/>
      <selection pane="bottomLeft" activeCell="Z63" sqref="Z63"/>
      <selection pane="bottomRight" activeCell="AH11" sqref="AH11:AI13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2080/10/13</v>
      </c>
      <c r="C4" s="214"/>
      <c r="D4" s="214"/>
      <c r="E4" s="215" t="str">
        <f ca="1">"2080/"&amp;"10/"&amp;INT(MID(CELL("filename",G6),FIND("]",CELL("filename",G6))+1,200))</f>
        <v>2080/10/13</v>
      </c>
      <c r="F4" s="215"/>
      <c r="G4" s="215"/>
      <c r="H4" s="215" t="str">
        <f ca="1">TEXT(E4,"dddd")</f>
        <v>Sunday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55.4</v>
      </c>
      <c r="C5" s="30">
        <f t="shared" ref="C5:AE5" si="0">D92</f>
        <v>60.7</v>
      </c>
      <c r="D5" s="30">
        <f t="shared" si="0"/>
        <v>23.3</v>
      </c>
      <c r="E5" s="30">
        <f t="shared" si="0"/>
        <v>21</v>
      </c>
      <c r="F5" s="30">
        <f t="shared" si="0"/>
        <v>21</v>
      </c>
      <c r="G5" s="30">
        <f t="shared" si="0"/>
        <v>25.7</v>
      </c>
      <c r="H5" s="30">
        <f t="shared" si="0"/>
        <v>19.7</v>
      </c>
      <c r="I5" s="30">
        <f t="shared" si="0"/>
        <v>175.2</v>
      </c>
      <c r="J5" s="30">
        <f t="shared" si="0"/>
        <v>210.10000000000002</v>
      </c>
      <c r="K5" s="30">
        <f t="shared" si="0"/>
        <v>236.1</v>
      </c>
      <c r="L5" s="30">
        <f t="shared" si="0"/>
        <v>270.8</v>
      </c>
      <c r="M5" s="30">
        <f t="shared" si="0"/>
        <v>163.30000000000001</v>
      </c>
      <c r="N5" s="30">
        <f t="shared" si="0"/>
        <v>187.8</v>
      </c>
      <c r="O5" s="30">
        <f t="shared" si="0"/>
        <v>306.10000000000002</v>
      </c>
      <c r="P5" s="30">
        <f t="shared" si="0"/>
        <v>194.3</v>
      </c>
      <c r="Q5" s="30">
        <f t="shared" si="0"/>
        <v>214.4</v>
      </c>
      <c r="R5" s="30">
        <f t="shared" si="0"/>
        <v>222.7</v>
      </c>
      <c r="S5" s="30">
        <f t="shared" si="0"/>
        <v>305.7</v>
      </c>
      <c r="T5" s="30">
        <f t="shared" si="0"/>
        <v>320.2</v>
      </c>
      <c r="U5" s="30">
        <f t="shared" si="0"/>
        <v>311.60000000000002</v>
      </c>
      <c r="V5" s="30">
        <f t="shared" si="0"/>
        <v>306</v>
      </c>
      <c r="W5" s="30">
        <f t="shared" si="0"/>
        <v>353</v>
      </c>
      <c r="X5" s="30">
        <f t="shared" si="0"/>
        <v>293.5</v>
      </c>
      <c r="Y5" s="30">
        <f t="shared" si="0"/>
        <v>298</v>
      </c>
      <c r="Z5" s="30">
        <f t="shared" si="0"/>
        <v>269.7</v>
      </c>
      <c r="AA5" s="30">
        <f t="shared" si="0"/>
        <v>272.7</v>
      </c>
      <c r="AB5" s="30">
        <f t="shared" si="0"/>
        <v>325.8</v>
      </c>
      <c r="AC5" s="30">
        <f t="shared" si="0"/>
        <v>346</v>
      </c>
      <c r="AD5" s="30">
        <f t="shared" si="0"/>
        <v>341</v>
      </c>
      <c r="AE5" s="30">
        <f t="shared" si="0"/>
        <v>325</v>
      </c>
      <c r="AF5" s="30">
        <f>B92</f>
        <v>100.10000000000001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1183MW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Load=652</v>
      </c>
      <c r="B7" s="35">
        <f>B100</f>
        <v>775.19</v>
      </c>
      <c r="C7" s="35">
        <f t="shared" ref="C7:AF7" si="1">C100</f>
        <v>730.49</v>
      </c>
      <c r="D7" s="35">
        <f t="shared" si="1"/>
        <v>697.8900000000001</v>
      </c>
      <c r="E7" s="35">
        <f t="shared" si="1"/>
        <v>652.29</v>
      </c>
      <c r="F7" s="35">
        <f t="shared" si="1"/>
        <v>670.59</v>
      </c>
      <c r="G7" s="35">
        <f t="shared" si="1"/>
        <v>712.89</v>
      </c>
      <c r="H7" s="35">
        <f t="shared" si="1"/>
        <v>791.79</v>
      </c>
      <c r="I7" s="35">
        <f t="shared" si="1"/>
        <v>874.49</v>
      </c>
      <c r="J7" s="35">
        <f t="shared" si="1"/>
        <v>939.09000000000015</v>
      </c>
      <c r="K7" s="35">
        <f t="shared" si="1"/>
        <v>1056.5900000000001</v>
      </c>
      <c r="L7" s="35">
        <f t="shared" si="1"/>
        <v>1092.5899999999999</v>
      </c>
      <c r="M7" s="35">
        <f t="shared" si="1"/>
        <v>1182.5900000000001</v>
      </c>
      <c r="N7" s="35">
        <f t="shared" si="1"/>
        <v>1135.99</v>
      </c>
      <c r="O7" s="35">
        <f t="shared" si="1"/>
        <v>1106.99</v>
      </c>
      <c r="P7" s="35">
        <f t="shared" si="1"/>
        <v>1051.3899999999999</v>
      </c>
      <c r="Q7" s="35">
        <f t="shared" si="1"/>
        <v>1080.19</v>
      </c>
      <c r="R7" s="35">
        <f t="shared" si="1"/>
        <v>1162.4900000000002</v>
      </c>
      <c r="S7" s="35">
        <f t="shared" si="1"/>
        <v>1132.69</v>
      </c>
      <c r="T7" s="35">
        <f t="shared" si="1"/>
        <v>1158.8900000000001</v>
      </c>
      <c r="U7" s="35">
        <f t="shared" si="1"/>
        <v>1219.5900000000001</v>
      </c>
      <c r="V7" s="35">
        <f t="shared" si="1"/>
        <v>1226.9900000000002</v>
      </c>
      <c r="W7" s="35">
        <f t="shared" si="1"/>
        <v>1280.2900000000002</v>
      </c>
      <c r="X7" s="35">
        <f t="shared" si="1"/>
        <v>1313.89</v>
      </c>
      <c r="Y7" s="35">
        <f t="shared" si="1"/>
        <v>1428.0900000000001</v>
      </c>
      <c r="Z7" s="35">
        <f t="shared" si="1"/>
        <v>1517.79</v>
      </c>
      <c r="AA7" s="35">
        <f t="shared" si="1"/>
        <v>1512.39</v>
      </c>
      <c r="AB7" s="35">
        <f t="shared" si="1"/>
        <v>1422.49</v>
      </c>
      <c r="AC7" s="35">
        <f t="shared" si="1"/>
        <v>1337.59</v>
      </c>
      <c r="AD7" s="35">
        <f t="shared" si="1"/>
        <v>1267.69</v>
      </c>
      <c r="AE7" s="35">
        <f t="shared" si="1"/>
        <v>1147.29</v>
      </c>
      <c r="AF7" s="35">
        <f t="shared" si="1"/>
        <v>1075.29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1182.59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1182.59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30.4</v>
      </c>
      <c r="C11" s="46">
        <v>30.4</v>
      </c>
      <c r="D11" s="46">
        <v>27</v>
      </c>
      <c r="E11" s="46">
        <v>17.3</v>
      </c>
      <c r="F11" s="46">
        <v>30.1</v>
      </c>
      <c r="G11" s="46">
        <v>30.1</v>
      </c>
      <c r="H11" s="46">
        <v>30.3</v>
      </c>
      <c r="I11" s="46">
        <v>23.2</v>
      </c>
      <c r="J11" s="46">
        <v>16.899999999999999</v>
      </c>
      <c r="K11" s="46">
        <v>23.4</v>
      </c>
      <c r="L11" s="46">
        <v>23.4</v>
      </c>
      <c r="M11" s="46">
        <v>29.3</v>
      </c>
      <c r="N11" s="46">
        <v>29.3</v>
      </c>
      <c r="O11" s="46">
        <v>29.3</v>
      </c>
      <c r="P11" s="46">
        <v>29.3</v>
      </c>
      <c r="Q11" s="46">
        <v>29.3</v>
      </c>
      <c r="R11" s="46">
        <v>29.3</v>
      </c>
      <c r="S11" s="46">
        <v>29.3</v>
      </c>
      <c r="T11" s="46">
        <v>29.3</v>
      </c>
      <c r="U11" s="46">
        <v>29.3</v>
      </c>
      <c r="V11" s="46">
        <v>29.3</v>
      </c>
      <c r="W11" s="46">
        <v>29.3</v>
      </c>
      <c r="X11" s="46">
        <v>29.3</v>
      </c>
      <c r="Y11" s="46">
        <v>29.3</v>
      </c>
      <c r="Z11" s="46">
        <v>29.3</v>
      </c>
      <c r="AA11" s="46">
        <v>29.3</v>
      </c>
      <c r="AB11" s="46">
        <v>29.3</v>
      </c>
      <c r="AC11" s="46">
        <v>29.3</v>
      </c>
      <c r="AD11" s="46">
        <v>29.3</v>
      </c>
      <c r="AE11" s="46">
        <v>29.3</v>
      </c>
      <c r="AF11" s="46">
        <v>29.3</v>
      </c>
      <c r="AG11" s="47">
        <v>86</v>
      </c>
      <c r="AH11" s="48">
        <f t="shared" ref="AH11:AH16" si="2">MAX(B11:AF11)</f>
        <v>30.4</v>
      </c>
      <c r="AI11" s="49">
        <f t="shared" ref="AI11:AI16" si="3">MIN(B11:AF11)</f>
        <v>16.899999999999999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8</v>
      </c>
      <c r="C12" s="46">
        <v>8</v>
      </c>
      <c r="D12" s="46">
        <v>8</v>
      </c>
      <c r="E12" s="46">
        <v>8</v>
      </c>
      <c r="F12" s="46">
        <v>8</v>
      </c>
      <c r="G12" s="46">
        <v>8</v>
      </c>
      <c r="H12" s="46">
        <v>8</v>
      </c>
      <c r="I12" s="46">
        <v>8</v>
      </c>
      <c r="J12" s="46">
        <v>8</v>
      </c>
      <c r="K12" s="46">
        <v>8</v>
      </c>
      <c r="L12" s="46">
        <v>8</v>
      </c>
      <c r="M12" s="46">
        <v>10</v>
      </c>
      <c r="N12" s="46">
        <v>10</v>
      </c>
      <c r="O12" s="46">
        <v>10</v>
      </c>
      <c r="P12" s="46">
        <v>10</v>
      </c>
      <c r="Q12" s="46">
        <v>10</v>
      </c>
      <c r="R12" s="46">
        <v>10</v>
      </c>
      <c r="S12" s="46">
        <v>10</v>
      </c>
      <c r="T12" s="46">
        <v>10</v>
      </c>
      <c r="U12" s="46">
        <v>10</v>
      </c>
      <c r="V12" s="46">
        <v>10</v>
      </c>
      <c r="W12" s="46">
        <v>10</v>
      </c>
      <c r="X12" s="46">
        <v>10</v>
      </c>
      <c r="Y12" s="46">
        <v>10</v>
      </c>
      <c r="Z12" s="46">
        <v>10</v>
      </c>
      <c r="AA12" s="46">
        <v>10</v>
      </c>
      <c r="AB12" s="46">
        <v>10</v>
      </c>
      <c r="AC12" s="46">
        <v>10</v>
      </c>
      <c r="AD12" s="46">
        <v>10</v>
      </c>
      <c r="AE12" s="46">
        <v>10</v>
      </c>
      <c r="AF12" s="46">
        <v>10</v>
      </c>
      <c r="AG12" s="50">
        <v>54</v>
      </c>
      <c r="AH12" s="48">
        <f t="shared" si="2"/>
        <v>10</v>
      </c>
      <c r="AI12" s="49">
        <f t="shared" si="3"/>
        <v>8</v>
      </c>
      <c r="AK12" s="51"/>
      <c r="AL12" s="52" t="str">
        <f ca="1">MID(CELL("filename",C7),FIND("]",CELL("filename",C7))+1,600)</f>
        <v>13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11</v>
      </c>
      <c r="C13" s="46">
        <v>11</v>
      </c>
      <c r="D13" s="46">
        <v>10</v>
      </c>
      <c r="E13" s="46">
        <v>10</v>
      </c>
      <c r="F13" s="46">
        <v>10</v>
      </c>
      <c r="G13" s="46">
        <v>10</v>
      </c>
      <c r="H13" s="46">
        <v>10</v>
      </c>
      <c r="I13" s="46">
        <v>10</v>
      </c>
      <c r="J13" s="46">
        <v>10</v>
      </c>
      <c r="K13" s="46">
        <v>10</v>
      </c>
      <c r="L13" s="46">
        <v>10</v>
      </c>
      <c r="M13" s="46">
        <v>10.1</v>
      </c>
      <c r="N13" s="46">
        <v>10.1</v>
      </c>
      <c r="O13" s="46">
        <v>10.1</v>
      </c>
      <c r="P13" s="46">
        <v>10.1</v>
      </c>
      <c r="Q13" s="46">
        <v>10.1</v>
      </c>
      <c r="R13" s="46">
        <v>10.1</v>
      </c>
      <c r="S13" s="46">
        <v>10.1</v>
      </c>
      <c r="T13" s="46">
        <v>10.1</v>
      </c>
      <c r="U13" s="46">
        <v>10.1</v>
      </c>
      <c r="V13" s="46">
        <v>10.1</v>
      </c>
      <c r="W13" s="46">
        <v>10.1</v>
      </c>
      <c r="X13" s="46">
        <v>10.1</v>
      </c>
      <c r="Y13" s="46">
        <v>10.1</v>
      </c>
      <c r="Z13" s="46">
        <v>10.1</v>
      </c>
      <c r="AA13" s="46">
        <v>10.1</v>
      </c>
      <c r="AB13" s="46">
        <v>10.1</v>
      </c>
      <c r="AC13" s="46">
        <v>10.1</v>
      </c>
      <c r="AD13" s="46">
        <v>10.1</v>
      </c>
      <c r="AE13" s="46">
        <v>10.1</v>
      </c>
      <c r="AF13" s="46">
        <v>10.1</v>
      </c>
      <c r="AG13" s="50">
        <v>54</v>
      </c>
      <c r="AH13" s="48">
        <f t="shared" si="2"/>
        <v>11</v>
      </c>
      <c r="AI13" s="49">
        <f t="shared" si="3"/>
        <v>10</v>
      </c>
      <c r="AK13" s="51"/>
      <c r="AL13" s="52" t="str">
        <f ca="1">"Daily Load Curve(Excluding of Export) of Nepal ("&amp;A4&amp;" "&amp;B4&amp;")"</f>
        <v>Daily Load Curve(Excluding of Export) of Nepal (Nepali Date: 2080/10/13)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17.3</v>
      </c>
      <c r="C14" s="46">
        <v>17.3</v>
      </c>
      <c r="D14" s="46">
        <v>17.399999999999999</v>
      </c>
      <c r="E14" s="46">
        <v>17.399999999999999</v>
      </c>
      <c r="F14" s="46">
        <v>17.399999999999999</v>
      </c>
      <c r="G14" s="46">
        <v>17.399999999999999</v>
      </c>
      <c r="H14" s="46">
        <v>17.399999999999999</v>
      </c>
      <c r="I14" s="46">
        <v>17.399999999999999</v>
      </c>
      <c r="J14" s="46">
        <v>17.399999999999999</v>
      </c>
      <c r="K14" s="46">
        <v>17.399999999999999</v>
      </c>
      <c r="L14" s="46">
        <v>17.399999999999999</v>
      </c>
      <c r="M14" s="46">
        <v>17.399999999999999</v>
      </c>
      <c r="N14" s="46">
        <v>17.399999999999999</v>
      </c>
      <c r="O14" s="46">
        <v>17.399999999999999</v>
      </c>
      <c r="P14" s="46">
        <v>17.399999999999999</v>
      </c>
      <c r="Q14" s="46">
        <v>17.399999999999999</v>
      </c>
      <c r="R14" s="46">
        <v>17.399999999999999</v>
      </c>
      <c r="S14" s="46">
        <v>17.399999999999999</v>
      </c>
      <c r="T14" s="46">
        <v>17.399999999999999</v>
      </c>
      <c r="U14" s="46">
        <v>17.399999999999999</v>
      </c>
      <c r="V14" s="46">
        <v>17.399999999999999</v>
      </c>
      <c r="W14" s="46">
        <v>17.399999999999999</v>
      </c>
      <c r="X14" s="46">
        <v>17.399999999999999</v>
      </c>
      <c r="Y14" s="46">
        <v>17.399999999999999</v>
      </c>
      <c r="Z14" s="46">
        <v>17.399999999999999</v>
      </c>
      <c r="AA14" s="46">
        <v>17.399999999999999</v>
      </c>
      <c r="AB14" s="46">
        <v>17.399999999999999</v>
      </c>
      <c r="AC14" s="46">
        <v>17.399999999999999</v>
      </c>
      <c r="AD14" s="46">
        <v>17.399999999999999</v>
      </c>
      <c r="AE14" s="46">
        <v>17.399999999999999</v>
      </c>
      <c r="AF14" s="46">
        <v>17.399999999999999</v>
      </c>
      <c r="AG14" s="47">
        <v>52.4</v>
      </c>
      <c r="AH14" s="48">
        <f t="shared" si="2"/>
        <v>17.399999999999999</v>
      </c>
      <c r="AI14" s="49">
        <f t="shared" si="3"/>
        <v>17.3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28.7</v>
      </c>
      <c r="C15" s="46">
        <v>28.7</v>
      </c>
      <c r="D15" s="46">
        <v>28.3</v>
      </c>
      <c r="E15" s="46">
        <v>28.3</v>
      </c>
      <c r="F15" s="46">
        <v>28.3</v>
      </c>
      <c r="G15" s="46">
        <v>28.3</v>
      </c>
      <c r="H15" s="46">
        <v>28.3</v>
      </c>
      <c r="I15" s="46">
        <v>28.3</v>
      </c>
      <c r="J15" s="46">
        <v>28.3</v>
      </c>
      <c r="K15" s="46">
        <v>28.3</v>
      </c>
      <c r="L15" s="46">
        <v>28.3</v>
      </c>
      <c r="M15" s="46">
        <v>28.7</v>
      </c>
      <c r="N15" s="46">
        <v>28.7</v>
      </c>
      <c r="O15" s="46">
        <v>28.7</v>
      </c>
      <c r="P15" s="46">
        <v>28.7</v>
      </c>
      <c r="Q15" s="46">
        <v>28.7</v>
      </c>
      <c r="R15" s="46">
        <v>28.7</v>
      </c>
      <c r="S15" s="46">
        <v>28.7</v>
      </c>
      <c r="T15" s="46">
        <v>28.7</v>
      </c>
      <c r="U15" s="46">
        <v>28.7</v>
      </c>
      <c r="V15" s="46">
        <v>28.7</v>
      </c>
      <c r="W15" s="46">
        <v>28.7</v>
      </c>
      <c r="X15" s="46">
        <v>28.7</v>
      </c>
      <c r="Y15" s="46">
        <v>28.7</v>
      </c>
      <c r="Z15" s="53">
        <v>28.7</v>
      </c>
      <c r="AA15" s="53">
        <v>28.7</v>
      </c>
      <c r="AB15" s="53">
        <v>28.7</v>
      </c>
      <c r="AC15" s="53">
        <v>28.7</v>
      </c>
      <c r="AD15" s="53">
        <v>28.7</v>
      </c>
      <c r="AE15" s="53">
        <v>28.7</v>
      </c>
      <c r="AF15" s="53">
        <v>28.7</v>
      </c>
      <c r="AG15" s="50">
        <v>50</v>
      </c>
      <c r="AH15" s="48">
        <f t="shared" si="2"/>
        <v>28.7</v>
      </c>
      <c r="AI15" s="49">
        <f t="shared" si="3"/>
        <v>28.3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17.399999999999999</v>
      </c>
      <c r="C16" s="46">
        <v>17.399999999999999</v>
      </c>
      <c r="D16" s="46">
        <v>17.399999999999999</v>
      </c>
      <c r="E16" s="46">
        <v>17.399999999999999</v>
      </c>
      <c r="F16" s="46">
        <v>17.399999999999999</v>
      </c>
      <c r="G16" s="46">
        <v>17.399999999999999</v>
      </c>
      <c r="H16" s="46">
        <v>17.399999999999999</v>
      </c>
      <c r="I16" s="46">
        <v>17.399999999999999</v>
      </c>
      <c r="J16" s="46">
        <v>17.399999999999999</v>
      </c>
      <c r="K16" s="46">
        <v>17.399999999999999</v>
      </c>
      <c r="L16" s="46">
        <v>17.399999999999999</v>
      </c>
      <c r="M16" s="46">
        <v>17.399999999999999</v>
      </c>
      <c r="N16" s="46">
        <v>0</v>
      </c>
      <c r="O16" s="46">
        <v>0</v>
      </c>
      <c r="P16" s="46">
        <v>0</v>
      </c>
      <c r="Q16" s="46">
        <v>0</v>
      </c>
      <c r="R16" s="46">
        <v>0</v>
      </c>
      <c r="S16" s="46">
        <v>0</v>
      </c>
      <c r="T16" s="46">
        <v>0</v>
      </c>
      <c r="U16" s="46">
        <v>0</v>
      </c>
      <c r="V16" s="46">
        <v>0</v>
      </c>
      <c r="W16" s="46">
        <v>0</v>
      </c>
      <c r="X16" s="46">
        <v>0</v>
      </c>
      <c r="Y16" s="46">
        <v>0</v>
      </c>
      <c r="Z16" s="46">
        <v>17</v>
      </c>
      <c r="AA16" s="46">
        <v>17</v>
      </c>
      <c r="AB16" s="46">
        <v>17</v>
      </c>
      <c r="AC16" s="46">
        <v>17</v>
      </c>
      <c r="AD16" s="46">
        <v>17</v>
      </c>
      <c r="AE16" s="46">
        <v>17</v>
      </c>
      <c r="AF16" s="46">
        <v>17</v>
      </c>
      <c r="AG16" s="50">
        <v>45</v>
      </c>
      <c r="AH16" s="48">
        <f t="shared" si="2"/>
        <v>17.399999999999999</v>
      </c>
      <c r="AI16" s="49">
        <f t="shared" si="3"/>
        <v>0</v>
      </c>
      <c r="AK16" s="51"/>
      <c r="AL16" s="54" t="s">
        <v>7</v>
      </c>
      <c r="AM16" s="59">
        <f>B58</f>
        <v>487.45</v>
      </c>
      <c r="AN16" s="59">
        <f t="shared" ref="AN16:AR16" si="4">C58</f>
        <v>487.45</v>
      </c>
      <c r="AO16" s="59">
        <f t="shared" si="4"/>
        <v>480.85</v>
      </c>
      <c r="AP16" s="59">
        <f t="shared" si="4"/>
        <v>471.15000000000003</v>
      </c>
      <c r="AQ16" s="59">
        <f t="shared" si="4"/>
        <v>483.95</v>
      </c>
      <c r="AR16" s="59">
        <f t="shared" si="4"/>
        <v>483.95</v>
      </c>
      <c r="AS16" s="59">
        <f>I58</f>
        <v>477.05</v>
      </c>
      <c r="AT16" s="59">
        <f>K58</f>
        <v>477.25</v>
      </c>
      <c r="AU16" s="59">
        <f t="shared" ref="AU16:AX16" si="5">M58</f>
        <v>485.65000000000003</v>
      </c>
      <c r="AV16" s="59">
        <f t="shared" si="5"/>
        <v>468.25000000000006</v>
      </c>
      <c r="AW16" s="59">
        <f t="shared" si="5"/>
        <v>468.25000000000006</v>
      </c>
      <c r="AX16" s="59">
        <f t="shared" si="5"/>
        <v>456.25000000000006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12</v>
      </c>
      <c r="C17" s="46">
        <v>12</v>
      </c>
      <c r="D17" s="46">
        <v>12</v>
      </c>
      <c r="E17" s="46">
        <v>12</v>
      </c>
      <c r="F17" s="46">
        <v>12</v>
      </c>
      <c r="G17" s="46">
        <v>12</v>
      </c>
      <c r="H17" s="46">
        <v>12</v>
      </c>
      <c r="I17" s="46">
        <v>12</v>
      </c>
      <c r="J17" s="46">
        <v>12</v>
      </c>
      <c r="K17" s="46">
        <v>12</v>
      </c>
      <c r="L17" s="46">
        <v>12</v>
      </c>
      <c r="M17" s="46">
        <v>12</v>
      </c>
      <c r="N17" s="46">
        <v>12</v>
      </c>
      <c r="O17" s="46">
        <v>12</v>
      </c>
      <c r="P17" s="46">
        <v>0</v>
      </c>
      <c r="Q17" s="46">
        <v>0</v>
      </c>
      <c r="R17" s="46">
        <v>12</v>
      </c>
      <c r="S17" s="46">
        <v>12</v>
      </c>
      <c r="T17" s="46">
        <v>12</v>
      </c>
      <c r="U17" s="46">
        <v>12</v>
      </c>
      <c r="V17" s="46">
        <v>12</v>
      </c>
      <c r="W17" s="46">
        <v>12</v>
      </c>
      <c r="X17" s="46">
        <v>12</v>
      </c>
      <c r="Y17" s="46">
        <v>12</v>
      </c>
      <c r="Z17" s="46">
        <v>12</v>
      </c>
      <c r="AA17" s="46">
        <v>12</v>
      </c>
      <c r="AB17" s="46">
        <v>12</v>
      </c>
      <c r="AC17" s="46">
        <v>12</v>
      </c>
      <c r="AD17" s="46">
        <v>12</v>
      </c>
      <c r="AE17" s="46">
        <v>12</v>
      </c>
      <c r="AF17" s="46">
        <v>12</v>
      </c>
      <c r="AG17" s="50">
        <v>44</v>
      </c>
      <c r="AH17" s="48">
        <f>MAX(B17:AG17)</f>
        <v>44</v>
      </c>
      <c r="AI17" s="49">
        <f>MIN(B17:AG17)</f>
        <v>0</v>
      </c>
      <c r="AK17" s="51"/>
      <c r="AL17" s="54" t="s">
        <v>27</v>
      </c>
      <c r="AM17" s="59">
        <f>B62</f>
        <v>62.4</v>
      </c>
      <c r="AN17" s="59">
        <f t="shared" ref="AN17:AR17" si="6">C62</f>
        <v>62.4</v>
      </c>
      <c r="AO17" s="59">
        <f t="shared" si="6"/>
        <v>47.4</v>
      </c>
      <c r="AP17" s="59">
        <f t="shared" si="6"/>
        <v>47.4</v>
      </c>
      <c r="AQ17" s="59">
        <f t="shared" si="6"/>
        <v>87.4</v>
      </c>
      <c r="AR17" s="59">
        <f t="shared" si="6"/>
        <v>107.4</v>
      </c>
      <c r="AS17" s="59">
        <f>I62</f>
        <v>157.4</v>
      </c>
      <c r="AT17" s="59">
        <f>K62</f>
        <v>117.4</v>
      </c>
      <c r="AU17" s="59">
        <f t="shared" ref="AU17:AX17" si="7">M62</f>
        <v>116.4</v>
      </c>
      <c r="AV17" s="59">
        <f t="shared" si="7"/>
        <v>155.30000000000001</v>
      </c>
      <c r="AW17" s="59">
        <f t="shared" si="7"/>
        <v>125.2</v>
      </c>
      <c r="AX17" s="59">
        <f t="shared" si="7"/>
        <v>65.3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8</v>
      </c>
      <c r="C18" s="46">
        <v>8</v>
      </c>
      <c r="D18" s="46">
        <v>8</v>
      </c>
      <c r="E18" s="46">
        <v>8</v>
      </c>
      <c r="F18" s="46">
        <v>8</v>
      </c>
      <c r="G18" s="46">
        <v>8</v>
      </c>
      <c r="H18" s="46">
        <v>8</v>
      </c>
      <c r="I18" s="46">
        <v>8</v>
      </c>
      <c r="J18" s="46">
        <v>8</v>
      </c>
      <c r="K18" s="46">
        <v>8</v>
      </c>
      <c r="L18" s="46">
        <v>8</v>
      </c>
      <c r="M18" s="46">
        <v>8</v>
      </c>
      <c r="N18" s="46">
        <v>8</v>
      </c>
      <c r="O18" s="46">
        <v>8</v>
      </c>
      <c r="P18" s="46">
        <v>8</v>
      </c>
      <c r="Q18" s="46">
        <v>8</v>
      </c>
      <c r="R18" s="46">
        <v>8</v>
      </c>
      <c r="S18" s="46">
        <v>8</v>
      </c>
      <c r="T18" s="46">
        <v>8</v>
      </c>
      <c r="U18" s="46">
        <v>8</v>
      </c>
      <c r="V18" s="46">
        <v>8</v>
      </c>
      <c r="W18" s="46">
        <v>8</v>
      </c>
      <c r="X18" s="46">
        <v>8</v>
      </c>
      <c r="Y18" s="46">
        <v>8</v>
      </c>
      <c r="Z18" s="46">
        <v>8</v>
      </c>
      <c r="AA18" s="46">
        <v>8</v>
      </c>
      <c r="AB18" s="46">
        <v>8</v>
      </c>
      <c r="AC18" s="46">
        <v>8</v>
      </c>
      <c r="AD18" s="46">
        <v>8</v>
      </c>
      <c r="AE18" s="46">
        <v>8</v>
      </c>
      <c r="AF18" s="46">
        <v>8</v>
      </c>
      <c r="AG18" s="50">
        <v>42</v>
      </c>
      <c r="AH18" s="48">
        <f t="shared" ref="AH18:AH81" si="8">MAX(B18:AF18)</f>
        <v>8</v>
      </c>
      <c r="AI18" s="49">
        <f t="shared" ref="AI18:AI81" si="9">MIN(B18:AF18)</f>
        <v>8</v>
      </c>
      <c r="AK18" s="51"/>
      <c r="AL18" s="54" t="s">
        <v>29</v>
      </c>
      <c r="AM18" s="59">
        <f>B76</f>
        <v>125.24000000000001</v>
      </c>
      <c r="AN18" s="59">
        <f t="shared" ref="AN18:AR18" si="10">C76</f>
        <v>125.24000000000001</v>
      </c>
      <c r="AO18" s="59">
        <f t="shared" si="10"/>
        <v>108.94</v>
      </c>
      <c r="AP18" s="59">
        <f t="shared" si="10"/>
        <v>110.44</v>
      </c>
      <c r="AQ18" s="59">
        <f t="shared" si="10"/>
        <v>109.24000000000001</v>
      </c>
      <c r="AR18" s="59">
        <f t="shared" si="10"/>
        <v>208.53999999999996</v>
      </c>
      <c r="AS18" s="59">
        <f>I76</f>
        <v>220.33999999999997</v>
      </c>
      <c r="AT18" s="59">
        <f>K76</f>
        <v>251.83999999999997</v>
      </c>
      <c r="AU18" s="59">
        <f t="shared" ref="AU18:AX18" si="11">M76</f>
        <v>309.74000000000007</v>
      </c>
      <c r="AV18" s="59">
        <f t="shared" si="11"/>
        <v>349.14000000000004</v>
      </c>
      <c r="AW18" s="59">
        <f t="shared" si="11"/>
        <v>325.74000000000007</v>
      </c>
      <c r="AX18" s="59">
        <f t="shared" si="11"/>
        <v>223.73999999999995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15</v>
      </c>
      <c r="C19" s="46">
        <v>15</v>
      </c>
      <c r="D19" s="46">
        <v>15</v>
      </c>
      <c r="E19" s="46">
        <v>15</v>
      </c>
      <c r="F19" s="46">
        <v>15</v>
      </c>
      <c r="G19" s="46">
        <v>15</v>
      </c>
      <c r="H19" s="46">
        <v>15</v>
      </c>
      <c r="I19" s="46">
        <v>15</v>
      </c>
      <c r="J19" s="46">
        <v>15</v>
      </c>
      <c r="K19" s="46">
        <v>15</v>
      </c>
      <c r="L19" s="46">
        <v>15</v>
      </c>
      <c r="M19" s="46">
        <v>15</v>
      </c>
      <c r="N19" s="46">
        <v>15</v>
      </c>
      <c r="O19" s="46">
        <v>15</v>
      </c>
      <c r="P19" s="46">
        <v>15</v>
      </c>
      <c r="Q19" s="46">
        <v>15</v>
      </c>
      <c r="R19" s="46">
        <v>15</v>
      </c>
      <c r="S19" s="46">
        <v>15</v>
      </c>
      <c r="T19" s="46">
        <v>15</v>
      </c>
      <c r="U19" s="46">
        <v>15</v>
      </c>
      <c r="V19" s="46">
        <v>15</v>
      </c>
      <c r="W19" s="46">
        <v>15</v>
      </c>
      <c r="X19" s="46">
        <v>15</v>
      </c>
      <c r="Y19" s="46">
        <v>15</v>
      </c>
      <c r="Z19" s="46">
        <v>15</v>
      </c>
      <c r="AA19" s="46">
        <v>15</v>
      </c>
      <c r="AB19" s="46">
        <v>15</v>
      </c>
      <c r="AC19" s="46">
        <v>15</v>
      </c>
      <c r="AD19" s="46">
        <v>15</v>
      </c>
      <c r="AE19" s="46">
        <v>15</v>
      </c>
      <c r="AF19" s="46">
        <v>15</v>
      </c>
      <c r="AG19" s="50">
        <v>38.46</v>
      </c>
      <c r="AH19" s="48">
        <f t="shared" si="8"/>
        <v>15</v>
      </c>
      <c r="AI19" s="49">
        <f t="shared" si="9"/>
        <v>15</v>
      </c>
      <c r="AK19" s="51"/>
      <c r="AL19" s="54" t="s">
        <v>31</v>
      </c>
      <c r="AM19" s="59">
        <f>B92</f>
        <v>100.10000000000001</v>
      </c>
      <c r="AN19" s="59">
        <f t="shared" ref="AN19:AR19" si="12">C92</f>
        <v>55.4</v>
      </c>
      <c r="AO19" s="59">
        <f t="shared" si="12"/>
        <v>60.7</v>
      </c>
      <c r="AP19" s="59">
        <f t="shared" si="12"/>
        <v>23.3</v>
      </c>
      <c r="AQ19" s="59">
        <f t="shared" si="12"/>
        <v>21</v>
      </c>
      <c r="AR19" s="59">
        <f t="shared" si="12"/>
        <v>21</v>
      </c>
      <c r="AS19" s="59">
        <f>I92</f>
        <v>19.7</v>
      </c>
      <c r="AT19" s="59">
        <f>K92</f>
        <v>210.10000000000002</v>
      </c>
      <c r="AU19" s="59">
        <f t="shared" ref="AU19:AX19" si="13">M92</f>
        <v>270.8</v>
      </c>
      <c r="AV19" s="59">
        <f t="shared" si="13"/>
        <v>163.30000000000001</v>
      </c>
      <c r="AW19" s="59">
        <f t="shared" si="13"/>
        <v>187.8</v>
      </c>
      <c r="AX19" s="59">
        <f t="shared" si="13"/>
        <v>306.10000000000002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7.8</v>
      </c>
      <c r="C20" s="46">
        <v>7.8</v>
      </c>
      <c r="D20" s="46">
        <v>7.8</v>
      </c>
      <c r="E20" s="46">
        <v>7.8</v>
      </c>
      <c r="F20" s="46">
        <v>7.8</v>
      </c>
      <c r="G20" s="46">
        <v>7.8</v>
      </c>
      <c r="H20" s="46">
        <v>7.8</v>
      </c>
      <c r="I20" s="46">
        <v>7.8</v>
      </c>
      <c r="J20" s="46">
        <v>7.8</v>
      </c>
      <c r="K20" s="46">
        <v>7.8</v>
      </c>
      <c r="L20" s="46">
        <v>7.8</v>
      </c>
      <c r="M20" s="46">
        <v>7.8</v>
      </c>
      <c r="N20" s="46">
        <v>7.8</v>
      </c>
      <c r="O20" s="46">
        <v>7.8</v>
      </c>
      <c r="P20" s="46">
        <v>7.8</v>
      </c>
      <c r="Q20" s="46">
        <v>7.8</v>
      </c>
      <c r="R20" s="46">
        <v>7.8</v>
      </c>
      <c r="S20" s="46">
        <v>7.8</v>
      </c>
      <c r="T20" s="46">
        <v>7.8</v>
      </c>
      <c r="U20" s="46">
        <v>7.8</v>
      </c>
      <c r="V20" s="46">
        <v>7.8</v>
      </c>
      <c r="W20" s="46">
        <v>7.8</v>
      </c>
      <c r="X20" s="46">
        <v>7.8</v>
      </c>
      <c r="Y20" s="46">
        <v>7.8</v>
      </c>
      <c r="Z20" s="46">
        <v>7.8</v>
      </c>
      <c r="AA20" s="46">
        <v>7.8</v>
      </c>
      <c r="AB20" s="46">
        <v>7.8</v>
      </c>
      <c r="AC20" s="46">
        <v>7.8</v>
      </c>
      <c r="AD20" s="46">
        <v>7.8</v>
      </c>
      <c r="AE20" s="46">
        <v>7.8</v>
      </c>
      <c r="AF20" s="46">
        <v>7.8</v>
      </c>
      <c r="AG20" s="50">
        <v>38.46</v>
      </c>
      <c r="AH20" s="48">
        <f t="shared" si="8"/>
        <v>7.8</v>
      </c>
      <c r="AI20" s="49">
        <f t="shared" si="9"/>
        <v>7.8</v>
      </c>
      <c r="AK20" s="51"/>
      <c r="AL20" s="54" t="s">
        <v>33</v>
      </c>
      <c r="AM20" s="59">
        <f>B80</f>
        <v>0</v>
      </c>
      <c r="AN20" s="59">
        <f t="shared" ref="AN20:AR20" si="14">C80</f>
        <v>0</v>
      </c>
      <c r="AO20" s="59">
        <f t="shared" si="14"/>
        <v>0</v>
      </c>
      <c r="AP20" s="59">
        <f t="shared" si="14"/>
        <v>0</v>
      </c>
      <c r="AQ20" s="59">
        <f t="shared" si="14"/>
        <v>0</v>
      </c>
      <c r="AR20" s="59">
        <f t="shared" si="14"/>
        <v>0</v>
      </c>
      <c r="AS20" s="59">
        <f>I80</f>
        <v>0</v>
      </c>
      <c r="AT20" s="59">
        <f>K80</f>
        <v>0</v>
      </c>
      <c r="AU20" s="59">
        <f t="shared" ref="AU20:AX20" si="15">M80</f>
        <v>0</v>
      </c>
      <c r="AV20" s="59">
        <f t="shared" si="15"/>
        <v>0</v>
      </c>
      <c r="AW20" s="59">
        <f t="shared" si="15"/>
        <v>0</v>
      </c>
      <c r="AX20" s="59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13</v>
      </c>
      <c r="C21" s="46">
        <v>13</v>
      </c>
      <c r="D21" s="46">
        <v>13</v>
      </c>
      <c r="E21" s="46">
        <v>13</v>
      </c>
      <c r="F21" s="46">
        <v>13</v>
      </c>
      <c r="G21" s="46">
        <v>13</v>
      </c>
      <c r="H21" s="46">
        <v>13</v>
      </c>
      <c r="I21" s="46">
        <v>13</v>
      </c>
      <c r="J21" s="46">
        <v>13</v>
      </c>
      <c r="K21" s="46">
        <v>13</v>
      </c>
      <c r="L21" s="46">
        <v>13</v>
      </c>
      <c r="M21" s="46">
        <v>13</v>
      </c>
      <c r="N21" s="46">
        <v>13</v>
      </c>
      <c r="O21" s="46">
        <v>13</v>
      </c>
      <c r="P21" s="46">
        <v>13</v>
      </c>
      <c r="Q21" s="46">
        <v>13</v>
      </c>
      <c r="R21" s="46">
        <v>13</v>
      </c>
      <c r="S21" s="46">
        <v>13</v>
      </c>
      <c r="T21" s="46">
        <v>13</v>
      </c>
      <c r="U21" s="46">
        <v>13</v>
      </c>
      <c r="V21" s="46">
        <v>13</v>
      </c>
      <c r="W21" s="46">
        <v>13</v>
      </c>
      <c r="X21" s="46">
        <v>13</v>
      </c>
      <c r="Y21" s="46">
        <v>13</v>
      </c>
      <c r="Z21" s="46">
        <v>13</v>
      </c>
      <c r="AA21" s="46">
        <v>13</v>
      </c>
      <c r="AB21" s="46">
        <v>13</v>
      </c>
      <c r="AC21" s="46">
        <v>13</v>
      </c>
      <c r="AD21" s="46">
        <v>13</v>
      </c>
      <c r="AE21" s="46">
        <v>13</v>
      </c>
      <c r="AF21" s="46">
        <v>13</v>
      </c>
      <c r="AG21" s="50">
        <v>36</v>
      </c>
      <c r="AH21" s="48">
        <f t="shared" si="8"/>
        <v>13</v>
      </c>
      <c r="AI21" s="49">
        <f t="shared" si="9"/>
        <v>13</v>
      </c>
      <c r="AK21" s="51"/>
      <c r="AL21" s="54" t="s">
        <v>35</v>
      </c>
      <c r="AM21" s="59">
        <f>B98</f>
        <v>0</v>
      </c>
      <c r="AN21" s="59">
        <f t="shared" ref="AN21:AR21" si="16">C98</f>
        <v>0</v>
      </c>
      <c r="AO21" s="59">
        <f t="shared" si="16"/>
        <v>0</v>
      </c>
      <c r="AP21" s="59">
        <f t="shared" si="16"/>
        <v>0</v>
      </c>
      <c r="AQ21" s="59">
        <f t="shared" si="16"/>
        <v>0</v>
      </c>
      <c r="AR21" s="59">
        <f t="shared" si="16"/>
        <v>0</v>
      </c>
      <c r="AS21" s="59">
        <f>I98</f>
        <v>0</v>
      </c>
      <c r="AT21" s="59">
        <f>K98</f>
        <v>0</v>
      </c>
      <c r="AU21" s="59">
        <f t="shared" ref="AU21:AX21" si="17">M98</f>
        <v>0</v>
      </c>
      <c r="AV21" s="59">
        <f t="shared" si="17"/>
        <v>0</v>
      </c>
      <c r="AW21" s="59">
        <f t="shared" si="17"/>
        <v>0</v>
      </c>
      <c r="AX21" s="59">
        <f t="shared" si="17"/>
        <v>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7.3</v>
      </c>
      <c r="C22" s="46">
        <v>7.3</v>
      </c>
      <c r="D22" s="46">
        <v>7.3</v>
      </c>
      <c r="E22" s="46">
        <v>7.3</v>
      </c>
      <c r="F22" s="46">
        <v>7.3</v>
      </c>
      <c r="G22" s="46">
        <v>7.3</v>
      </c>
      <c r="H22" s="46">
        <v>7.3</v>
      </c>
      <c r="I22" s="46">
        <v>7.3</v>
      </c>
      <c r="J22" s="46">
        <v>7.3</v>
      </c>
      <c r="K22" s="46">
        <v>7.3</v>
      </c>
      <c r="L22" s="46">
        <v>7.3</v>
      </c>
      <c r="M22" s="46">
        <v>7.3</v>
      </c>
      <c r="N22" s="46">
        <v>7.3</v>
      </c>
      <c r="O22" s="46">
        <v>7.3</v>
      </c>
      <c r="P22" s="46">
        <v>7.3</v>
      </c>
      <c r="Q22" s="46">
        <v>7.3</v>
      </c>
      <c r="R22" s="46">
        <v>7.3</v>
      </c>
      <c r="S22" s="46">
        <v>7.3</v>
      </c>
      <c r="T22" s="46">
        <v>7.3</v>
      </c>
      <c r="U22" s="46">
        <v>7.3</v>
      </c>
      <c r="V22" s="46">
        <v>7.3</v>
      </c>
      <c r="W22" s="46">
        <v>7.3</v>
      </c>
      <c r="X22" s="46">
        <v>7.3</v>
      </c>
      <c r="Y22" s="46">
        <v>7.3</v>
      </c>
      <c r="Z22" s="46">
        <v>7.3</v>
      </c>
      <c r="AA22" s="46">
        <v>7.3</v>
      </c>
      <c r="AB22" s="46">
        <v>7.3</v>
      </c>
      <c r="AC22" s="46">
        <v>7.3</v>
      </c>
      <c r="AD22" s="46">
        <v>7.3</v>
      </c>
      <c r="AE22" s="46">
        <v>7.3</v>
      </c>
      <c r="AF22" s="46">
        <v>7.3</v>
      </c>
      <c r="AG22" s="60">
        <v>30</v>
      </c>
      <c r="AH22" s="48">
        <f t="shared" si="8"/>
        <v>7.3</v>
      </c>
      <c r="AI22" s="49">
        <f t="shared" si="9"/>
        <v>7.3</v>
      </c>
      <c r="AK22" s="51"/>
      <c r="AL22" s="61" t="s">
        <v>37</v>
      </c>
      <c r="AM22" s="62">
        <f>SUM(AM16:AM21)</f>
        <v>775.19</v>
      </c>
      <c r="AN22" s="62">
        <f t="shared" ref="AN22:AX22" si="18">SUM(AN16:AN21)</f>
        <v>730.49</v>
      </c>
      <c r="AO22" s="62">
        <f t="shared" si="18"/>
        <v>697.8900000000001</v>
      </c>
      <c r="AP22" s="62">
        <f t="shared" si="18"/>
        <v>652.29</v>
      </c>
      <c r="AQ22" s="62">
        <f t="shared" si="18"/>
        <v>701.59</v>
      </c>
      <c r="AR22" s="62">
        <f t="shared" si="18"/>
        <v>820.89</v>
      </c>
      <c r="AS22" s="62">
        <f t="shared" si="18"/>
        <v>874.49</v>
      </c>
      <c r="AT22" s="62">
        <f t="shared" si="18"/>
        <v>1056.5900000000001</v>
      </c>
      <c r="AU22" s="62">
        <f t="shared" si="18"/>
        <v>1182.5900000000001</v>
      </c>
      <c r="AV22" s="62">
        <f t="shared" si="18"/>
        <v>1135.99</v>
      </c>
      <c r="AW22" s="62">
        <f t="shared" si="18"/>
        <v>1106.99</v>
      </c>
      <c r="AX22" s="62">
        <f t="shared" si="18"/>
        <v>1051.3899999999999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6</v>
      </c>
      <c r="C23" s="46">
        <v>6</v>
      </c>
      <c r="D23" s="46">
        <v>6</v>
      </c>
      <c r="E23" s="46">
        <v>6</v>
      </c>
      <c r="F23" s="46">
        <v>6</v>
      </c>
      <c r="G23" s="46">
        <v>6</v>
      </c>
      <c r="H23" s="46">
        <v>6</v>
      </c>
      <c r="I23" s="46">
        <v>6</v>
      </c>
      <c r="J23" s="46">
        <v>6</v>
      </c>
      <c r="K23" s="46">
        <v>6</v>
      </c>
      <c r="L23" s="46">
        <v>6</v>
      </c>
      <c r="M23" s="46">
        <v>6</v>
      </c>
      <c r="N23" s="46">
        <v>6</v>
      </c>
      <c r="O23" s="46">
        <v>6</v>
      </c>
      <c r="P23" s="46">
        <v>6</v>
      </c>
      <c r="Q23" s="46">
        <v>6</v>
      </c>
      <c r="R23" s="46">
        <v>6</v>
      </c>
      <c r="S23" s="46">
        <v>6</v>
      </c>
      <c r="T23" s="46">
        <v>6</v>
      </c>
      <c r="U23" s="46">
        <v>6</v>
      </c>
      <c r="V23" s="46">
        <v>6</v>
      </c>
      <c r="W23" s="46">
        <v>6</v>
      </c>
      <c r="X23" s="46">
        <v>6</v>
      </c>
      <c r="Y23" s="46">
        <v>6</v>
      </c>
      <c r="Z23" s="46">
        <v>6</v>
      </c>
      <c r="AA23" s="46">
        <v>6</v>
      </c>
      <c r="AB23" s="46">
        <v>6</v>
      </c>
      <c r="AC23" s="46">
        <v>6</v>
      </c>
      <c r="AD23" s="46">
        <v>6</v>
      </c>
      <c r="AE23" s="46">
        <v>6</v>
      </c>
      <c r="AF23" s="46">
        <v>6</v>
      </c>
      <c r="AG23" s="50">
        <v>24.2</v>
      </c>
      <c r="AH23" s="48">
        <f t="shared" si="8"/>
        <v>6</v>
      </c>
      <c r="AI23" s="49">
        <f t="shared" si="9"/>
        <v>6</v>
      </c>
      <c r="AK23" s="51"/>
      <c r="AL23" s="61" t="s">
        <v>39</v>
      </c>
      <c r="AM23" s="62">
        <f>B107*-1</f>
        <v>0</v>
      </c>
      <c r="AN23" s="62">
        <f t="shared" ref="AN23:AR23" si="19">C107*-1</f>
        <v>0</v>
      </c>
      <c r="AO23" s="62">
        <f t="shared" si="19"/>
        <v>0</v>
      </c>
      <c r="AP23" s="62">
        <f t="shared" si="19"/>
        <v>0</v>
      </c>
      <c r="AQ23" s="62">
        <f t="shared" si="19"/>
        <v>-31</v>
      </c>
      <c r="AR23" s="62">
        <f t="shared" si="19"/>
        <v>-108</v>
      </c>
      <c r="AS23" s="62">
        <f>I107*-1</f>
        <v>0</v>
      </c>
      <c r="AT23" s="62">
        <f>K107*-1</f>
        <v>0</v>
      </c>
      <c r="AU23" s="62">
        <f t="shared" ref="AU23:AX23" si="20">M107*-1</f>
        <v>0</v>
      </c>
      <c r="AV23" s="62">
        <f t="shared" si="20"/>
        <v>0</v>
      </c>
      <c r="AW23" s="62">
        <f t="shared" si="20"/>
        <v>0</v>
      </c>
      <c r="AX23" s="62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10.7</v>
      </c>
      <c r="C24" s="46">
        <v>10.7</v>
      </c>
      <c r="D24" s="46">
        <v>8.8000000000000007</v>
      </c>
      <c r="E24" s="46">
        <v>8.8000000000000007</v>
      </c>
      <c r="F24" s="46">
        <v>8.8000000000000007</v>
      </c>
      <c r="G24" s="46">
        <v>8.8000000000000007</v>
      </c>
      <c r="H24" s="46">
        <v>8.8000000000000007</v>
      </c>
      <c r="I24" s="46">
        <v>8.8000000000000007</v>
      </c>
      <c r="J24" s="46">
        <v>8.8000000000000007</v>
      </c>
      <c r="K24" s="46">
        <v>8.8000000000000007</v>
      </c>
      <c r="L24" s="46">
        <v>8.8000000000000007</v>
      </c>
      <c r="M24" s="46">
        <v>8.8000000000000007</v>
      </c>
      <c r="N24" s="46">
        <v>8.8000000000000007</v>
      </c>
      <c r="O24" s="46">
        <v>8.8000000000000007</v>
      </c>
      <c r="P24" s="46">
        <v>8.8000000000000007</v>
      </c>
      <c r="Q24" s="46">
        <v>8.8000000000000007</v>
      </c>
      <c r="R24" s="46">
        <v>8.8000000000000007</v>
      </c>
      <c r="S24" s="46">
        <v>8.8000000000000007</v>
      </c>
      <c r="T24" s="46">
        <v>8.8000000000000007</v>
      </c>
      <c r="U24" s="46">
        <v>8.8000000000000007</v>
      </c>
      <c r="V24" s="46">
        <v>8.8000000000000007</v>
      </c>
      <c r="W24" s="46">
        <v>8.8000000000000007</v>
      </c>
      <c r="X24" s="46">
        <v>8.8000000000000007</v>
      </c>
      <c r="Y24" s="46">
        <v>8.8000000000000007</v>
      </c>
      <c r="Z24" s="46">
        <v>8.8000000000000007</v>
      </c>
      <c r="AA24" s="46">
        <v>8.8000000000000007</v>
      </c>
      <c r="AB24" s="46">
        <v>8.8000000000000007</v>
      </c>
      <c r="AC24" s="46">
        <v>8.8000000000000007</v>
      </c>
      <c r="AD24" s="46">
        <v>8.8000000000000007</v>
      </c>
      <c r="AE24" s="46">
        <v>8.8000000000000007</v>
      </c>
      <c r="AF24" s="46">
        <v>8.8000000000000007</v>
      </c>
      <c r="AG24" s="50">
        <v>28</v>
      </c>
      <c r="AH24" s="48">
        <f t="shared" si="8"/>
        <v>10.7</v>
      </c>
      <c r="AI24" s="49">
        <f t="shared" si="9"/>
        <v>8.8000000000000007</v>
      </c>
      <c r="AK24" s="51"/>
      <c r="AL24" s="61" t="s">
        <v>41</v>
      </c>
      <c r="AM24" s="62">
        <f>AM22+AM23</f>
        <v>775.19</v>
      </c>
      <c r="AN24" s="62">
        <f t="shared" ref="AN24:AX24" si="21">AN22+AN23</f>
        <v>730.49</v>
      </c>
      <c r="AO24" s="62">
        <f t="shared" si="21"/>
        <v>697.8900000000001</v>
      </c>
      <c r="AP24" s="62">
        <f t="shared" si="21"/>
        <v>652.29</v>
      </c>
      <c r="AQ24" s="62">
        <f t="shared" si="21"/>
        <v>670.59</v>
      </c>
      <c r="AR24" s="62">
        <f t="shared" si="21"/>
        <v>712.89</v>
      </c>
      <c r="AS24" s="62">
        <f t="shared" si="21"/>
        <v>874.49</v>
      </c>
      <c r="AT24" s="62">
        <f t="shared" si="21"/>
        <v>1056.5900000000001</v>
      </c>
      <c r="AU24" s="62">
        <f t="shared" si="21"/>
        <v>1182.5900000000001</v>
      </c>
      <c r="AV24" s="62">
        <f t="shared" si="21"/>
        <v>1135.99</v>
      </c>
      <c r="AW24" s="62">
        <f t="shared" si="21"/>
        <v>1106.99</v>
      </c>
      <c r="AX24" s="62">
        <f t="shared" si="21"/>
        <v>1051.3899999999999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7.9</v>
      </c>
      <c r="C25" s="46">
        <v>7.9</v>
      </c>
      <c r="D25" s="46">
        <v>7.9</v>
      </c>
      <c r="E25" s="46">
        <v>7.9</v>
      </c>
      <c r="F25" s="46">
        <v>7.9</v>
      </c>
      <c r="G25" s="46">
        <v>7.9</v>
      </c>
      <c r="H25" s="46">
        <v>7.9</v>
      </c>
      <c r="I25" s="46">
        <v>7.9</v>
      </c>
      <c r="J25" s="46">
        <v>7.9</v>
      </c>
      <c r="K25" s="46">
        <v>7.9</v>
      </c>
      <c r="L25" s="46">
        <v>7.9</v>
      </c>
      <c r="M25" s="46">
        <v>7.9</v>
      </c>
      <c r="N25" s="46">
        <v>7.9</v>
      </c>
      <c r="O25" s="46">
        <v>7.9</v>
      </c>
      <c r="P25" s="46">
        <v>7.9</v>
      </c>
      <c r="Q25" s="46">
        <v>7.9</v>
      </c>
      <c r="R25" s="46">
        <v>7.9</v>
      </c>
      <c r="S25" s="46">
        <v>7.9</v>
      </c>
      <c r="T25" s="46">
        <v>7.9</v>
      </c>
      <c r="U25" s="46">
        <v>7.9</v>
      </c>
      <c r="V25" s="46">
        <v>7.9</v>
      </c>
      <c r="W25" s="46">
        <v>7.9</v>
      </c>
      <c r="X25" s="46">
        <v>7.9</v>
      </c>
      <c r="Y25" s="46">
        <v>7.9</v>
      </c>
      <c r="Z25" s="46">
        <v>7.9</v>
      </c>
      <c r="AA25" s="46">
        <v>7.9</v>
      </c>
      <c r="AB25" s="46">
        <v>7.9</v>
      </c>
      <c r="AC25" s="46">
        <v>7.9</v>
      </c>
      <c r="AD25" s="46">
        <v>7.9</v>
      </c>
      <c r="AE25" s="46">
        <v>7.9</v>
      </c>
      <c r="AF25" s="46">
        <v>7.9</v>
      </c>
      <c r="AG25" s="60">
        <v>30</v>
      </c>
      <c r="AH25" s="48">
        <f t="shared" si="8"/>
        <v>7.9</v>
      </c>
      <c r="AI25" s="49">
        <f t="shared" si="9"/>
        <v>7.9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13.5</v>
      </c>
      <c r="C26" s="46">
        <v>13.5</v>
      </c>
      <c r="D26" s="46">
        <v>13.5</v>
      </c>
      <c r="E26" s="46">
        <v>13.5</v>
      </c>
      <c r="F26" s="46">
        <v>13.5</v>
      </c>
      <c r="G26" s="46">
        <v>13.5</v>
      </c>
      <c r="H26" s="46">
        <v>13.5</v>
      </c>
      <c r="I26" s="46">
        <v>13.5</v>
      </c>
      <c r="J26" s="46">
        <v>13.5</v>
      </c>
      <c r="K26" s="46">
        <v>13.5</v>
      </c>
      <c r="L26" s="46">
        <v>13.5</v>
      </c>
      <c r="M26" s="46">
        <v>13.5</v>
      </c>
      <c r="N26" s="46">
        <v>13.5</v>
      </c>
      <c r="O26" s="46">
        <v>13.5</v>
      </c>
      <c r="P26" s="46">
        <v>13.5</v>
      </c>
      <c r="Q26" s="46">
        <v>13.5</v>
      </c>
      <c r="R26" s="46">
        <v>13.5</v>
      </c>
      <c r="S26" s="46">
        <v>13.5</v>
      </c>
      <c r="T26" s="46">
        <v>13.5</v>
      </c>
      <c r="U26" s="46">
        <v>13.5</v>
      </c>
      <c r="V26" s="46">
        <v>13.5</v>
      </c>
      <c r="W26" s="46">
        <v>13.5</v>
      </c>
      <c r="X26" s="46">
        <v>13.5</v>
      </c>
      <c r="Y26" s="46">
        <v>13.5</v>
      </c>
      <c r="Z26" s="46">
        <v>13.5</v>
      </c>
      <c r="AA26" s="46">
        <v>13.5</v>
      </c>
      <c r="AB26" s="46">
        <v>13.5</v>
      </c>
      <c r="AC26" s="46">
        <v>13.5</v>
      </c>
      <c r="AD26" s="46">
        <v>13.5</v>
      </c>
      <c r="AE26" s="46">
        <v>13.5</v>
      </c>
      <c r="AF26" s="46">
        <v>13.5</v>
      </c>
      <c r="AG26" s="50">
        <v>25</v>
      </c>
      <c r="AH26" s="48">
        <f t="shared" si="8"/>
        <v>13.5</v>
      </c>
      <c r="AI26" s="49">
        <f t="shared" si="9"/>
        <v>13.5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5</v>
      </c>
      <c r="N27" s="46">
        <v>5</v>
      </c>
      <c r="O27" s="46">
        <v>5</v>
      </c>
      <c r="P27" s="46">
        <v>5</v>
      </c>
      <c r="Q27" s="46">
        <v>5</v>
      </c>
      <c r="R27" s="46">
        <v>5</v>
      </c>
      <c r="S27" s="46">
        <v>5</v>
      </c>
      <c r="T27" s="46">
        <v>5</v>
      </c>
      <c r="U27" s="46">
        <v>5</v>
      </c>
      <c r="V27" s="46">
        <v>5</v>
      </c>
      <c r="W27" s="46">
        <v>5</v>
      </c>
      <c r="X27" s="46">
        <v>5</v>
      </c>
      <c r="Y27" s="46">
        <v>5</v>
      </c>
      <c r="Z27" s="46">
        <v>5</v>
      </c>
      <c r="AA27" s="46">
        <v>5</v>
      </c>
      <c r="AB27" s="46">
        <v>5</v>
      </c>
      <c r="AC27" s="46">
        <v>5</v>
      </c>
      <c r="AD27" s="46">
        <v>5</v>
      </c>
      <c r="AE27" s="46">
        <v>5</v>
      </c>
      <c r="AF27" s="46">
        <v>5</v>
      </c>
      <c r="AG27" s="50">
        <v>25</v>
      </c>
      <c r="AH27" s="48">
        <f t="shared" si="8"/>
        <v>5</v>
      </c>
      <c r="AI27" s="49">
        <f t="shared" si="9"/>
        <v>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6</v>
      </c>
      <c r="C28" s="46">
        <v>6</v>
      </c>
      <c r="D28" s="46">
        <v>6</v>
      </c>
      <c r="E28" s="46">
        <v>6</v>
      </c>
      <c r="F28" s="46">
        <v>6</v>
      </c>
      <c r="G28" s="46">
        <v>6</v>
      </c>
      <c r="H28" s="46">
        <v>6</v>
      </c>
      <c r="I28" s="46">
        <v>6</v>
      </c>
      <c r="J28" s="46">
        <v>6</v>
      </c>
      <c r="K28" s="46">
        <v>6</v>
      </c>
      <c r="L28" s="46">
        <v>6</v>
      </c>
      <c r="M28" s="46">
        <v>6</v>
      </c>
      <c r="N28" s="46">
        <v>6</v>
      </c>
      <c r="O28" s="46">
        <v>6</v>
      </c>
      <c r="P28" s="46">
        <v>6</v>
      </c>
      <c r="Q28" s="46">
        <v>6</v>
      </c>
      <c r="R28" s="46">
        <v>6</v>
      </c>
      <c r="S28" s="46">
        <v>6</v>
      </c>
      <c r="T28" s="46">
        <v>6</v>
      </c>
      <c r="U28" s="46">
        <v>6</v>
      </c>
      <c r="V28" s="46">
        <v>6</v>
      </c>
      <c r="W28" s="46">
        <v>6</v>
      </c>
      <c r="X28" s="46">
        <v>6</v>
      </c>
      <c r="Y28" s="46">
        <v>6</v>
      </c>
      <c r="Z28" s="46">
        <v>6</v>
      </c>
      <c r="AA28" s="46">
        <v>6</v>
      </c>
      <c r="AB28" s="46">
        <v>6</v>
      </c>
      <c r="AC28" s="46">
        <v>6</v>
      </c>
      <c r="AD28" s="46">
        <v>6</v>
      </c>
      <c r="AE28" s="46">
        <v>6</v>
      </c>
      <c r="AF28" s="46">
        <v>6</v>
      </c>
      <c r="AG28" s="50">
        <v>25</v>
      </c>
      <c r="AH28" s="48">
        <f t="shared" si="8"/>
        <v>6</v>
      </c>
      <c r="AI28" s="49">
        <f t="shared" si="9"/>
        <v>6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8</v>
      </c>
      <c r="C29" s="46">
        <v>8</v>
      </c>
      <c r="D29" s="46">
        <v>8</v>
      </c>
      <c r="E29" s="46">
        <v>8</v>
      </c>
      <c r="F29" s="46">
        <v>8</v>
      </c>
      <c r="G29" s="46">
        <v>8</v>
      </c>
      <c r="H29" s="46">
        <v>8</v>
      </c>
      <c r="I29" s="46">
        <v>8</v>
      </c>
      <c r="J29" s="46">
        <v>8</v>
      </c>
      <c r="K29" s="46">
        <v>8</v>
      </c>
      <c r="L29" s="46">
        <v>8</v>
      </c>
      <c r="M29" s="46">
        <v>8</v>
      </c>
      <c r="N29" s="46">
        <v>8</v>
      </c>
      <c r="O29" s="46">
        <v>8</v>
      </c>
      <c r="P29" s="46">
        <v>8</v>
      </c>
      <c r="Q29" s="46">
        <v>8</v>
      </c>
      <c r="R29" s="46">
        <v>8</v>
      </c>
      <c r="S29" s="46">
        <v>8</v>
      </c>
      <c r="T29" s="46">
        <v>8</v>
      </c>
      <c r="U29" s="46">
        <v>8</v>
      </c>
      <c r="V29" s="46">
        <v>8</v>
      </c>
      <c r="W29" s="46">
        <v>8</v>
      </c>
      <c r="X29" s="46">
        <v>8</v>
      </c>
      <c r="Y29" s="46">
        <v>8</v>
      </c>
      <c r="Z29" s="46">
        <v>8</v>
      </c>
      <c r="AA29" s="46">
        <v>8</v>
      </c>
      <c r="AB29" s="46">
        <v>8</v>
      </c>
      <c r="AC29" s="46">
        <v>8</v>
      </c>
      <c r="AD29" s="46">
        <v>8</v>
      </c>
      <c r="AE29" s="46">
        <v>8</v>
      </c>
      <c r="AF29" s="46">
        <v>8</v>
      </c>
      <c r="AG29" s="50">
        <v>25</v>
      </c>
      <c r="AH29" s="48">
        <f t="shared" si="8"/>
        <v>8</v>
      </c>
      <c r="AI29" s="49">
        <f t="shared" si="9"/>
        <v>8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7.7</v>
      </c>
      <c r="C30" s="46">
        <v>7.7</v>
      </c>
      <c r="D30" s="46">
        <v>7.7</v>
      </c>
      <c r="E30" s="46">
        <v>7.7</v>
      </c>
      <c r="F30" s="46">
        <v>7.7</v>
      </c>
      <c r="G30" s="46">
        <v>7.7</v>
      </c>
      <c r="H30" s="46">
        <v>7.7</v>
      </c>
      <c r="I30" s="46">
        <v>7.7</v>
      </c>
      <c r="J30" s="46">
        <v>7.7</v>
      </c>
      <c r="K30" s="46">
        <v>7.7</v>
      </c>
      <c r="L30" s="46">
        <v>7.7</v>
      </c>
      <c r="M30" s="46">
        <v>7.7</v>
      </c>
      <c r="N30" s="46">
        <v>7.7</v>
      </c>
      <c r="O30" s="46">
        <v>7.7</v>
      </c>
      <c r="P30" s="46">
        <v>7.7</v>
      </c>
      <c r="Q30" s="46">
        <v>7.7</v>
      </c>
      <c r="R30" s="46">
        <v>7.7</v>
      </c>
      <c r="S30" s="46">
        <v>7.7</v>
      </c>
      <c r="T30" s="46">
        <v>7.7</v>
      </c>
      <c r="U30" s="46">
        <v>7.7</v>
      </c>
      <c r="V30" s="46">
        <v>7.7</v>
      </c>
      <c r="W30" s="46">
        <v>7.7</v>
      </c>
      <c r="X30" s="46">
        <v>7.7</v>
      </c>
      <c r="Y30" s="46">
        <v>7.7</v>
      </c>
      <c r="Z30" s="46">
        <v>7.7</v>
      </c>
      <c r="AA30" s="46">
        <v>7.7</v>
      </c>
      <c r="AB30" s="46">
        <v>7.7</v>
      </c>
      <c r="AC30" s="46">
        <v>7.7</v>
      </c>
      <c r="AD30" s="46">
        <v>7.7</v>
      </c>
      <c r="AE30" s="46">
        <v>7.7</v>
      </c>
      <c r="AF30" s="46">
        <v>7.7</v>
      </c>
      <c r="AG30" s="50">
        <v>23.5</v>
      </c>
      <c r="AH30" s="48">
        <f t="shared" si="8"/>
        <v>7.7</v>
      </c>
      <c r="AI30" s="49">
        <f t="shared" si="9"/>
        <v>7.7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>
        <v>3</v>
      </c>
      <c r="V31" s="46">
        <v>3</v>
      </c>
      <c r="W31" s="46">
        <v>3</v>
      </c>
      <c r="X31" s="46">
        <v>3</v>
      </c>
      <c r="Y31" s="46">
        <v>3</v>
      </c>
      <c r="Z31" s="46">
        <v>3</v>
      </c>
      <c r="AA31" s="46">
        <v>3</v>
      </c>
      <c r="AB31" s="46">
        <v>3</v>
      </c>
      <c r="AC31" s="46">
        <v>3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8"/>
        <v>3</v>
      </c>
      <c r="AI31" s="49">
        <f t="shared" si="9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5.5</v>
      </c>
      <c r="Q32" s="46">
        <v>5.5</v>
      </c>
      <c r="R32" s="46">
        <v>5.5</v>
      </c>
      <c r="S32" s="46">
        <v>5.5</v>
      </c>
      <c r="T32" s="46">
        <v>5.5</v>
      </c>
      <c r="U32" s="46">
        <v>5.5</v>
      </c>
      <c r="V32" s="46">
        <v>5.5</v>
      </c>
      <c r="W32" s="46">
        <v>5.5</v>
      </c>
      <c r="X32" s="46">
        <v>5.5</v>
      </c>
      <c r="Y32" s="46">
        <v>5.5</v>
      </c>
      <c r="Z32" s="46">
        <v>5.5</v>
      </c>
      <c r="AA32" s="46">
        <v>5.5</v>
      </c>
      <c r="AB32" s="46">
        <v>5.5</v>
      </c>
      <c r="AC32" s="46">
        <v>5.5</v>
      </c>
      <c r="AD32" s="46">
        <v>5.5</v>
      </c>
      <c r="AE32" s="46">
        <v>5.5</v>
      </c>
      <c r="AF32" s="46">
        <v>5.5</v>
      </c>
      <c r="AG32" s="50">
        <v>22.1</v>
      </c>
      <c r="AH32" s="48">
        <f t="shared" si="8"/>
        <v>5.5</v>
      </c>
      <c r="AI32" s="49">
        <f t="shared" si="9"/>
        <v>5.5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6</v>
      </c>
      <c r="C33" s="46">
        <v>6</v>
      </c>
      <c r="D33" s="46">
        <v>6</v>
      </c>
      <c r="E33" s="46">
        <v>6</v>
      </c>
      <c r="F33" s="46">
        <v>6</v>
      </c>
      <c r="G33" s="46">
        <v>6</v>
      </c>
      <c r="H33" s="46">
        <v>6</v>
      </c>
      <c r="I33" s="46">
        <v>6</v>
      </c>
      <c r="J33" s="46">
        <v>6</v>
      </c>
      <c r="K33" s="46">
        <v>6</v>
      </c>
      <c r="L33" s="46">
        <v>6</v>
      </c>
      <c r="M33" s="46">
        <v>6</v>
      </c>
      <c r="N33" s="46">
        <v>6</v>
      </c>
      <c r="O33" s="46">
        <v>6</v>
      </c>
      <c r="P33" s="46">
        <v>6</v>
      </c>
      <c r="Q33" s="46">
        <v>6</v>
      </c>
      <c r="R33" s="46">
        <v>6</v>
      </c>
      <c r="S33" s="46">
        <v>6</v>
      </c>
      <c r="T33" s="46">
        <v>6</v>
      </c>
      <c r="U33" s="46">
        <v>6</v>
      </c>
      <c r="V33" s="46">
        <v>6</v>
      </c>
      <c r="W33" s="46">
        <v>6</v>
      </c>
      <c r="X33" s="46">
        <v>6</v>
      </c>
      <c r="Y33" s="46">
        <v>6</v>
      </c>
      <c r="Z33" s="46">
        <v>6</v>
      </c>
      <c r="AA33" s="46">
        <v>6</v>
      </c>
      <c r="AB33" s="46">
        <v>6</v>
      </c>
      <c r="AC33" s="46">
        <v>6</v>
      </c>
      <c r="AD33" s="46">
        <v>6</v>
      </c>
      <c r="AE33" s="46">
        <v>6</v>
      </c>
      <c r="AF33" s="46">
        <v>6</v>
      </c>
      <c r="AG33" s="50">
        <v>22</v>
      </c>
      <c r="AH33" s="48">
        <f t="shared" si="8"/>
        <v>6</v>
      </c>
      <c r="AI33" s="49">
        <f t="shared" si="9"/>
        <v>6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11.8</v>
      </c>
      <c r="C34" s="46">
        <v>11.8</v>
      </c>
      <c r="D34" s="46">
        <v>11.8</v>
      </c>
      <c r="E34" s="46">
        <v>11.8</v>
      </c>
      <c r="F34" s="46">
        <v>11.8</v>
      </c>
      <c r="G34" s="46">
        <v>11.8</v>
      </c>
      <c r="H34" s="46">
        <v>11.8</v>
      </c>
      <c r="I34" s="46">
        <v>11.8</v>
      </c>
      <c r="J34" s="46">
        <v>11.8</v>
      </c>
      <c r="K34" s="46">
        <v>11.8</v>
      </c>
      <c r="L34" s="46">
        <v>11.8</v>
      </c>
      <c r="M34" s="46">
        <v>11.8</v>
      </c>
      <c r="N34" s="46">
        <v>11.8</v>
      </c>
      <c r="O34" s="46">
        <v>11.8</v>
      </c>
      <c r="P34" s="46">
        <v>11.8</v>
      </c>
      <c r="Q34" s="46">
        <v>11.8</v>
      </c>
      <c r="R34" s="46">
        <v>11.8</v>
      </c>
      <c r="S34" s="46">
        <v>11.8</v>
      </c>
      <c r="T34" s="46">
        <v>11.8</v>
      </c>
      <c r="U34" s="46">
        <v>11.8</v>
      </c>
      <c r="V34" s="46">
        <v>11.8</v>
      </c>
      <c r="W34" s="46">
        <v>11.8</v>
      </c>
      <c r="X34" s="46">
        <v>11.8</v>
      </c>
      <c r="Y34" s="46">
        <v>11.8</v>
      </c>
      <c r="Z34" s="46">
        <v>11.8</v>
      </c>
      <c r="AA34" s="46">
        <v>11.8</v>
      </c>
      <c r="AB34" s="46">
        <v>11.8</v>
      </c>
      <c r="AC34" s="46">
        <v>11.8</v>
      </c>
      <c r="AD34" s="46">
        <v>11.8</v>
      </c>
      <c r="AE34" s="46">
        <v>11.8</v>
      </c>
      <c r="AF34" s="46">
        <v>11.8</v>
      </c>
      <c r="AG34" s="50">
        <v>22</v>
      </c>
      <c r="AH34" s="48">
        <f t="shared" si="8"/>
        <v>11.8</v>
      </c>
      <c r="AI34" s="49">
        <f t="shared" si="9"/>
        <v>11.8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8"/>
        <v>4</v>
      </c>
      <c r="AI35" s="49">
        <f t="shared" si="9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>
        <v>4</v>
      </c>
      <c r="V36" s="46">
        <v>4</v>
      </c>
      <c r="W36" s="46">
        <v>4</v>
      </c>
      <c r="X36" s="46">
        <v>4</v>
      </c>
      <c r="Y36" s="46">
        <v>4</v>
      </c>
      <c r="Z36" s="46">
        <v>4</v>
      </c>
      <c r="AA36" s="46">
        <v>4</v>
      </c>
      <c r="AB36" s="46">
        <v>4</v>
      </c>
      <c r="AC36" s="46">
        <v>4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8"/>
        <v>4</v>
      </c>
      <c r="AI36" s="49">
        <f t="shared" si="9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>
        <v>5.7</v>
      </c>
      <c r="V37" s="46">
        <v>5.7</v>
      </c>
      <c r="W37" s="46">
        <v>5.7</v>
      </c>
      <c r="X37" s="46">
        <v>5.7</v>
      </c>
      <c r="Y37" s="46">
        <v>5.7</v>
      </c>
      <c r="Z37" s="46">
        <v>5.7</v>
      </c>
      <c r="AA37" s="46">
        <v>5.7</v>
      </c>
      <c r="AB37" s="46">
        <v>5.7</v>
      </c>
      <c r="AC37" s="46">
        <v>5.7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8"/>
        <v>5.7</v>
      </c>
      <c r="AI37" s="49">
        <f t="shared" si="9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7.2</v>
      </c>
      <c r="Q38" s="46">
        <v>7.2</v>
      </c>
      <c r="R38" s="46">
        <v>7.2</v>
      </c>
      <c r="S38" s="46">
        <v>7.2</v>
      </c>
      <c r="T38" s="46">
        <v>7.2</v>
      </c>
      <c r="U38" s="46">
        <v>7.2</v>
      </c>
      <c r="V38" s="46">
        <v>7.2</v>
      </c>
      <c r="W38" s="46">
        <v>7.2</v>
      </c>
      <c r="X38" s="46">
        <v>7.2</v>
      </c>
      <c r="Y38" s="46">
        <v>7.2</v>
      </c>
      <c r="Z38" s="46">
        <v>7.2</v>
      </c>
      <c r="AA38" s="46">
        <v>7.2</v>
      </c>
      <c r="AB38" s="46">
        <v>7.2</v>
      </c>
      <c r="AC38" s="46">
        <v>7.2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8"/>
        <v>7.2</v>
      </c>
      <c r="AI38" s="49">
        <f t="shared" si="9"/>
        <v>7.2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0</v>
      </c>
      <c r="C40" s="46">
        <v>0</v>
      </c>
      <c r="D40" s="46">
        <v>0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46">
        <v>0</v>
      </c>
      <c r="P40" s="46">
        <v>0</v>
      </c>
      <c r="Q40" s="46">
        <v>0</v>
      </c>
      <c r="R40" s="46">
        <v>0</v>
      </c>
      <c r="S40" s="46">
        <v>0</v>
      </c>
      <c r="T40" s="46">
        <v>0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6">
        <v>0</v>
      </c>
      <c r="AD40" s="46">
        <v>0</v>
      </c>
      <c r="AE40" s="46">
        <v>0</v>
      </c>
      <c r="AF40" s="46">
        <v>0</v>
      </c>
      <c r="AG40" s="50">
        <v>14.9</v>
      </c>
      <c r="AH40" s="48">
        <f t="shared" si="8"/>
        <v>0</v>
      </c>
      <c r="AI40" s="49">
        <f t="shared" si="9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8"/>
        <v>4</v>
      </c>
      <c r="AI41" s="49">
        <f t="shared" si="9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>
        <v>1.8</v>
      </c>
      <c r="V42" s="46">
        <v>1.8</v>
      </c>
      <c r="W42" s="46">
        <v>1.8</v>
      </c>
      <c r="X42" s="46">
        <v>1.8</v>
      </c>
      <c r="Y42" s="46">
        <v>1.8</v>
      </c>
      <c r="Z42" s="46">
        <v>1.8</v>
      </c>
      <c r="AA42" s="46">
        <v>1.8</v>
      </c>
      <c r="AB42" s="46">
        <v>1.8</v>
      </c>
      <c r="AC42" s="46">
        <v>1.8</v>
      </c>
      <c r="AD42" s="46">
        <v>1.8</v>
      </c>
      <c r="AE42" s="46">
        <v>1.8</v>
      </c>
      <c r="AF42" s="46">
        <v>1.8</v>
      </c>
      <c r="AG42" s="50">
        <v>13.6</v>
      </c>
      <c r="AH42" s="48">
        <f t="shared" si="8"/>
        <v>1.8</v>
      </c>
      <c r="AI42" s="49">
        <f t="shared" si="9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>
        <v>3.8</v>
      </c>
      <c r="V43" s="46">
        <v>3.8</v>
      </c>
      <c r="W43" s="46">
        <v>3.8</v>
      </c>
      <c r="X43" s="46">
        <v>3.8</v>
      </c>
      <c r="Y43" s="46">
        <v>3.8</v>
      </c>
      <c r="Z43" s="46">
        <v>3.8</v>
      </c>
      <c r="AA43" s="46">
        <v>3.8</v>
      </c>
      <c r="AB43" s="46">
        <v>3.8</v>
      </c>
      <c r="AC43" s="46">
        <v>3.8</v>
      </c>
      <c r="AD43" s="46">
        <v>3.8</v>
      </c>
      <c r="AE43" s="46">
        <v>3.8</v>
      </c>
      <c r="AF43" s="46">
        <v>3.8</v>
      </c>
      <c r="AG43" s="50">
        <v>13</v>
      </c>
      <c r="AH43" s="48">
        <f t="shared" si="8"/>
        <v>3.8</v>
      </c>
      <c r="AI43" s="49">
        <f t="shared" si="9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2.5</v>
      </c>
      <c r="C44" s="46">
        <v>2.5</v>
      </c>
      <c r="D44" s="46">
        <v>2.5</v>
      </c>
      <c r="E44" s="46">
        <v>2.5</v>
      </c>
      <c r="F44" s="46">
        <v>2.5</v>
      </c>
      <c r="G44" s="46">
        <v>2.5</v>
      </c>
      <c r="H44" s="46">
        <v>2.5</v>
      </c>
      <c r="I44" s="46">
        <v>2.5</v>
      </c>
      <c r="J44" s="46">
        <v>2.5</v>
      </c>
      <c r="K44" s="46">
        <v>2.5</v>
      </c>
      <c r="L44" s="46">
        <v>2.5</v>
      </c>
      <c r="M44" s="46">
        <v>2.5</v>
      </c>
      <c r="N44" s="46">
        <v>2.5</v>
      </c>
      <c r="O44" s="46">
        <v>2.5</v>
      </c>
      <c r="P44" s="46">
        <v>2.5</v>
      </c>
      <c r="Q44" s="46">
        <v>2.5</v>
      </c>
      <c r="R44" s="46">
        <v>2.5</v>
      </c>
      <c r="S44" s="46">
        <v>2.5</v>
      </c>
      <c r="T44" s="46">
        <v>2.5</v>
      </c>
      <c r="U44" s="46">
        <v>2.5</v>
      </c>
      <c r="V44" s="46">
        <v>2.5</v>
      </c>
      <c r="W44" s="46">
        <v>2.5</v>
      </c>
      <c r="X44" s="46">
        <v>2.5</v>
      </c>
      <c r="Y44" s="46">
        <v>2.5</v>
      </c>
      <c r="Z44" s="46">
        <v>2.5</v>
      </c>
      <c r="AA44" s="46">
        <v>2.5</v>
      </c>
      <c r="AB44" s="46">
        <v>2.5</v>
      </c>
      <c r="AC44" s="46">
        <v>2.5</v>
      </c>
      <c r="AD44" s="46">
        <v>2.5</v>
      </c>
      <c r="AE44" s="46">
        <v>2.5</v>
      </c>
      <c r="AF44" s="46">
        <v>2.5</v>
      </c>
      <c r="AG44" s="50">
        <v>12</v>
      </c>
      <c r="AH44" s="48">
        <f t="shared" si="8"/>
        <v>2.5</v>
      </c>
      <c r="AI44" s="49">
        <f t="shared" si="9"/>
        <v>2.5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>
        <v>9</v>
      </c>
      <c r="V45" s="46">
        <v>9</v>
      </c>
      <c r="W45" s="46">
        <v>9</v>
      </c>
      <c r="X45" s="46">
        <v>9</v>
      </c>
      <c r="Y45" s="46">
        <v>9</v>
      </c>
      <c r="Z45" s="46">
        <v>9</v>
      </c>
      <c r="AA45" s="46">
        <v>9</v>
      </c>
      <c r="AB45" s="46">
        <v>9</v>
      </c>
      <c r="AC45" s="46">
        <v>9</v>
      </c>
      <c r="AD45" s="46">
        <v>9</v>
      </c>
      <c r="AE45" s="46">
        <v>9</v>
      </c>
      <c r="AF45" s="46">
        <v>9</v>
      </c>
      <c r="AG45" s="50">
        <v>12</v>
      </c>
      <c r="AH45" s="48">
        <f t="shared" si="8"/>
        <v>9</v>
      </c>
      <c r="AI45" s="49">
        <f t="shared" si="9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>
        <v>3.5</v>
      </c>
      <c r="V47" s="46">
        <v>3.5</v>
      </c>
      <c r="W47" s="46">
        <v>3.5</v>
      </c>
      <c r="X47" s="46">
        <v>3.5</v>
      </c>
      <c r="Y47" s="46">
        <v>3.5</v>
      </c>
      <c r="Z47" s="46">
        <v>3.5</v>
      </c>
      <c r="AA47" s="46">
        <v>3.5</v>
      </c>
      <c r="AB47" s="46">
        <v>3.5</v>
      </c>
      <c r="AC47" s="46">
        <v>3.5</v>
      </c>
      <c r="AD47" s="46">
        <v>3.5</v>
      </c>
      <c r="AE47" s="46">
        <v>3.5</v>
      </c>
      <c r="AF47" s="46">
        <v>3.5</v>
      </c>
      <c r="AG47" s="63">
        <v>22</v>
      </c>
      <c r="AH47" s="48">
        <f t="shared" si="8"/>
        <v>3.5</v>
      </c>
      <c r="AI47" s="49">
        <f t="shared" si="9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>
        <v>5</v>
      </c>
      <c r="V48" s="46">
        <v>5</v>
      </c>
      <c r="W48" s="46">
        <v>5</v>
      </c>
      <c r="X48" s="46">
        <v>5</v>
      </c>
      <c r="Y48" s="46">
        <v>5</v>
      </c>
      <c r="Z48" s="46">
        <v>5</v>
      </c>
      <c r="AA48" s="46">
        <v>5</v>
      </c>
      <c r="AB48" s="46">
        <v>5</v>
      </c>
      <c r="AC48" s="46">
        <v>5</v>
      </c>
      <c r="AD48" s="46">
        <v>5</v>
      </c>
      <c r="AE48" s="46">
        <v>5</v>
      </c>
      <c r="AF48" s="46">
        <v>5</v>
      </c>
      <c r="AG48" s="60">
        <v>11.88</v>
      </c>
      <c r="AH48" s="48">
        <f t="shared" si="8"/>
        <v>5</v>
      </c>
      <c r="AI48" s="49">
        <f t="shared" si="9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5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4" t="s">
        <v>67</v>
      </c>
      <c r="B50" s="46">
        <v>2.4500000000000002</v>
      </c>
      <c r="C50" s="46">
        <v>2.4500000000000002</v>
      </c>
      <c r="D50" s="46">
        <v>2.4500000000000002</v>
      </c>
      <c r="E50" s="46">
        <v>2.4500000000000002</v>
      </c>
      <c r="F50" s="46">
        <v>2.4500000000000002</v>
      </c>
      <c r="G50" s="46">
        <v>2.4500000000000002</v>
      </c>
      <c r="H50" s="46">
        <v>2.4500000000000002</v>
      </c>
      <c r="I50" s="46">
        <v>2.4500000000000002</v>
      </c>
      <c r="J50" s="46">
        <v>2.4500000000000002</v>
      </c>
      <c r="K50" s="46">
        <v>2.4500000000000002</v>
      </c>
      <c r="L50" s="46">
        <v>2.4500000000000002</v>
      </c>
      <c r="M50" s="46">
        <v>2.4500000000000002</v>
      </c>
      <c r="N50" s="46">
        <v>2.4500000000000002</v>
      </c>
      <c r="O50" s="46">
        <v>2.4500000000000002</v>
      </c>
      <c r="P50" s="46">
        <v>2.4500000000000002</v>
      </c>
      <c r="Q50" s="46">
        <v>2.4500000000000002</v>
      </c>
      <c r="R50" s="46">
        <v>2.4500000000000002</v>
      </c>
      <c r="S50" s="46">
        <v>2.4500000000000002</v>
      </c>
      <c r="T50" s="46">
        <v>2.4500000000000002</v>
      </c>
      <c r="U50" s="46">
        <v>2.4500000000000002</v>
      </c>
      <c r="V50" s="46">
        <v>2.4500000000000002</v>
      </c>
      <c r="W50" s="46">
        <v>2.4500000000000002</v>
      </c>
      <c r="X50" s="46">
        <v>2.4500000000000002</v>
      </c>
      <c r="Y50" s="46">
        <v>2.4500000000000002</v>
      </c>
      <c r="Z50" s="46">
        <v>2.4500000000000002</v>
      </c>
      <c r="AA50" s="46">
        <v>2.4500000000000002</v>
      </c>
      <c r="AB50" s="46">
        <v>2.4500000000000002</v>
      </c>
      <c r="AC50" s="46">
        <v>2.4500000000000002</v>
      </c>
      <c r="AD50" s="46">
        <v>2.4500000000000002</v>
      </c>
      <c r="AE50" s="46">
        <v>2.4500000000000002</v>
      </c>
      <c r="AF50" s="46">
        <v>2.4500000000000002</v>
      </c>
      <c r="AG50" s="65">
        <v>11</v>
      </c>
      <c r="AH50" s="48">
        <f t="shared" si="8"/>
        <v>2.4500000000000002</v>
      </c>
      <c r="AI50" s="49">
        <f t="shared" si="9"/>
        <v>2.4500000000000002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65">
        <v>11</v>
      </c>
      <c r="AH51" s="48">
        <f t="shared" si="8"/>
        <v>3</v>
      </c>
      <c r="AI51" s="49">
        <f t="shared" si="9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5">
        <v>10</v>
      </c>
      <c r="AH52" s="48">
        <f t="shared" si="8"/>
        <v>4</v>
      </c>
      <c r="AI52" s="49">
        <f t="shared" si="9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>
        <v>4.5</v>
      </c>
      <c r="V53" s="46">
        <v>4.5</v>
      </c>
      <c r="W53" s="46">
        <v>4.5</v>
      </c>
      <c r="X53" s="46">
        <v>4.5</v>
      </c>
      <c r="Y53" s="46">
        <v>4.5</v>
      </c>
      <c r="Z53" s="46">
        <v>4.5</v>
      </c>
      <c r="AA53" s="46">
        <v>4.5</v>
      </c>
      <c r="AB53" s="46">
        <v>4.5</v>
      </c>
      <c r="AC53" s="46">
        <v>4.5</v>
      </c>
      <c r="AD53" s="46">
        <v>4.5</v>
      </c>
      <c r="AE53" s="46">
        <v>4.5</v>
      </c>
      <c r="AF53" s="46">
        <v>4.5</v>
      </c>
      <c r="AG53" s="65">
        <v>10</v>
      </c>
      <c r="AH53" s="48">
        <f t="shared" si="8"/>
        <v>4.5</v>
      </c>
      <c r="AI53" s="49">
        <f t="shared" si="9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5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5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>
        <v>150</v>
      </c>
      <c r="W56" s="67">
        <v>150</v>
      </c>
      <c r="X56" s="67">
        <v>150</v>
      </c>
      <c r="Y56" s="67">
        <v>150</v>
      </c>
      <c r="Z56" s="67">
        <v>150</v>
      </c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8" t="s">
        <v>74</v>
      </c>
      <c r="B57" s="67">
        <f>18.9+34.3</f>
        <v>53.199999999999996</v>
      </c>
      <c r="C57" s="67">
        <f>19.6+33.4</f>
        <v>53</v>
      </c>
      <c r="D57" s="67">
        <f>16.4+30.6</f>
        <v>47</v>
      </c>
      <c r="E57" s="67">
        <f>35.3+22.3</f>
        <v>57.599999999999994</v>
      </c>
      <c r="F57" s="67">
        <f>12.4+2.6</f>
        <v>15</v>
      </c>
      <c r="G57" s="67">
        <f>25+14.9</f>
        <v>39.9</v>
      </c>
      <c r="H57" s="67">
        <f>29.9+21.8</f>
        <v>51.7</v>
      </c>
      <c r="I57" s="67">
        <f>23.3+13.1</f>
        <v>36.4</v>
      </c>
      <c r="J57" s="67">
        <f>33.9+22.9</f>
        <v>56.8</v>
      </c>
      <c r="K57" s="53">
        <f>32.8+20.5</f>
        <v>53.3</v>
      </c>
      <c r="L57" s="53">
        <f t="shared" ref="L57" si="22">32.8+20.5</f>
        <v>53.3</v>
      </c>
      <c r="M57" s="53">
        <v>49.3</v>
      </c>
      <c r="N57" s="53">
        <v>45.6</v>
      </c>
      <c r="O57" s="53">
        <v>50.3</v>
      </c>
      <c r="P57" s="53">
        <v>55</v>
      </c>
      <c r="Q57" s="53">
        <v>60</v>
      </c>
      <c r="R57" s="53">
        <v>60</v>
      </c>
      <c r="S57" s="53">
        <v>65</v>
      </c>
      <c r="T57" s="53">
        <v>57.3</v>
      </c>
      <c r="U57" s="53">
        <v>55.1</v>
      </c>
      <c r="V57" s="53">
        <v>49</v>
      </c>
      <c r="W57" s="53">
        <v>49.8</v>
      </c>
      <c r="X57" s="53">
        <v>47</v>
      </c>
      <c r="Y57" s="53">
        <v>47</v>
      </c>
      <c r="Z57" s="67">
        <v>39</v>
      </c>
      <c r="AA57" s="67">
        <v>39</v>
      </c>
      <c r="AB57" s="67">
        <v>39</v>
      </c>
      <c r="AC57" s="67">
        <v>39</v>
      </c>
      <c r="AD57" s="67">
        <v>39</v>
      </c>
      <c r="AE57" s="67">
        <v>39</v>
      </c>
      <c r="AF57" s="67">
        <v>39</v>
      </c>
      <c r="AG57" s="65">
        <v>240</v>
      </c>
      <c r="AH57" s="48">
        <f t="shared" si="8"/>
        <v>65</v>
      </c>
      <c r="AI57" s="49">
        <f t="shared" si="9"/>
        <v>15</v>
      </c>
      <c r="AK57" s="51"/>
    </row>
    <row r="58" spans="1:88" ht="15.75" thickBot="1" x14ac:dyDescent="0.3">
      <c r="A58" s="69" t="s">
        <v>75</v>
      </c>
      <c r="B58" s="70">
        <f t="shared" ref="B58" si="23">SUM(B11:B56)</f>
        <v>487.45</v>
      </c>
      <c r="C58" s="70">
        <f t="shared" ref="C58:AC58" si="24">SUM(C11:C56)</f>
        <v>487.45</v>
      </c>
      <c r="D58" s="70">
        <f t="shared" si="24"/>
        <v>480.85</v>
      </c>
      <c r="E58" s="70">
        <f t="shared" si="24"/>
        <v>471.15000000000003</v>
      </c>
      <c r="F58" s="70">
        <f t="shared" si="24"/>
        <v>483.95</v>
      </c>
      <c r="G58" s="70">
        <f t="shared" si="24"/>
        <v>483.95</v>
      </c>
      <c r="H58" s="70">
        <f t="shared" si="24"/>
        <v>484.15</v>
      </c>
      <c r="I58" s="70">
        <f t="shared" si="24"/>
        <v>477.05</v>
      </c>
      <c r="J58" s="70">
        <f t="shared" si="24"/>
        <v>470.75000000000006</v>
      </c>
      <c r="K58" s="70">
        <f t="shared" si="24"/>
        <v>477.25</v>
      </c>
      <c r="L58" s="70">
        <f t="shared" ref="L58:M58" si="25">SUM(L11:L56)</f>
        <v>477.25</v>
      </c>
      <c r="M58" s="70">
        <f t="shared" si="25"/>
        <v>485.65000000000003</v>
      </c>
      <c r="N58" s="70">
        <f t="shared" si="24"/>
        <v>468.25000000000006</v>
      </c>
      <c r="O58" s="70">
        <f t="shared" si="24"/>
        <v>468.25000000000006</v>
      </c>
      <c r="P58" s="70">
        <f t="shared" si="24"/>
        <v>456.25000000000006</v>
      </c>
      <c r="Q58" s="70">
        <f t="shared" si="24"/>
        <v>456.25000000000006</v>
      </c>
      <c r="R58" s="70">
        <f t="shared" si="24"/>
        <v>468.25000000000006</v>
      </c>
      <c r="S58" s="70">
        <f t="shared" ref="S58:T58" si="26">SUM(S11:S56)</f>
        <v>468.25000000000006</v>
      </c>
      <c r="T58" s="70">
        <f t="shared" si="26"/>
        <v>468.25000000000006</v>
      </c>
      <c r="U58" s="70">
        <f t="shared" ref="U58:V58" si="27">SUM(U11:U56)</f>
        <v>468.25000000000006</v>
      </c>
      <c r="V58" s="70">
        <f t="shared" si="27"/>
        <v>468.25000000000006</v>
      </c>
      <c r="W58" s="70">
        <f t="shared" ref="W58:X58" si="28">SUM(W11:W56)</f>
        <v>468.25000000000006</v>
      </c>
      <c r="X58" s="70">
        <f t="shared" si="28"/>
        <v>468.25000000000006</v>
      </c>
      <c r="Y58" s="70">
        <f t="shared" ref="Y58:Z58" si="29">SUM(Y11:Y56)</f>
        <v>468.25000000000006</v>
      </c>
      <c r="Z58" s="70">
        <f t="shared" si="29"/>
        <v>485.25</v>
      </c>
      <c r="AA58" s="70">
        <f t="shared" ref="AA58:AB58" si="30">SUM(AA11:AA56)</f>
        <v>485.25</v>
      </c>
      <c r="AB58" s="70">
        <f t="shared" si="30"/>
        <v>485.25</v>
      </c>
      <c r="AC58" s="70">
        <f t="shared" si="24"/>
        <v>485.25</v>
      </c>
      <c r="AD58" s="70">
        <f t="shared" ref="AD58:AE58" si="31">SUM(AD11:AD56)</f>
        <v>485.25</v>
      </c>
      <c r="AE58" s="70">
        <f t="shared" si="31"/>
        <v>485.25</v>
      </c>
      <c r="AF58" s="70">
        <f t="shared" ref="AF58" si="32">SUM(AF11:AF56)</f>
        <v>485.25</v>
      </c>
      <c r="AG58" s="71">
        <f>SUM(AG14:AG56)</f>
        <v>1042.4000000000001</v>
      </c>
      <c r="AH58" s="48">
        <f t="shared" si="8"/>
        <v>487.45</v>
      </c>
      <c r="AI58" s="49">
        <f t="shared" si="9"/>
        <v>456.25000000000006</v>
      </c>
      <c r="AK58" s="51"/>
    </row>
    <row r="59" spans="1:88" x14ac:dyDescent="0.25">
      <c r="A59" s="72" t="s">
        <v>76</v>
      </c>
      <c r="B59" s="46">
        <v>15</v>
      </c>
      <c r="C59" s="46">
        <v>15</v>
      </c>
      <c r="D59" s="46">
        <v>0</v>
      </c>
      <c r="E59" s="46">
        <v>0</v>
      </c>
      <c r="F59" s="46">
        <v>40</v>
      </c>
      <c r="G59" s="46">
        <v>60</v>
      </c>
      <c r="H59" s="46">
        <v>40</v>
      </c>
      <c r="I59" s="46">
        <v>110</v>
      </c>
      <c r="J59" s="46">
        <v>30</v>
      </c>
      <c r="K59" s="46">
        <v>70</v>
      </c>
      <c r="L59" s="46">
        <v>80</v>
      </c>
      <c r="M59" s="46">
        <v>80</v>
      </c>
      <c r="N59" s="73">
        <v>120</v>
      </c>
      <c r="O59" s="73">
        <v>90</v>
      </c>
      <c r="P59" s="73">
        <v>30</v>
      </c>
      <c r="Q59" s="73">
        <v>110</v>
      </c>
      <c r="R59" s="73">
        <v>150.6</v>
      </c>
      <c r="S59" s="73">
        <v>140</v>
      </c>
      <c r="T59" s="73">
        <v>85</v>
      </c>
      <c r="U59" s="73">
        <v>97.3</v>
      </c>
      <c r="V59" s="73">
        <v>110</v>
      </c>
      <c r="W59" s="73">
        <v>160</v>
      </c>
      <c r="X59" s="73">
        <v>100</v>
      </c>
      <c r="Y59" s="73">
        <v>205</v>
      </c>
      <c r="Z59" s="46">
        <v>235</v>
      </c>
      <c r="AA59" s="46">
        <v>266.60000000000002</v>
      </c>
      <c r="AB59" s="46">
        <v>261</v>
      </c>
      <c r="AC59" s="46">
        <v>160</v>
      </c>
      <c r="AD59" s="46">
        <v>90</v>
      </c>
      <c r="AE59" s="46">
        <v>90</v>
      </c>
      <c r="AF59" s="46">
        <v>90</v>
      </c>
      <c r="AG59" s="60">
        <v>456</v>
      </c>
      <c r="AH59" s="48">
        <f t="shared" si="8"/>
        <v>266.60000000000002</v>
      </c>
      <c r="AI59" s="49">
        <f t="shared" si="9"/>
        <v>0</v>
      </c>
      <c r="AK59" s="51"/>
    </row>
    <row r="60" spans="1:88" x14ac:dyDescent="0.25">
      <c r="A60" s="74" t="s">
        <v>77</v>
      </c>
      <c r="B60" s="75">
        <v>36</v>
      </c>
      <c r="C60" s="75">
        <v>36</v>
      </c>
      <c r="D60" s="75">
        <v>36</v>
      </c>
      <c r="E60" s="75">
        <v>36</v>
      </c>
      <c r="F60" s="75">
        <v>36</v>
      </c>
      <c r="G60" s="75">
        <v>36</v>
      </c>
      <c r="H60" s="75">
        <v>36</v>
      </c>
      <c r="I60" s="75">
        <v>36</v>
      </c>
      <c r="J60" s="75">
        <v>36</v>
      </c>
      <c r="K60" s="75">
        <v>36</v>
      </c>
      <c r="L60" s="75">
        <v>36</v>
      </c>
      <c r="M60" s="75">
        <v>25</v>
      </c>
      <c r="N60" s="75">
        <v>25</v>
      </c>
      <c r="O60" s="75">
        <v>25</v>
      </c>
      <c r="P60" s="75">
        <v>25</v>
      </c>
      <c r="Q60" s="75">
        <v>25</v>
      </c>
      <c r="R60" s="75">
        <v>25</v>
      </c>
      <c r="S60" s="75">
        <v>25</v>
      </c>
      <c r="T60" s="75">
        <v>25</v>
      </c>
      <c r="U60" s="75">
        <v>25</v>
      </c>
      <c r="V60" s="75">
        <v>25</v>
      </c>
      <c r="W60" s="75">
        <v>25</v>
      </c>
      <c r="X60" s="75">
        <v>25</v>
      </c>
      <c r="Y60" s="75">
        <v>25</v>
      </c>
      <c r="Z60" s="75">
        <v>25</v>
      </c>
      <c r="AA60" s="75">
        <v>25</v>
      </c>
      <c r="AB60" s="75">
        <v>25</v>
      </c>
      <c r="AC60" s="75">
        <v>25</v>
      </c>
      <c r="AD60" s="75">
        <v>25</v>
      </c>
      <c r="AE60" s="75">
        <v>25</v>
      </c>
      <c r="AF60" s="75">
        <v>25</v>
      </c>
      <c r="AG60" s="65">
        <v>60</v>
      </c>
      <c r="AH60" s="48">
        <f t="shared" si="8"/>
        <v>36</v>
      </c>
      <c r="AI60" s="49">
        <f t="shared" si="9"/>
        <v>25</v>
      </c>
      <c r="AK60" s="51"/>
    </row>
    <row r="61" spans="1:88" ht="15.75" thickBot="1" x14ac:dyDescent="0.3">
      <c r="A61" s="76" t="s">
        <v>78</v>
      </c>
      <c r="B61" s="77">
        <v>11.4</v>
      </c>
      <c r="C61" s="77">
        <v>11.4</v>
      </c>
      <c r="D61" s="77">
        <v>11.4</v>
      </c>
      <c r="E61" s="77">
        <v>11.4</v>
      </c>
      <c r="F61" s="77">
        <v>11.4</v>
      </c>
      <c r="G61" s="77">
        <v>11.4</v>
      </c>
      <c r="H61" s="77">
        <v>11.4</v>
      </c>
      <c r="I61" s="77">
        <v>11.4</v>
      </c>
      <c r="J61" s="77">
        <v>11.4</v>
      </c>
      <c r="K61" s="77">
        <v>11.4</v>
      </c>
      <c r="L61" s="77">
        <v>11.4</v>
      </c>
      <c r="M61" s="77">
        <v>11.4</v>
      </c>
      <c r="N61" s="77">
        <v>10.3</v>
      </c>
      <c r="O61" s="77">
        <v>10.199999999999999</v>
      </c>
      <c r="P61" s="77">
        <v>10.3</v>
      </c>
      <c r="Q61" s="77">
        <v>10.3</v>
      </c>
      <c r="R61" s="77">
        <v>10.3</v>
      </c>
      <c r="S61" s="77">
        <v>10.3</v>
      </c>
      <c r="T61" s="77">
        <v>10.3</v>
      </c>
      <c r="U61" s="77">
        <v>10.3</v>
      </c>
      <c r="V61" s="77">
        <v>10.3</v>
      </c>
      <c r="W61" s="77">
        <v>10.3</v>
      </c>
      <c r="X61" s="77">
        <v>10.3</v>
      </c>
      <c r="Y61" s="77">
        <v>10.3</v>
      </c>
      <c r="Z61" s="77">
        <v>10.3</v>
      </c>
      <c r="AA61" s="77">
        <v>10.3</v>
      </c>
      <c r="AB61" s="77">
        <v>10.3</v>
      </c>
      <c r="AC61" s="77">
        <v>10.3</v>
      </c>
      <c r="AD61" s="77">
        <v>10.3</v>
      </c>
      <c r="AE61" s="77">
        <v>10.3</v>
      </c>
      <c r="AF61" s="77">
        <v>10.3</v>
      </c>
      <c r="AG61" s="78">
        <v>22.1</v>
      </c>
      <c r="AH61" s="48">
        <f t="shared" si="8"/>
        <v>11.4</v>
      </c>
      <c r="AI61" s="49">
        <f t="shared" si="9"/>
        <v>10.199999999999999</v>
      </c>
      <c r="AK61" s="51"/>
    </row>
    <row r="62" spans="1:88" ht="15.75" thickBot="1" x14ac:dyDescent="0.3">
      <c r="A62" s="79" t="s">
        <v>79</v>
      </c>
      <c r="B62" s="70">
        <f t="shared" ref="B62" si="33">SUM(B59:B61)</f>
        <v>62.4</v>
      </c>
      <c r="C62" s="70">
        <f t="shared" ref="C62:AG62" si="34">SUM(C59:C61)</f>
        <v>62.4</v>
      </c>
      <c r="D62" s="70">
        <f t="shared" si="34"/>
        <v>47.4</v>
      </c>
      <c r="E62" s="70">
        <f t="shared" si="34"/>
        <v>47.4</v>
      </c>
      <c r="F62" s="70">
        <f t="shared" si="34"/>
        <v>87.4</v>
      </c>
      <c r="G62" s="70">
        <f t="shared" si="34"/>
        <v>107.4</v>
      </c>
      <c r="H62" s="70">
        <f t="shared" si="34"/>
        <v>87.4</v>
      </c>
      <c r="I62" s="70">
        <f t="shared" si="34"/>
        <v>157.4</v>
      </c>
      <c r="J62" s="70">
        <f t="shared" si="34"/>
        <v>77.400000000000006</v>
      </c>
      <c r="K62" s="70">
        <f t="shared" si="34"/>
        <v>117.4</v>
      </c>
      <c r="L62" s="70">
        <f t="shared" ref="L62:M62" si="35">SUM(L59:L61)</f>
        <v>127.4</v>
      </c>
      <c r="M62" s="70">
        <f t="shared" si="35"/>
        <v>116.4</v>
      </c>
      <c r="N62" s="70">
        <f t="shared" si="34"/>
        <v>155.30000000000001</v>
      </c>
      <c r="O62" s="70">
        <f t="shared" si="34"/>
        <v>125.2</v>
      </c>
      <c r="P62" s="70">
        <f t="shared" si="34"/>
        <v>65.3</v>
      </c>
      <c r="Q62" s="70">
        <f t="shared" ref="Q62" si="36">SUM(Q59:Q61)</f>
        <v>145.30000000000001</v>
      </c>
      <c r="R62" s="70">
        <f t="shared" si="34"/>
        <v>185.9</v>
      </c>
      <c r="S62" s="70">
        <f t="shared" ref="S62:T62" si="37">SUM(S59:S61)</f>
        <v>175.3</v>
      </c>
      <c r="T62" s="70">
        <f t="shared" si="37"/>
        <v>120.3</v>
      </c>
      <c r="U62" s="70">
        <f t="shared" ref="U62:V62" si="38">SUM(U59:U61)</f>
        <v>132.6</v>
      </c>
      <c r="V62" s="70">
        <f t="shared" si="38"/>
        <v>145.30000000000001</v>
      </c>
      <c r="W62" s="70">
        <f t="shared" ref="W62:X62" si="39">SUM(W59:W61)</f>
        <v>195.3</v>
      </c>
      <c r="X62" s="70">
        <f t="shared" si="39"/>
        <v>135.30000000000001</v>
      </c>
      <c r="Y62" s="70">
        <f t="shared" ref="Y62:Z62" si="40">SUM(Y59:Y61)</f>
        <v>240.3</v>
      </c>
      <c r="Z62" s="70">
        <f t="shared" si="40"/>
        <v>270.3</v>
      </c>
      <c r="AA62" s="70">
        <f t="shared" ref="AA62:AB62" si="41">SUM(AA59:AA61)</f>
        <v>301.90000000000003</v>
      </c>
      <c r="AB62" s="70">
        <f t="shared" si="41"/>
        <v>296.3</v>
      </c>
      <c r="AC62" s="70">
        <f t="shared" si="34"/>
        <v>195.3</v>
      </c>
      <c r="AD62" s="70">
        <f t="shared" ref="AD62:AE62" si="42">SUM(AD59:AD61)</f>
        <v>125.3</v>
      </c>
      <c r="AE62" s="70">
        <f t="shared" si="42"/>
        <v>125.3</v>
      </c>
      <c r="AF62" s="70">
        <f t="shared" ref="AF62" si="43">SUM(AF59:AF61)</f>
        <v>125.3</v>
      </c>
      <c r="AG62" s="71">
        <f t="shared" si="34"/>
        <v>538.1</v>
      </c>
      <c r="AH62" s="48">
        <f t="shared" si="8"/>
        <v>301.90000000000003</v>
      </c>
      <c r="AI62" s="49">
        <f t="shared" si="9"/>
        <v>47.4</v>
      </c>
      <c r="AK62" s="51"/>
    </row>
    <row r="63" spans="1:88" x14ac:dyDescent="0.25">
      <c r="A63" s="45" t="s">
        <v>80</v>
      </c>
      <c r="B63" s="46">
        <v>0</v>
      </c>
      <c r="C63" s="46">
        <v>0</v>
      </c>
      <c r="D63" s="46">
        <v>0</v>
      </c>
      <c r="E63" s="46">
        <v>0</v>
      </c>
      <c r="F63" s="46">
        <v>0</v>
      </c>
      <c r="G63" s="46">
        <v>40</v>
      </c>
      <c r="H63" s="46">
        <v>31</v>
      </c>
      <c r="I63" s="46">
        <v>39.6</v>
      </c>
      <c r="J63" s="46">
        <v>35</v>
      </c>
      <c r="K63" s="46">
        <v>72</v>
      </c>
      <c r="L63" s="46">
        <v>72</v>
      </c>
      <c r="M63" s="46">
        <v>91.3</v>
      </c>
      <c r="N63" s="46">
        <v>145.30000000000001</v>
      </c>
      <c r="O63" s="46">
        <v>121.8</v>
      </c>
      <c r="P63" s="46">
        <v>91</v>
      </c>
      <c r="Q63" s="46">
        <v>125</v>
      </c>
      <c r="R63" s="46">
        <v>126.3</v>
      </c>
      <c r="S63" s="46">
        <v>126.3</v>
      </c>
      <c r="T63" s="46">
        <v>105.8</v>
      </c>
      <c r="U63" s="46">
        <v>97.6</v>
      </c>
      <c r="V63" s="46">
        <v>75.400000000000006</v>
      </c>
      <c r="W63" s="46">
        <v>74.599999999999994</v>
      </c>
      <c r="X63" s="46">
        <v>123</v>
      </c>
      <c r="Y63" s="46">
        <v>140.30000000000001</v>
      </c>
      <c r="Z63" s="46">
        <v>140.30000000000001</v>
      </c>
      <c r="AA63" s="46">
        <v>140.30000000000001</v>
      </c>
      <c r="AB63" s="46">
        <v>125</v>
      </c>
      <c r="AC63" s="46">
        <v>100</v>
      </c>
      <c r="AD63" s="46">
        <v>83</v>
      </c>
      <c r="AE63" s="46">
        <v>30</v>
      </c>
      <c r="AF63" s="46">
        <v>0</v>
      </c>
      <c r="AG63" s="60">
        <v>144</v>
      </c>
      <c r="AH63" s="48">
        <f t="shared" si="8"/>
        <v>145.30000000000001</v>
      </c>
      <c r="AI63" s="49">
        <f t="shared" si="9"/>
        <v>0</v>
      </c>
      <c r="AK63" s="51"/>
    </row>
    <row r="64" spans="1:88" x14ac:dyDescent="0.25">
      <c r="A64" s="64" t="s">
        <v>81</v>
      </c>
      <c r="B64" s="46">
        <v>0</v>
      </c>
      <c r="C64" s="46">
        <v>0</v>
      </c>
      <c r="D64" s="75">
        <v>0</v>
      </c>
      <c r="E64" s="75">
        <v>0</v>
      </c>
      <c r="F64" s="75">
        <v>0</v>
      </c>
      <c r="G64" s="75">
        <v>33.700000000000003</v>
      </c>
      <c r="H64" s="75">
        <v>33.700000000000003</v>
      </c>
      <c r="I64" s="75">
        <v>33.799999999999997</v>
      </c>
      <c r="J64" s="75">
        <v>33.799999999999997</v>
      </c>
      <c r="K64" s="75">
        <v>34</v>
      </c>
      <c r="L64" s="75">
        <v>34</v>
      </c>
      <c r="M64" s="75">
        <v>70</v>
      </c>
      <c r="N64" s="75">
        <v>50</v>
      </c>
      <c r="O64" s="75">
        <v>50</v>
      </c>
      <c r="P64" s="75">
        <v>0</v>
      </c>
      <c r="Q64" s="75">
        <v>25</v>
      </c>
      <c r="R64" s="75">
        <v>35.299999999999997</v>
      </c>
      <c r="S64" s="75">
        <v>24.3</v>
      </c>
      <c r="T64" s="75">
        <v>35</v>
      </c>
      <c r="U64" s="75">
        <v>50.5</v>
      </c>
      <c r="V64" s="75">
        <v>61.6</v>
      </c>
      <c r="W64" s="75">
        <v>65.400000000000006</v>
      </c>
      <c r="X64" s="75">
        <v>66.5</v>
      </c>
      <c r="Y64" s="75">
        <v>65.7</v>
      </c>
      <c r="Z64" s="46">
        <v>65.599999999999994</v>
      </c>
      <c r="AA64" s="46">
        <v>60.1</v>
      </c>
      <c r="AB64" s="46">
        <v>50</v>
      </c>
      <c r="AC64" s="46">
        <v>35</v>
      </c>
      <c r="AD64" s="46">
        <v>25</v>
      </c>
      <c r="AE64" s="46">
        <v>0</v>
      </c>
      <c r="AF64" s="46">
        <v>0</v>
      </c>
      <c r="AG64" s="65">
        <v>70</v>
      </c>
      <c r="AH64" s="48">
        <f t="shared" si="8"/>
        <v>70</v>
      </c>
      <c r="AI64" s="49">
        <f t="shared" si="9"/>
        <v>0</v>
      </c>
      <c r="AK64" s="51"/>
    </row>
    <row r="65" spans="1:75" x14ac:dyDescent="0.25">
      <c r="A65" s="64" t="s">
        <v>82</v>
      </c>
      <c r="B65" s="46">
        <v>32.1</v>
      </c>
      <c r="C65" s="46">
        <v>32.1</v>
      </c>
      <c r="D65" s="75">
        <v>16</v>
      </c>
      <c r="E65" s="75">
        <v>17.5</v>
      </c>
      <c r="F65" s="75">
        <v>17.399999999999999</v>
      </c>
      <c r="G65" s="75">
        <v>43</v>
      </c>
      <c r="H65" s="75">
        <v>43</v>
      </c>
      <c r="I65" s="75">
        <v>45.1</v>
      </c>
      <c r="J65" s="75">
        <v>45.1</v>
      </c>
      <c r="K65" s="75">
        <v>45</v>
      </c>
      <c r="L65" s="75">
        <v>45</v>
      </c>
      <c r="M65" s="75">
        <v>45.4</v>
      </c>
      <c r="N65" s="75">
        <v>45.4</v>
      </c>
      <c r="O65" s="75">
        <v>45.2</v>
      </c>
      <c r="P65" s="75">
        <v>16.8</v>
      </c>
      <c r="Q65" s="75">
        <v>17</v>
      </c>
      <c r="R65" s="75">
        <v>22.2</v>
      </c>
      <c r="S65" s="75">
        <v>21.2</v>
      </c>
      <c r="T65" s="75">
        <v>21.2</v>
      </c>
      <c r="U65" s="75">
        <v>41.9</v>
      </c>
      <c r="V65" s="75">
        <v>60.3</v>
      </c>
      <c r="W65" s="75">
        <v>67.5</v>
      </c>
      <c r="X65" s="75">
        <v>66.5</v>
      </c>
      <c r="Y65" s="75">
        <v>66.099999999999994</v>
      </c>
      <c r="Z65" s="46">
        <v>66.099999999999994</v>
      </c>
      <c r="AA65" s="46">
        <v>65.7</v>
      </c>
      <c r="AB65" s="46">
        <v>60</v>
      </c>
      <c r="AC65" s="46">
        <v>68</v>
      </c>
      <c r="AD65" s="46">
        <v>68</v>
      </c>
      <c r="AE65" s="46">
        <v>51</v>
      </c>
      <c r="AF65" s="46">
        <v>32</v>
      </c>
      <c r="AG65" s="65">
        <v>69</v>
      </c>
      <c r="AH65" s="48">
        <f t="shared" si="8"/>
        <v>68</v>
      </c>
      <c r="AI65" s="49">
        <f t="shared" si="9"/>
        <v>16</v>
      </c>
      <c r="AK65" s="51"/>
    </row>
    <row r="66" spans="1:75" x14ac:dyDescent="0.25">
      <c r="A66" s="64" t="s">
        <v>83</v>
      </c>
      <c r="B66" s="46">
        <v>42.3</v>
      </c>
      <c r="C66" s="46">
        <v>42.3</v>
      </c>
      <c r="D66" s="75">
        <v>42.1</v>
      </c>
      <c r="E66" s="75">
        <v>42.1</v>
      </c>
      <c r="F66" s="75">
        <v>41</v>
      </c>
      <c r="G66" s="75">
        <v>41</v>
      </c>
      <c r="H66" s="75">
        <v>41</v>
      </c>
      <c r="I66" s="75">
        <v>41</v>
      </c>
      <c r="J66" s="75">
        <v>41</v>
      </c>
      <c r="K66" s="67">
        <v>40</v>
      </c>
      <c r="L66" s="67">
        <v>40</v>
      </c>
      <c r="M66" s="75">
        <v>36.200000000000003</v>
      </c>
      <c r="N66" s="75">
        <v>36</v>
      </c>
      <c r="O66" s="75">
        <v>36.299999999999997</v>
      </c>
      <c r="P66" s="75">
        <v>37.299999999999997</v>
      </c>
      <c r="Q66" s="75">
        <v>38</v>
      </c>
      <c r="R66" s="75">
        <v>35.299999999999997</v>
      </c>
      <c r="S66" s="75">
        <v>35.299999999999997</v>
      </c>
      <c r="T66" s="75">
        <v>35.299999999999997</v>
      </c>
      <c r="U66" s="75">
        <v>37.6</v>
      </c>
      <c r="V66" s="75">
        <v>37.6</v>
      </c>
      <c r="W66" s="75">
        <v>37.6</v>
      </c>
      <c r="X66" s="75">
        <v>36.299999999999997</v>
      </c>
      <c r="Y66" s="75">
        <v>35.299999999999997</v>
      </c>
      <c r="Z66" s="46">
        <v>35.299999999999997</v>
      </c>
      <c r="AA66" s="46">
        <v>35.299999999999997</v>
      </c>
      <c r="AB66" s="46">
        <v>35.299999999999997</v>
      </c>
      <c r="AC66" s="46">
        <v>35.299999999999997</v>
      </c>
      <c r="AD66" s="46">
        <v>35.299999999999997</v>
      </c>
      <c r="AE66" s="46">
        <v>35.299999999999997</v>
      </c>
      <c r="AF66" s="46">
        <v>35.299999999999997</v>
      </c>
      <c r="AG66" s="65">
        <v>60</v>
      </c>
      <c r="AH66" s="48">
        <f t="shared" si="8"/>
        <v>42.3</v>
      </c>
      <c r="AI66" s="49">
        <f t="shared" si="9"/>
        <v>35.299999999999997</v>
      </c>
      <c r="AK66" s="51"/>
    </row>
    <row r="67" spans="1:75" x14ac:dyDescent="0.25">
      <c r="A67" s="64" t="s">
        <v>84</v>
      </c>
      <c r="B67" s="46">
        <v>0</v>
      </c>
      <c r="C67" s="46">
        <v>0</v>
      </c>
      <c r="D67" s="46">
        <v>0</v>
      </c>
      <c r="E67" s="46">
        <v>0</v>
      </c>
      <c r="F67" s="46">
        <v>0</v>
      </c>
      <c r="G67" s="46">
        <v>0</v>
      </c>
      <c r="H67" s="46">
        <v>0</v>
      </c>
      <c r="I67" s="46">
        <v>10</v>
      </c>
      <c r="J67" s="46">
        <v>10</v>
      </c>
      <c r="K67" s="75">
        <v>10</v>
      </c>
      <c r="L67" s="75">
        <v>10</v>
      </c>
      <c r="M67" s="75">
        <v>10.4</v>
      </c>
      <c r="N67" s="75">
        <v>10.4</v>
      </c>
      <c r="O67" s="75">
        <v>10.3</v>
      </c>
      <c r="P67" s="75">
        <v>14.7</v>
      </c>
      <c r="Q67" s="75">
        <v>15</v>
      </c>
      <c r="R67" s="75">
        <v>14.9</v>
      </c>
      <c r="S67" s="75">
        <v>12.1</v>
      </c>
      <c r="T67" s="75">
        <v>14.9</v>
      </c>
      <c r="U67" s="75">
        <v>22.7</v>
      </c>
      <c r="V67" s="75">
        <v>22.6</v>
      </c>
      <c r="W67" s="75">
        <v>22.6</v>
      </c>
      <c r="X67" s="75">
        <v>22.6</v>
      </c>
      <c r="Y67" s="75">
        <v>22.4</v>
      </c>
      <c r="Z67" s="46">
        <v>23</v>
      </c>
      <c r="AA67" s="46">
        <v>13.9</v>
      </c>
      <c r="AB67" s="46">
        <v>10</v>
      </c>
      <c r="AC67" s="46">
        <v>10</v>
      </c>
      <c r="AD67" s="46">
        <v>10</v>
      </c>
      <c r="AE67" s="46">
        <v>10</v>
      </c>
      <c r="AF67" s="46">
        <v>0</v>
      </c>
      <c r="AG67" s="65">
        <v>30</v>
      </c>
      <c r="AH67" s="48">
        <f t="shared" si="8"/>
        <v>23</v>
      </c>
      <c r="AI67" s="49">
        <f t="shared" si="9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</row>
    <row r="68" spans="1:75" x14ac:dyDescent="0.25">
      <c r="A68" s="64" t="s">
        <v>85</v>
      </c>
      <c r="B68" s="75">
        <v>0</v>
      </c>
      <c r="C68" s="75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  <c r="M68" s="46">
        <v>5.6</v>
      </c>
      <c r="N68" s="75">
        <v>11.2</v>
      </c>
      <c r="O68" s="75">
        <v>11.3</v>
      </c>
      <c r="P68" s="75">
        <v>17.100000000000001</v>
      </c>
      <c r="Q68" s="75">
        <v>17.5</v>
      </c>
      <c r="R68" s="75">
        <v>17.5</v>
      </c>
      <c r="S68" s="75">
        <v>4.8</v>
      </c>
      <c r="T68" s="75">
        <v>10</v>
      </c>
      <c r="U68" s="75">
        <v>5.8</v>
      </c>
      <c r="V68" s="75">
        <v>1.9</v>
      </c>
      <c r="W68" s="75">
        <v>0.6</v>
      </c>
      <c r="X68" s="75">
        <v>0</v>
      </c>
      <c r="Y68" s="75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5">
        <v>25</v>
      </c>
      <c r="AH68" s="48">
        <f t="shared" si="8"/>
        <v>17.5</v>
      </c>
      <c r="AI68" s="49">
        <f t="shared" si="9"/>
        <v>0</v>
      </c>
      <c r="AK68" s="51"/>
      <c r="AY68" s="1" t="s">
        <v>86</v>
      </c>
      <c r="AZ68" s="81">
        <f>ROUND(C81,0)</f>
        <v>20</v>
      </c>
      <c r="BA68" s="80">
        <f t="shared" ref="BA68:BD72" si="44">D81</f>
        <v>19.600000000000001</v>
      </c>
      <c r="BB68" s="80">
        <f t="shared" si="44"/>
        <v>18.3</v>
      </c>
      <c r="BC68" s="80">
        <f t="shared" si="44"/>
        <v>21</v>
      </c>
      <c r="BD68" s="80">
        <f t="shared" si="44"/>
        <v>21</v>
      </c>
      <c r="BE68" s="81">
        <f>I81</f>
        <v>17.7</v>
      </c>
      <c r="BF68" s="81">
        <f>K81</f>
        <v>42.3</v>
      </c>
      <c r="BG68" s="81">
        <f t="shared" ref="BG68:BP72" si="45">M81</f>
        <v>36.799999999999997</v>
      </c>
      <c r="BH68" s="81">
        <f t="shared" si="45"/>
        <v>31.3</v>
      </c>
      <c r="BI68" s="81">
        <f t="shared" si="45"/>
        <v>36.5</v>
      </c>
      <c r="BJ68" s="81">
        <f t="shared" si="45"/>
        <v>41.3</v>
      </c>
      <c r="BK68" s="81">
        <f t="shared" si="45"/>
        <v>46.3</v>
      </c>
      <c r="BL68" s="81">
        <f t="shared" si="45"/>
        <v>54.1</v>
      </c>
      <c r="BM68" s="81">
        <f t="shared" si="45"/>
        <v>43.5</v>
      </c>
      <c r="BN68" s="81">
        <f t="shared" si="45"/>
        <v>52.6</v>
      </c>
      <c r="BO68" s="81">
        <f t="shared" si="45"/>
        <v>56</v>
      </c>
      <c r="BP68" s="81">
        <f t="shared" si="45"/>
        <v>51.5</v>
      </c>
      <c r="BQ68" s="81">
        <f>X81</f>
        <v>44.5</v>
      </c>
      <c r="BR68" s="81">
        <f>Z81</f>
        <v>60.2</v>
      </c>
      <c r="BS68" s="80">
        <f>AB81</f>
        <v>67.7</v>
      </c>
      <c r="BT68" s="80">
        <f>AD81</f>
        <v>51</v>
      </c>
      <c r="BU68" s="80">
        <f>AE81</f>
        <v>45</v>
      </c>
      <c r="BV68" s="80">
        <f>AF81</f>
        <v>44</v>
      </c>
      <c r="BW68" s="80">
        <f>B81</f>
        <v>21.2</v>
      </c>
    </row>
    <row r="69" spans="1:75" x14ac:dyDescent="0.25">
      <c r="A69" s="64" t="s">
        <v>87</v>
      </c>
      <c r="B69" s="75">
        <v>16</v>
      </c>
      <c r="C69" s="75">
        <v>16</v>
      </c>
      <c r="D69" s="75">
        <v>16</v>
      </c>
      <c r="E69" s="75">
        <v>16</v>
      </c>
      <c r="F69" s="75">
        <v>16</v>
      </c>
      <c r="G69" s="75">
        <v>16</v>
      </c>
      <c r="H69" s="75">
        <v>16</v>
      </c>
      <c r="I69" s="75">
        <v>16</v>
      </c>
      <c r="J69" s="75">
        <v>16</v>
      </c>
      <c r="K69" s="75">
        <v>16</v>
      </c>
      <c r="L69" s="75">
        <v>16</v>
      </c>
      <c r="M69" s="75">
        <v>16</v>
      </c>
      <c r="N69" s="75">
        <v>16</v>
      </c>
      <c r="O69" s="75">
        <v>16</v>
      </c>
      <c r="P69" s="75">
        <v>16</v>
      </c>
      <c r="Q69" s="75">
        <v>16</v>
      </c>
      <c r="R69" s="75">
        <v>15</v>
      </c>
      <c r="S69" s="75">
        <v>15</v>
      </c>
      <c r="T69" s="75">
        <v>15</v>
      </c>
      <c r="U69" s="75">
        <v>15</v>
      </c>
      <c r="V69" s="75">
        <v>15</v>
      </c>
      <c r="W69" s="75">
        <v>15</v>
      </c>
      <c r="X69" s="75">
        <v>15</v>
      </c>
      <c r="Y69" s="75">
        <v>15</v>
      </c>
      <c r="Z69" s="75">
        <v>15</v>
      </c>
      <c r="AA69" s="75">
        <v>15</v>
      </c>
      <c r="AB69" s="75">
        <v>15</v>
      </c>
      <c r="AC69" s="75">
        <v>15</v>
      </c>
      <c r="AD69" s="75">
        <v>15</v>
      </c>
      <c r="AE69" s="75">
        <v>15</v>
      </c>
      <c r="AF69" s="75">
        <v>15</v>
      </c>
      <c r="AG69" s="65">
        <v>24</v>
      </c>
      <c r="AH69" s="48">
        <f t="shared" si="8"/>
        <v>16</v>
      </c>
      <c r="AI69" s="49">
        <f t="shared" si="9"/>
        <v>15</v>
      </c>
      <c r="AK69" s="51"/>
      <c r="AY69" s="1" t="s">
        <v>88</v>
      </c>
      <c r="AZ69" s="81">
        <f>ROUND(C82,0)</f>
        <v>0</v>
      </c>
      <c r="BA69" s="80">
        <f t="shared" si="44"/>
        <v>0</v>
      </c>
      <c r="BB69" s="80">
        <f t="shared" si="44"/>
        <v>0</v>
      </c>
      <c r="BC69" s="80">
        <f t="shared" si="44"/>
        <v>0</v>
      </c>
      <c r="BD69" s="80">
        <f t="shared" si="44"/>
        <v>0</v>
      </c>
      <c r="BE69" s="81">
        <f t="shared" ref="BE69:BE72" si="46">I82</f>
        <v>0</v>
      </c>
      <c r="BF69" s="81">
        <f t="shared" ref="BF69:BF72" si="47">K82</f>
        <v>0</v>
      </c>
      <c r="BG69" s="81">
        <f t="shared" si="45"/>
        <v>0</v>
      </c>
      <c r="BH69" s="81">
        <f t="shared" si="45"/>
        <v>0</v>
      </c>
      <c r="BI69" s="81">
        <f t="shared" si="45"/>
        <v>0</v>
      </c>
      <c r="BJ69" s="81">
        <f t="shared" si="45"/>
        <v>0</v>
      </c>
      <c r="BK69" s="81">
        <f t="shared" si="45"/>
        <v>0</v>
      </c>
      <c r="BL69" s="81">
        <f t="shared" si="45"/>
        <v>0</v>
      </c>
      <c r="BM69" s="81">
        <f t="shared" si="45"/>
        <v>0</v>
      </c>
      <c r="BN69" s="81">
        <f t="shared" si="45"/>
        <v>0</v>
      </c>
      <c r="BO69" s="81">
        <f t="shared" si="45"/>
        <v>0</v>
      </c>
      <c r="BP69" s="81">
        <f t="shared" si="45"/>
        <v>0</v>
      </c>
      <c r="BQ69" s="81">
        <f t="shared" ref="BQ69:BQ72" si="48">X82</f>
        <v>0</v>
      </c>
      <c r="BR69" s="81">
        <f t="shared" ref="BR69:BR72" si="49">Z82</f>
        <v>0</v>
      </c>
      <c r="BS69" s="80">
        <f t="shared" ref="BS69:BS72" si="50">AB82</f>
        <v>0</v>
      </c>
      <c r="BT69" s="80">
        <f t="shared" ref="BT69:BV72" si="51">AD82</f>
        <v>0</v>
      </c>
      <c r="BU69" s="80">
        <f t="shared" si="51"/>
        <v>0</v>
      </c>
      <c r="BV69" s="80">
        <f t="shared" si="51"/>
        <v>0</v>
      </c>
      <c r="BW69" s="80">
        <f t="shared" ref="BW69:BW72" si="52">B82</f>
        <v>0</v>
      </c>
    </row>
    <row r="70" spans="1:75" x14ac:dyDescent="0.25">
      <c r="A70" s="64" t="s">
        <v>89</v>
      </c>
      <c r="B70" s="75">
        <v>4</v>
      </c>
      <c r="C70" s="75">
        <v>4</v>
      </c>
      <c r="D70" s="75">
        <v>4</v>
      </c>
      <c r="E70" s="75">
        <v>4</v>
      </c>
      <c r="F70" s="75">
        <v>4</v>
      </c>
      <c r="G70" s="75">
        <v>4</v>
      </c>
      <c r="H70" s="75">
        <v>4</v>
      </c>
      <c r="I70" s="75">
        <v>4</v>
      </c>
      <c r="J70" s="75">
        <v>4</v>
      </c>
      <c r="K70" s="75">
        <v>4</v>
      </c>
      <c r="L70" s="75">
        <v>4</v>
      </c>
      <c r="M70" s="75">
        <v>4</v>
      </c>
      <c r="N70" s="75">
        <v>4</v>
      </c>
      <c r="O70" s="75">
        <v>4</v>
      </c>
      <c r="P70" s="75">
        <v>0</v>
      </c>
      <c r="Q70" s="75">
        <v>0</v>
      </c>
      <c r="R70" s="75">
        <v>0</v>
      </c>
      <c r="S70" s="75">
        <v>0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5">
        <v>0</v>
      </c>
      <c r="Z70" s="75">
        <v>0</v>
      </c>
      <c r="AA70" s="75">
        <v>0</v>
      </c>
      <c r="AB70" s="75">
        <v>0</v>
      </c>
      <c r="AC70" s="75">
        <v>0</v>
      </c>
      <c r="AD70" s="75">
        <v>0</v>
      </c>
      <c r="AE70" s="75">
        <v>0</v>
      </c>
      <c r="AF70" s="75">
        <v>0</v>
      </c>
      <c r="AG70" s="65">
        <v>15</v>
      </c>
      <c r="AH70" s="48">
        <f t="shared" si="8"/>
        <v>4</v>
      </c>
      <c r="AI70" s="49">
        <f t="shared" si="9"/>
        <v>0</v>
      </c>
      <c r="AK70" s="51"/>
      <c r="AL70" s="82"/>
      <c r="AO70" s="82"/>
      <c r="AY70" s="1" t="s">
        <v>90</v>
      </c>
      <c r="AZ70" s="81">
        <f>ROUND(C83,0)</f>
        <v>35</v>
      </c>
      <c r="BA70" s="80">
        <f t="shared" si="44"/>
        <v>41.1</v>
      </c>
      <c r="BB70" s="80">
        <f t="shared" si="44"/>
        <v>5</v>
      </c>
      <c r="BC70" s="80">
        <f t="shared" si="44"/>
        <v>-31</v>
      </c>
      <c r="BD70" s="80">
        <f t="shared" si="44"/>
        <v>-108</v>
      </c>
      <c r="BE70" s="81">
        <f t="shared" si="46"/>
        <v>2</v>
      </c>
      <c r="BF70" s="81">
        <f t="shared" si="47"/>
        <v>167.8</v>
      </c>
      <c r="BG70" s="81">
        <f t="shared" si="45"/>
        <v>234</v>
      </c>
      <c r="BH70" s="81">
        <f t="shared" si="45"/>
        <v>132</v>
      </c>
      <c r="BI70" s="81">
        <f t="shared" si="45"/>
        <v>151.30000000000001</v>
      </c>
      <c r="BJ70" s="81">
        <f t="shared" si="45"/>
        <v>264.8</v>
      </c>
      <c r="BK70" s="81">
        <f t="shared" si="45"/>
        <v>148</v>
      </c>
      <c r="BL70" s="81">
        <f t="shared" si="45"/>
        <v>160.30000000000001</v>
      </c>
      <c r="BM70" s="81">
        <f t="shared" si="45"/>
        <v>179.2</v>
      </c>
      <c r="BN70" s="81">
        <f t="shared" si="45"/>
        <v>253.1</v>
      </c>
      <c r="BO70" s="81">
        <f t="shared" si="45"/>
        <v>264.2</v>
      </c>
      <c r="BP70" s="81">
        <f t="shared" si="45"/>
        <v>260.10000000000002</v>
      </c>
      <c r="BQ70" s="81">
        <f t="shared" si="48"/>
        <v>308.5</v>
      </c>
      <c r="BR70" s="81">
        <f t="shared" si="49"/>
        <v>237.8</v>
      </c>
      <c r="BS70" s="80">
        <f t="shared" si="50"/>
        <v>205</v>
      </c>
      <c r="BT70" s="80">
        <f t="shared" si="51"/>
        <v>295</v>
      </c>
      <c r="BU70" s="80">
        <f t="shared" si="51"/>
        <v>296</v>
      </c>
      <c r="BV70" s="80">
        <f t="shared" si="51"/>
        <v>281</v>
      </c>
      <c r="BW70" s="80">
        <f t="shared" si="52"/>
        <v>78.900000000000006</v>
      </c>
    </row>
    <row r="71" spans="1:75" s="82" customFormat="1" x14ac:dyDescent="0.25">
      <c r="A71" s="64" t="s">
        <v>91</v>
      </c>
      <c r="B71" s="75">
        <v>13.2</v>
      </c>
      <c r="C71" s="75">
        <v>13.2</v>
      </c>
      <c r="D71" s="75">
        <v>13.2</v>
      </c>
      <c r="E71" s="75">
        <v>13.2</v>
      </c>
      <c r="F71" s="75">
        <v>13.2</v>
      </c>
      <c r="G71" s="75">
        <v>13.2</v>
      </c>
      <c r="H71" s="75">
        <v>13.2</v>
      </c>
      <c r="I71" s="75">
        <v>13.2</v>
      </c>
      <c r="J71" s="75">
        <v>13.2</v>
      </c>
      <c r="K71" s="75">
        <v>13.2</v>
      </c>
      <c r="L71" s="75">
        <v>13.2</v>
      </c>
      <c r="M71" s="75">
        <v>13.2</v>
      </c>
      <c r="N71" s="75">
        <v>13.2</v>
      </c>
      <c r="O71" s="75">
        <v>13.2</v>
      </c>
      <c r="P71" s="75">
        <v>13.2</v>
      </c>
      <c r="Q71" s="75">
        <v>13.2</v>
      </c>
      <c r="R71" s="75">
        <v>9.8000000000000007</v>
      </c>
      <c r="S71" s="75">
        <v>9.8000000000000007</v>
      </c>
      <c r="T71" s="75">
        <v>9.8000000000000007</v>
      </c>
      <c r="U71" s="75">
        <v>9.8000000000000007</v>
      </c>
      <c r="V71" s="75">
        <v>9.8000000000000007</v>
      </c>
      <c r="W71" s="75">
        <v>9.8000000000000007</v>
      </c>
      <c r="X71" s="75">
        <v>9.8000000000000007</v>
      </c>
      <c r="Y71" s="75">
        <v>9.8000000000000007</v>
      </c>
      <c r="Z71" s="75">
        <v>9.8000000000000007</v>
      </c>
      <c r="AA71" s="75">
        <v>9.8000000000000007</v>
      </c>
      <c r="AB71" s="75">
        <v>9.8000000000000007</v>
      </c>
      <c r="AC71" s="75">
        <v>9.8000000000000007</v>
      </c>
      <c r="AD71" s="75">
        <v>9.8000000000000007</v>
      </c>
      <c r="AE71" s="75">
        <v>9.8000000000000007</v>
      </c>
      <c r="AF71" s="75">
        <v>9.8000000000000007</v>
      </c>
      <c r="AG71" s="65">
        <v>14.1</v>
      </c>
      <c r="AH71" s="48">
        <f t="shared" si="8"/>
        <v>13.2</v>
      </c>
      <c r="AI71" s="49">
        <f t="shared" si="9"/>
        <v>9.8000000000000007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0</v>
      </c>
      <c r="BA71" s="80">
        <f t="shared" si="44"/>
        <v>0</v>
      </c>
      <c r="BB71" s="80">
        <f t="shared" si="44"/>
        <v>0</v>
      </c>
      <c r="BC71" s="80">
        <f t="shared" si="44"/>
        <v>0</v>
      </c>
      <c r="BD71" s="80">
        <f t="shared" si="44"/>
        <v>0</v>
      </c>
      <c r="BE71" s="81">
        <f t="shared" si="46"/>
        <v>0</v>
      </c>
      <c r="BF71" s="81">
        <f t="shared" si="47"/>
        <v>0</v>
      </c>
      <c r="BG71" s="81">
        <f t="shared" si="45"/>
        <v>0</v>
      </c>
      <c r="BH71" s="81">
        <f t="shared" si="45"/>
        <v>0</v>
      </c>
      <c r="BI71" s="81">
        <f t="shared" si="45"/>
        <v>0</v>
      </c>
      <c r="BJ71" s="81">
        <f t="shared" si="45"/>
        <v>0</v>
      </c>
      <c r="BK71" s="81">
        <f t="shared" si="45"/>
        <v>0</v>
      </c>
      <c r="BL71" s="81">
        <f t="shared" si="45"/>
        <v>0</v>
      </c>
      <c r="BM71" s="81">
        <f t="shared" si="45"/>
        <v>0</v>
      </c>
      <c r="BN71" s="81">
        <f t="shared" si="45"/>
        <v>0</v>
      </c>
      <c r="BO71" s="81">
        <f t="shared" si="45"/>
        <v>0</v>
      </c>
      <c r="BP71" s="81">
        <f t="shared" si="45"/>
        <v>0</v>
      </c>
      <c r="BQ71" s="81">
        <f t="shared" si="48"/>
        <v>0</v>
      </c>
      <c r="BR71" s="81">
        <f t="shared" si="49"/>
        <v>0</v>
      </c>
      <c r="BS71" s="80">
        <f t="shared" si="50"/>
        <v>0</v>
      </c>
      <c r="BT71" s="80">
        <f t="shared" si="51"/>
        <v>0</v>
      </c>
      <c r="BU71" s="80">
        <f t="shared" si="51"/>
        <v>0</v>
      </c>
      <c r="BV71" s="80">
        <f t="shared" si="51"/>
        <v>0</v>
      </c>
      <c r="BW71" s="80">
        <f t="shared" si="52"/>
        <v>0</v>
      </c>
    </row>
    <row r="72" spans="1:75" x14ac:dyDescent="0.25">
      <c r="A72" s="83" t="s">
        <v>93</v>
      </c>
      <c r="B72" s="75">
        <v>5.0999999999999996</v>
      </c>
      <c r="C72" s="75">
        <v>5.0999999999999996</v>
      </c>
      <c r="D72" s="75">
        <v>5.0999999999999996</v>
      </c>
      <c r="E72" s="75">
        <v>5.0999999999999996</v>
      </c>
      <c r="F72" s="75">
        <v>5.0999999999999996</v>
      </c>
      <c r="G72" s="75">
        <v>5.0999999999999996</v>
      </c>
      <c r="H72" s="75">
        <v>5.0999999999999996</v>
      </c>
      <c r="I72" s="75">
        <v>5.0999999999999996</v>
      </c>
      <c r="J72" s="75">
        <v>5.0999999999999996</v>
      </c>
      <c r="K72" s="75">
        <v>5.0999999999999996</v>
      </c>
      <c r="L72" s="75">
        <v>5.0999999999999996</v>
      </c>
      <c r="M72" s="75">
        <v>5.0999999999999996</v>
      </c>
      <c r="N72" s="75">
        <v>5.0999999999999996</v>
      </c>
      <c r="O72" s="75">
        <v>5.0999999999999996</v>
      </c>
      <c r="P72" s="75">
        <v>5.0999999999999996</v>
      </c>
      <c r="Q72" s="75">
        <v>5.0999999999999996</v>
      </c>
      <c r="R72" s="75">
        <v>5.0999999999999996</v>
      </c>
      <c r="S72" s="75">
        <v>5.0999999999999996</v>
      </c>
      <c r="T72" s="75">
        <v>5.0999999999999996</v>
      </c>
      <c r="U72" s="75">
        <v>5.0999999999999996</v>
      </c>
      <c r="V72" s="75">
        <v>5.0999999999999996</v>
      </c>
      <c r="W72" s="75">
        <v>5.0999999999999996</v>
      </c>
      <c r="X72" s="75">
        <v>5.0999999999999996</v>
      </c>
      <c r="Y72" s="75">
        <v>5.0999999999999996</v>
      </c>
      <c r="Z72" s="75">
        <v>5.0999999999999996</v>
      </c>
      <c r="AA72" s="75">
        <v>5.0999999999999996</v>
      </c>
      <c r="AB72" s="75">
        <v>5.0999999999999996</v>
      </c>
      <c r="AC72" s="75">
        <v>5.0999999999999996</v>
      </c>
      <c r="AD72" s="75">
        <v>5.0999999999999996</v>
      </c>
      <c r="AE72" s="75">
        <v>5.0999999999999996</v>
      </c>
      <c r="AF72" s="75">
        <v>5.0999999999999996</v>
      </c>
      <c r="AG72" s="65">
        <v>14</v>
      </c>
      <c r="AH72" s="48">
        <f t="shared" si="8"/>
        <v>5.0999999999999996</v>
      </c>
      <c r="AI72" s="49">
        <f t="shared" si="9"/>
        <v>5.0999999999999996</v>
      </c>
      <c r="AK72" s="51"/>
      <c r="AY72" s="1" t="s">
        <v>94</v>
      </c>
      <c r="AZ72" s="81">
        <f>ROUND(C85,0)</f>
        <v>0</v>
      </c>
      <c r="BA72" s="80">
        <f t="shared" si="44"/>
        <v>0</v>
      </c>
      <c r="BB72" s="80">
        <f t="shared" si="44"/>
        <v>0</v>
      </c>
      <c r="BC72" s="80">
        <f t="shared" si="44"/>
        <v>0</v>
      </c>
      <c r="BD72" s="80">
        <f t="shared" si="44"/>
        <v>0</v>
      </c>
      <c r="BE72" s="81">
        <f t="shared" si="46"/>
        <v>0</v>
      </c>
      <c r="BF72" s="81">
        <f t="shared" si="47"/>
        <v>0</v>
      </c>
      <c r="BG72" s="81">
        <f t="shared" si="45"/>
        <v>0</v>
      </c>
      <c r="BH72" s="81">
        <f t="shared" si="45"/>
        <v>0</v>
      </c>
      <c r="BI72" s="81">
        <f t="shared" si="45"/>
        <v>0</v>
      </c>
      <c r="BJ72" s="81">
        <f t="shared" si="45"/>
        <v>0</v>
      </c>
      <c r="BK72" s="81">
        <f t="shared" si="45"/>
        <v>0</v>
      </c>
      <c r="BL72" s="81">
        <f t="shared" si="45"/>
        <v>0</v>
      </c>
      <c r="BM72" s="81">
        <f t="shared" si="45"/>
        <v>0</v>
      </c>
      <c r="BN72" s="81">
        <f t="shared" si="45"/>
        <v>0</v>
      </c>
      <c r="BO72" s="81">
        <f t="shared" si="45"/>
        <v>0</v>
      </c>
      <c r="BP72" s="81">
        <f t="shared" si="45"/>
        <v>0</v>
      </c>
      <c r="BQ72" s="81">
        <f t="shared" si="48"/>
        <v>0</v>
      </c>
      <c r="BR72" s="81">
        <f t="shared" si="49"/>
        <v>0</v>
      </c>
      <c r="BS72" s="80">
        <f t="shared" si="50"/>
        <v>0</v>
      </c>
      <c r="BT72" s="80">
        <f t="shared" si="51"/>
        <v>0</v>
      </c>
      <c r="BU72" s="80">
        <f t="shared" si="51"/>
        <v>0</v>
      </c>
      <c r="BV72" s="80">
        <f t="shared" si="51"/>
        <v>0</v>
      </c>
      <c r="BW72" s="80">
        <f t="shared" si="52"/>
        <v>0</v>
      </c>
    </row>
    <row r="73" spans="1:75" x14ac:dyDescent="0.25">
      <c r="A73" s="64" t="s">
        <v>95</v>
      </c>
      <c r="B73" s="75">
        <v>4.5</v>
      </c>
      <c r="C73" s="75">
        <v>4.5</v>
      </c>
      <c r="D73" s="75">
        <v>4.5</v>
      </c>
      <c r="E73" s="75">
        <v>4.5</v>
      </c>
      <c r="F73" s="75">
        <v>4.5</v>
      </c>
      <c r="G73" s="75">
        <v>4.5</v>
      </c>
      <c r="H73" s="75">
        <v>4.5</v>
      </c>
      <c r="I73" s="75">
        <v>4.5</v>
      </c>
      <c r="J73" s="75">
        <v>4.5</v>
      </c>
      <c r="K73" s="75">
        <v>4.5</v>
      </c>
      <c r="L73" s="75">
        <v>4.5</v>
      </c>
      <c r="M73" s="75">
        <v>4.5</v>
      </c>
      <c r="N73" s="75">
        <v>4.5</v>
      </c>
      <c r="O73" s="75">
        <v>4.5</v>
      </c>
      <c r="P73" s="75">
        <v>4.5</v>
      </c>
      <c r="Q73" s="75">
        <v>4.5</v>
      </c>
      <c r="R73" s="75">
        <v>4.5</v>
      </c>
      <c r="S73" s="75">
        <v>4.5</v>
      </c>
      <c r="T73" s="75">
        <v>4.5</v>
      </c>
      <c r="U73" s="75">
        <v>4.5</v>
      </c>
      <c r="V73" s="75">
        <v>4.5</v>
      </c>
      <c r="W73" s="75">
        <v>4.5</v>
      </c>
      <c r="X73" s="75">
        <v>4.5</v>
      </c>
      <c r="Y73" s="75">
        <v>4.5</v>
      </c>
      <c r="Z73" s="75">
        <v>4.5</v>
      </c>
      <c r="AA73" s="75">
        <v>4.5</v>
      </c>
      <c r="AB73" s="75">
        <v>4.5</v>
      </c>
      <c r="AC73" s="75">
        <v>4.5</v>
      </c>
      <c r="AD73" s="75">
        <v>4.5</v>
      </c>
      <c r="AE73" s="75">
        <v>4.5</v>
      </c>
      <c r="AF73" s="75">
        <v>4.5</v>
      </c>
      <c r="AG73" s="65">
        <v>10.050000000000001</v>
      </c>
      <c r="AH73" s="48">
        <f t="shared" si="8"/>
        <v>4.5</v>
      </c>
      <c r="AI73" s="49">
        <f t="shared" si="9"/>
        <v>4.5</v>
      </c>
      <c r="AK73" s="51"/>
      <c r="AY73" s="1" t="s">
        <v>96</v>
      </c>
      <c r="AZ73" s="81">
        <f>ROUND(C91,0)</f>
        <v>0</v>
      </c>
      <c r="BA73" s="81">
        <f>D91</f>
        <v>0</v>
      </c>
      <c r="BB73" s="81">
        <f>E91</f>
        <v>0</v>
      </c>
      <c r="BC73" s="81">
        <f>F91</f>
        <v>0</v>
      </c>
      <c r="BD73" s="81">
        <f>G91</f>
        <v>0</v>
      </c>
      <c r="BE73" s="81">
        <f>I91</f>
        <v>0</v>
      </c>
      <c r="BF73" s="81">
        <f>K91</f>
        <v>0</v>
      </c>
      <c r="BG73" s="81">
        <f t="shared" ref="BG73:BP73" si="53">M91</f>
        <v>0</v>
      </c>
      <c r="BH73" s="81">
        <f t="shared" si="53"/>
        <v>0</v>
      </c>
      <c r="BI73" s="81">
        <f t="shared" si="53"/>
        <v>0</v>
      </c>
      <c r="BJ73" s="81">
        <f t="shared" si="53"/>
        <v>0</v>
      </c>
      <c r="BK73" s="81">
        <f t="shared" si="53"/>
        <v>0</v>
      </c>
      <c r="BL73" s="81">
        <f t="shared" si="53"/>
        <v>0</v>
      </c>
      <c r="BM73" s="81">
        <f t="shared" si="53"/>
        <v>0</v>
      </c>
      <c r="BN73" s="81">
        <f t="shared" si="53"/>
        <v>0</v>
      </c>
      <c r="BO73" s="81">
        <f t="shared" si="53"/>
        <v>0</v>
      </c>
      <c r="BP73" s="81">
        <f t="shared" si="53"/>
        <v>0</v>
      </c>
      <c r="BQ73" s="81">
        <f>X91</f>
        <v>0</v>
      </c>
      <c r="BR73" s="81">
        <f>Z91</f>
        <v>0</v>
      </c>
      <c r="BS73" s="81">
        <f>AB91</f>
        <v>0</v>
      </c>
      <c r="BT73" s="81">
        <f>AD91</f>
        <v>0</v>
      </c>
      <c r="BU73" s="81">
        <f>AE91</f>
        <v>0</v>
      </c>
      <c r="BV73" s="81">
        <f>AF91</f>
        <v>0</v>
      </c>
      <c r="BW73" s="81">
        <f>B91</f>
        <v>0</v>
      </c>
    </row>
    <row r="74" spans="1:75" x14ac:dyDescent="0.25">
      <c r="A74" s="64" t="s">
        <v>97</v>
      </c>
      <c r="B74" s="75">
        <v>4.5</v>
      </c>
      <c r="C74" s="75">
        <v>4.5</v>
      </c>
      <c r="D74" s="75">
        <v>4.5</v>
      </c>
      <c r="E74" s="75">
        <v>4.5</v>
      </c>
      <c r="F74" s="75">
        <v>4.5</v>
      </c>
      <c r="G74" s="75">
        <v>4.5</v>
      </c>
      <c r="H74" s="75">
        <v>4.5</v>
      </c>
      <c r="I74" s="75">
        <v>4.5</v>
      </c>
      <c r="J74" s="75">
        <v>4.5</v>
      </c>
      <c r="K74" s="75">
        <v>4.5</v>
      </c>
      <c r="L74" s="75">
        <v>4.5</v>
      </c>
      <c r="M74" s="75">
        <v>4.5</v>
      </c>
      <c r="N74" s="75">
        <v>4.5</v>
      </c>
      <c r="O74" s="75">
        <v>4.5</v>
      </c>
      <c r="P74" s="75">
        <v>4.5</v>
      </c>
      <c r="Q74" s="75">
        <v>4.5</v>
      </c>
      <c r="R74" s="75">
        <v>4.5</v>
      </c>
      <c r="S74" s="75">
        <v>4.5</v>
      </c>
      <c r="T74" s="75">
        <v>4.5</v>
      </c>
      <c r="U74" s="75">
        <v>4.5</v>
      </c>
      <c r="V74" s="75">
        <v>4.5</v>
      </c>
      <c r="W74" s="75">
        <v>4.5</v>
      </c>
      <c r="X74" s="75">
        <v>4.5</v>
      </c>
      <c r="Y74" s="75">
        <v>4.5</v>
      </c>
      <c r="Z74" s="75">
        <v>4.5</v>
      </c>
      <c r="AA74" s="75">
        <v>4.5</v>
      </c>
      <c r="AB74" s="75">
        <v>4.5</v>
      </c>
      <c r="AC74" s="75">
        <v>4.5</v>
      </c>
      <c r="AD74" s="75">
        <v>4.5</v>
      </c>
      <c r="AE74" s="75">
        <v>4.5</v>
      </c>
      <c r="AF74" s="75">
        <v>4.5</v>
      </c>
      <c r="AG74" s="65">
        <v>6.2</v>
      </c>
      <c r="AH74" s="48">
        <f t="shared" si="8"/>
        <v>4.5</v>
      </c>
      <c r="AI74" s="49">
        <f t="shared" si="9"/>
        <v>4.5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</row>
    <row r="75" spans="1:75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>
        <v>3.54</v>
      </c>
      <c r="W75" s="84">
        <v>3.54</v>
      </c>
      <c r="X75" s="84">
        <v>3.54</v>
      </c>
      <c r="Y75" s="84">
        <v>3.54</v>
      </c>
      <c r="Z75" s="84">
        <v>3.54</v>
      </c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8"/>
        <v>3.54</v>
      </c>
      <c r="AI75" s="49">
        <f t="shared" si="9"/>
        <v>3.54</v>
      </c>
      <c r="AK75" s="51"/>
      <c r="AZ75" s="81">
        <f>VALUE(AZ68)</f>
        <v>20</v>
      </c>
      <c r="BA75" s="81">
        <f t="shared" ref="BA75:BW75" si="54">VALUE(BA68)</f>
        <v>19.600000000000001</v>
      </c>
      <c r="BB75" s="81">
        <f t="shared" si="54"/>
        <v>18.3</v>
      </c>
      <c r="BC75" s="81">
        <f t="shared" si="54"/>
        <v>21</v>
      </c>
      <c r="BD75" s="81">
        <f t="shared" si="54"/>
        <v>21</v>
      </c>
      <c r="BE75" s="81">
        <f t="shared" si="54"/>
        <v>17.7</v>
      </c>
      <c r="BF75" s="81">
        <f t="shared" si="54"/>
        <v>42.3</v>
      </c>
      <c r="BG75" s="81">
        <f t="shared" si="54"/>
        <v>36.799999999999997</v>
      </c>
      <c r="BH75" s="81">
        <f t="shared" si="54"/>
        <v>31.3</v>
      </c>
      <c r="BI75" s="81">
        <f t="shared" si="54"/>
        <v>36.5</v>
      </c>
      <c r="BJ75" s="81">
        <f t="shared" si="54"/>
        <v>41.3</v>
      </c>
      <c r="BK75" s="81">
        <f t="shared" si="54"/>
        <v>46.3</v>
      </c>
      <c r="BL75" s="81">
        <f t="shared" si="54"/>
        <v>54.1</v>
      </c>
      <c r="BM75" s="81">
        <f t="shared" si="54"/>
        <v>43.5</v>
      </c>
      <c r="BN75" s="81">
        <f t="shared" si="54"/>
        <v>52.6</v>
      </c>
      <c r="BO75" s="81">
        <f t="shared" si="54"/>
        <v>56</v>
      </c>
      <c r="BP75" s="81">
        <f t="shared" si="54"/>
        <v>51.5</v>
      </c>
      <c r="BQ75" s="81">
        <f t="shared" si="54"/>
        <v>44.5</v>
      </c>
      <c r="BR75" s="81">
        <f t="shared" si="54"/>
        <v>60.2</v>
      </c>
      <c r="BS75" s="81">
        <f t="shared" si="54"/>
        <v>67.7</v>
      </c>
      <c r="BT75" s="81">
        <f t="shared" si="54"/>
        <v>51</v>
      </c>
      <c r="BU75" s="81">
        <f t="shared" si="54"/>
        <v>45</v>
      </c>
      <c r="BV75" s="81">
        <f t="shared" si="54"/>
        <v>44</v>
      </c>
      <c r="BW75" s="81">
        <f t="shared" si="54"/>
        <v>21.2</v>
      </c>
    </row>
    <row r="76" spans="1:75" ht="15.75" thickBot="1" x14ac:dyDescent="0.3">
      <c r="A76" s="86" t="s">
        <v>99</v>
      </c>
      <c r="B76" s="70">
        <f t="shared" ref="B76" si="55">SUM(B63:B75)</f>
        <v>125.24000000000001</v>
      </c>
      <c r="C76" s="70">
        <f t="shared" ref="C76:AG76" si="56">SUM(C63:C75)</f>
        <v>125.24000000000001</v>
      </c>
      <c r="D76" s="70">
        <f t="shared" si="56"/>
        <v>108.94</v>
      </c>
      <c r="E76" s="70">
        <f t="shared" si="56"/>
        <v>110.44</v>
      </c>
      <c r="F76" s="70">
        <f t="shared" si="56"/>
        <v>109.24000000000001</v>
      </c>
      <c r="G76" s="70">
        <f t="shared" si="56"/>
        <v>208.53999999999996</v>
      </c>
      <c r="H76" s="70">
        <f t="shared" si="56"/>
        <v>199.53999999999996</v>
      </c>
      <c r="I76" s="70">
        <f t="shared" si="56"/>
        <v>220.33999999999997</v>
      </c>
      <c r="J76" s="70">
        <f t="shared" si="56"/>
        <v>215.73999999999998</v>
      </c>
      <c r="K76" s="70">
        <f t="shared" si="56"/>
        <v>251.83999999999997</v>
      </c>
      <c r="L76" s="70">
        <f t="shared" si="56"/>
        <v>251.83999999999997</v>
      </c>
      <c r="M76" s="70">
        <f t="shared" si="56"/>
        <v>309.74000000000007</v>
      </c>
      <c r="N76" s="70">
        <f t="shared" si="56"/>
        <v>349.14000000000004</v>
      </c>
      <c r="O76" s="70">
        <f t="shared" si="56"/>
        <v>325.74000000000007</v>
      </c>
      <c r="P76" s="70">
        <f t="shared" si="56"/>
        <v>223.73999999999995</v>
      </c>
      <c r="Q76" s="70">
        <f t="shared" si="56"/>
        <v>284.34000000000003</v>
      </c>
      <c r="R76" s="70">
        <f t="shared" si="56"/>
        <v>293.94000000000005</v>
      </c>
      <c r="S76" s="70">
        <f t="shared" ref="S76:T76" si="57">SUM(S63:S75)</f>
        <v>266.44</v>
      </c>
      <c r="T76" s="70">
        <f t="shared" si="57"/>
        <v>264.64000000000004</v>
      </c>
      <c r="U76" s="70">
        <f t="shared" ref="U76:V76" si="58">SUM(U63:U75)</f>
        <v>298.54000000000002</v>
      </c>
      <c r="V76" s="70">
        <f t="shared" si="58"/>
        <v>301.84000000000003</v>
      </c>
      <c r="W76" s="70">
        <f t="shared" ref="W76:X76" si="59">SUM(W63:W75)</f>
        <v>310.74000000000007</v>
      </c>
      <c r="X76" s="70">
        <f t="shared" si="59"/>
        <v>357.34000000000009</v>
      </c>
      <c r="Y76" s="70">
        <f t="shared" ref="Y76:Z76" si="60">SUM(Y63:Y75)</f>
        <v>372.24000000000007</v>
      </c>
      <c r="Z76" s="70">
        <f t="shared" si="60"/>
        <v>372.74000000000007</v>
      </c>
      <c r="AA76" s="70">
        <f t="shared" ref="AA76:AB76" si="61">SUM(AA63:AA75)</f>
        <v>357.74000000000007</v>
      </c>
      <c r="AB76" s="70">
        <f t="shared" si="61"/>
        <v>322.74000000000007</v>
      </c>
      <c r="AC76" s="70">
        <f t="shared" si="56"/>
        <v>290.74000000000007</v>
      </c>
      <c r="AD76" s="70">
        <f t="shared" ref="AD76:AE76" si="62">SUM(AD63:AD75)</f>
        <v>263.74000000000007</v>
      </c>
      <c r="AE76" s="70">
        <f t="shared" si="62"/>
        <v>168.74</v>
      </c>
      <c r="AF76" s="70">
        <f t="shared" ref="AF76" si="63">SUM(AF63:AF75)</f>
        <v>109.74</v>
      </c>
      <c r="AG76" s="71">
        <f t="shared" si="56"/>
        <v>489.91</v>
      </c>
      <c r="AH76" s="48">
        <f t="shared" si="8"/>
        <v>372.74000000000007</v>
      </c>
      <c r="AI76" s="49">
        <f t="shared" si="9"/>
        <v>108.94</v>
      </c>
      <c r="AK76" s="51"/>
      <c r="AZ76" s="81">
        <f t="shared" ref="AZ76:BW80" si="64">VALUE(AZ69)</f>
        <v>0</v>
      </c>
      <c r="BA76" s="81">
        <f t="shared" si="64"/>
        <v>0</v>
      </c>
      <c r="BB76" s="81">
        <f t="shared" si="64"/>
        <v>0</v>
      </c>
      <c r="BC76" s="81">
        <f t="shared" si="64"/>
        <v>0</v>
      </c>
      <c r="BD76" s="81">
        <f t="shared" si="64"/>
        <v>0</v>
      </c>
      <c r="BE76" s="81">
        <f t="shared" si="64"/>
        <v>0</v>
      </c>
      <c r="BF76" s="81">
        <f t="shared" si="64"/>
        <v>0</v>
      </c>
      <c r="BG76" s="81">
        <f t="shared" si="64"/>
        <v>0</v>
      </c>
      <c r="BH76" s="81">
        <f t="shared" si="64"/>
        <v>0</v>
      </c>
      <c r="BI76" s="81">
        <f t="shared" si="64"/>
        <v>0</v>
      </c>
      <c r="BJ76" s="81">
        <f t="shared" si="64"/>
        <v>0</v>
      </c>
      <c r="BK76" s="81">
        <f t="shared" si="64"/>
        <v>0</v>
      </c>
      <c r="BL76" s="81">
        <f t="shared" si="64"/>
        <v>0</v>
      </c>
      <c r="BM76" s="81">
        <f t="shared" si="64"/>
        <v>0</v>
      </c>
      <c r="BN76" s="81">
        <f t="shared" si="64"/>
        <v>0</v>
      </c>
      <c r="BO76" s="81">
        <f t="shared" si="64"/>
        <v>0</v>
      </c>
      <c r="BP76" s="81">
        <f t="shared" si="64"/>
        <v>0</v>
      </c>
      <c r="BQ76" s="81">
        <f t="shared" si="64"/>
        <v>0</v>
      </c>
      <c r="BR76" s="81">
        <f t="shared" si="64"/>
        <v>0</v>
      </c>
      <c r="BS76" s="81">
        <f t="shared" si="64"/>
        <v>0</v>
      </c>
      <c r="BT76" s="81">
        <f t="shared" si="64"/>
        <v>0</v>
      </c>
      <c r="BU76" s="81">
        <f t="shared" si="64"/>
        <v>0</v>
      </c>
      <c r="BV76" s="81">
        <f t="shared" si="64"/>
        <v>0</v>
      </c>
      <c r="BW76" s="81">
        <f t="shared" si="64"/>
        <v>0</v>
      </c>
    </row>
    <row r="77" spans="1:75" x14ac:dyDescent="0.25">
      <c r="A77" s="45" t="s">
        <v>100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>
        <v>40</v>
      </c>
      <c r="Z77" s="46">
        <v>60</v>
      </c>
      <c r="AA77" s="46">
        <v>60</v>
      </c>
      <c r="AB77" s="46">
        <v>25</v>
      </c>
      <c r="AC77" s="46">
        <v>20</v>
      </c>
      <c r="AD77" s="46">
        <v>30</v>
      </c>
      <c r="AE77" s="46">
        <v>20</v>
      </c>
      <c r="AF77" s="46">
        <v>20</v>
      </c>
      <c r="AG77" s="60">
        <v>60</v>
      </c>
      <c r="AH77" s="48">
        <f t="shared" si="8"/>
        <v>60</v>
      </c>
      <c r="AI77" s="49">
        <f t="shared" si="9"/>
        <v>20</v>
      </c>
      <c r="AK77" s="51"/>
      <c r="AZ77" s="81">
        <f t="shared" si="64"/>
        <v>35</v>
      </c>
      <c r="BA77" s="81">
        <f t="shared" si="64"/>
        <v>41.1</v>
      </c>
      <c r="BB77" s="81">
        <f t="shared" si="64"/>
        <v>5</v>
      </c>
      <c r="BC77" s="81">
        <f t="shared" si="64"/>
        <v>-31</v>
      </c>
      <c r="BD77" s="81">
        <f t="shared" si="64"/>
        <v>-108</v>
      </c>
      <c r="BE77" s="81">
        <f t="shared" si="64"/>
        <v>2</v>
      </c>
      <c r="BF77" s="81">
        <f t="shared" si="64"/>
        <v>167.8</v>
      </c>
      <c r="BG77" s="81">
        <f t="shared" si="64"/>
        <v>234</v>
      </c>
      <c r="BH77" s="81">
        <f t="shared" si="64"/>
        <v>132</v>
      </c>
      <c r="BI77" s="81">
        <f t="shared" si="64"/>
        <v>151.30000000000001</v>
      </c>
      <c r="BJ77" s="81">
        <f t="shared" si="64"/>
        <v>264.8</v>
      </c>
      <c r="BK77" s="81">
        <f t="shared" si="64"/>
        <v>148</v>
      </c>
      <c r="BL77" s="81">
        <f t="shared" si="64"/>
        <v>160.30000000000001</v>
      </c>
      <c r="BM77" s="81">
        <f t="shared" si="64"/>
        <v>179.2</v>
      </c>
      <c r="BN77" s="81">
        <f t="shared" si="64"/>
        <v>253.1</v>
      </c>
      <c r="BO77" s="81">
        <f t="shared" si="64"/>
        <v>264.2</v>
      </c>
      <c r="BP77" s="81">
        <f t="shared" si="64"/>
        <v>260.10000000000002</v>
      </c>
      <c r="BQ77" s="81">
        <f t="shared" si="64"/>
        <v>308.5</v>
      </c>
      <c r="BR77" s="81">
        <f t="shared" si="64"/>
        <v>237.8</v>
      </c>
      <c r="BS77" s="81">
        <f t="shared" si="64"/>
        <v>205</v>
      </c>
      <c r="BT77" s="81">
        <f t="shared" si="64"/>
        <v>295</v>
      </c>
      <c r="BU77" s="81">
        <f t="shared" si="64"/>
        <v>296</v>
      </c>
      <c r="BV77" s="81">
        <f t="shared" si="64"/>
        <v>281</v>
      </c>
      <c r="BW77" s="81">
        <f t="shared" si="64"/>
        <v>78.900000000000006</v>
      </c>
    </row>
    <row r="78" spans="1:75" x14ac:dyDescent="0.25">
      <c r="A78" s="64" t="s">
        <v>101</v>
      </c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>
        <v>10.1</v>
      </c>
      <c r="Z78" s="75">
        <v>23.1</v>
      </c>
      <c r="AA78" s="75">
        <v>27.7</v>
      </c>
      <c r="AB78" s="75">
        <v>15</v>
      </c>
      <c r="AC78" s="75">
        <v>15</v>
      </c>
      <c r="AD78" s="75">
        <v>13.5</v>
      </c>
      <c r="AE78" s="75">
        <v>5</v>
      </c>
      <c r="AF78" s="75">
        <v>7</v>
      </c>
      <c r="AG78" s="65">
        <v>32</v>
      </c>
      <c r="AH78" s="48">
        <f t="shared" si="8"/>
        <v>27.7</v>
      </c>
      <c r="AI78" s="49">
        <f t="shared" si="9"/>
        <v>5</v>
      </c>
      <c r="AK78" s="51"/>
      <c r="AZ78" s="81">
        <f t="shared" si="64"/>
        <v>0</v>
      </c>
      <c r="BA78" s="81">
        <f t="shared" si="64"/>
        <v>0</v>
      </c>
      <c r="BB78" s="81">
        <f t="shared" si="64"/>
        <v>0</v>
      </c>
      <c r="BC78" s="81">
        <f t="shared" si="64"/>
        <v>0</v>
      </c>
      <c r="BD78" s="81">
        <f t="shared" si="64"/>
        <v>0</v>
      </c>
      <c r="BE78" s="81">
        <f t="shared" si="64"/>
        <v>0</v>
      </c>
      <c r="BF78" s="81">
        <f t="shared" si="64"/>
        <v>0</v>
      </c>
      <c r="BG78" s="81">
        <f t="shared" si="64"/>
        <v>0</v>
      </c>
      <c r="BH78" s="81">
        <f t="shared" si="64"/>
        <v>0</v>
      </c>
      <c r="BI78" s="81">
        <f t="shared" si="64"/>
        <v>0</v>
      </c>
      <c r="BJ78" s="81">
        <f t="shared" si="64"/>
        <v>0</v>
      </c>
      <c r="BK78" s="81">
        <f t="shared" si="64"/>
        <v>0</v>
      </c>
      <c r="BL78" s="81">
        <f t="shared" si="64"/>
        <v>0</v>
      </c>
      <c r="BM78" s="81">
        <f t="shared" si="64"/>
        <v>0</v>
      </c>
      <c r="BN78" s="81">
        <f t="shared" si="64"/>
        <v>0</v>
      </c>
      <c r="BO78" s="81">
        <f t="shared" si="64"/>
        <v>0</v>
      </c>
      <c r="BP78" s="81">
        <f t="shared" si="64"/>
        <v>0</v>
      </c>
      <c r="BQ78" s="81">
        <f t="shared" si="64"/>
        <v>0</v>
      </c>
      <c r="BR78" s="81">
        <f t="shared" si="64"/>
        <v>0</v>
      </c>
      <c r="BS78" s="81">
        <f t="shared" si="64"/>
        <v>0</v>
      </c>
      <c r="BT78" s="81">
        <f t="shared" si="64"/>
        <v>0</v>
      </c>
      <c r="BU78" s="81">
        <f t="shared" si="64"/>
        <v>0</v>
      </c>
      <c r="BV78" s="81">
        <f t="shared" si="64"/>
        <v>0</v>
      </c>
      <c r="BW78" s="81">
        <f t="shared" si="64"/>
        <v>0</v>
      </c>
    </row>
    <row r="79" spans="1:75" ht="15.75" thickBot="1" x14ac:dyDescent="0.3">
      <c r="A79" s="83" t="s">
        <v>102</v>
      </c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>
        <v>3.7</v>
      </c>
      <c r="Z79" s="77">
        <v>8.4</v>
      </c>
      <c r="AA79" s="77">
        <v>10.1</v>
      </c>
      <c r="AB79" s="77">
        <v>5.5</v>
      </c>
      <c r="AC79" s="77">
        <v>5.5</v>
      </c>
      <c r="AD79" s="77">
        <v>4.9000000000000004</v>
      </c>
      <c r="AE79" s="77">
        <v>2</v>
      </c>
      <c r="AF79" s="77">
        <v>3</v>
      </c>
      <c r="AG79" s="78">
        <v>14</v>
      </c>
      <c r="AH79" s="48">
        <f t="shared" si="8"/>
        <v>10.1</v>
      </c>
      <c r="AI79" s="49">
        <f t="shared" si="9"/>
        <v>2</v>
      </c>
      <c r="AK79" s="51"/>
      <c r="AZ79" s="81">
        <f t="shared" si="64"/>
        <v>0</v>
      </c>
      <c r="BA79" s="81">
        <f t="shared" si="64"/>
        <v>0</v>
      </c>
      <c r="BB79" s="81">
        <f t="shared" si="64"/>
        <v>0</v>
      </c>
      <c r="BC79" s="81">
        <f t="shared" si="64"/>
        <v>0</v>
      </c>
      <c r="BD79" s="81">
        <f t="shared" si="64"/>
        <v>0</v>
      </c>
      <c r="BE79" s="81">
        <f t="shared" si="64"/>
        <v>0</v>
      </c>
      <c r="BF79" s="81">
        <f t="shared" si="64"/>
        <v>0</v>
      </c>
      <c r="BG79" s="81">
        <f t="shared" si="64"/>
        <v>0</v>
      </c>
      <c r="BH79" s="81">
        <f t="shared" si="64"/>
        <v>0</v>
      </c>
      <c r="BI79" s="81">
        <f t="shared" si="64"/>
        <v>0</v>
      </c>
      <c r="BJ79" s="81">
        <f t="shared" si="64"/>
        <v>0</v>
      </c>
      <c r="BK79" s="81">
        <f t="shared" si="64"/>
        <v>0</v>
      </c>
      <c r="BL79" s="81">
        <f t="shared" si="64"/>
        <v>0</v>
      </c>
      <c r="BM79" s="81">
        <f t="shared" si="64"/>
        <v>0</v>
      </c>
      <c r="BN79" s="81">
        <f t="shared" si="64"/>
        <v>0</v>
      </c>
      <c r="BO79" s="81">
        <f t="shared" si="64"/>
        <v>0</v>
      </c>
      <c r="BP79" s="81">
        <f t="shared" si="64"/>
        <v>0</v>
      </c>
      <c r="BQ79" s="81">
        <f t="shared" si="64"/>
        <v>0</v>
      </c>
      <c r="BR79" s="81">
        <f t="shared" si="64"/>
        <v>0</v>
      </c>
      <c r="BS79" s="81">
        <f t="shared" si="64"/>
        <v>0</v>
      </c>
      <c r="BT79" s="81">
        <f t="shared" si="64"/>
        <v>0</v>
      </c>
      <c r="BU79" s="81">
        <f t="shared" si="64"/>
        <v>0</v>
      </c>
      <c r="BV79" s="81">
        <f t="shared" si="64"/>
        <v>0</v>
      </c>
      <c r="BW79" s="81">
        <f t="shared" si="64"/>
        <v>0</v>
      </c>
    </row>
    <row r="80" spans="1:75" ht="15.75" thickBot="1" x14ac:dyDescent="0.3">
      <c r="A80" s="86" t="s">
        <v>103</v>
      </c>
      <c r="B80" s="70">
        <f t="shared" ref="B80" si="65">B77+B78+B79</f>
        <v>0</v>
      </c>
      <c r="C80" s="70">
        <f t="shared" ref="C80:AC80" si="66">C77+C78+C79</f>
        <v>0</v>
      </c>
      <c r="D80" s="70">
        <f t="shared" si="66"/>
        <v>0</v>
      </c>
      <c r="E80" s="70">
        <f t="shared" si="66"/>
        <v>0</v>
      </c>
      <c r="F80" s="70">
        <f t="shared" si="66"/>
        <v>0</v>
      </c>
      <c r="G80" s="70">
        <f t="shared" si="66"/>
        <v>0</v>
      </c>
      <c r="H80" s="70">
        <f t="shared" si="66"/>
        <v>0</v>
      </c>
      <c r="I80" s="70">
        <f t="shared" si="66"/>
        <v>0</v>
      </c>
      <c r="J80" s="70">
        <f t="shared" si="66"/>
        <v>0</v>
      </c>
      <c r="K80" s="70">
        <f t="shared" si="66"/>
        <v>0</v>
      </c>
      <c r="L80" s="70">
        <f t="shared" si="66"/>
        <v>0</v>
      </c>
      <c r="M80" s="70">
        <f t="shared" si="66"/>
        <v>0</v>
      </c>
      <c r="N80" s="70">
        <f t="shared" si="66"/>
        <v>0</v>
      </c>
      <c r="O80" s="70">
        <f t="shared" si="66"/>
        <v>0</v>
      </c>
      <c r="P80" s="70">
        <f t="shared" si="66"/>
        <v>0</v>
      </c>
      <c r="Q80" s="70">
        <f t="shared" si="66"/>
        <v>0</v>
      </c>
      <c r="R80" s="70">
        <f t="shared" si="66"/>
        <v>0</v>
      </c>
      <c r="S80" s="70">
        <f t="shared" ref="S80:T80" si="67">S77+S78+S79</f>
        <v>0</v>
      </c>
      <c r="T80" s="70">
        <f t="shared" si="67"/>
        <v>0</v>
      </c>
      <c r="U80" s="70">
        <f t="shared" ref="U80:V80" si="68">U77+U78+U79</f>
        <v>0</v>
      </c>
      <c r="V80" s="70">
        <f t="shared" si="68"/>
        <v>0</v>
      </c>
      <c r="W80" s="70">
        <f t="shared" ref="W80:X80" si="69">W77+W78+W79</f>
        <v>0</v>
      </c>
      <c r="X80" s="70">
        <f t="shared" si="69"/>
        <v>0</v>
      </c>
      <c r="Y80" s="70">
        <f t="shared" ref="Y80:Z80" si="70">Y77+Y78+Y79</f>
        <v>53.800000000000004</v>
      </c>
      <c r="Z80" s="70">
        <f t="shared" si="70"/>
        <v>91.5</v>
      </c>
      <c r="AA80" s="70">
        <f t="shared" ref="AA80:AB80" si="71">AA77+AA78+AA79</f>
        <v>97.8</v>
      </c>
      <c r="AB80" s="70">
        <f t="shared" si="71"/>
        <v>45.5</v>
      </c>
      <c r="AC80" s="70">
        <f t="shared" si="66"/>
        <v>40.5</v>
      </c>
      <c r="AD80" s="70">
        <f t="shared" ref="AD80:AE80" si="72">AD77+AD78+AD79</f>
        <v>48.4</v>
      </c>
      <c r="AE80" s="70">
        <f t="shared" si="72"/>
        <v>27</v>
      </c>
      <c r="AF80" s="70">
        <f t="shared" ref="AF80" si="73">AF77+AF78+AF79</f>
        <v>30</v>
      </c>
      <c r="AG80" s="71">
        <f>SUM(AG77:AG79)</f>
        <v>106</v>
      </c>
      <c r="AH80" s="48">
        <f t="shared" si="8"/>
        <v>97.8</v>
      </c>
      <c r="AI80" s="49">
        <f t="shared" si="9"/>
        <v>0</v>
      </c>
      <c r="AK80" s="51"/>
      <c r="AZ80" s="81">
        <f t="shared" si="64"/>
        <v>0</v>
      </c>
      <c r="BA80" s="81">
        <f t="shared" si="64"/>
        <v>0</v>
      </c>
      <c r="BB80" s="81">
        <f t="shared" si="64"/>
        <v>0</v>
      </c>
      <c r="BC80" s="81">
        <f t="shared" si="64"/>
        <v>0</v>
      </c>
      <c r="BD80" s="81">
        <f t="shared" si="64"/>
        <v>0</v>
      </c>
      <c r="BE80" s="81">
        <f t="shared" si="64"/>
        <v>0</v>
      </c>
      <c r="BF80" s="81">
        <f t="shared" si="64"/>
        <v>0</v>
      </c>
      <c r="BG80" s="81">
        <f t="shared" si="64"/>
        <v>0</v>
      </c>
      <c r="BH80" s="81">
        <f t="shared" si="64"/>
        <v>0</v>
      </c>
      <c r="BI80" s="81">
        <f t="shared" si="64"/>
        <v>0</v>
      </c>
      <c r="BJ80" s="81">
        <f t="shared" si="64"/>
        <v>0</v>
      </c>
      <c r="BK80" s="81">
        <f t="shared" si="64"/>
        <v>0</v>
      </c>
      <c r="BL80" s="81">
        <f t="shared" si="64"/>
        <v>0</v>
      </c>
      <c r="BM80" s="81">
        <f t="shared" si="64"/>
        <v>0</v>
      </c>
      <c r="BN80" s="81">
        <f t="shared" si="64"/>
        <v>0</v>
      </c>
      <c r="BO80" s="81">
        <f t="shared" si="64"/>
        <v>0</v>
      </c>
      <c r="BP80" s="81">
        <f t="shared" si="64"/>
        <v>0</v>
      </c>
      <c r="BQ80" s="81">
        <f t="shared" si="64"/>
        <v>0</v>
      </c>
      <c r="BR80" s="81">
        <f t="shared" si="64"/>
        <v>0</v>
      </c>
      <c r="BS80" s="81">
        <f t="shared" si="64"/>
        <v>0</v>
      </c>
      <c r="BT80" s="81">
        <f t="shared" si="64"/>
        <v>0</v>
      </c>
      <c r="BU80" s="81">
        <f t="shared" si="64"/>
        <v>0</v>
      </c>
      <c r="BV80" s="81">
        <f t="shared" si="64"/>
        <v>0</v>
      </c>
      <c r="BW80" s="81">
        <f t="shared" si="64"/>
        <v>0</v>
      </c>
    </row>
    <row r="81" spans="1:64" x14ac:dyDescent="0.25">
      <c r="A81" s="45" t="s">
        <v>104</v>
      </c>
      <c r="B81" s="46">
        <v>21.2</v>
      </c>
      <c r="C81" s="46">
        <v>20.399999999999999</v>
      </c>
      <c r="D81" s="46">
        <v>19.600000000000001</v>
      </c>
      <c r="E81" s="46">
        <v>18.3</v>
      </c>
      <c r="F81" s="46">
        <v>21</v>
      </c>
      <c r="G81" s="46">
        <v>21</v>
      </c>
      <c r="H81" s="46">
        <v>25.7</v>
      </c>
      <c r="I81" s="46">
        <v>17.7</v>
      </c>
      <c r="J81" s="46">
        <v>21.2</v>
      </c>
      <c r="K81" s="46">
        <v>42.3</v>
      </c>
      <c r="L81" s="46">
        <v>39</v>
      </c>
      <c r="M81" s="46">
        <v>36.799999999999997</v>
      </c>
      <c r="N81" s="46">
        <v>31.3</v>
      </c>
      <c r="O81" s="46">
        <v>36.5</v>
      </c>
      <c r="P81" s="46">
        <v>41.3</v>
      </c>
      <c r="Q81" s="46">
        <v>46.3</v>
      </c>
      <c r="R81" s="46">
        <v>54.1</v>
      </c>
      <c r="S81" s="46">
        <v>43.5</v>
      </c>
      <c r="T81" s="46">
        <v>52.6</v>
      </c>
      <c r="U81" s="46">
        <v>56</v>
      </c>
      <c r="V81" s="46">
        <v>51.5</v>
      </c>
      <c r="W81" s="46">
        <v>56.9</v>
      </c>
      <c r="X81" s="46">
        <v>44.5</v>
      </c>
      <c r="Y81" s="46">
        <v>55.7</v>
      </c>
      <c r="Z81" s="46">
        <v>60.2</v>
      </c>
      <c r="AA81" s="46">
        <v>69.8</v>
      </c>
      <c r="AB81" s="46">
        <v>67.7</v>
      </c>
      <c r="AC81" s="46">
        <v>64.7</v>
      </c>
      <c r="AD81" s="46">
        <v>51</v>
      </c>
      <c r="AE81" s="46">
        <v>45</v>
      </c>
      <c r="AF81" s="46">
        <v>44</v>
      </c>
      <c r="AG81" s="60"/>
      <c r="AH81" s="48">
        <f t="shared" si="8"/>
        <v>69.8</v>
      </c>
      <c r="AI81" s="49">
        <f t="shared" si="9"/>
        <v>17.7</v>
      </c>
      <c r="AK81" s="51"/>
      <c r="AY81" s="81"/>
    </row>
    <row r="82" spans="1:64" x14ac:dyDescent="0.25">
      <c r="A82" s="64" t="s">
        <v>105</v>
      </c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65"/>
      <c r="AH82" s="48">
        <f t="shared" ref="AH82:AH123" si="74">MAX(B82:AF82)</f>
        <v>0</v>
      </c>
      <c r="AI82" s="49">
        <f t="shared" ref="AI82:AI123" si="75">MIN(B82:AF82)</f>
        <v>0</v>
      </c>
      <c r="AK82" s="51"/>
      <c r="AY82" s="81"/>
      <c r="BF82" s="81"/>
      <c r="BG82" s="81"/>
      <c r="BH82" s="81"/>
      <c r="BI82" s="81"/>
      <c r="BJ82" s="81"/>
      <c r="BK82" s="81"/>
    </row>
    <row r="83" spans="1:64" x14ac:dyDescent="0.25">
      <c r="A83" s="64" t="s">
        <v>106</v>
      </c>
      <c r="B83" s="75">
        <v>78.900000000000006</v>
      </c>
      <c r="C83" s="75">
        <v>35</v>
      </c>
      <c r="D83" s="75">
        <v>41.1</v>
      </c>
      <c r="E83" s="75">
        <v>5</v>
      </c>
      <c r="F83" s="75">
        <v>-31</v>
      </c>
      <c r="G83" s="75">
        <v>-108</v>
      </c>
      <c r="H83" s="75">
        <v>-5</v>
      </c>
      <c r="I83" s="75">
        <v>2</v>
      </c>
      <c r="J83" s="75">
        <v>154</v>
      </c>
      <c r="K83" s="75">
        <v>167.8</v>
      </c>
      <c r="L83" s="75">
        <v>197.1</v>
      </c>
      <c r="M83" s="75">
        <v>234</v>
      </c>
      <c r="N83" s="75">
        <v>132</v>
      </c>
      <c r="O83" s="75">
        <v>151.30000000000001</v>
      </c>
      <c r="P83" s="75">
        <v>264.8</v>
      </c>
      <c r="Q83" s="75">
        <v>148</v>
      </c>
      <c r="R83" s="75">
        <v>160.30000000000001</v>
      </c>
      <c r="S83" s="75">
        <v>179.2</v>
      </c>
      <c r="T83" s="75">
        <v>253.1</v>
      </c>
      <c r="U83" s="75">
        <v>264.2</v>
      </c>
      <c r="V83" s="75">
        <v>260.10000000000002</v>
      </c>
      <c r="W83" s="75">
        <v>249.1</v>
      </c>
      <c r="X83" s="75">
        <v>308.5</v>
      </c>
      <c r="Y83" s="75">
        <v>237.8</v>
      </c>
      <c r="Z83" s="75">
        <v>237.8</v>
      </c>
      <c r="AA83" s="75">
        <v>199.9</v>
      </c>
      <c r="AB83" s="75">
        <v>205</v>
      </c>
      <c r="AC83" s="75">
        <v>261.10000000000002</v>
      </c>
      <c r="AD83" s="75">
        <v>295</v>
      </c>
      <c r="AE83" s="75">
        <v>296</v>
      </c>
      <c r="AF83" s="75">
        <v>281</v>
      </c>
      <c r="AG83" s="87"/>
      <c r="AH83" s="48">
        <f t="shared" si="74"/>
        <v>308.5</v>
      </c>
      <c r="AI83" s="49">
        <f t="shared" si="75"/>
        <v>-108</v>
      </c>
      <c r="AK83" s="51"/>
      <c r="AY83" s="81"/>
      <c r="BF83" s="80"/>
      <c r="BG83" s="80"/>
      <c r="BH83" s="80"/>
      <c r="BI83" s="80"/>
      <c r="BJ83" s="80"/>
      <c r="BK83" s="81"/>
    </row>
    <row r="84" spans="1:64" x14ac:dyDescent="0.25">
      <c r="A84" s="64" t="s">
        <v>107</v>
      </c>
      <c r="B84" s="88"/>
      <c r="C84" s="75"/>
      <c r="D84" s="75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7"/>
      <c r="AH84" s="48">
        <f t="shared" si="74"/>
        <v>0</v>
      </c>
      <c r="AI84" s="49">
        <f t="shared" si="75"/>
        <v>0</v>
      </c>
      <c r="AK84" s="51"/>
      <c r="AY84" s="81"/>
      <c r="BF84" s="80"/>
      <c r="BG84" s="81">
        <f t="array" ref="BG84:BL107">TRANSPOSE(AZ68:BW73)</f>
        <v>20</v>
      </c>
      <c r="BH84" s="81">
        <v>0</v>
      </c>
      <c r="BI84" s="81">
        <v>35</v>
      </c>
      <c r="BJ84" s="81">
        <v>0</v>
      </c>
      <c r="BK84" s="81">
        <v>0</v>
      </c>
      <c r="BL84" s="81">
        <v>0</v>
      </c>
    </row>
    <row r="85" spans="1:64" x14ac:dyDescent="0.25">
      <c r="A85" s="64" t="s">
        <v>108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87"/>
      <c r="AH85" s="48">
        <f t="shared" si="74"/>
        <v>0</v>
      </c>
      <c r="AI85" s="49">
        <f t="shared" si="75"/>
        <v>0</v>
      </c>
      <c r="AK85" s="51"/>
      <c r="AY85" s="81"/>
      <c r="BF85" s="80"/>
      <c r="BG85" s="81">
        <v>19.600000000000001</v>
      </c>
      <c r="BH85" s="81">
        <v>0</v>
      </c>
      <c r="BI85" s="81">
        <v>41.1</v>
      </c>
      <c r="BJ85" s="81">
        <v>0</v>
      </c>
      <c r="BK85" s="81">
        <v>0</v>
      </c>
      <c r="BL85" s="81">
        <v>0</v>
      </c>
    </row>
    <row r="86" spans="1:64" x14ac:dyDescent="0.25">
      <c r="A86" s="64" t="s">
        <v>109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7"/>
      <c r="AH86" s="48">
        <f t="shared" si="74"/>
        <v>0</v>
      </c>
      <c r="AI86" s="49">
        <f t="shared" si="75"/>
        <v>0</v>
      </c>
      <c r="AK86" s="51"/>
      <c r="AY86" s="81"/>
      <c r="BF86" s="80"/>
      <c r="BG86" s="81">
        <v>18.3</v>
      </c>
      <c r="BH86" s="81">
        <v>0</v>
      </c>
      <c r="BI86" s="81">
        <v>5</v>
      </c>
      <c r="BJ86" s="81">
        <v>0</v>
      </c>
      <c r="BK86" s="81">
        <v>0</v>
      </c>
      <c r="BL86" s="81">
        <v>0</v>
      </c>
    </row>
    <row r="87" spans="1:64" ht="15.75" thickBot="1" x14ac:dyDescent="0.3">
      <c r="A87" s="64" t="s">
        <v>110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7"/>
      <c r="AH87" s="48">
        <f t="shared" si="74"/>
        <v>0</v>
      </c>
      <c r="AI87" s="49">
        <f t="shared" si="75"/>
        <v>0</v>
      </c>
      <c r="AK87" s="51"/>
      <c r="AL87" s="90" t="s">
        <v>111</v>
      </c>
      <c r="AM87" s="90"/>
      <c r="AY87" s="81"/>
      <c r="BF87" s="81"/>
      <c r="BG87" s="81">
        <v>21</v>
      </c>
      <c r="BH87" s="81">
        <v>0</v>
      </c>
      <c r="BI87" s="81">
        <v>-31</v>
      </c>
      <c r="BJ87" s="81">
        <v>0</v>
      </c>
      <c r="BK87" s="81">
        <v>0</v>
      </c>
      <c r="BL87" s="81">
        <v>0</v>
      </c>
    </row>
    <row r="88" spans="1:64" x14ac:dyDescent="0.25">
      <c r="A88" s="64" t="s">
        <v>112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7"/>
      <c r="AH88" s="48">
        <f t="shared" si="74"/>
        <v>0</v>
      </c>
      <c r="AI88" s="49">
        <f t="shared" si="75"/>
        <v>0</v>
      </c>
      <c r="AK88" s="91"/>
      <c r="AL88" s="92"/>
      <c r="AM88" s="92"/>
      <c r="AN88" s="93"/>
      <c r="AY88" s="81"/>
      <c r="BF88" s="81"/>
      <c r="BG88" s="81">
        <v>21</v>
      </c>
      <c r="BH88" s="81">
        <v>0</v>
      </c>
      <c r="BI88" s="81">
        <v>-108</v>
      </c>
      <c r="BJ88" s="81">
        <v>0</v>
      </c>
      <c r="BK88" s="81">
        <v>0</v>
      </c>
      <c r="BL88" s="81">
        <v>0</v>
      </c>
    </row>
    <row r="89" spans="1:64" x14ac:dyDescent="0.25">
      <c r="A89" s="64" t="s">
        <v>113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7"/>
      <c r="AH89" s="48">
        <f t="shared" si="74"/>
        <v>0</v>
      </c>
      <c r="AI89" s="49">
        <f t="shared" si="75"/>
        <v>0</v>
      </c>
      <c r="AK89" s="94" t="s">
        <v>114</v>
      </c>
      <c r="AL89" s="75"/>
      <c r="AM89" s="88"/>
      <c r="AN89" s="95"/>
      <c r="AY89" s="81"/>
      <c r="BF89" s="81"/>
      <c r="BG89" s="81">
        <v>17.7</v>
      </c>
      <c r="BH89" s="81">
        <v>0</v>
      </c>
      <c r="BI89" s="81">
        <v>2</v>
      </c>
      <c r="BJ89" s="81">
        <v>0</v>
      </c>
      <c r="BK89" s="81">
        <v>0</v>
      </c>
      <c r="BL89" s="81">
        <v>0</v>
      </c>
    </row>
    <row r="90" spans="1:64" x14ac:dyDescent="0.25">
      <c r="A90" s="96" t="s">
        <v>115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97"/>
      <c r="AH90" s="48">
        <f t="shared" si="74"/>
        <v>0</v>
      </c>
      <c r="AI90" s="49">
        <f t="shared" si="75"/>
        <v>0</v>
      </c>
      <c r="AK90" s="94" t="s">
        <v>116</v>
      </c>
      <c r="AL90" s="88"/>
      <c r="AM90" s="88"/>
      <c r="AN90" s="95"/>
      <c r="AY90" s="81"/>
      <c r="BF90" s="81"/>
      <c r="BG90" s="81">
        <v>42.3</v>
      </c>
      <c r="BH90" s="81">
        <v>0</v>
      </c>
      <c r="BI90" s="81">
        <v>167.8</v>
      </c>
      <c r="BJ90" s="81">
        <v>0</v>
      </c>
      <c r="BK90" s="81">
        <v>0</v>
      </c>
      <c r="BL90" s="81">
        <v>0</v>
      </c>
    </row>
    <row r="91" spans="1:64" ht="15.75" thickBot="1" x14ac:dyDescent="0.3">
      <c r="A91" s="96" t="s">
        <v>117</v>
      </c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97"/>
      <c r="AH91" s="48">
        <f t="shared" si="74"/>
        <v>0</v>
      </c>
      <c r="AI91" s="49">
        <f t="shared" si="75"/>
        <v>0</v>
      </c>
      <c r="AK91" s="98"/>
      <c r="AL91" s="46"/>
      <c r="AM91" s="46"/>
      <c r="AN91" s="99"/>
      <c r="AY91" s="81"/>
      <c r="BF91" s="81"/>
      <c r="BG91" s="81">
        <v>36.799999999999997</v>
      </c>
      <c r="BH91" s="81">
        <v>0</v>
      </c>
      <c r="BI91" s="81">
        <v>234</v>
      </c>
      <c r="BJ91" s="81">
        <v>0</v>
      </c>
      <c r="BK91" s="81">
        <v>0</v>
      </c>
      <c r="BL91" s="81">
        <v>0</v>
      </c>
    </row>
    <row r="92" spans="1:64" ht="15.75" thickBot="1" x14ac:dyDescent="0.3">
      <c r="A92" s="86" t="s">
        <v>118</v>
      </c>
      <c r="B92" s="70">
        <f t="shared" ref="B92" si="76">SUMIF(B81:B91,"&gt;0")</f>
        <v>100.10000000000001</v>
      </c>
      <c r="C92" s="70">
        <f t="shared" ref="C92:AC92" si="77">SUMIF(C81:C91,"&gt;0")</f>
        <v>55.4</v>
      </c>
      <c r="D92" s="70">
        <f t="shared" si="77"/>
        <v>60.7</v>
      </c>
      <c r="E92" s="70">
        <f t="shared" si="77"/>
        <v>23.3</v>
      </c>
      <c r="F92" s="70">
        <f t="shared" si="77"/>
        <v>21</v>
      </c>
      <c r="G92" s="70">
        <f t="shared" si="77"/>
        <v>21</v>
      </c>
      <c r="H92" s="70">
        <f t="shared" si="77"/>
        <v>25.7</v>
      </c>
      <c r="I92" s="70">
        <f t="shared" si="77"/>
        <v>19.7</v>
      </c>
      <c r="J92" s="70">
        <f t="shared" si="77"/>
        <v>175.2</v>
      </c>
      <c r="K92" s="70">
        <f t="shared" si="77"/>
        <v>210.10000000000002</v>
      </c>
      <c r="L92" s="70">
        <f t="shared" si="77"/>
        <v>236.1</v>
      </c>
      <c r="M92" s="70">
        <f t="shared" si="77"/>
        <v>270.8</v>
      </c>
      <c r="N92" s="70">
        <f t="shared" si="77"/>
        <v>163.30000000000001</v>
      </c>
      <c r="O92" s="70">
        <f t="shared" si="77"/>
        <v>187.8</v>
      </c>
      <c r="P92" s="70">
        <f t="shared" si="77"/>
        <v>306.10000000000002</v>
      </c>
      <c r="Q92" s="70">
        <f t="shared" si="77"/>
        <v>194.3</v>
      </c>
      <c r="R92" s="70">
        <f t="shared" si="77"/>
        <v>214.4</v>
      </c>
      <c r="S92" s="70">
        <f t="shared" ref="S92:T92" si="78">SUMIF(S81:S91,"&gt;0")</f>
        <v>222.7</v>
      </c>
      <c r="T92" s="70">
        <f t="shared" si="78"/>
        <v>305.7</v>
      </c>
      <c r="U92" s="70">
        <f t="shared" ref="U92:V92" si="79">SUMIF(U81:U91,"&gt;0")</f>
        <v>320.2</v>
      </c>
      <c r="V92" s="70">
        <f t="shared" si="79"/>
        <v>311.60000000000002</v>
      </c>
      <c r="W92" s="70">
        <f t="shared" ref="W92:X92" si="80">SUMIF(W81:W91,"&gt;0")</f>
        <v>306</v>
      </c>
      <c r="X92" s="70">
        <f t="shared" si="80"/>
        <v>353</v>
      </c>
      <c r="Y92" s="70">
        <f t="shared" ref="Y92:Z92" si="81">SUMIF(Y81:Y91,"&gt;0")</f>
        <v>293.5</v>
      </c>
      <c r="Z92" s="70">
        <f t="shared" si="81"/>
        <v>298</v>
      </c>
      <c r="AA92" s="70">
        <f t="shared" ref="AA92:AB92" si="82">SUMIF(AA81:AA91,"&gt;0")</f>
        <v>269.7</v>
      </c>
      <c r="AB92" s="70">
        <f t="shared" si="82"/>
        <v>272.7</v>
      </c>
      <c r="AC92" s="70">
        <f t="shared" si="77"/>
        <v>325.8</v>
      </c>
      <c r="AD92" s="70">
        <f t="shared" ref="AD92:AE92" si="83">SUMIF(AD81:AD91,"&gt;0")</f>
        <v>346</v>
      </c>
      <c r="AE92" s="70">
        <f t="shared" si="83"/>
        <v>341</v>
      </c>
      <c r="AF92" s="70">
        <f t="shared" ref="AF92" si="84">SUMIF(AF81:AF91,"&gt;0")</f>
        <v>325</v>
      </c>
      <c r="AG92" s="100">
        <f>SUM(AG81:AG91)</f>
        <v>0</v>
      </c>
      <c r="AH92" s="48">
        <f t="shared" si="74"/>
        <v>353</v>
      </c>
      <c r="AI92" s="49">
        <f t="shared" si="75"/>
        <v>19.7</v>
      </c>
      <c r="AK92" s="98"/>
      <c r="AL92" s="89"/>
      <c r="AM92" s="101"/>
      <c r="AN92" s="202"/>
      <c r="AY92" s="81"/>
      <c r="BF92" s="81"/>
      <c r="BG92" s="81">
        <v>31.3</v>
      </c>
      <c r="BH92" s="81">
        <v>0</v>
      </c>
      <c r="BI92" s="81">
        <v>132</v>
      </c>
      <c r="BJ92" s="81">
        <v>0</v>
      </c>
      <c r="BK92" s="81">
        <v>0</v>
      </c>
      <c r="BL92" s="81">
        <v>0</v>
      </c>
    </row>
    <row r="93" spans="1:64" x14ac:dyDescent="0.25">
      <c r="A93" s="45" t="s">
        <v>119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74"/>
        <v>0</v>
      </c>
      <c r="AI93" s="49">
        <f t="shared" si="75"/>
        <v>0</v>
      </c>
      <c r="AK93" s="98"/>
      <c r="AL93" s="89"/>
      <c r="AM93" s="89"/>
      <c r="AN93" s="203"/>
      <c r="BF93" s="81"/>
      <c r="BG93" s="81">
        <v>36.5</v>
      </c>
      <c r="BH93" s="81">
        <v>0</v>
      </c>
      <c r="BI93" s="81">
        <v>151.30000000000001</v>
      </c>
      <c r="BJ93" s="81">
        <v>0</v>
      </c>
      <c r="BK93" s="81">
        <v>0</v>
      </c>
      <c r="BL93" s="81">
        <v>0</v>
      </c>
    </row>
    <row r="94" spans="1:64" ht="15.75" thickBot="1" x14ac:dyDescent="0.3">
      <c r="A94" s="64" t="s">
        <v>120</v>
      </c>
      <c r="B94" s="89">
        <v>0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74"/>
        <v>0</v>
      </c>
      <c r="AI94" s="49">
        <f t="shared" si="75"/>
        <v>0</v>
      </c>
      <c r="AK94" s="103"/>
      <c r="AL94" s="104"/>
      <c r="AM94" s="104"/>
      <c r="AN94" s="105"/>
      <c r="BF94" s="81"/>
      <c r="BG94" s="81">
        <v>41.3</v>
      </c>
      <c r="BH94" s="81">
        <v>0</v>
      </c>
      <c r="BI94" s="81">
        <v>264.8</v>
      </c>
      <c r="BJ94" s="81">
        <v>0</v>
      </c>
      <c r="BK94" s="81">
        <v>0</v>
      </c>
      <c r="BL94" s="81">
        <v>0</v>
      </c>
    </row>
    <row r="95" spans="1:64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0</v>
      </c>
      <c r="Y95" s="106">
        <v>0</v>
      </c>
      <c r="Z95" s="106">
        <v>0</v>
      </c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74"/>
        <v>0</v>
      </c>
      <c r="AI95" s="49">
        <f t="shared" si="75"/>
        <v>0</v>
      </c>
      <c r="BF95" s="81"/>
      <c r="BG95" s="81">
        <v>46.3</v>
      </c>
      <c r="BH95" s="81">
        <v>0</v>
      </c>
      <c r="BI95" s="81">
        <v>148</v>
      </c>
      <c r="BJ95" s="81">
        <v>0</v>
      </c>
      <c r="BK95" s="81">
        <v>0</v>
      </c>
      <c r="BL95" s="81">
        <v>0</v>
      </c>
    </row>
    <row r="96" spans="1:64" ht="15.75" thickBot="1" x14ac:dyDescent="0.3">
      <c r="A96" s="86" t="s">
        <v>122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100">
        <f>SUM(AG93:AG95)</f>
        <v>55.4</v>
      </c>
      <c r="AH96" s="48">
        <f t="shared" si="74"/>
        <v>0</v>
      </c>
      <c r="AI96" s="49">
        <f t="shared" si="75"/>
        <v>0</v>
      </c>
      <c r="BF96" s="81"/>
      <c r="BG96" s="81">
        <v>54.1</v>
      </c>
      <c r="BH96" s="81">
        <v>0</v>
      </c>
      <c r="BI96" s="81">
        <v>160.30000000000001</v>
      </c>
      <c r="BJ96" s="81">
        <v>0</v>
      </c>
      <c r="BK96" s="81">
        <v>0</v>
      </c>
      <c r="BL96" s="81">
        <v>0</v>
      </c>
    </row>
    <row r="97" spans="1:64" ht="15.75" thickBot="1" x14ac:dyDescent="0.3">
      <c r="A97" s="86" t="s">
        <v>123</v>
      </c>
      <c r="B97" s="107">
        <f t="shared" ref="B97" si="85">B58+B62+B80+B76+B92+B96</f>
        <v>775.19</v>
      </c>
      <c r="C97" s="107">
        <f t="shared" ref="C97:AG97" si="86">C58+C62+C80+C76+C92+C96</f>
        <v>730.49</v>
      </c>
      <c r="D97" s="107">
        <f t="shared" si="86"/>
        <v>697.8900000000001</v>
      </c>
      <c r="E97" s="107">
        <f t="shared" si="86"/>
        <v>652.29</v>
      </c>
      <c r="F97" s="107">
        <f t="shared" si="86"/>
        <v>701.59</v>
      </c>
      <c r="G97" s="107">
        <f t="shared" si="86"/>
        <v>820.89</v>
      </c>
      <c r="H97" s="107">
        <f t="shared" si="86"/>
        <v>796.79</v>
      </c>
      <c r="I97" s="107">
        <f t="shared" si="86"/>
        <v>874.49</v>
      </c>
      <c r="J97" s="107">
        <f t="shared" si="86"/>
        <v>939.09000000000015</v>
      </c>
      <c r="K97" s="107">
        <f t="shared" si="86"/>
        <v>1056.5900000000001</v>
      </c>
      <c r="L97" s="107">
        <f t="shared" si="86"/>
        <v>1092.5899999999999</v>
      </c>
      <c r="M97" s="107">
        <f t="shared" si="86"/>
        <v>1182.5900000000001</v>
      </c>
      <c r="N97" s="107">
        <f t="shared" si="86"/>
        <v>1135.99</v>
      </c>
      <c r="O97" s="107">
        <f t="shared" si="86"/>
        <v>1106.99</v>
      </c>
      <c r="P97" s="107">
        <f t="shared" si="86"/>
        <v>1051.3899999999999</v>
      </c>
      <c r="Q97" s="107">
        <f t="shared" si="86"/>
        <v>1080.19</v>
      </c>
      <c r="R97" s="107">
        <f t="shared" si="86"/>
        <v>1162.4900000000002</v>
      </c>
      <c r="S97" s="107">
        <f t="shared" ref="S97:T97" si="87">S58+S62+S80+S76+S92+S96</f>
        <v>1132.69</v>
      </c>
      <c r="T97" s="107">
        <f t="shared" si="87"/>
        <v>1158.8900000000001</v>
      </c>
      <c r="U97" s="107">
        <f t="shared" ref="U97:V97" si="88">U58+U62+U80+U76+U92+U96</f>
        <v>1219.5900000000001</v>
      </c>
      <c r="V97" s="107">
        <f t="shared" si="88"/>
        <v>1226.9900000000002</v>
      </c>
      <c r="W97" s="107">
        <f t="shared" ref="W97:X97" si="89">W58+W62+W80+W76+W92+W96</f>
        <v>1280.2900000000002</v>
      </c>
      <c r="X97" s="107">
        <f t="shared" si="89"/>
        <v>1313.89</v>
      </c>
      <c r="Y97" s="107">
        <f t="shared" ref="Y97:Z97" si="90">Y58+Y62+Y80+Y76+Y92+Y96</f>
        <v>1428.0900000000001</v>
      </c>
      <c r="Z97" s="107">
        <f t="shared" si="90"/>
        <v>1517.79</v>
      </c>
      <c r="AA97" s="107">
        <f t="shared" ref="AA97:AB97" si="91">AA58+AA62+AA80+AA76+AA92+AA96</f>
        <v>1512.39</v>
      </c>
      <c r="AB97" s="107">
        <f t="shared" si="91"/>
        <v>1422.49</v>
      </c>
      <c r="AC97" s="107">
        <f t="shared" si="86"/>
        <v>1337.59</v>
      </c>
      <c r="AD97" s="107">
        <f t="shared" ref="AD97:AE97" si="92">AD58+AD62+AD80+AD76+AD92+AD96</f>
        <v>1268.69</v>
      </c>
      <c r="AE97" s="107">
        <f t="shared" si="92"/>
        <v>1147.29</v>
      </c>
      <c r="AF97" s="107">
        <f t="shared" ref="AF97" si="93">AF58+AF62+AF80+AF76+AF92+AF96</f>
        <v>1075.29</v>
      </c>
      <c r="AG97" s="71">
        <f t="shared" si="86"/>
        <v>2231.81</v>
      </c>
      <c r="AH97" s="48">
        <f t="shared" si="74"/>
        <v>1517.79</v>
      </c>
      <c r="AI97" s="49">
        <f t="shared" si="75"/>
        <v>652.29</v>
      </c>
      <c r="BF97" s="81"/>
      <c r="BG97" s="81">
        <v>43.5</v>
      </c>
      <c r="BH97" s="81">
        <v>0</v>
      </c>
      <c r="BI97" s="81">
        <v>179.2</v>
      </c>
      <c r="BJ97" s="81">
        <v>0</v>
      </c>
      <c r="BK97" s="81">
        <v>0</v>
      </c>
      <c r="BL97" s="81">
        <v>0</v>
      </c>
    </row>
    <row r="98" spans="1:64" ht="15.75" thickBot="1" x14ac:dyDescent="0.3">
      <c r="A98" s="108" t="s">
        <v>124</v>
      </c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0"/>
      <c r="AH98" s="48">
        <f t="shared" si="74"/>
        <v>0</v>
      </c>
      <c r="AI98" s="49">
        <f t="shared" si="75"/>
        <v>0</v>
      </c>
      <c r="BF98" s="81"/>
      <c r="BG98" s="81">
        <v>52.6</v>
      </c>
      <c r="BH98" s="81">
        <v>0</v>
      </c>
      <c r="BI98" s="81">
        <v>253.1</v>
      </c>
      <c r="BJ98" s="81">
        <v>0</v>
      </c>
      <c r="BK98" s="81">
        <v>0</v>
      </c>
      <c r="BL98" s="81">
        <v>0</v>
      </c>
    </row>
    <row r="99" spans="1:64" ht="15.75" thickBot="1" x14ac:dyDescent="0.3">
      <c r="A99" s="86" t="s">
        <v>125</v>
      </c>
      <c r="B99" s="107">
        <f t="shared" ref="B99" si="94">B97+B98</f>
        <v>775.19</v>
      </c>
      <c r="C99" s="107">
        <f t="shared" ref="C99:AC99" si="95">C97+C98</f>
        <v>730.49</v>
      </c>
      <c r="D99" s="107">
        <f t="shared" si="95"/>
        <v>697.8900000000001</v>
      </c>
      <c r="E99" s="107">
        <f t="shared" si="95"/>
        <v>652.29</v>
      </c>
      <c r="F99" s="107">
        <f t="shared" si="95"/>
        <v>701.59</v>
      </c>
      <c r="G99" s="107">
        <f t="shared" si="95"/>
        <v>820.89</v>
      </c>
      <c r="H99" s="107">
        <f t="shared" si="95"/>
        <v>796.79</v>
      </c>
      <c r="I99" s="107">
        <f t="shared" si="95"/>
        <v>874.49</v>
      </c>
      <c r="J99" s="107">
        <f t="shared" si="95"/>
        <v>939.09000000000015</v>
      </c>
      <c r="K99" s="107">
        <f t="shared" si="95"/>
        <v>1056.5900000000001</v>
      </c>
      <c r="L99" s="107">
        <f t="shared" si="95"/>
        <v>1092.5899999999999</v>
      </c>
      <c r="M99" s="107">
        <f t="shared" si="95"/>
        <v>1182.5900000000001</v>
      </c>
      <c r="N99" s="107">
        <f t="shared" si="95"/>
        <v>1135.99</v>
      </c>
      <c r="O99" s="107">
        <f t="shared" si="95"/>
        <v>1106.99</v>
      </c>
      <c r="P99" s="107">
        <f t="shared" si="95"/>
        <v>1051.3899999999999</v>
      </c>
      <c r="Q99" s="107">
        <f t="shared" si="95"/>
        <v>1080.19</v>
      </c>
      <c r="R99" s="107">
        <f t="shared" si="95"/>
        <v>1162.4900000000002</v>
      </c>
      <c r="S99" s="107">
        <f t="shared" ref="S99:T99" si="96">S97+S98</f>
        <v>1132.69</v>
      </c>
      <c r="T99" s="107">
        <f t="shared" si="96"/>
        <v>1158.8900000000001</v>
      </c>
      <c r="U99" s="107">
        <f t="shared" ref="U99:V99" si="97">U97+U98</f>
        <v>1219.5900000000001</v>
      </c>
      <c r="V99" s="107">
        <f t="shared" si="97"/>
        <v>1226.9900000000002</v>
      </c>
      <c r="W99" s="107">
        <f t="shared" ref="W99:X99" si="98">W97+W98</f>
        <v>1280.2900000000002</v>
      </c>
      <c r="X99" s="107">
        <f t="shared" si="98"/>
        <v>1313.89</v>
      </c>
      <c r="Y99" s="107">
        <f t="shared" ref="Y99:Z99" si="99">Y97+Y98</f>
        <v>1428.0900000000001</v>
      </c>
      <c r="Z99" s="107">
        <f t="shared" si="99"/>
        <v>1517.79</v>
      </c>
      <c r="AA99" s="107">
        <f t="shared" ref="AA99:AB99" si="100">AA97+AA98</f>
        <v>1512.39</v>
      </c>
      <c r="AB99" s="107">
        <f t="shared" si="100"/>
        <v>1422.49</v>
      </c>
      <c r="AC99" s="107">
        <f t="shared" si="95"/>
        <v>1337.59</v>
      </c>
      <c r="AD99" s="107">
        <f t="shared" ref="AD99:AE99" si="101">AD97+AD98</f>
        <v>1268.69</v>
      </c>
      <c r="AE99" s="107">
        <f t="shared" si="101"/>
        <v>1147.29</v>
      </c>
      <c r="AF99" s="107">
        <f t="shared" ref="AF99" si="102">AF97+AF98</f>
        <v>1075.29</v>
      </c>
      <c r="AG99" s="100">
        <f>AG96+AG92+AG80+AG76+AG58+AG98</f>
        <v>1693.71</v>
      </c>
      <c r="AH99" s="48">
        <f t="shared" si="74"/>
        <v>1517.79</v>
      </c>
      <c r="AI99" s="49">
        <f t="shared" si="75"/>
        <v>652.29</v>
      </c>
      <c r="BF99" s="81"/>
      <c r="BG99" s="81">
        <v>56</v>
      </c>
      <c r="BH99" s="81">
        <v>0</v>
      </c>
      <c r="BI99" s="81">
        <v>264.2</v>
      </c>
      <c r="BJ99" s="81">
        <v>0</v>
      </c>
      <c r="BK99" s="81">
        <v>0</v>
      </c>
      <c r="BL99" s="81">
        <v>0</v>
      </c>
    </row>
    <row r="100" spans="1:64" ht="15.75" thickBot="1" x14ac:dyDescent="0.3">
      <c r="A100" s="86" t="s">
        <v>126</v>
      </c>
      <c r="B100" s="107">
        <f t="shared" ref="B100" si="103">B99-(B107)</f>
        <v>775.19</v>
      </c>
      <c r="C100" s="107">
        <f t="shared" ref="C100:M100" si="104">C99-(C107)</f>
        <v>730.49</v>
      </c>
      <c r="D100" s="107">
        <f t="shared" si="104"/>
        <v>697.8900000000001</v>
      </c>
      <c r="E100" s="107">
        <f t="shared" si="104"/>
        <v>652.29</v>
      </c>
      <c r="F100" s="107">
        <f t="shared" si="104"/>
        <v>670.59</v>
      </c>
      <c r="G100" s="107">
        <f t="shared" si="104"/>
        <v>712.89</v>
      </c>
      <c r="H100" s="107">
        <f t="shared" si="104"/>
        <v>791.79</v>
      </c>
      <c r="I100" s="107">
        <f t="shared" si="104"/>
        <v>874.49</v>
      </c>
      <c r="J100" s="107">
        <f t="shared" si="104"/>
        <v>939.09000000000015</v>
      </c>
      <c r="K100" s="107">
        <f t="shared" si="104"/>
        <v>1056.5900000000001</v>
      </c>
      <c r="L100" s="107">
        <f t="shared" si="104"/>
        <v>1092.5899999999999</v>
      </c>
      <c r="M100" s="107">
        <f t="shared" si="104"/>
        <v>1182.5900000000001</v>
      </c>
      <c r="N100" s="107">
        <f>N99-(N107)</f>
        <v>1135.99</v>
      </c>
      <c r="O100" s="107">
        <f t="shared" ref="O100:AC100" si="105">O99-(O107)</f>
        <v>1106.99</v>
      </c>
      <c r="P100" s="107">
        <f t="shared" si="105"/>
        <v>1051.3899999999999</v>
      </c>
      <c r="Q100" s="107">
        <f t="shared" si="105"/>
        <v>1080.19</v>
      </c>
      <c r="R100" s="107">
        <f t="shared" si="105"/>
        <v>1162.4900000000002</v>
      </c>
      <c r="S100" s="107">
        <f t="shared" ref="S100:T100" si="106">S99-(S107)</f>
        <v>1132.69</v>
      </c>
      <c r="T100" s="107">
        <f t="shared" si="106"/>
        <v>1158.8900000000001</v>
      </c>
      <c r="U100" s="107">
        <f t="shared" ref="U100:V100" si="107">U99-(U107)</f>
        <v>1219.5900000000001</v>
      </c>
      <c r="V100" s="107">
        <f t="shared" si="107"/>
        <v>1226.9900000000002</v>
      </c>
      <c r="W100" s="107">
        <f t="shared" ref="W100:X100" si="108">W99-(W107)</f>
        <v>1280.2900000000002</v>
      </c>
      <c r="X100" s="107">
        <f t="shared" si="108"/>
        <v>1313.89</v>
      </c>
      <c r="Y100" s="107">
        <f t="shared" ref="Y100:Z100" si="109">Y99-(Y107)</f>
        <v>1428.0900000000001</v>
      </c>
      <c r="Z100" s="107">
        <f t="shared" si="109"/>
        <v>1517.79</v>
      </c>
      <c r="AA100" s="107">
        <f t="shared" ref="AA100:AB100" si="110">AA99-(AA107)</f>
        <v>1512.39</v>
      </c>
      <c r="AB100" s="107">
        <f t="shared" si="110"/>
        <v>1422.49</v>
      </c>
      <c r="AC100" s="107">
        <f t="shared" si="105"/>
        <v>1337.59</v>
      </c>
      <c r="AD100" s="107">
        <f t="shared" ref="AD100:AE100" si="111">AD99-(AD107)</f>
        <v>1267.69</v>
      </c>
      <c r="AE100" s="107">
        <f t="shared" si="111"/>
        <v>1147.29</v>
      </c>
      <c r="AF100" s="107">
        <f t="shared" ref="AF100" si="112">AF99-(AF107)</f>
        <v>1075.29</v>
      </c>
      <c r="AG100" s="100"/>
      <c r="AH100" s="48">
        <f t="shared" si="74"/>
        <v>1517.79</v>
      </c>
      <c r="AI100" s="49">
        <f t="shared" si="75"/>
        <v>652.29</v>
      </c>
      <c r="BF100" s="81"/>
      <c r="BG100" s="81">
        <v>51.5</v>
      </c>
      <c r="BH100" s="81">
        <v>0</v>
      </c>
      <c r="BI100" s="81">
        <v>260.10000000000002</v>
      </c>
      <c r="BJ100" s="81">
        <v>0</v>
      </c>
      <c r="BK100" s="81">
        <v>0</v>
      </c>
      <c r="BL100" s="81">
        <v>0</v>
      </c>
    </row>
    <row r="101" spans="1:64" x14ac:dyDescent="0.25">
      <c r="A101" s="45" t="s">
        <v>107</v>
      </c>
      <c r="B101" s="88">
        <f t="shared" ref="B101" si="113">IF(B84&lt;0,B84*-1,0)</f>
        <v>0</v>
      </c>
      <c r="C101" s="88">
        <f t="shared" ref="C101:AC101" si="114">IF(C84&lt;0,C84*-1,0)</f>
        <v>0</v>
      </c>
      <c r="D101" s="88">
        <f t="shared" si="114"/>
        <v>0</v>
      </c>
      <c r="E101" s="88">
        <f t="shared" si="114"/>
        <v>0</v>
      </c>
      <c r="F101" s="88">
        <f t="shared" si="114"/>
        <v>0</v>
      </c>
      <c r="G101" s="88">
        <f t="shared" si="114"/>
        <v>0</v>
      </c>
      <c r="H101" s="88">
        <f t="shared" si="114"/>
        <v>0</v>
      </c>
      <c r="I101" s="88">
        <f t="shared" si="114"/>
        <v>0</v>
      </c>
      <c r="J101" s="88">
        <f t="shared" si="114"/>
        <v>0</v>
      </c>
      <c r="K101" s="88">
        <f t="shared" si="114"/>
        <v>0</v>
      </c>
      <c r="L101" s="88">
        <f t="shared" si="114"/>
        <v>0</v>
      </c>
      <c r="M101" s="88">
        <f t="shared" si="114"/>
        <v>0</v>
      </c>
      <c r="N101" s="88">
        <f t="shared" si="114"/>
        <v>0</v>
      </c>
      <c r="O101" s="88">
        <f t="shared" si="114"/>
        <v>0</v>
      </c>
      <c r="P101" s="88">
        <f t="shared" si="114"/>
        <v>0</v>
      </c>
      <c r="Q101" s="88">
        <f t="shared" si="114"/>
        <v>0</v>
      </c>
      <c r="R101" s="88">
        <f t="shared" si="114"/>
        <v>0</v>
      </c>
      <c r="S101" s="88">
        <f t="shared" ref="S101:T101" si="115">IF(S84&lt;0,S84*-1,0)</f>
        <v>0</v>
      </c>
      <c r="T101" s="88">
        <f t="shared" si="115"/>
        <v>0</v>
      </c>
      <c r="U101" s="88">
        <f t="shared" ref="U101:V101" si="116">IF(U84&lt;0,U84*-1,0)</f>
        <v>0</v>
      </c>
      <c r="V101" s="88">
        <f t="shared" si="116"/>
        <v>0</v>
      </c>
      <c r="W101" s="88">
        <f t="shared" ref="W101:X101" si="117">IF(W84&lt;0,W84*-1,0)</f>
        <v>0</v>
      </c>
      <c r="X101" s="88">
        <f t="shared" si="117"/>
        <v>0</v>
      </c>
      <c r="Y101" s="88">
        <f t="shared" ref="Y101:Z101" si="118">IF(Y84&lt;0,Y84*-1,0)</f>
        <v>0</v>
      </c>
      <c r="Z101" s="88">
        <f t="shared" si="118"/>
        <v>0</v>
      </c>
      <c r="AA101" s="88">
        <f t="shared" ref="AA101:AB101" si="119">IF(AA84&lt;0,AA84*-1,0)</f>
        <v>0</v>
      </c>
      <c r="AB101" s="88">
        <f t="shared" si="119"/>
        <v>0</v>
      </c>
      <c r="AC101" s="88">
        <f t="shared" si="114"/>
        <v>0</v>
      </c>
      <c r="AD101" s="88">
        <f t="shared" ref="AD101:AE101" si="120">IF(AD84&lt;0,AD84*-1,0)</f>
        <v>0</v>
      </c>
      <c r="AE101" s="88">
        <f t="shared" si="120"/>
        <v>0</v>
      </c>
      <c r="AF101" s="88">
        <f t="shared" ref="AF101" si="121">IF(AF84&lt;0,AF84*-1,0)</f>
        <v>0</v>
      </c>
      <c r="AG101" s="60"/>
      <c r="AH101" s="48">
        <f t="shared" si="74"/>
        <v>0</v>
      </c>
      <c r="AI101" s="49">
        <f t="shared" si="75"/>
        <v>0</v>
      </c>
      <c r="BF101" s="80"/>
      <c r="BG101" s="81">
        <v>44.5</v>
      </c>
      <c r="BH101" s="81">
        <v>0</v>
      </c>
      <c r="BI101" s="81">
        <v>308.5</v>
      </c>
      <c r="BJ101" s="81">
        <v>0</v>
      </c>
      <c r="BK101" s="81">
        <v>0</v>
      </c>
      <c r="BL101" s="81">
        <v>0</v>
      </c>
    </row>
    <row r="102" spans="1:64" x14ac:dyDescent="0.25">
      <c r="A102" s="64" t="s">
        <v>105</v>
      </c>
      <c r="B102" s="88">
        <f t="shared" ref="B102" si="122">IF(B82&lt;0,B82*-1,0)</f>
        <v>0</v>
      </c>
      <c r="C102" s="88">
        <f t="shared" ref="C102:AC102" si="123">IF(C82&lt;0,C82*-1,0)</f>
        <v>0</v>
      </c>
      <c r="D102" s="88">
        <f t="shared" si="123"/>
        <v>0</v>
      </c>
      <c r="E102" s="88">
        <f t="shared" si="123"/>
        <v>0</v>
      </c>
      <c r="F102" s="88">
        <f t="shared" si="123"/>
        <v>0</v>
      </c>
      <c r="G102" s="88">
        <f t="shared" si="123"/>
        <v>0</v>
      </c>
      <c r="H102" s="88">
        <f t="shared" si="123"/>
        <v>0</v>
      </c>
      <c r="I102" s="88">
        <f t="shared" si="123"/>
        <v>0</v>
      </c>
      <c r="J102" s="88">
        <f t="shared" si="123"/>
        <v>0</v>
      </c>
      <c r="K102" s="88">
        <f t="shared" si="123"/>
        <v>0</v>
      </c>
      <c r="L102" s="88">
        <f t="shared" si="123"/>
        <v>0</v>
      </c>
      <c r="M102" s="88">
        <f t="shared" si="123"/>
        <v>0</v>
      </c>
      <c r="N102" s="88">
        <f t="shared" si="123"/>
        <v>0</v>
      </c>
      <c r="O102" s="88">
        <f t="shared" si="123"/>
        <v>0</v>
      </c>
      <c r="P102" s="88">
        <f t="shared" si="123"/>
        <v>0</v>
      </c>
      <c r="Q102" s="88">
        <f t="shared" si="123"/>
        <v>0</v>
      </c>
      <c r="R102" s="88">
        <f t="shared" si="123"/>
        <v>0</v>
      </c>
      <c r="S102" s="88">
        <f t="shared" ref="S102:T102" si="124">IF(S82&lt;0,S82*-1,0)</f>
        <v>0</v>
      </c>
      <c r="T102" s="88">
        <f t="shared" si="124"/>
        <v>0</v>
      </c>
      <c r="U102" s="88">
        <f t="shared" ref="U102:V102" si="125">IF(U82&lt;0,U82*-1,0)</f>
        <v>0</v>
      </c>
      <c r="V102" s="88">
        <f t="shared" si="125"/>
        <v>0</v>
      </c>
      <c r="W102" s="88">
        <f t="shared" ref="W102:X102" si="126">IF(W82&lt;0,W82*-1,0)</f>
        <v>0</v>
      </c>
      <c r="X102" s="88">
        <f t="shared" si="126"/>
        <v>0</v>
      </c>
      <c r="Y102" s="88">
        <f t="shared" ref="Y102:Z102" si="127">IF(Y82&lt;0,Y82*-1,0)</f>
        <v>0</v>
      </c>
      <c r="Z102" s="88">
        <f t="shared" si="127"/>
        <v>0</v>
      </c>
      <c r="AA102" s="88">
        <f t="shared" ref="AA102:AB102" si="128">IF(AA82&lt;0,AA82*-1,0)</f>
        <v>0</v>
      </c>
      <c r="AB102" s="88">
        <f t="shared" si="128"/>
        <v>0</v>
      </c>
      <c r="AC102" s="88">
        <f t="shared" si="123"/>
        <v>0</v>
      </c>
      <c r="AD102" s="88">
        <f t="shared" ref="AD102:AE102" si="129">IF(AD82&lt;0,AD82*-1,0)</f>
        <v>0</v>
      </c>
      <c r="AE102" s="88">
        <f t="shared" si="129"/>
        <v>0</v>
      </c>
      <c r="AF102" s="88">
        <f t="shared" ref="AF102" si="130">IF(AF82&lt;0,AF82*-1,0)</f>
        <v>0</v>
      </c>
      <c r="AG102" s="65"/>
      <c r="AH102" s="48">
        <f t="shared" si="74"/>
        <v>0</v>
      </c>
      <c r="AI102" s="49">
        <f t="shared" si="75"/>
        <v>0</v>
      </c>
      <c r="BF102" s="80"/>
      <c r="BG102" s="81">
        <v>60.2</v>
      </c>
      <c r="BH102" s="81">
        <v>0</v>
      </c>
      <c r="BI102" s="81">
        <v>237.8</v>
      </c>
      <c r="BJ102" s="81">
        <v>0</v>
      </c>
      <c r="BK102" s="81">
        <v>0</v>
      </c>
      <c r="BL102" s="81">
        <v>0</v>
      </c>
    </row>
    <row r="103" spans="1:64" x14ac:dyDescent="0.25">
      <c r="A103" s="96" t="s">
        <v>127</v>
      </c>
      <c r="B103" s="88">
        <f t="shared" ref="B103" si="131">IF(B85&lt;0,B85*-1,0)</f>
        <v>0</v>
      </c>
      <c r="C103" s="88">
        <f t="shared" ref="C103:AC103" si="132">IF(C85&lt;0,C85*-1,0)</f>
        <v>0</v>
      </c>
      <c r="D103" s="88">
        <f t="shared" si="132"/>
        <v>0</v>
      </c>
      <c r="E103" s="88">
        <f t="shared" si="132"/>
        <v>0</v>
      </c>
      <c r="F103" s="88">
        <f t="shared" si="132"/>
        <v>0</v>
      </c>
      <c r="G103" s="88">
        <f t="shared" si="132"/>
        <v>0</v>
      </c>
      <c r="H103" s="88">
        <f t="shared" si="132"/>
        <v>0</v>
      </c>
      <c r="I103" s="88">
        <f t="shared" si="132"/>
        <v>0</v>
      </c>
      <c r="J103" s="88">
        <f t="shared" si="132"/>
        <v>0</v>
      </c>
      <c r="K103" s="88">
        <f t="shared" si="132"/>
        <v>0</v>
      </c>
      <c r="L103" s="88">
        <f t="shared" si="132"/>
        <v>0</v>
      </c>
      <c r="M103" s="88">
        <f t="shared" si="132"/>
        <v>0</v>
      </c>
      <c r="N103" s="88">
        <f t="shared" si="132"/>
        <v>0</v>
      </c>
      <c r="O103" s="88">
        <f t="shared" si="132"/>
        <v>0</v>
      </c>
      <c r="P103" s="88">
        <f t="shared" si="132"/>
        <v>0</v>
      </c>
      <c r="Q103" s="88">
        <f t="shared" si="132"/>
        <v>0</v>
      </c>
      <c r="R103" s="88">
        <f t="shared" si="132"/>
        <v>0</v>
      </c>
      <c r="S103" s="88">
        <f t="shared" ref="S103:T103" si="133">IF(S85&lt;0,S85*-1,0)</f>
        <v>0</v>
      </c>
      <c r="T103" s="88">
        <f t="shared" si="133"/>
        <v>0</v>
      </c>
      <c r="U103" s="88">
        <f t="shared" ref="U103:V103" si="134">IF(U85&lt;0,U85*-1,0)</f>
        <v>0</v>
      </c>
      <c r="V103" s="88">
        <f t="shared" si="134"/>
        <v>0</v>
      </c>
      <c r="W103" s="88">
        <f t="shared" ref="W103:X103" si="135">IF(W85&lt;0,W85*-1,0)</f>
        <v>0</v>
      </c>
      <c r="X103" s="88">
        <f t="shared" si="135"/>
        <v>0</v>
      </c>
      <c r="Y103" s="88">
        <f t="shared" ref="Y103:Z103" si="136">IF(Y85&lt;0,Y85*-1,0)</f>
        <v>0</v>
      </c>
      <c r="Z103" s="88">
        <f t="shared" si="136"/>
        <v>0</v>
      </c>
      <c r="AA103" s="88">
        <f t="shared" ref="AA103:AB103" si="137">IF(AA85&lt;0,AA85*-1,0)</f>
        <v>0</v>
      </c>
      <c r="AB103" s="88">
        <f t="shared" si="137"/>
        <v>0</v>
      </c>
      <c r="AC103" s="88">
        <f t="shared" si="132"/>
        <v>0</v>
      </c>
      <c r="AD103" s="88">
        <f t="shared" ref="AD103:AE103" si="138">IF(AD85&lt;0,AD85*-1,0)</f>
        <v>0</v>
      </c>
      <c r="AE103" s="88">
        <f t="shared" si="138"/>
        <v>0</v>
      </c>
      <c r="AF103" s="88">
        <f t="shared" ref="AF103" si="139">IF(AF85&lt;0,AF85*-1,0)</f>
        <v>0</v>
      </c>
      <c r="AG103" s="110"/>
      <c r="AH103" s="48">
        <f t="shared" si="74"/>
        <v>0</v>
      </c>
      <c r="AI103" s="49">
        <f t="shared" si="75"/>
        <v>0</v>
      </c>
      <c r="BF103" s="80"/>
      <c r="BG103" s="81">
        <v>67.7</v>
      </c>
      <c r="BH103" s="81">
        <v>0</v>
      </c>
      <c r="BI103" s="81">
        <v>205</v>
      </c>
      <c r="BJ103" s="81">
        <v>0</v>
      </c>
      <c r="BK103" s="81">
        <v>0</v>
      </c>
      <c r="BL103" s="81">
        <v>0</v>
      </c>
    </row>
    <row r="104" spans="1:64" x14ac:dyDescent="0.25">
      <c r="A104" s="96" t="s">
        <v>128</v>
      </c>
      <c r="B104" s="88">
        <f t="shared" ref="B104" si="140">IF(B83&lt;0,B83*-1,0)</f>
        <v>0</v>
      </c>
      <c r="C104" s="88">
        <f t="shared" ref="C104:AC104" si="141">IF(C83&lt;0,C83*-1,0)</f>
        <v>0</v>
      </c>
      <c r="D104" s="88">
        <f t="shared" si="141"/>
        <v>0</v>
      </c>
      <c r="E104" s="88">
        <f t="shared" si="141"/>
        <v>0</v>
      </c>
      <c r="F104" s="88">
        <f t="shared" si="141"/>
        <v>31</v>
      </c>
      <c r="G104" s="88">
        <f t="shared" si="141"/>
        <v>108</v>
      </c>
      <c r="H104" s="88">
        <f t="shared" si="141"/>
        <v>5</v>
      </c>
      <c r="I104" s="88">
        <f t="shared" si="141"/>
        <v>0</v>
      </c>
      <c r="J104" s="88">
        <f t="shared" si="141"/>
        <v>0</v>
      </c>
      <c r="K104" s="88">
        <f t="shared" si="141"/>
        <v>0</v>
      </c>
      <c r="L104" s="88">
        <f t="shared" si="141"/>
        <v>0</v>
      </c>
      <c r="M104" s="88">
        <f t="shared" si="141"/>
        <v>0</v>
      </c>
      <c r="N104" s="88">
        <f t="shared" si="141"/>
        <v>0</v>
      </c>
      <c r="O104" s="88">
        <f t="shared" si="141"/>
        <v>0</v>
      </c>
      <c r="P104" s="88">
        <f t="shared" si="141"/>
        <v>0</v>
      </c>
      <c r="Q104" s="88">
        <f t="shared" si="141"/>
        <v>0</v>
      </c>
      <c r="R104" s="88">
        <f t="shared" si="141"/>
        <v>0</v>
      </c>
      <c r="S104" s="88">
        <f t="shared" ref="S104:T104" si="142">IF(S83&lt;0,S83*-1,0)</f>
        <v>0</v>
      </c>
      <c r="T104" s="88">
        <f t="shared" si="142"/>
        <v>0</v>
      </c>
      <c r="U104" s="88">
        <f t="shared" ref="U104:V104" si="143">IF(U83&lt;0,U83*-1,0)</f>
        <v>0</v>
      </c>
      <c r="V104" s="88">
        <f t="shared" si="143"/>
        <v>0</v>
      </c>
      <c r="W104" s="88">
        <f t="shared" ref="W104:X104" si="144">IF(W83&lt;0,W83*-1,0)</f>
        <v>0</v>
      </c>
      <c r="X104" s="88">
        <f t="shared" si="144"/>
        <v>0</v>
      </c>
      <c r="Y104" s="88">
        <f t="shared" ref="Y104:Z104" si="145">IF(Y83&lt;0,Y83*-1,0)</f>
        <v>0</v>
      </c>
      <c r="Z104" s="88">
        <f t="shared" si="145"/>
        <v>0</v>
      </c>
      <c r="AA104" s="88">
        <f t="shared" ref="AA104:AB104" si="146">IF(AA83&lt;0,AA83*-1,0)</f>
        <v>0</v>
      </c>
      <c r="AB104" s="88">
        <f t="shared" si="146"/>
        <v>0</v>
      </c>
      <c r="AC104" s="88">
        <f t="shared" si="141"/>
        <v>0</v>
      </c>
      <c r="AD104" s="88">
        <f t="shared" ref="AD104:AE104" si="147">IF(AD83&lt;0,AD83*-1,0)</f>
        <v>0</v>
      </c>
      <c r="AE104" s="88">
        <f t="shared" si="147"/>
        <v>0</v>
      </c>
      <c r="AF104" s="88">
        <f t="shared" ref="AF104" si="148">IF(AF83&lt;0,AF83*-1,0)</f>
        <v>0</v>
      </c>
      <c r="AG104" s="110"/>
      <c r="AH104" s="48">
        <f t="shared" si="74"/>
        <v>108</v>
      </c>
      <c r="AI104" s="49">
        <f t="shared" si="75"/>
        <v>0</v>
      </c>
      <c r="BF104" s="80"/>
      <c r="BG104" s="81">
        <v>51</v>
      </c>
      <c r="BH104" s="81">
        <v>0</v>
      </c>
      <c r="BI104" s="81">
        <v>295</v>
      </c>
      <c r="BJ104" s="81">
        <v>0</v>
      </c>
      <c r="BK104" s="81">
        <v>0</v>
      </c>
      <c r="BL104" s="81">
        <v>0</v>
      </c>
    </row>
    <row r="105" spans="1:64" x14ac:dyDescent="0.25">
      <c r="A105" s="96" t="s">
        <v>104</v>
      </c>
      <c r="B105" s="88">
        <f t="shared" ref="B105" si="149">IF(B81&lt;0,B81*-1,0)</f>
        <v>0</v>
      </c>
      <c r="C105" s="88">
        <f t="shared" ref="C105:AC105" si="150">IF(C81&lt;0,C81*-1,0)</f>
        <v>0</v>
      </c>
      <c r="D105" s="88">
        <f t="shared" si="150"/>
        <v>0</v>
      </c>
      <c r="E105" s="88">
        <f t="shared" si="150"/>
        <v>0</v>
      </c>
      <c r="F105" s="88">
        <f t="shared" si="150"/>
        <v>0</v>
      </c>
      <c r="G105" s="88">
        <f t="shared" si="150"/>
        <v>0</v>
      </c>
      <c r="H105" s="88">
        <f t="shared" si="150"/>
        <v>0</v>
      </c>
      <c r="I105" s="88">
        <f t="shared" si="150"/>
        <v>0</v>
      </c>
      <c r="J105" s="88">
        <f t="shared" si="150"/>
        <v>0</v>
      </c>
      <c r="K105" s="88">
        <f t="shared" si="150"/>
        <v>0</v>
      </c>
      <c r="L105" s="88">
        <f t="shared" si="150"/>
        <v>0</v>
      </c>
      <c r="M105" s="88">
        <f t="shared" si="150"/>
        <v>0</v>
      </c>
      <c r="N105" s="88">
        <f t="shared" si="150"/>
        <v>0</v>
      </c>
      <c r="O105" s="88">
        <f t="shared" si="150"/>
        <v>0</v>
      </c>
      <c r="P105" s="88">
        <f t="shared" si="150"/>
        <v>0</v>
      </c>
      <c r="Q105" s="88">
        <f t="shared" si="150"/>
        <v>0</v>
      </c>
      <c r="R105" s="88">
        <f t="shared" si="150"/>
        <v>0</v>
      </c>
      <c r="S105" s="88">
        <f t="shared" ref="S105:T105" si="151">IF(S81&lt;0,S81*-1,0)</f>
        <v>0</v>
      </c>
      <c r="T105" s="88">
        <f t="shared" si="151"/>
        <v>0</v>
      </c>
      <c r="U105" s="88">
        <f t="shared" ref="U105:V105" si="152">IF(U81&lt;0,U81*-1,0)</f>
        <v>0</v>
      </c>
      <c r="V105" s="88">
        <f t="shared" si="152"/>
        <v>0</v>
      </c>
      <c r="W105" s="88">
        <f t="shared" ref="W105:X105" si="153">IF(W81&lt;0,W81*-1,0)</f>
        <v>0</v>
      </c>
      <c r="X105" s="88">
        <f t="shared" si="153"/>
        <v>0</v>
      </c>
      <c r="Y105" s="88">
        <f t="shared" ref="Y105:Z105" si="154">IF(Y81&lt;0,Y81*-1,0)</f>
        <v>0</v>
      </c>
      <c r="Z105" s="88">
        <f t="shared" si="154"/>
        <v>0</v>
      </c>
      <c r="AA105" s="88">
        <f t="shared" ref="AA105:AB105" si="155">IF(AA81&lt;0,AA81*-1,0)</f>
        <v>0</v>
      </c>
      <c r="AB105" s="88">
        <f t="shared" si="155"/>
        <v>0</v>
      </c>
      <c r="AC105" s="88">
        <f t="shared" si="150"/>
        <v>0</v>
      </c>
      <c r="AD105" s="88">
        <f t="shared" ref="AD105:AE105" si="156">IF(AD81&lt;0,AD81*-1,0)</f>
        <v>0</v>
      </c>
      <c r="AE105" s="88">
        <f t="shared" si="156"/>
        <v>0</v>
      </c>
      <c r="AF105" s="88">
        <f t="shared" ref="AF105" si="157">IF(AF81&lt;0,AF81*-1,0)</f>
        <v>0</v>
      </c>
      <c r="AG105" s="110"/>
      <c r="AH105" s="48">
        <f t="shared" si="74"/>
        <v>0</v>
      </c>
      <c r="AI105" s="49">
        <f t="shared" si="75"/>
        <v>0</v>
      </c>
      <c r="BF105" s="80"/>
      <c r="BG105" s="81">
        <v>45</v>
      </c>
      <c r="BH105" s="81">
        <v>0</v>
      </c>
      <c r="BI105" s="81">
        <v>296</v>
      </c>
      <c r="BJ105" s="81">
        <v>0</v>
      </c>
      <c r="BK105" s="81">
        <v>0</v>
      </c>
      <c r="BL105" s="81">
        <v>0</v>
      </c>
    </row>
    <row r="106" spans="1:64" ht="15.75" thickBot="1" x14ac:dyDescent="0.3">
      <c r="A106" s="96" t="s">
        <v>129</v>
      </c>
      <c r="B106" s="106">
        <v>0</v>
      </c>
      <c r="C106" s="106">
        <v>0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0</v>
      </c>
      <c r="Y106" s="106">
        <v>0</v>
      </c>
      <c r="Z106" s="106">
        <v>0</v>
      </c>
      <c r="AA106" s="106">
        <v>0</v>
      </c>
      <c r="AB106" s="106">
        <v>0</v>
      </c>
      <c r="AC106" s="106">
        <v>0</v>
      </c>
      <c r="AD106" s="106">
        <v>1</v>
      </c>
      <c r="AE106" s="106">
        <v>0</v>
      </c>
      <c r="AF106" s="106">
        <v>0</v>
      </c>
      <c r="AG106" s="97"/>
      <c r="AH106" s="48">
        <f t="shared" si="74"/>
        <v>1</v>
      </c>
      <c r="AI106" s="49">
        <f t="shared" si="75"/>
        <v>0</v>
      </c>
      <c r="BG106" s="81">
        <v>44</v>
      </c>
      <c r="BH106" s="81">
        <v>0</v>
      </c>
      <c r="BI106" s="81">
        <v>281</v>
      </c>
      <c r="BJ106" s="81">
        <v>0</v>
      </c>
      <c r="BK106" s="81">
        <v>0</v>
      </c>
      <c r="BL106" s="81">
        <v>0</v>
      </c>
    </row>
    <row r="107" spans="1:64" ht="15.75" thickBot="1" x14ac:dyDescent="0.3">
      <c r="A107" s="111" t="s">
        <v>130</v>
      </c>
      <c r="B107" s="70">
        <f t="shared" ref="B107" si="158">SUM(B101:B106)</f>
        <v>0</v>
      </c>
      <c r="C107" s="70">
        <f t="shared" ref="C107" si="159">SUM(C101:C106)</f>
        <v>0</v>
      </c>
      <c r="D107" s="70">
        <f t="shared" ref="D107:AC107" si="160">SUM(D101:D106)</f>
        <v>0</v>
      </c>
      <c r="E107" s="70">
        <f t="shared" si="160"/>
        <v>0</v>
      </c>
      <c r="F107" s="70">
        <f t="shared" si="160"/>
        <v>31</v>
      </c>
      <c r="G107" s="70">
        <f t="shared" si="160"/>
        <v>108</v>
      </c>
      <c r="H107" s="70">
        <f t="shared" si="160"/>
        <v>5</v>
      </c>
      <c r="I107" s="70">
        <f t="shared" si="160"/>
        <v>0</v>
      </c>
      <c r="J107" s="70">
        <f t="shared" si="160"/>
        <v>0</v>
      </c>
      <c r="K107" s="70">
        <f t="shared" si="160"/>
        <v>0</v>
      </c>
      <c r="L107" s="70">
        <f t="shared" si="160"/>
        <v>0</v>
      </c>
      <c r="M107" s="70">
        <f t="shared" si="160"/>
        <v>0</v>
      </c>
      <c r="N107" s="70">
        <f t="shared" si="160"/>
        <v>0</v>
      </c>
      <c r="O107" s="70">
        <f t="shared" si="160"/>
        <v>0</v>
      </c>
      <c r="P107" s="70">
        <f t="shared" si="160"/>
        <v>0</v>
      </c>
      <c r="Q107" s="70">
        <f t="shared" si="160"/>
        <v>0</v>
      </c>
      <c r="R107" s="70">
        <f t="shared" si="160"/>
        <v>0</v>
      </c>
      <c r="S107" s="70">
        <f t="shared" ref="S107:T107" si="161">SUM(S101:S106)</f>
        <v>0</v>
      </c>
      <c r="T107" s="70">
        <f t="shared" si="161"/>
        <v>0</v>
      </c>
      <c r="U107" s="70">
        <f t="shared" ref="U107" si="162">SUM(U101:U106)</f>
        <v>0</v>
      </c>
      <c r="V107" s="70">
        <v>0</v>
      </c>
      <c r="W107" s="70">
        <v>0</v>
      </c>
      <c r="X107" s="70">
        <v>0</v>
      </c>
      <c r="Y107" s="70">
        <v>0</v>
      </c>
      <c r="Z107" s="70">
        <v>0</v>
      </c>
      <c r="AA107" s="70">
        <v>0</v>
      </c>
      <c r="AB107" s="70">
        <v>0</v>
      </c>
      <c r="AC107" s="70">
        <f t="shared" si="160"/>
        <v>0</v>
      </c>
      <c r="AD107" s="70">
        <f t="shared" ref="AD107:AE107" si="163">SUM(AD101:AD106)</f>
        <v>1</v>
      </c>
      <c r="AE107" s="70">
        <f t="shared" si="163"/>
        <v>0</v>
      </c>
      <c r="AF107" s="70">
        <f t="shared" ref="AF107" si="164">SUM(AF101:AF106)</f>
        <v>0</v>
      </c>
      <c r="AG107" s="100"/>
      <c r="AH107" s="48">
        <f t="shared" si="74"/>
        <v>108</v>
      </c>
      <c r="AI107" s="49">
        <f t="shared" si="75"/>
        <v>0</v>
      </c>
      <c r="AK107" s="51"/>
      <c r="BG107" s="81">
        <v>21.2</v>
      </c>
      <c r="BH107" s="81">
        <v>0</v>
      </c>
      <c r="BI107" s="81">
        <v>78.900000000000006</v>
      </c>
      <c r="BJ107" s="81">
        <v>0</v>
      </c>
      <c r="BK107" s="81">
        <v>0</v>
      </c>
      <c r="BL107" s="81">
        <v>0</v>
      </c>
    </row>
    <row r="108" spans="1:64" ht="15.75" thickBot="1" x14ac:dyDescent="0.3">
      <c r="A108" s="86" t="s">
        <v>131</v>
      </c>
      <c r="B108" s="70">
        <f t="shared" ref="B108" si="165">B92-B107</f>
        <v>100.10000000000001</v>
      </c>
      <c r="C108" s="70">
        <f t="shared" ref="C108:AC108" si="166">C92-C107</f>
        <v>55.4</v>
      </c>
      <c r="D108" s="70">
        <f t="shared" si="166"/>
        <v>60.7</v>
      </c>
      <c r="E108" s="70">
        <f t="shared" si="166"/>
        <v>23.3</v>
      </c>
      <c r="F108" s="70">
        <f t="shared" si="166"/>
        <v>-10</v>
      </c>
      <c r="G108" s="70">
        <f t="shared" si="166"/>
        <v>-87</v>
      </c>
      <c r="H108" s="70">
        <f t="shared" si="166"/>
        <v>20.7</v>
      </c>
      <c r="I108" s="70">
        <f t="shared" si="166"/>
        <v>19.7</v>
      </c>
      <c r="J108" s="70">
        <f t="shared" si="166"/>
        <v>175.2</v>
      </c>
      <c r="K108" s="70">
        <f t="shared" si="166"/>
        <v>210.10000000000002</v>
      </c>
      <c r="L108" s="70">
        <f t="shared" si="166"/>
        <v>236.1</v>
      </c>
      <c r="M108" s="70">
        <f t="shared" si="166"/>
        <v>270.8</v>
      </c>
      <c r="N108" s="70">
        <f t="shared" si="166"/>
        <v>163.30000000000001</v>
      </c>
      <c r="O108" s="70">
        <f t="shared" si="166"/>
        <v>187.8</v>
      </c>
      <c r="P108" s="70">
        <f t="shared" si="166"/>
        <v>306.10000000000002</v>
      </c>
      <c r="Q108" s="70">
        <f t="shared" si="166"/>
        <v>194.3</v>
      </c>
      <c r="R108" s="70">
        <f t="shared" si="166"/>
        <v>214.4</v>
      </c>
      <c r="S108" s="70">
        <f t="shared" ref="S108:T108" si="167">S92-S107</f>
        <v>222.7</v>
      </c>
      <c r="T108" s="70">
        <f t="shared" si="167"/>
        <v>305.7</v>
      </c>
      <c r="U108" s="70">
        <f t="shared" ref="U108:V108" si="168">U92-U107</f>
        <v>320.2</v>
      </c>
      <c r="V108" s="70">
        <f t="shared" si="168"/>
        <v>311.60000000000002</v>
      </c>
      <c r="W108" s="70">
        <f t="shared" ref="W108:X108" si="169">W92-W107</f>
        <v>306</v>
      </c>
      <c r="X108" s="70">
        <f t="shared" si="169"/>
        <v>353</v>
      </c>
      <c r="Y108" s="70">
        <f t="shared" ref="Y108:Z108" si="170">Y92-Y107</f>
        <v>293.5</v>
      </c>
      <c r="Z108" s="70">
        <f t="shared" si="170"/>
        <v>298</v>
      </c>
      <c r="AA108" s="70">
        <f t="shared" ref="AA108:AB108" si="171">AA92-AA107</f>
        <v>269.7</v>
      </c>
      <c r="AB108" s="70">
        <f t="shared" si="171"/>
        <v>272.7</v>
      </c>
      <c r="AC108" s="70">
        <f t="shared" si="166"/>
        <v>325.8</v>
      </c>
      <c r="AD108" s="70">
        <f t="shared" ref="AD108:AE108" si="172">AD92-AD107</f>
        <v>345</v>
      </c>
      <c r="AE108" s="70">
        <f t="shared" si="172"/>
        <v>341</v>
      </c>
      <c r="AF108" s="70">
        <f t="shared" ref="AF108" si="173">AF92-AF107</f>
        <v>325</v>
      </c>
      <c r="AG108" s="100"/>
      <c r="AH108" s="48">
        <f t="shared" si="74"/>
        <v>353</v>
      </c>
      <c r="AI108" s="49">
        <f t="shared" si="75"/>
        <v>-87</v>
      </c>
    </row>
    <row r="109" spans="1:64" x14ac:dyDescent="0.25">
      <c r="A109" s="112" t="s">
        <v>132</v>
      </c>
      <c r="B109" s="113">
        <v>49.99</v>
      </c>
      <c r="C109" s="113">
        <v>49.99</v>
      </c>
      <c r="D109" s="113">
        <v>49.99</v>
      </c>
      <c r="E109" s="113">
        <v>49.917000000000002</v>
      </c>
      <c r="F109" s="113">
        <v>50.04</v>
      </c>
      <c r="G109" s="113">
        <v>50.061999999999998</v>
      </c>
      <c r="H109" s="113">
        <v>50.037999999999997</v>
      </c>
      <c r="I109" s="113">
        <v>49.957000000000001</v>
      </c>
      <c r="J109" s="113">
        <v>49.95</v>
      </c>
      <c r="K109" s="113">
        <v>50.006999999999998</v>
      </c>
      <c r="L109" s="113">
        <v>50.048000000000002</v>
      </c>
      <c r="M109" s="113">
        <v>49.917999999999999</v>
      </c>
      <c r="N109" s="113">
        <v>50.024000000000001</v>
      </c>
      <c r="O109" s="113">
        <v>49.893000000000001</v>
      </c>
      <c r="P109" s="113">
        <v>49.972000000000001</v>
      </c>
      <c r="Q109" s="113">
        <v>50.030999999999999</v>
      </c>
      <c r="R109" s="113">
        <v>49.945999999999998</v>
      </c>
      <c r="S109" s="113">
        <v>50.02</v>
      </c>
      <c r="T109" s="113">
        <v>49.96</v>
      </c>
      <c r="U109" s="113">
        <v>49.97</v>
      </c>
      <c r="V109" s="113">
        <v>49.89</v>
      </c>
      <c r="W109" s="113">
        <v>50.02</v>
      </c>
      <c r="X109" s="113">
        <v>50.02</v>
      </c>
      <c r="Y109" s="113">
        <v>50.02</v>
      </c>
      <c r="Z109" s="113">
        <v>49.97</v>
      </c>
      <c r="AA109" s="113">
        <v>50.03</v>
      </c>
      <c r="AB109" s="113">
        <v>50.08</v>
      </c>
      <c r="AC109" s="113">
        <v>49.987000000000002</v>
      </c>
      <c r="AD109" s="113">
        <v>50.06</v>
      </c>
      <c r="AE109" s="113">
        <v>50.03</v>
      </c>
      <c r="AF109" s="113">
        <v>49.9</v>
      </c>
      <c r="AG109" s="114"/>
      <c r="AH109" s="48">
        <f t="shared" si="74"/>
        <v>50.08</v>
      </c>
      <c r="AI109" s="49">
        <f t="shared" si="75"/>
        <v>49.89</v>
      </c>
    </row>
    <row r="110" spans="1:64" x14ac:dyDescent="0.25">
      <c r="A110" s="115" t="s">
        <v>133</v>
      </c>
      <c r="B110" s="75">
        <v>133.69999999999999</v>
      </c>
      <c r="C110" s="75">
        <v>133.69999999999999</v>
      </c>
      <c r="D110" s="75">
        <v>134.1</v>
      </c>
      <c r="E110" s="75">
        <v>134.4</v>
      </c>
      <c r="F110" s="75">
        <v>131.1</v>
      </c>
      <c r="G110" s="75">
        <v>133.4</v>
      </c>
      <c r="H110" s="75">
        <v>132.5</v>
      </c>
      <c r="I110" s="75">
        <v>130.9</v>
      </c>
      <c r="J110" s="75">
        <v>128.6</v>
      </c>
      <c r="K110" s="75">
        <v>127.1</v>
      </c>
      <c r="L110" s="75">
        <v>125.8</v>
      </c>
      <c r="M110" s="75">
        <v>125</v>
      </c>
      <c r="N110" s="75">
        <v>127.1</v>
      </c>
      <c r="O110" s="75">
        <v>127.1</v>
      </c>
      <c r="P110" s="75">
        <v>125.4</v>
      </c>
      <c r="Q110" s="75">
        <v>125.7</v>
      </c>
      <c r="R110" s="75">
        <v>126.6</v>
      </c>
      <c r="S110" s="75">
        <v>126.5</v>
      </c>
      <c r="T110" s="75">
        <v>125.1</v>
      </c>
      <c r="U110" s="75">
        <v>126</v>
      </c>
      <c r="V110" s="75">
        <v>127.6</v>
      </c>
      <c r="W110" s="75">
        <v>127.6</v>
      </c>
      <c r="X110" s="75">
        <v>127.1</v>
      </c>
      <c r="Y110" s="75">
        <v>127.1</v>
      </c>
      <c r="Z110" s="75">
        <v>127.9</v>
      </c>
      <c r="AA110" s="75">
        <v>127.9</v>
      </c>
      <c r="AB110" s="75">
        <v>128</v>
      </c>
      <c r="AC110" s="75">
        <v>128</v>
      </c>
      <c r="AD110" s="75">
        <v>128</v>
      </c>
      <c r="AE110" s="75">
        <v>127.5</v>
      </c>
      <c r="AF110" s="75">
        <v>127.9</v>
      </c>
      <c r="AG110" s="116"/>
      <c r="AH110" s="48">
        <f t="shared" si="74"/>
        <v>134.4</v>
      </c>
      <c r="AI110" s="49">
        <f t="shared" si="75"/>
        <v>125</v>
      </c>
    </row>
    <row r="111" spans="1:64" x14ac:dyDescent="0.25">
      <c r="A111" s="115" t="s">
        <v>134</v>
      </c>
      <c r="B111" s="75">
        <v>136.1</v>
      </c>
      <c r="C111" s="75">
        <v>136.1</v>
      </c>
      <c r="D111" s="75">
        <v>136.6</v>
      </c>
      <c r="E111" s="75">
        <v>136.69999999999999</v>
      </c>
      <c r="F111" s="75">
        <v>136.5</v>
      </c>
      <c r="G111" s="75">
        <v>136</v>
      </c>
      <c r="H111" s="75">
        <v>134.9</v>
      </c>
      <c r="I111" s="75">
        <v>132.80000000000001</v>
      </c>
      <c r="J111" s="75">
        <v>130.4</v>
      </c>
      <c r="K111" s="75">
        <v>128.80000000000001</v>
      </c>
      <c r="L111" s="75">
        <v>127.8</v>
      </c>
      <c r="M111" s="75">
        <v>127</v>
      </c>
      <c r="N111" s="75">
        <v>129</v>
      </c>
      <c r="O111" s="75">
        <v>129</v>
      </c>
      <c r="P111" s="75">
        <v>127.7</v>
      </c>
      <c r="Q111" s="75">
        <v>128.4</v>
      </c>
      <c r="R111" s="75">
        <v>129.4</v>
      </c>
      <c r="S111" s="75">
        <v>129.30000000000001</v>
      </c>
      <c r="T111" s="75">
        <v>129</v>
      </c>
      <c r="U111" s="75">
        <v>128.69999999999999</v>
      </c>
      <c r="V111" s="75">
        <v>129.9</v>
      </c>
      <c r="W111" s="75">
        <v>129.9</v>
      </c>
      <c r="X111" s="75">
        <v>129.9</v>
      </c>
      <c r="Y111" s="75">
        <v>129.9</v>
      </c>
      <c r="Z111" s="75">
        <v>129.6</v>
      </c>
      <c r="AA111" s="75">
        <v>129.6</v>
      </c>
      <c r="AB111" s="75">
        <v>130</v>
      </c>
      <c r="AC111" s="75">
        <v>130.80000000000001</v>
      </c>
      <c r="AD111" s="75">
        <v>130.80000000000001</v>
      </c>
      <c r="AE111" s="75">
        <v>131.5</v>
      </c>
      <c r="AF111" s="75">
        <v>131.6</v>
      </c>
      <c r="AG111" s="116"/>
      <c r="AH111" s="48">
        <f t="shared" si="74"/>
        <v>136.69999999999999</v>
      </c>
      <c r="AI111" s="49">
        <f t="shared" si="75"/>
        <v>127</v>
      </c>
    </row>
    <row r="112" spans="1:64" x14ac:dyDescent="0.25">
      <c r="A112" s="115" t="s">
        <v>135</v>
      </c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>
        <v>121.9</v>
      </c>
      <c r="R112" s="75">
        <v>131</v>
      </c>
      <c r="S112" s="75">
        <v>132.4</v>
      </c>
      <c r="T112" s="75">
        <v>129.9</v>
      </c>
      <c r="U112" s="75">
        <v>131.4</v>
      </c>
      <c r="V112" s="75">
        <v>131.5</v>
      </c>
      <c r="W112" s="75">
        <v>131.5</v>
      </c>
      <c r="X112" s="75">
        <v>130.69999999999999</v>
      </c>
      <c r="Y112" s="75">
        <v>130.69999999999999</v>
      </c>
      <c r="Z112" s="75">
        <v>131.1</v>
      </c>
      <c r="AA112" s="75">
        <v>131.1</v>
      </c>
      <c r="AB112" s="75">
        <v>132</v>
      </c>
      <c r="AC112" s="75">
        <v>132.4</v>
      </c>
      <c r="AD112" s="75">
        <v>132.4</v>
      </c>
      <c r="AE112" s="75">
        <v>131.5</v>
      </c>
      <c r="AF112" s="75">
        <v>131</v>
      </c>
      <c r="AG112" s="116"/>
      <c r="AH112" s="48">
        <f t="shared" si="74"/>
        <v>132.4</v>
      </c>
      <c r="AI112" s="49">
        <f t="shared" si="75"/>
        <v>121.9</v>
      </c>
    </row>
    <row r="113" spans="1:35" x14ac:dyDescent="0.25">
      <c r="A113" s="117" t="s">
        <v>136</v>
      </c>
      <c r="B113" s="75">
        <v>134.6</v>
      </c>
      <c r="C113" s="75">
        <v>134.6</v>
      </c>
      <c r="D113" s="75">
        <v>135.6</v>
      </c>
      <c r="E113" s="75">
        <v>139.69999999999999</v>
      </c>
      <c r="F113" s="75">
        <v>140</v>
      </c>
      <c r="G113" s="75">
        <v>138</v>
      </c>
      <c r="H113" s="75">
        <v>139.6</v>
      </c>
      <c r="I113" s="75">
        <v>136.80000000000001</v>
      </c>
      <c r="J113" s="75">
        <v>136.80000000000001</v>
      </c>
      <c r="K113" s="75">
        <v>132.5</v>
      </c>
      <c r="L113" s="75">
        <v>130.6</v>
      </c>
      <c r="M113" s="75">
        <v>130.30000000000001</v>
      </c>
      <c r="N113" s="75">
        <v>131.69999999999999</v>
      </c>
      <c r="O113" s="75">
        <v>131.4</v>
      </c>
      <c r="P113" s="75">
        <v>131.5</v>
      </c>
      <c r="Q113" s="75">
        <v>132.1</v>
      </c>
      <c r="R113" s="75">
        <v>130.6</v>
      </c>
      <c r="S113" s="75">
        <v>132.6</v>
      </c>
      <c r="T113" s="75">
        <v>129.9</v>
      </c>
      <c r="U113" s="75">
        <v>130.9</v>
      </c>
      <c r="V113" s="75">
        <v>132.80000000000001</v>
      </c>
      <c r="W113" s="75">
        <v>132.80000000000001</v>
      </c>
      <c r="X113" s="75">
        <v>131.6</v>
      </c>
      <c r="Y113" s="75">
        <v>131.6</v>
      </c>
      <c r="Z113" s="75">
        <v>131.9</v>
      </c>
      <c r="AA113" s="75">
        <v>131.9</v>
      </c>
      <c r="AB113" s="75">
        <v>132</v>
      </c>
      <c r="AC113" s="75">
        <v>132.6</v>
      </c>
      <c r="AD113" s="75">
        <v>132.6</v>
      </c>
      <c r="AE113" s="75">
        <v>132.6</v>
      </c>
      <c r="AF113" s="75">
        <v>132</v>
      </c>
      <c r="AG113" s="116"/>
      <c r="AH113" s="48">
        <f t="shared" si="74"/>
        <v>140</v>
      </c>
      <c r="AI113" s="49">
        <f t="shared" si="75"/>
        <v>129.9</v>
      </c>
    </row>
    <row r="114" spans="1:35" x14ac:dyDescent="0.25">
      <c r="A114" s="117" t="s">
        <v>137</v>
      </c>
      <c r="B114" s="118">
        <v>137.4</v>
      </c>
      <c r="C114" s="118">
        <v>137.4</v>
      </c>
      <c r="D114" s="118">
        <v>136.80000000000001</v>
      </c>
      <c r="E114" s="118">
        <v>137.4</v>
      </c>
      <c r="F114" s="118">
        <v>136.5</v>
      </c>
      <c r="G114" s="118">
        <v>136</v>
      </c>
      <c r="H114" s="118">
        <v>134.9</v>
      </c>
      <c r="I114" s="118">
        <v>137.19999999999999</v>
      </c>
      <c r="J114" s="118">
        <v>130.69999999999999</v>
      </c>
      <c r="K114" s="118">
        <v>131.69999999999999</v>
      </c>
      <c r="L114" s="118">
        <v>131.69999999999999</v>
      </c>
      <c r="M114" s="118">
        <v>129.69999999999999</v>
      </c>
      <c r="N114" s="118">
        <v>134.30000000000001</v>
      </c>
      <c r="O114" s="118">
        <v>134.30000000000001</v>
      </c>
      <c r="P114" s="118">
        <v>131.5</v>
      </c>
      <c r="Q114" s="118">
        <v>132.1</v>
      </c>
      <c r="R114" s="118">
        <v>134.1</v>
      </c>
      <c r="S114" s="118">
        <v>134.1</v>
      </c>
      <c r="T114" s="118">
        <v>130.9</v>
      </c>
      <c r="U114" s="118">
        <v>133.30000000000001</v>
      </c>
      <c r="V114" s="118">
        <v>134.19999999999999</v>
      </c>
      <c r="W114" s="118">
        <v>134.19999999999999</v>
      </c>
      <c r="X114" s="118">
        <v>135.9</v>
      </c>
      <c r="Y114" s="118">
        <v>135.9</v>
      </c>
      <c r="Z114" s="118">
        <v>133.30000000000001</v>
      </c>
      <c r="AA114" s="118">
        <v>133.30000000000001</v>
      </c>
      <c r="AB114" s="118">
        <v>135</v>
      </c>
      <c r="AC114" s="118">
        <v>135.19999999999999</v>
      </c>
      <c r="AD114" s="118">
        <v>135.19999999999999</v>
      </c>
      <c r="AE114" s="118">
        <v>135.19999999999999</v>
      </c>
      <c r="AF114" s="118">
        <v>130</v>
      </c>
      <c r="AG114" s="119"/>
      <c r="AH114" s="48">
        <f t="shared" si="74"/>
        <v>137.4</v>
      </c>
      <c r="AI114" s="49">
        <f t="shared" si="75"/>
        <v>129.69999999999999</v>
      </c>
    </row>
    <row r="115" spans="1:35" x14ac:dyDescent="0.25">
      <c r="A115" s="115" t="s">
        <v>138</v>
      </c>
      <c r="B115" s="75">
        <v>137.1</v>
      </c>
      <c r="C115" s="75">
        <v>137.1</v>
      </c>
      <c r="D115" s="75">
        <v>137.80000000000001</v>
      </c>
      <c r="E115" s="75">
        <v>137.9</v>
      </c>
      <c r="F115" s="75">
        <v>137.9</v>
      </c>
      <c r="G115" s="75">
        <v>137.9</v>
      </c>
      <c r="H115" s="75">
        <v>137</v>
      </c>
      <c r="I115" s="75">
        <v>133.30000000000001</v>
      </c>
      <c r="J115" s="75">
        <v>132.6</v>
      </c>
      <c r="K115" s="75">
        <v>132.9</v>
      </c>
      <c r="L115" s="75">
        <v>132.9</v>
      </c>
      <c r="M115" s="75">
        <v>128.80000000000001</v>
      </c>
      <c r="N115" s="75">
        <v>132.30000000000001</v>
      </c>
      <c r="O115" s="75">
        <v>132.30000000000001</v>
      </c>
      <c r="P115" s="75">
        <v>128</v>
      </c>
      <c r="Q115" s="75">
        <v>134.69999999999999</v>
      </c>
      <c r="R115" s="75">
        <v>128</v>
      </c>
      <c r="S115" s="75">
        <v>129.4</v>
      </c>
      <c r="T115" s="75">
        <v>131.69999999999999</v>
      </c>
      <c r="U115" s="75">
        <v>126.2</v>
      </c>
      <c r="V115" s="75">
        <v>130.4</v>
      </c>
      <c r="W115" s="75">
        <v>130.4</v>
      </c>
      <c r="X115" s="75">
        <v>129.6</v>
      </c>
      <c r="Y115" s="75">
        <v>129.6</v>
      </c>
      <c r="Z115" s="75">
        <v>127.7</v>
      </c>
      <c r="AA115" s="75">
        <v>127.7</v>
      </c>
      <c r="AB115" s="75">
        <v>135</v>
      </c>
      <c r="AC115" s="75">
        <v>131.9</v>
      </c>
      <c r="AD115" s="75">
        <v>131.9</v>
      </c>
      <c r="AE115" s="75">
        <v>131.9</v>
      </c>
      <c r="AF115" s="75">
        <v>132</v>
      </c>
      <c r="AG115" s="116"/>
      <c r="AH115" s="48">
        <f t="shared" si="74"/>
        <v>137.9</v>
      </c>
      <c r="AI115" s="49">
        <f t="shared" si="75"/>
        <v>126.2</v>
      </c>
    </row>
    <row r="116" spans="1:35" ht="15.75" thickBot="1" x14ac:dyDescent="0.3">
      <c r="A116" s="115" t="s">
        <v>139</v>
      </c>
      <c r="B116" s="104">
        <v>68</v>
      </c>
      <c r="C116" s="104">
        <v>68</v>
      </c>
      <c r="D116" s="104">
        <v>68</v>
      </c>
      <c r="E116" s="104">
        <v>68.8</v>
      </c>
      <c r="F116" s="104">
        <v>68.7</v>
      </c>
      <c r="G116" s="104">
        <v>68.3</v>
      </c>
      <c r="H116" s="104">
        <v>67.7</v>
      </c>
      <c r="I116" s="104">
        <v>66.599999999999994</v>
      </c>
      <c r="J116" s="104">
        <v>65.2</v>
      </c>
      <c r="K116" s="104">
        <v>64.400000000000006</v>
      </c>
      <c r="L116" s="104">
        <v>64.400000000000006</v>
      </c>
      <c r="M116" s="104">
        <v>63.7</v>
      </c>
      <c r="N116" s="104">
        <v>65</v>
      </c>
      <c r="O116" s="104">
        <v>65</v>
      </c>
      <c r="P116" s="104">
        <v>64</v>
      </c>
      <c r="Q116" s="104">
        <v>64.5</v>
      </c>
      <c r="R116" s="104">
        <v>65.099999999999994</v>
      </c>
      <c r="S116" s="104">
        <v>65</v>
      </c>
      <c r="T116" s="104">
        <v>64.3</v>
      </c>
      <c r="U116" s="104">
        <v>64.599999999999994</v>
      </c>
      <c r="V116" s="104">
        <v>65.5</v>
      </c>
      <c r="W116" s="104">
        <v>65.5</v>
      </c>
      <c r="X116" s="104">
        <v>65.400000000000006</v>
      </c>
      <c r="Y116" s="104">
        <v>65.400000000000006</v>
      </c>
      <c r="Z116" s="104">
        <v>65</v>
      </c>
      <c r="AA116" s="104">
        <v>65</v>
      </c>
      <c r="AB116" s="104">
        <v>65.5</v>
      </c>
      <c r="AC116" s="104">
        <v>65.5</v>
      </c>
      <c r="AD116" s="104">
        <v>65.5</v>
      </c>
      <c r="AE116" s="104">
        <v>65.5</v>
      </c>
      <c r="AF116" s="104">
        <v>66.400000000000006</v>
      </c>
      <c r="AG116" s="120"/>
      <c r="AH116" s="48">
        <f t="shared" si="74"/>
        <v>68.8</v>
      </c>
      <c r="AI116" s="49">
        <f t="shared" si="75"/>
        <v>63.7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74"/>
        <v>0</v>
      </c>
      <c r="AI117" s="49">
        <f t="shared" si="75"/>
        <v>0</v>
      </c>
    </row>
    <row r="118" spans="1:35" ht="15.75" thickBot="1" x14ac:dyDescent="0.3">
      <c r="A118" s="122" t="s">
        <v>141</v>
      </c>
      <c r="B118" s="123">
        <f t="shared" ref="B118" si="174">SUM(B22,B28,B31:B32,B66,B68:B69,B71,B73,B119:B123,B155,B161,B167,B176,B178,B190,B197,B200:B201,B208,B210,B212,B216:B218,B220:B222,B227,B233:B234,B236:B238,B246,B251)</f>
        <v>104.74</v>
      </c>
      <c r="C118" s="123">
        <f>SUM(C22,C28,C31:C32,C66,C68:C69,C71,C73,C119:C123,C155,C161,C167,C176,C178,C190,C197,C200:C201,C208,C210,C212,C216:C218,C220:C222,C227,C233:C234,C236:C238,C246,C251)</f>
        <v>105.74000000000001</v>
      </c>
      <c r="D118" s="123">
        <f t="shared" ref="D118:O118" si="175">SUM(D22,D28,D31:D32,D66,D68:D69,D71,D73,D119:D123,D155,D161,D167,D176,D178,D190,D197,D200:D201,D208,D210,D212,D216:D218,D220:D222,D227,D233:D234,D236:D238,D246,D251)</f>
        <v>88.640000000000015</v>
      </c>
      <c r="E118" s="123">
        <f t="shared" si="175"/>
        <v>76.440000000000012</v>
      </c>
      <c r="F118" s="123">
        <f t="shared" si="175"/>
        <v>98.84</v>
      </c>
      <c r="G118" s="123">
        <f t="shared" si="175"/>
        <v>137.54000000000002</v>
      </c>
      <c r="H118" s="123">
        <f t="shared" si="175"/>
        <v>139.44</v>
      </c>
      <c r="I118" s="123">
        <f t="shared" si="175"/>
        <v>151.73999999999998</v>
      </c>
      <c r="J118" s="123">
        <f t="shared" si="175"/>
        <v>102.13999999999999</v>
      </c>
      <c r="K118" s="123">
        <f t="shared" si="175"/>
        <v>195.94000000000003</v>
      </c>
      <c r="L118" s="123">
        <f t="shared" si="175"/>
        <v>205.43999999999997</v>
      </c>
      <c r="M118" s="123">
        <f t="shared" si="175"/>
        <v>199.54</v>
      </c>
      <c r="N118" s="123">
        <f t="shared" si="175"/>
        <v>220.67999999999998</v>
      </c>
      <c r="O118" s="123">
        <f t="shared" si="175"/>
        <v>212.44</v>
      </c>
      <c r="P118" s="123">
        <v>42</v>
      </c>
      <c r="Q118" s="123">
        <f t="shared" ref="Q118:AC118" si="176">SUM(Q22,Q28,Q31:Q32,Q66,Q68:Q69,Q71,Q73,Q119:Q123,Q155,Q161,Q167,Q176,Q178,Q190,Q197,Q200:Q201,Q208,Q210,Q212,Q216:Q218,Q220:Q222,Q227,Q233:Q234,Q236:Q238,Q246,Q251)</f>
        <v>177.64</v>
      </c>
      <c r="R118" s="123">
        <f t="shared" si="176"/>
        <v>172.83999999999997</v>
      </c>
      <c r="S118" s="123">
        <f t="shared" ref="S118:T118" si="177">SUM(S22,S28,S31:S32,S66,S68:S69,S71,S73,S119:S123,S155,S161,S167,S176,S178,S190,S197,S200:S201,S208,S210,S212,S216:S218,S220:S222,S227,S233:S234,S236:S238,S246,S251)</f>
        <v>166.23999999999998</v>
      </c>
      <c r="T118" s="123">
        <f t="shared" si="177"/>
        <v>149.54</v>
      </c>
      <c r="U118" s="123">
        <f t="shared" ref="U118:V118" si="178">SUM(U22,U28,U31:U32,U66,U68:U69,U71,U73,U119:U123,U155,U161,U167,U176,U178,U190,U197,U200:U201,U208,U210,U212,U216:U218,U220:U222,U227,U233:U234,U236:U238,U246,U251)</f>
        <v>284.73999999999995</v>
      </c>
      <c r="V118" s="123">
        <f t="shared" si="178"/>
        <v>283.04000000000002</v>
      </c>
      <c r="W118" s="123">
        <f t="shared" ref="W118:X118" si="179">SUM(W22,W28,W31:W32,W66,W68:W69,W71,W73,W119:W123,W155,W161,W167,W176,W178,W190,W197,W200:W201,W208,W210,W212,W216:W218,W220:W222,W227,W233:W234,W236:W238,W246,W251)</f>
        <v>291.54000000000002</v>
      </c>
      <c r="X118" s="123">
        <f t="shared" si="179"/>
        <v>324.04000000000002</v>
      </c>
      <c r="Y118" s="123">
        <f t="shared" ref="Y118:Z118" si="180">SUM(Y22,Y28,Y31:Y32,Y66,Y68:Y69,Y71,Y73,Y119:Y123,Y155,Y161,Y167,Y176,Y178,Y190,Y197,Y200:Y201,Y208,Y210,Y212,Y216:Y218,Y220:Y222,Y227,Y233:Y234,Y236:Y238,Y246,Y251)</f>
        <v>335.39</v>
      </c>
      <c r="Z118" s="123">
        <f t="shared" si="180"/>
        <v>370.14</v>
      </c>
      <c r="AA118" s="123">
        <f t="shared" ref="AA118:AB118" si="181">SUM(AA22,AA28,AA31:AA32,AA66,AA68:AA69,AA71,AA73,AA119:AA123,AA155,AA161,AA167,AA176,AA178,AA190,AA197,AA200:AA201,AA208,AA210,AA212,AA216:AA218,AA220:AA222,AA227,AA233:AA234,AA236:AA238,AA246,AA251)</f>
        <v>351.23999999999995</v>
      </c>
      <c r="AB118" s="123">
        <f t="shared" si="181"/>
        <v>302.33999999999997</v>
      </c>
      <c r="AC118" s="123">
        <f t="shared" si="176"/>
        <v>282.33999999999997</v>
      </c>
      <c r="AD118" s="123">
        <f t="shared" ref="AD118:AE118" si="182">SUM(AD22,AD28,AD31:AD32,AD66,AD68:AD69,AD71,AD73,AD119:AD123,AD155,AD161,AD167,AD176,AD178,AD190,AD197,AD200:AD201,AD208,AD210,AD212,AD216:AD218,AD220:AD222,AD227,AD233:AD234,AD236:AD238,AD246,AD251)</f>
        <v>248.33999999999997</v>
      </c>
      <c r="AE118" s="123">
        <f t="shared" si="182"/>
        <v>187.33999999999997</v>
      </c>
      <c r="AF118" s="123">
        <f t="shared" ref="AF118" si="183">SUM(AF22,AF28,AF31:AF32,AF66,AF68:AF69,AF71,AF73,AF119:AF123,AF155,AF161,AF167,AF176,AF178,AF190,AF197,AF200:AF201,AF208,AF210,AF212,AF216:AF218,AF220:AF222,AF227,AF233:AF234,AF236:AF238,AF246,AF251)</f>
        <v>153.33999999999997</v>
      </c>
      <c r="AG118" s="124"/>
      <c r="AH118" s="48">
        <f t="shared" si="74"/>
        <v>370.14</v>
      </c>
      <c r="AI118" s="49">
        <f t="shared" si="75"/>
        <v>42</v>
      </c>
    </row>
    <row r="119" spans="1:35" x14ac:dyDescent="0.25">
      <c r="A119" s="125" t="s">
        <v>142</v>
      </c>
      <c r="B119" s="126">
        <v>16.100000000000001</v>
      </c>
      <c r="C119" s="126">
        <v>14</v>
      </c>
      <c r="D119" s="126">
        <v>7.2</v>
      </c>
      <c r="E119" s="126">
        <v>-7.6</v>
      </c>
      <c r="F119" s="126">
        <v>10.9</v>
      </c>
      <c r="G119" s="126">
        <v>30</v>
      </c>
      <c r="H119" s="126">
        <v>21.7</v>
      </c>
      <c r="I119" s="126">
        <v>19.5</v>
      </c>
      <c r="J119" s="126">
        <v>7.3</v>
      </c>
      <c r="K119" s="126">
        <v>23.4</v>
      </c>
      <c r="L119" s="126">
        <v>24.5</v>
      </c>
      <c r="M119" s="126">
        <v>18.7</v>
      </c>
      <c r="N119" s="126">
        <v>30.74</v>
      </c>
      <c r="O119" s="126">
        <v>28.4</v>
      </c>
      <c r="P119" s="126">
        <v>0.5</v>
      </c>
      <c r="Q119" s="126">
        <v>13.3</v>
      </c>
      <c r="R119" s="126">
        <v>22.8</v>
      </c>
      <c r="S119" s="126">
        <v>19</v>
      </c>
      <c r="T119" s="126">
        <v>9.9</v>
      </c>
      <c r="U119" s="126">
        <v>12.2</v>
      </c>
      <c r="V119" s="126">
        <v>14.8</v>
      </c>
      <c r="W119" s="126">
        <v>15.1</v>
      </c>
      <c r="X119" s="126">
        <v>29.6</v>
      </c>
      <c r="Y119" s="126">
        <v>21.8</v>
      </c>
      <c r="Z119" s="126">
        <v>12.2</v>
      </c>
      <c r="AA119" s="126">
        <v>17.5</v>
      </c>
      <c r="AB119" s="126">
        <v>15</v>
      </c>
      <c r="AC119" s="126">
        <v>12</v>
      </c>
      <c r="AD119" s="126">
        <v>10</v>
      </c>
      <c r="AE119" s="126">
        <v>-8</v>
      </c>
      <c r="AF119" s="126">
        <v>-22</v>
      </c>
      <c r="AG119" s="127">
        <v>75</v>
      </c>
      <c r="AH119" s="48">
        <f t="shared" si="74"/>
        <v>30.74</v>
      </c>
      <c r="AI119" s="49">
        <f t="shared" si="75"/>
        <v>-22</v>
      </c>
    </row>
    <row r="120" spans="1:35" x14ac:dyDescent="0.25">
      <c r="A120" s="128" t="s">
        <v>143</v>
      </c>
      <c r="B120" s="129">
        <v>18.7</v>
      </c>
      <c r="C120" s="129">
        <v>17</v>
      </c>
      <c r="D120" s="129">
        <v>6.4</v>
      </c>
      <c r="E120" s="129">
        <v>7</v>
      </c>
      <c r="F120" s="129">
        <v>13.3</v>
      </c>
      <c r="G120" s="129">
        <v>37.799999999999997</v>
      </c>
      <c r="H120" s="129">
        <v>26</v>
      </c>
      <c r="I120" s="129">
        <v>23.7</v>
      </c>
      <c r="J120" s="129">
        <v>5</v>
      </c>
      <c r="K120" s="129">
        <v>29.3</v>
      </c>
      <c r="L120" s="129">
        <v>37.700000000000003</v>
      </c>
      <c r="M120" s="129">
        <v>27.4</v>
      </c>
      <c r="N120" s="129">
        <v>45.2</v>
      </c>
      <c r="O120" s="129">
        <v>40.700000000000003</v>
      </c>
      <c r="P120" s="129">
        <v>1.2</v>
      </c>
      <c r="Q120" s="129">
        <v>21.1</v>
      </c>
      <c r="R120" s="129">
        <v>32.700000000000003</v>
      </c>
      <c r="S120" s="129">
        <v>25.9</v>
      </c>
      <c r="T120" s="129">
        <v>15.9</v>
      </c>
      <c r="U120" s="129">
        <v>18.5</v>
      </c>
      <c r="V120" s="129">
        <v>23.3</v>
      </c>
      <c r="W120" s="129">
        <v>21.7</v>
      </c>
      <c r="X120" s="129">
        <v>40</v>
      </c>
      <c r="Y120" s="129">
        <v>30.3</v>
      </c>
      <c r="Z120" s="129">
        <v>17.399999999999999</v>
      </c>
      <c r="AA120" s="129">
        <v>24.4</v>
      </c>
      <c r="AB120" s="129">
        <v>22</v>
      </c>
      <c r="AC120" s="129">
        <v>17</v>
      </c>
      <c r="AD120" s="129">
        <v>11</v>
      </c>
      <c r="AE120" s="129">
        <v>-10</v>
      </c>
      <c r="AF120" s="129">
        <v>-35</v>
      </c>
      <c r="AG120" s="127">
        <v>240</v>
      </c>
      <c r="AH120" s="48">
        <f t="shared" si="74"/>
        <v>45.2</v>
      </c>
      <c r="AI120" s="49">
        <f t="shared" si="75"/>
        <v>-35</v>
      </c>
    </row>
    <row r="121" spans="1:35" x14ac:dyDescent="0.25">
      <c r="A121" s="128" t="s">
        <v>144</v>
      </c>
      <c r="B121" s="129">
        <f>-15.7-17.8</f>
        <v>-33.5</v>
      </c>
      <c r="C121" s="129">
        <v>-28</v>
      </c>
      <c r="D121" s="129">
        <f>-12.6-14.6</f>
        <v>-27.2</v>
      </c>
      <c r="E121" s="129">
        <f>-12-14</f>
        <v>-26</v>
      </c>
      <c r="F121" s="129">
        <f>-12.9-14.6</f>
        <v>-27.5</v>
      </c>
      <c r="G121" s="129">
        <f>-15.7-17.8</f>
        <v>-33.5</v>
      </c>
      <c r="H121" s="129">
        <f>-6-8.7</f>
        <v>-14.7</v>
      </c>
      <c r="I121" s="129">
        <f>-0.7-1.2</f>
        <v>-1.9</v>
      </c>
      <c r="J121" s="129">
        <f>-12-13</f>
        <v>-25</v>
      </c>
      <c r="K121" s="129">
        <v>27</v>
      </c>
      <c r="L121" s="129">
        <f>12.6+14</f>
        <v>26.6</v>
      </c>
      <c r="M121" s="129">
        <f>17.5+16.5</f>
        <v>34</v>
      </c>
      <c r="N121" s="129">
        <f>10.9+10</f>
        <v>20.9</v>
      </c>
      <c r="O121" s="129">
        <v>20.3</v>
      </c>
      <c r="P121" s="129">
        <v>36</v>
      </c>
      <c r="Q121" s="129">
        <v>15.1</v>
      </c>
      <c r="R121" s="129">
        <v>0</v>
      </c>
      <c r="S121" s="129">
        <v>12.6</v>
      </c>
      <c r="T121" s="129">
        <v>13</v>
      </c>
      <c r="U121" s="129">
        <v>16</v>
      </c>
      <c r="V121" s="129">
        <v>10.8</v>
      </c>
      <c r="W121" s="129">
        <v>7.5</v>
      </c>
      <c r="X121" s="129">
        <v>10.9</v>
      </c>
      <c r="Y121" s="129">
        <v>22.85</v>
      </c>
      <c r="Z121" s="129">
        <v>47</v>
      </c>
      <c r="AA121" s="129">
        <v>30</v>
      </c>
      <c r="AB121" s="129">
        <v>7</v>
      </c>
      <c r="AC121" s="129">
        <v>8</v>
      </c>
      <c r="AD121" s="129">
        <v>1</v>
      </c>
      <c r="AE121" s="129">
        <v>-14</v>
      </c>
      <c r="AF121" s="129">
        <v>-10</v>
      </c>
      <c r="AG121" s="127">
        <v>240</v>
      </c>
      <c r="AH121" s="48">
        <f t="shared" si="74"/>
        <v>47</v>
      </c>
      <c r="AI121" s="49">
        <f t="shared" si="75"/>
        <v>-33.5</v>
      </c>
    </row>
    <row r="122" spans="1:35" ht="15.75" thickBot="1" x14ac:dyDescent="0.3">
      <c r="A122" s="128" t="s">
        <v>145</v>
      </c>
      <c r="B122" s="129">
        <v>4.7</v>
      </c>
      <c r="C122" s="129">
        <v>4</v>
      </c>
      <c r="D122" s="129">
        <v>3.7</v>
      </c>
      <c r="E122" s="129">
        <v>4.5</v>
      </c>
      <c r="F122" s="129">
        <v>4.7</v>
      </c>
      <c r="G122" s="129">
        <v>5.8</v>
      </c>
      <c r="H122" s="129">
        <v>9</v>
      </c>
      <c r="I122" s="129">
        <v>13</v>
      </c>
      <c r="J122" s="129">
        <v>17.399999999999999</v>
      </c>
      <c r="K122" s="129">
        <v>19.8</v>
      </c>
      <c r="L122" s="129">
        <v>20.2</v>
      </c>
      <c r="M122" s="129">
        <v>21.2</v>
      </c>
      <c r="N122" s="129">
        <v>20.2</v>
      </c>
      <c r="O122" s="129">
        <v>19</v>
      </c>
      <c r="P122" s="129">
        <v>19</v>
      </c>
      <c r="Q122" s="129">
        <v>16.2</v>
      </c>
      <c r="R122" s="129">
        <v>12.5</v>
      </c>
      <c r="S122" s="129">
        <v>16.600000000000001</v>
      </c>
      <c r="T122" s="129">
        <v>13.4</v>
      </c>
      <c r="U122" s="129">
        <v>14</v>
      </c>
      <c r="V122" s="129">
        <v>15.1</v>
      </c>
      <c r="W122" s="129">
        <v>16.399999999999999</v>
      </c>
      <c r="X122" s="129">
        <v>19.3</v>
      </c>
      <c r="Y122" s="129">
        <v>40.9</v>
      </c>
      <c r="Z122" s="129">
        <v>54.5</v>
      </c>
      <c r="AA122" s="129">
        <v>52</v>
      </c>
      <c r="AB122" s="129">
        <v>31</v>
      </c>
      <c r="AC122" s="129">
        <v>26</v>
      </c>
      <c r="AD122" s="129">
        <v>27</v>
      </c>
      <c r="AE122" s="129">
        <v>20</v>
      </c>
      <c r="AF122" s="129">
        <v>15</v>
      </c>
      <c r="AG122" s="127">
        <v>60</v>
      </c>
      <c r="AH122" s="48">
        <f t="shared" si="74"/>
        <v>54.5</v>
      </c>
      <c r="AI122" s="49">
        <f t="shared" si="75"/>
        <v>3.7</v>
      </c>
    </row>
    <row r="123" spans="1:35" x14ac:dyDescent="0.25">
      <c r="A123" s="125" t="s">
        <v>146</v>
      </c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>
        <v>128.6</v>
      </c>
      <c r="V123" s="130">
        <v>127.5</v>
      </c>
      <c r="W123" s="130">
        <v>140.6</v>
      </c>
      <c r="X123" s="130">
        <v>135.9</v>
      </c>
      <c r="Y123" s="130">
        <v>132.19999999999999</v>
      </c>
      <c r="Z123" s="130">
        <v>151.69999999999999</v>
      </c>
      <c r="AA123" s="130">
        <v>140</v>
      </c>
      <c r="AB123" s="130">
        <v>140</v>
      </c>
      <c r="AC123" s="130">
        <v>132</v>
      </c>
      <c r="AD123" s="130">
        <v>112</v>
      </c>
      <c r="AE123" s="130">
        <v>112</v>
      </c>
      <c r="AF123" s="130">
        <v>118</v>
      </c>
      <c r="AG123" s="131">
        <v>120</v>
      </c>
      <c r="AH123" s="48">
        <f t="shared" si="74"/>
        <v>151.69999999999999</v>
      </c>
      <c r="AI123" s="49">
        <f t="shared" si="75"/>
        <v>112</v>
      </c>
    </row>
    <row r="124" spans="1:35" x14ac:dyDescent="0.25">
      <c r="A124" s="128" t="s">
        <v>147</v>
      </c>
      <c r="B124" s="130">
        <v>35</v>
      </c>
      <c r="C124" s="130">
        <v>33</v>
      </c>
      <c r="D124" s="130">
        <v>36.4</v>
      </c>
      <c r="E124" s="130">
        <v>34.6</v>
      </c>
      <c r="F124" s="130">
        <v>35.4</v>
      </c>
      <c r="G124" s="130">
        <v>28.6</v>
      </c>
      <c r="H124" s="130">
        <v>43.2</v>
      </c>
      <c r="I124" s="130">
        <v>56.2</v>
      </c>
      <c r="J124" s="130">
        <v>74.099999999999994</v>
      </c>
      <c r="K124" s="130">
        <f>76</f>
        <v>76</v>
      </c>
      <c r="L124" s="130">
        <f>74.8</f>
        <v>74.8</v>
      </c>
      <c r="M124" s="130">
        <v>80.7</v>
      </c>
      <c r="N124" s="130">
        <v>66.099999999999994</v>
      </c>
      <c r="O124" s="130">
        <v>66.099999999999994</v>
      </c>
      <c r="P124" s="130">
        <v>81.2</v>
      </c>
      <c r="Q124" s="130">
        <v>71.5</v>
      </c>
      <c r="R124" s="130">
        <v>66.3</v>
      </c>
      <c r="S124" s="130">
        <v>69.8</v>
      </c>
      <c r="T124" s="130">
        <v>74.900000000000006</v>
      </c>
      <c r="U124" s="130">
        <v>73.099999999999994</v>
      </c>
      <c r="V124" s="130">
        <v>72.8</v>
      </c>
      <c r="W124" s="130">
        <v>78.3</v>
      </c>
      <c r="X124" s="130">
        <v>75.8</v>
      </c>
      <c r="Y124" s="130">
        <v>84.5</v>
      </c>
      <c r="Z124" s="130">
        <v>89.5</v>
      </c>
      <c r="AA124" s="130">
        <v>85.1</v>
      </c>
      <c r="AB124" s="130">
        <v>85.1</v>
      </c>
      <c r="AC124" s="130">
        <v>90</v>
      </c>
      <c r="AD124" s="130">
        <v>79</v>
      </c>
      <c r="AE124" s="130">
        <v>79</v>
      </c>
      <c r="AF124" s="130">
        <v>83</v>
      </c>
      <c r="AG124" s="131"/>
      <c r="AH124" s="48"/>
      <c r="AI124" s="49"/>
    </row>
    <row r="125" spans="1:35" x14ac:dyDescent="0.25">
      <c r="A125" s="128" t="s">
        <v>148</v>
      </c>
      <c r="B125" s="130">
        <v>10.199999999999999</v>
      </c>
      <c r="C125" s="130">
        <v>12.5</v>
      </c>
      <c r="D125" s="130">
        <v>18.600000000000001</v>
      </c>
      <c r="E125" s="130">
        <v>15.8</v>
      </c>
      <c r="F125" s="130">
        <v>13.5</v>
      </c>
      <c r="G125" s="130">
        <v>-12.6</v>
      </c>
      <c r="H125" s="130">
        <v>-2.8</v>
      </c>
      <c r="I125" s="130">
        <v>0.3</v>
      </c>
      <c r="J125" s="130">
        <v>12.6</v>
      </c>
      <c r="K125" s="130">
        <v>-11.4</v>
      </c>
      <c r="L125" s="130">
        <v>-18.5</v>
      </c>
      <c r="M125" s="130">
        <v>-7.6</v>
      </c>
      <c r="N125" s="130">
        <v>-24.1</v>
      </c>
      <c r="O125" s="130">
        <v>-17.2</v>
      </c>
      <c r="P125" s="130">
        <v>17.5</v>
      </c>
      <c r="Q125" s="130">
        <v>7.3</v>
      </c>
      <c r="R125" s="130">
        <v>4.0999999999999996</v>
      </c>
      <c r="S125" s="130">
        <v>2.2000000000000002</v>
      </c>
      <c r="T125" s="130">
        <v>21.6</v>
      </c>
      <c r="U125" s="130">
        <v>13.4</v>
      </c>
      <c r="V125" s="130">
        <v>7.4</v>
      </c>
      <c r="W125" s="130">
        <v>10.8</v>
      </c>
      <c r="X125" s="130">
        <v>-7.9</v>
      </c>
      <c r="Y125" s="130">
        <v>-4</v>
      </c>
      <c r="Z125" s="130">
        <v>-3.5</v>
      </c>
      <c r="AA125" s="130">
        <v>-2.1</v>
      </c>
      <c r="AB125" s="130">
        <v>-2.1</v>
      </c>
      <c r="AC125" s="130">
        <v>21</v>
      </c>
      <c r="AD125" s="130">
        <v>24</v>
      </c>
      <c r="AE125" s="130">
        <v>53</v>
      </c>
      <c r="AF125" s="130">
        <v>80</v>
      </c>
      <c r="AG125" s="131"/>
      <c r="AH125" s="48"/>
      <c r="AI125" s="49"/>
    </row>
    <row r="126" spans="1:35" ht="15.75" thickBot="1" x14ac:dyDescent="0.3">
      <c r="A126" s="128" t="s">
        <v>149</v>
      </c>
      <c r="B126" s="130">
        <v>24.4</v>
      </c>
      <c r="C126" s="130">
        <v>23</v>
      </c>
      <c r="D126" s="130">
        <v>27.9</v>
      </c>
      <c r="E126" s="130">
        <v>26.1</v>
      </c>
      <c r="F126" s="130">
        <v>25.6</v>
      </c>
      <c r="G126" s="130">
        <v>13.5</v>
      </c>
      <c r="H126" s="130">
        <v>33.799999999999997</v>
      </c>
      <c r="I126" s="130">
        <v>45.4</v>
      </c>
      <c r="J126" s="130">
        <v>73.400000000000006</v>
      </c>
      <c r="K126" s="130">
        <v>65.900000000000006</v>
      </c>
      <c r="L126" s="130">
        <v>73.099999999999994</v>
      </c>
      <c r="M126" s="130">
        <v>82.5</v>
      </c>
      <c r="N126" s="130">
        <v>63.9</v>
      </c>
      <c r="O126" s="130">
        <v>68.3</v>
      </c>
      <c r="P126" s="130">
        <v>88.7</v>
      </c>
      <c r="Q126" s="130">
        <v>78.2</v>
      </c>
      <c r="R126" s="130">
        <v>76</v>
      </c>
      <c r="S126" s="130">
        <v>79</v>
      </c>
      <c r="T126" s="130">
        <v>96.6</v>
      </c>
      <c r="U126" s="130">
        <v>88.5</v>
      </c>
      <c r="V126" s="130">
        <v>87.1</v>
      </c>
      <c r="W126" s="130">
        <v>87.9</v>
      </c>
      <c r="X126" s="130">
        <v>88</v>
      </c>
      <c r="Y126" s="130">
        <v>83.6</v>
      </c>
      <c r="Z126" s="130">
        <v>92.6</v>
      </c>
      <c r="AA126" s="130">
        <v>90.7</v>
      </c>
      <c r="AB126" s="130">
        <v>90.7</v>
      </c>
      <c r="AC126" s="130">
        <v>103</v>
      </c>
      <c r="AD126" s="130">
        <v>86</v>
      </c>
      <c r="AE126" s="130">
        <v>98</v>
      </c>
      <c r="AF126" s="130">
        <v>98</v>
      </c>
      <c r="AG126" s="127"/>
      <c r="AH126" s="48">
        <f>MAX(B126:AF126)</f>
        <v>103</v>
      </c>
      <c r="AI126" s="49">
        <f>MIN(B126:AF126)</f>
        <v>13.5</v>
      </c>
    </row>
    <row r="127" spans="1:35" x14ac:dyDescent="0.25">
      <c r="A127" s="125" t="s">
        <v>305</v>
      </c>
      <c r="B127" s="130">
        <v>-76</v>
      </c>
      <c r="C127" s="130">
        <v>-72</v>
      </c>
      <c r="D127" s="130">
        <v>-54</v>
      </c>
      <c r="E127" s="130">
        <v>-27</v>
      </c>
      <c r="F127" s="130">
        <v>-49.4</v>
      </c>
      <c r="G127" s="130">
        <v>-61.1</v>
      </c>
      <c r="H127" s="130">
        <v>-34</v>
      </c>
      <c r="I127" s="130">
        <v>-54.9</v>
      </c>
      <c r="J127" s="130">
        <v>-1</v>
      </c>
      <c r="K127" s="130">
        <v>-25.4</v>
      </c>
      <c r="L127" s="130">
        <v>12.9</v>
      </c>
      <c r="M127" s="130">
        <v>-7.3</v>
      </c>
      <c r="N127" s="130">
        <v>-44.1</v>
      </c>
      <c r="O127" s="130">
        <v>-30.1</v>
      </c>
      <c r="P127" s="130">
        <v>13.7</v>
      </c>
      <c r="Q127" s="130">
        <v>-36.200000000000003</v>
      </c>
      <c r="R127" s="130">
        <v>-29.7</v>
      </c>
      <c r="S127" s="130">
        <v>-41.6</v>
      </c>
      <c r="T127" s="130">
        <v>-9.6999999999999993</v>
      </c>
      <c r="U127" s="130">
        <v>-3.4</v>
      </c>
      <c r="V127" s="130">
        <v>-22.3</v>
      </c>
      <c r="W127" s="130">
        <v>-41.8</v>
      </c>
      <c r="X127" s="130">
        <v>-14.5</v>
      </c>
      <c r="Y127" s="130">
        <v>-68</v>
      </c>
      <c r="Z127" s="130">
        <v>-75</v>
      </c>
      <c r="AA127" s="130">
        <v>-94.2</v>
      </c>
      <c r="AB127" s="130">
        <v>-94.2</v>
      </c>
      <c r="AC127" s="130">
        <v>-46</v>
      </c>
      <c r="AD127" s="130">
        <v>-33</v>
      </c>
      <c r="AE127" s="130">
        <v>-30</v>
      </c>
      <c r="AF127" s="130">
        <v>-30</v>
      </c>
      <c r="AG127" s="127"/>
      <c r="AH127" s="48">
        <f>MAX(B127:AF127)</f>
        <v>13.7</v>
      </c>
      <c r="AI127" s="49">
        <f>MIN(B127:AF127)</f>
        <v>-94.2</v>
      </c>
    </row>
    <row r="128" spans="1:35" x14ac:dyDescent="0.25">
      <c r="A128" s="128" t="s">
        <v>151</v>
      </c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>
        <v>26.7</v>
      </c>
      <c r="R128" s="118">
        <v>5.4</v>
      </c>
      <c r="S128" s="118">
        <v>29.2</v>
      </c>
      <c r="T128" s="118">
        <v>19.100000000000001</v>
      </c>
      <c r="U128" s="118">
        <v>16</v>
      </c>
      <c r="V128" s="118">
        <v>5.5</v>
      </c>
      <c r="W128" s="118">
        <v>0.5</v>
      </c>
      <c r="X128" s="118">
        <v>-6.1</v>
      </c>
      <c r="Y128" s="118">
        <v>-23.2</v>
      </c>
      <c r="Z128" s="118">
        <v>-17.8</v>
      </c>
      <c r="AA128" s="118">
        <v>-9.6</v>
      </c>
      <c r="AB128" s="118">
        <v>-9.6</v>
      </c>
      <c r="AC128" s="118">
        <v>3</v>
      </c>
      <c r="AD128" s="118">
        <v>7</v>
      </c>
      <c r="AE128" s="118">
        <v>15</v>
      </c>
      <c r="AF128" s="118">
        <v>15</v>
      </c>
      <c r="AG128" s="127"/>
      <c r="AH128" s="48">
        <f>MAX(B128:AF128)</f>
        <v>29.2</v>
      </c>
      <c r="AI128" s="49">
        <f>MIN(B128:AF128)</f>
        <v>-23.2</v>
      </c>
    </row>
    <row r="129" spans="1:37" x14ac:dyDescent="0.25">
      <c r="A129" s="128" t="s">
        <v>306</v>
      </c>
      <c r="B129" s="118">
        <v>23.4</v>
      </c>
      <c r="C129" s="118">
        <v>12</v>
      </c>
      <c r="D129" s="118">
        <v>1.9</v>
      </c>
      <c r="E129" s="118">
        <v>-14</v>
      </c>
      <c r="F129" s="118">
        <v>-3.1</v>
      </c>
      <c r="G129" s="118">
        <v>-3</v>
      </c>
      <c r="H129" s="118">
        <v>-9.1</v>
      </c>
      <c r="I129" s="118">
        <v>5.5</v>
      </c>
      <c r="J129" s="118">
        <v>3</v>
      </c>
      <c r="K129" s="118">
        <v>19</v>
      </c>
      <c r="L129" s="118">
        <v>27</v>
      </c>
      <c r="M129" s="118">
        <v>33.5</v>
      </c>
      <c r="N129" s="118">
        <v>29.3</v>
      </c>
      <c r="O129" s="118">
        <v>21.2</v>
      </c>
      <c r="P129" s="118">
        <v>15.4</v>
      </c>
      <c r="Q129" s="118">
        <v>18.100000000000001</v>
      </c>
      <c r="R129" s="118">
        <v>35.799999999999997</v>
      </c>
      <c r="S129" s="118">
        <v>26</v>
      </c>
      <c r="T129" s="118">
        <v>29.8</v>
      </c>
      <c r="U129" s="118">
        <v>32.9</v>
      </c>
      <c r="V129" s="118">
        <v>44.6</v>
      </c>
      <c r="W129" s="118">
        <v>57</v>
      </c>
      <c r="X129" s="118">
        <v>57.9</v>
      </c>
      <c r="Y129" s="118">
        <v>75</v>
      </c>
      <c r="Z129" s="118">
        <v>78.3</v>
      </c>
      <c r="AA129" s="118">
        <v>69.2</v>
      </c>
      <c r="AB129" s="118">
        <v>69.2</v>
      </c>
      <c r="AC129" s="118">
        <v>58</v>
      </c>
      <c r="AD129" s="118">
        <v>60</v>
      </c>
      <c r="AE129" s="118">
        <v>51</v>
      </c>
      <c r="AF129" s="118">
        <v>51</v>
      </c>
      <c r="AG129" s="127"/>
      <c r="AH129" s="48">
        <f>MAX(B129:AF129)</f>
        <v>78.3</v>
      </c>
      <c r="AI129" s="49">
        <f>MIN(B129:AF129)</f>
        <v>-14</v>
      </c>
    </row>
    <row r="130" spans="1:37" ht="15.75" thickBot="1" x14ac:dyDescent="0.3">
      <c r="A130" s="128" t="s">
        <v>153</v>
      </c>
      <c r="B130" s="118">
        <v>35</v>
      </c>
      <c r="C130" s="118">
        <v>18</v>
      </c>
      <c r="D130" s="118">
        <v>18.7</v>
      </c>
      <c r="E130" s="118">
        <v>4.9000000000000004</v>
      </c>
      <c r="F130" s="118">
        <v>10.1</v>
      </c>
      <c r="G130" s="118">
        <v>11.9</v>
      </c>
      <c r="H130" s="118">
        <v>5.3</v>
      </c>
      <c r="I130" s="118">
        <v>18.100000000000001</v>
      </c>
      <c r="J130" s="118">
        <v>11</v>
      </c>
      <c r="K130" s="118">
        <v>27.9</v>
      </c>
      <c r="L130" s="118">
        <v>38</v>
      </c>
      <c r="M130" s="118">
        <v>41.8</v>
      </c>
      <c r="N130" s="118">
        <v>44.9</v>
      </c>
      <c r="O130" s="118">
        <v>36.700000000000003</v>
      </c>
      <c r="P130" s="118">
        <v>31.5</v>
      </c>
      <c r="Q130" s="118">
        <v>30.1</v>
      </c>
      <c r="R130" s="118">
        <v>0</v>
      </c>
      <c r="S130" s="118">
        <v>0</v>
      </c>
      <c r="T130" s="118">
        <v>0</v>
      </c>
      <c r="U130" s="118">
        <v>43.5</v>
      </c>
      <c r="V130" s="118">
        <v>54.7</v>
      </c>
      <c r="W130" s="118">
        <v>59</v>
      </c>
      <c r="X130" s="118">
        <v>68.3</v>
      </c>
      <c r="Y130" s="118">
        <v>87.2</v>
      </c>
      <c r="Z130" s="118">
        <v>86.9</v>
      </c>
      <c r="AA130" s="118">
        <v>81.3</v>
      </c>
      <c r="AB130" s="118">
        <v>81.3</v>
      </c>
      <c r="AC130" s="118">
        <v>71.3</v>
      </c>
      <c r="AD130" s="118">
        <v>68</v>
      </c>
      <c r="AE130" s="118">
        <v>61</v>
      </c>
      <c r="AF130" s="118">
        <v>61</v>
      </c>
      <c r="AG130" s="127"/>
      <c r="AH130" s="48">
        <f>MAX(B130:AF130)</f>
        <v>87.2</v>
      </c>
      <c r="AI130" s="49">
        <f>MIN(B130:AF130)</f>
        <v>0</v>
      </c>
    </row>
    <row r="131" spans="1:37" x14ac:dyDescent="0.25">
      <c r="A131" s="132" t="s">
        <v>154</v>
      </c>
      <c r="B131" s="134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4"/>
      <c r="AG131" s="44"/>
      <c r="AH131" s="48"/>
      <c r="AI131" s="49"/>
    </row>
    <row r="132" spans="1:37" x14ac:dyDescent="0.25">
      <c r="A132" s="135" t="s">
        <v>155</v>
      </c>
      <c r="B132" s="137">
        <v>1985.78</v>
      </c>
      <c r="C132" s="136">
        <v>1985.9</v>
      </c>
      <c r="D132" s="136">
        <v>1986</v>
      </c>
      <c r="E132" s="136">
        <v>1986.2</v>
      </c>
      <c r="F132" s="136">
        <v>1986.4</v>
      </c>
      <c r="G132" s="136">
        <v>1986.45</v>
      </c>
      <c r="H132" s="136"/>
      <c r="I132" s="136">
        <v>1986.44</v>
      </c>
      <c r="J132" s="136"/>
      <c r="K132" s="136">
        <v>1986.45</v>
      </c>
      <c r="L132" s="136"/>
      <c r="M132" s="136">
        <v>1986.32</v>
      </c>
      <c r="N132" s="136">
        <v>1986.23</v>
      </c>
      <c r="O132" s="136">
        <v>1986.11</v>
      </c>
      <c r="P132" s="136">
        <v>1986.05</v>
      </c>
      <c r="Q132" s="136">
        <v>1986.1</v>
      </c>
      <c r="R132" s="136">
        <v>1985.92</v>
      </c>
      <c r="S132" s="136">
        <v>1985.72</v>
      </c>
      <c r="T132" s="136">
        <v>1985.58</v>
      </c>
      <c r="U132" s="136">
        <v>1985.49</v>
      </c>
      <c r="V132" s="136">
        <v>1985.35</v>
      </c>
      <c r="W132" s="136"/>
      <c r="X132" s="136">
        <v>1985.2</v>
      </c>
      <c r="Y132" s="136"/>
      <c r="Z132" s="136">
        <v>1984.82</v>
      </c>
      <c r="AA132" s="136"/>
      <c r="AB132" s="136">
        <v>1984.25</v>
      </c>
      <c r="AC132" s="136"/>
      <c r="AD132" s="136">
        <v>1983.96</v>
      </c>
      <c r="AE132" s="136">
        <v>1983.88</v>
      </c>
      <c r="AF132" s="137"/>
      <c r="AG132" s="138"/>
      <c r="AH132" s="48"/>
      <c r="AI132" s="49"/>
    </row>
    <row r="133" spans="1:37" x14ac:dyDescent="0.25">
      <c r="A133" s="135" t="s">
        <v>156</v>
      </c>
      <c r="B133" s="140">
        <v>521.75</v>
      </c>
      <c r="C133" s="139">
        <v>522.16</v>
      </c>
      <c r="D133" s="139">
        <v>522.48</v>
      </c>
      <c r="E133" s="139">
        <v>522.82000000000005</v>
      </c>
      <c r="F133" s="139">
        <v>523.20000000000005</v>
      </c>
      <c r="G133" s="139">
        <v>523.41</v>
      </c>
      <c r="H133" s="139"/>
      <c r="I133" s="139">
        <v>523.54</v>
      </c>
      <c r="J133" s="139"/>
      <c r="K133" s="139">
        <v>523.62</v>
      </c>
      <c r="L133" s="139"/>
      <c r="M133" s="139">
        <v>523.5</v>
      </c>
      <c r="N133" s="139">
        <v>523.17999999999995</v>
      </c>
      <c r="O133" s="139">
        <v>522.86</v>
      </c>
      <c r="P133" s="139">
        <v>522.54</v>
      </c>
      <c r="Q133" s="139">
        <v>522.30999999999995</v>
      </c>
      <c r="R133" s="139">
        <v>521.94000000000005</v>
      </c>
      <c r="S133" s="139">
        <v>521.6</v>
      </c>
      <c r="T133" s="139">
        <v>521.20000000000005</v>
      </c>
      <c r="U133" s="139">
        <v>521</v>
      </c>
      <c r="V133" s="139">
        <v>520.84</v>
      </c>
      <c r="W133" s="139"/>
      <c r="X133" s="139">
        <v>520.67999999999995</v>
      </c>
      <c r="Y133" s="139"/>
      <c r="Z133" s="139">
        <v>520.1</v>
      </c>
      <c r="AA133" s="139"/>
      <c r="AB133" s="139">
        <v>519.44000000000005</v>
      </c>
      <c r="AC133" s="139"/>
      <c r="AD133" s="139">
        <v>518.87</v>
      </c>
      <c r="AE133" s="139">
        <v>519.04</v>
      </c>
      <c r="AF133" s="140">
        <v>519.44000000000005</v>
      </c>
      <c r="AG133" s="138"/>
      <c r="AH133" s="48"/>
      <c r="AI133" s="49"/>
    </row>
    <row r="134" spans="1:37" x14ac:dyDescent="0.25">
      <c r="A134" s="135" t="s">
        <v>158</v>
      </c>
      <c r="B134" s="140">
        <v>623.62</v>
      </c>
      <c r="C134" s="139">
        <v>623.99</v>
      </c>
      <c r="D134" s="139">
        <v>624.32000000000005</v>
      </c>
      <c r="E134" s="139">
        <v>624.73</v>
      </c>
      <c r="F134" s="139">
        <v>625.1</v>
      </c>
      <c r="G134" s="139">
        <v>625.05999999999995</v>
      </c>
      <c r="H134" s="139"/>
      <c r="I134" s="139">
        <v>625.02</v>
      </c>
      <c r="J134" s="139"/>
      <c r="K134" s="139">
        <v>625.07000000000005</v>
      </c>
      <c r="L134" s="139"/>
      <c r="M134" s="139">
        <v>624.59</v>
      </c>
      <c r="N134" s="139">
        <v>624.35</v>
      </c>
      <c r="O134" s="139">
        <v>624.14</v>
      </c>
      <c r="P134" s="139">
        <v>624.24</v>
      </c>
      <c r="Q134" s="139">
        <v>624.5</v>
      </c>
      <c r="R134" s="139">
        <v>624.5</v>
      </c>
      <c r="S134" s="139">
        <v>624.54</v>
      </c>
      <c r="T134" s="139">
        <v>624.54</v>
      </c>
      <c r="U134" s="139">
        <v>624.20000000000005</v>
      </c>
      <c r="V134" s="139">
        <v>623.65</v>
      </c>
      <c r="W134" s="139"/>
      <c r="X134" s="139">
        <v>623.05999999999995</v>
      </c>
      <c r="Y134" s="139"/>
      <c r="Z134" s="139">
        <v>622.54</v>
      </c>
      <c r="AA134" s="139"/>
      <c r="AB134" s="139">
        <v>621.76</v>
      </c>
      <c r="AC134" s="139">
        <v>621.49</v>
      </c>
      <c r="AD134" s="139">
        <v>621.42999999999995</v>
      </c>
      <c r="AE134" s="139">
        <v>621.66</v>
      </c>
      <c r="AF134" s="140">
        <v>622.44000000000005</v>
      </c>
      <c r="AG134" s="138"/>
      <c r="AH134" s="48"/>
      <c r="AI134" s="49"/>
    </row>
    <row r="135" spans="1:37" x14ac:dyDescent="0.25">
      <c r="A135" s="135" t="s">
        <v>159</v>
      </c>
      <c r="B135" s="140">
        <v>336.54</v>
      </c>
      <c r="C135" s="139">
        <v>336.84</v>
      </c>
      <c r="D135" s="139">
        <v>336.98</v>
      </c>
      <c r="E135" s="139">
        <v>337.2</v>
      </c>
      <c r="F135" s="139">
        <v>337.27</v>
      </c>
      <c r="G135" s="139">
        <v>337.33</v>
      </c>
      <c r="H135" s="139"/>
      <c r="I135" s="139">
        <v>337.15</v>
      </c>
      <c r="J135" s="139"/>
      <c r="K135" s="139">
        <v>336.95</v>
      </c>
      <c r="L135" s="139"/>
      <c r="M135" s="139">
        <v>336.7</v>
      </c>
      <c r="N135" s="139">
        <v>336.47</v>
      </c>
      <c r="O135" s="139">
        <v>336.12</v>
      </c>
      <c r="P135" s="139">
        <v>335.91</v>
      </c>
      <c r="Q135" s="139">
        <v>335.88</v>
      </c>
      <c r="R135" s="139">
        <v>336.23</v>
      </c>
      <c r="S135" s="139">
        <v>336.57</v>
      </c>
      <c r="T135" s="139">
        <v>336.88</v>
      </c>
      <c r="U135" s="139">
        <v>336.96</v>
      </c>
      <c r="V135" s="139">
        <v>336.77</v>
      </c>
      <c r="W135" s="139"/>
      <c r="X135" s="139">
        <v>336.45</v>
      </c>
      <c r="Y135" s="139"/>
      <c r="Z135" s="139">
        <v>336.05</v>
      </c>
      <c r="AA135" s="139"/>
      <c r="AB135" s="139">
        <v>335.66</v>
      </c>
      <c r="AC135" s="139"/>
      <c r="AD135" s="139">
        <v>335.38</v>
      </c>
      <c r="AE135" s="139">
        <v>335.4</v>
      </c>
      <c r="AF135" s="140">
        <v>335.59</v>
      </c>
      <c r="AG135" s="138"/>
      <c r="AH135" s="48"/>
      <c r="AI135" s="49"/>
    </row>
    <row r="136" spans="1:37" x14ac:dyDescent="0.25">
      <c r="A136" s="135" t="s">
        <v>160</v>
      </c>
      <c r="B136" s="140">
        <v>883.8</v>
      </c>
      <c r="C136" s="139">
        <v>884.6</v>
      </c>
      <c r="D136" s="139">
        <v>885.4</v>
      </c>
      <c r="E136" s="139">
        <v>886.1</v>
      </c>
      <c r="F136" s="139"/>
      <c r="G136" s="139"/>
      <c r="H136" s="139"/>
      <c r="I136" s="139">
        <v>887.7</v>
      </c>
      <c r="J136" s="139"/>
      <c r="K136" s="139">
        <v>887.7</v>
      </c>
      <c r="L136" s="139"/>
      <c r="M136" s="139">
        <v>887.7</v>
      </c>
      <c r="N136" s="139">
        <v>887.7</v>
      </c>
      <c r="O136" s="139">
        <v>887.7</v>
      </c>
      <c r="P136" s="139">
        <v>887.6</v>
      </c>
      <c r="Q136" s="139">
        <v>887.4</v>
      </c>
      <c r="R136" s="139">
        <v>887.3</v>
      </c>
      <c r="S136" s="139">
        <v>887.2</v>
      </c>
      <c r="T136" s="139">
        <v>887</v>
      </c>
      <c r="U136" s="139">
        <v>886.3</v>
      </c>
      <c r="V136" s="139">
        <v>885</v>
      </c>
      <c r="W136" s="139"/>
      <c r="X136" s="139">
        <v>884.1</v>
      </c>
      <c r="Y136" s="139"/>
      <c r="Z136" s="139">
        <v>882.7</v>
      </c>
      <c r="AA136" s="139"/>
      <c r="AB136" s="139">
        <v>882.1</v>
      </c>
      <c r="AC136" s="139"/>
      <c r="AD136" s="139">
        <v>882.1</v>
      </c>
      <c r="AE136" s="139"/>
      <c r="AF136" s="140"/>
      <c r="AG136" s="138"/>
      <c r="AH136" s="48"/>
      <c r="AI136" s="49"/>
    </row>
    <row r="137" spans="1:37" ht="15.75" thickBot="1" x14ac:dyDescent="0.3">
      <c r="A137" s="135" t="s">
        <v>161</v>
      </c>
      <c r="B137" s="142">
        <v>1519.79</v>
      </c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>
        <v>1519.81</v>
      </c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  <c r="AF137" s="142"/>
      <c r="AG137" s="138"/>
      <c r="AH137" s="48"/>
      <c r="AI137" s="49"/>
    </row>
    <row r="138" spans="1:37" ht="15.75" thickBot="1" x14ac:dyDescent="0.3">
      <c r="A138" s="143" t="s">
        <v>162</v>
      </c>
      <c r="B138" s="144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>
        <f>130*1.6</f>
        <v>208</v>
      </c>
      <c r="AC148" s="148">
        <f>AB148*5</f>
        <v>1040</v>
      </c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>
        <f>AC149/5</f>
        <v>112</v>
      </c>
      <c r="AC149" s="148">
        <v>560</v>
      </c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 t="s">
        <v>313</v>
      </c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184">SUM(B139:B243)</f>
        <v>0</v>
      </c>
      <c r="C244" s="160">
        <f t="shared" si="184"/>
        <v>0</v>
      </c>
      <c r="D244" s="160">
        <f t="shared" si="184"/>
        <v>0</v>
      </c>
      <c r="E244" s="160">
        <f t="shared" si="184"/>
        <v>0</v>
      </c>
      <c r="F244" s="160">
        <f t="shared" si="184"/>
        <v>0</v>
      </c>
      <c r="G244" s="160">
        <f t="shared" si="184"/>
        <v>0</v>
      </c>
      <c r="H244" s="160">
        <f t="shared" si="184"/>
        <v>0</v>
      </c>
      <c r="I244" s="160">
        <f t="shared" si="184"/>
        <v>0</v>
      </c>
      <c r="J244" s="160">
        <f t="shared" si="184"/>
        <v>0</v>
      </c>
      <c r="K244" s="160">
        <f t="shared" si="184"/>
        <v>0</v>
      </c>
      <c r="L244" s="160">
        <f t="shared" si="184"/>
        <v>0</v>
      </c>
      <c r="M244" s="160">
        <f t="shared" si="184"/>
        <v>0</v>
      </c>
      <c r="N244" s="160">
        <f t="shared" si="184"/>
        <v>0</v>
      </c>
      <c r="O244" s="160">
        <f t="shared" si="184"/>
        <v>0</v>
      </c>
      <c r="P244" s="160">
        <f t="shared" si="184"/>
        <v>0</v>
      </c>
      <c r="Q244" s="160">
        <f t="shared" si="184"/>
        <v>0</v>
      </c>
      <c r="R244" s="160">
        <f t="shared" si="184"/>
        <v>0</v>
      </c>
      <c r="S244" s="160">
        <f t="shared" si="184"/>
        <v>0</v>
      </c>
      <c r="T244" s="160">
        <f t="shared" si="184"/>
        <v>0</v>
      </c>
      <c r="U244" s="160">
        <f t="shared" si="184"/>
        <v>0</v>
      </c>
      <c r="V244" s="160">
        <f t="shared" si="184"/>
        <v>0</v>
      </c>
      <c r="W244" s="160">
        <f t="shared" si="184"/>
        <v>0</v>
      </c>
      <c r="X244" s="160">
        <f t="shared" si="184"/>
        <v>0</v>
      </c>
      <c r="Y244" s="160">
        <f t="shared" si="184"/>
        <v>0</v>
      </c>
      <c r="Z244" s="160">
        <f t="shared" si="184"/>
        <v>0</v>
      </c>
      <c r="AA244" s="160">
        <f t="shared" si="184"/>
        <v>0</v>
      </c>
      <c r="AB244" s="160">
        <f t="shared" si="184"/>
        <v>320</v>
      </c>
      <c r="AC244" s="160">
        <f t="shared" si="184"/>
        <v>1600</v>
      </c>
      <c r="AD244" s="160">
        <f t="shared" si="184"/>
        <v>0</v>
      </c>
      <c r="AE244" s="160">
        <f t="shared" si="184"/>
        <v>0</v>
      </c>
      <c r="AF244" s="161">
        <f t="shared" si="184"/>
        <v>0</v>
      </c>
      <c r="AG244" s="162">
        <f t="shared" si="184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185">AF246</f>
        <v>0.3</v>
      </c>
      <c r="C246" s="165">
        <v>0.3</v>
      </c>
      <c r="D246" s="165">
        <f t="shared" ref="D246:S251" si="186">C246</f>
        <v>0.3</v>
      </c>
      <c r="E246" s="165">
        <f t="shared" si="186"/>
        <v>0.3</v>
      </c>
      <c r="F246" s="165">
        <f t="shared" si="186"/>
        <v>0.3</v>
      </c>
      <c r="G246" s="165">
        <f t="shared" si="186"/>
        <v>0.3</v>
      </c>
      <c r="H246" s="165">
        <f t="shared" si="186"/>
        <v>0.3</v>
      </c>
      <c r="I246" s="165">
        <f t="shared" si="186"/>
        <v>0.3</v>
      </c>
      <c r="J246" s="165">
        <f t="shared" si="186"/>
        <v>0.3</v>
      </c>
      <c r="K246" s="165">
        <f t="shared" si="186"/>
        <v>0.3</v>
      </c>
      <c r="L246" s="165">
        <f t="shared" si="186"/>
        <v>0.3</v>
      </c>
      <c r="M246" s="165">
        <f t="shared" si="186"/>
        <v>0.3</v>
      </c>
      <c r="N246" s="165">
        <f t="shared" si="186"/>
        <v>0.3</v>
      </c>
      <c r="O246" s="165">
        <f t="shared" si="186"/>
        <v>0.3</v>
      </c>
      <c r="P246" s="165">
        <f t="shared" si="186"/>
        <v>0.3</v>
      </c>
      <c r="Q246" s="165">
        <f t="shared" si="186"/>
        <v>0.3</v>
      </c>
      <c r="R246" s="165">
        <f t="shared" si="186"/>
        <v>0.3</v>
      </c>
      <c r="S246" s="165">
        <f t="shared" si="186"/>
        <v>0.3</v>
      </c>
      <c r="T246" s="165">
        <f t="shared" ref="T246:AF251" si="187">S246</f>
        <v>0.3</v>
      </c>
      <c r="U246" s="165">
        <f t="shared" si="187"/>
        <v>0.3</v>
      </c>
      <c r="V246" s="165">
        <f t="shared" si="187"/>
        <v>0.3</v>
      </c>
      <c r="W246" s="165">
        <f t="shared" si="187"/>
        <v>0.3</v>
      </c>
      <c r="X246" s="165">
        <f t="shared" si="187"/>
        <v>0.3</v>
      </c>
      <c r="Y246" s="165">
        <f t="shared" si="187"/>
        <v>0.3</v>
      </c>
      <c r="Z246" s="165">
        <f t="shared" si="187"/>
        <v>0.3</v>
      </c>
      <c r="AA246" s="165">
        <f t="shared" si="187"/>
        <v>0.3</v>
      </c>
      <c r="AB246" s="165">
        <f t="shared" si="187"/>
        <v>0.3</v>
      </c>
      <c r="AC246" s="165">
        <f t="shared" si="187"/>
        <v>0.3</v>
      </c>
      <c r="AD246" s="165">
        <f t="shared" si="187"/>
        <v>0.3</v>
      </c>
      <c r="AE246" s="165">
        <f t="shared" si="187"/>
        <v>0.3</v>
      </c>
      <c r="AF246" s="165">
        <f t="shared" si="187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185"/>
        <v>0.4</v>
      </c>
      <c r="C247" s="151">
        <v>0.4</v>
      </c>
      <c r="D247" s="151">
        <f t="shared" si="186"/>
        <v>0.4</v>
      </c>
      <c r="E247" s="151">
        <f t="shared" si="186"/>
        <v>0.4</v>
      </c>
      <c r="F247" s="151">
        <f t="shared" si="186"/>
        <v>0.4</v>
      </c>
      <c r="G247" s="151">
        <f t="shared" si="186"/>
        <v>0.4</v>
      </c>
      <c r="H247" s="151">
        <f t="shared" si="186"/>
        <v>0.4</v>
      </c>
      <c r="I247" s="151">
        <f t="shared" si="186"/>
        <v>0.4</v>
      </c>
      <c r="J247" s="151">
        <f t="shared" si="186"/>
        <v>0.4</v>
      </c>
      <c r="K247" s="151">
        <f t="shared" si="186"/>
        <v>0.4</v>
      </c>
      <c r="L247" s="151">
        <f t="shared" si="186"/>
        <v>0.4</v>
      </c>
      <c r="M247" s="151">
        <f t="shared" si="186"/>
        <v>0.4</v>
      </c>
      <c r="N247" s="151">
        <f t="shared" si="186"/>
        <v>0.4</v>
      </c>
      <c r="O247" s="151">
        <f t="shared" si="186"/>
        <v>0.4</v>
      </c>
      <c r="P247" s="151">
        <f t="shared" si="186"/>
        <v>0.4</v>
      </c>
      <c r="Q247" s="151">
        <f t="shared" si="186"/>
        <v>0.4</v>
      </c>
      <c r="R247" s="151">
        <f t="shared" si="186"/>
        <v>0.4</v>
      </c>
      <c r="S247" s="151">
        <f t="shared" si="186"/>
        <v>0.4</v>
      </c>
      <c r="T247" s="151">
        <f t="shared" si="187"/>
        <v>0.4</v>
      </c>
      <c r="U247" s="151">
        <f t="shared" si="187"/>
        <v>0.4</v>
      </c>
      <c r="V247" s="151">
        <f t="shared" si="187"/>
        <v>0.4</v>
      </c>
      <c r="W247" s="151">
        <f t="shared" si="187"/>
        <v>0.4</v>
      </c>
      <c r="X247" s="151">
        <f t="shared" si="187"/>
        <v>0.4</v>
      </c>
      <c r="Y247" s="151">
        <f t="shared" si="187"/>
        <v>0.4</v>
      </c>
      <c r="Z247" s="151">
        <f t="shared" si="187"/>
        <v>0.4</v>
      </c>
      <c r="AA247" s="151">
        <f t="shared" si="187"/>
        <v>0.4</v>
      </c>
      <c r="AB247" s="151">
        <f t="shared" si="187"/>
        <v>0.4</v>
      </c>
      <c r="AC247" s="151">
        <f t="shared" si="187"/>
        <v>0.4</v>
      </c>
      <c r="AD247" s="151">
        <f t="shared" si="187"/>
        <v>0.4</v>
      </c>
      <c r="AE247" s="151">
        <f t="shared" si="187"/>
        <v>0.4</v>
      </c>
      <c r="AF247" s="151">
        <f t="shared" si="187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185"/>
        <v>1.5</v>
      </c>
      <c r="C248" s="151">
        <v>1.5</v>
      </c>
      <c r="D248" s="151">
        <f t="shared" si="186"/>
        <v>1.5</v>
      </c>
      <c r="E248" s="151">
        <f t="shared" si="186"/>
        <v>1.5</v>
      </c>
      <c r="F248" s="151">
        <f t="shared" si="186"/>
        <v>1.5</v>
      </c>
      <c r="G248" s="151">
        <f t="shared" si="186"/>
        <v>1.5</v>
      </c>
      <c r="H248" s="151">
        <f t="shared" si="186"/>
        <v>1.5</v>
      </c>
      <c r="I248" s="151">
        <f t="shared" si="186"/>
        <v>1.5</v>
      </c>
      <c r="J248" s="151">
        <f t="shared" si="186"/>
        <v>1.5</v>
      </c>
      <c r="K248" s="151">
        <f t="shared" si="186"/>
        <v>1.5</v>
      </c>
      <c r="L248" s="151">
        <f t="shared" si="186"/>
        <v>1.5</v>
      </c>
      <c r="M248" s="151">
        <f t="shared" si="186"/>
        <v>1.5</v>
      </c>
      <c r="N248" s="151">
        <f t="shared" si="186"/>
        <v>1.5</v>
      </c>
      <c r="O248" s="151">
        <f t="shared" si="186"/>
        <v>1.5</v>
      </c>
      <c r="P248" s="151">
        <f t="shared" si="186"/>
        <v>1.5</v>
      </c>
      <c r="Q248" s="151">
        <f t="shared" si="186"/>
        <v>1.5</v>
      </c>
      <c r="R248" s="151">
        <f t="shared" si="186"/>
        <v>1.5</v>
      </c>
      <c r="S248" s="151">
        <f t="shared" si="186"/>
        <v>1.5</v>
      </c>
      <c r="T248" s="151">
        <f t="shared" si="187"/>
        <v>1.5</v>
      </c>
      <c r="U248" s="151">
        <f t="shared" si="187"/>
        <v>1.5</v>
      </c>
      <c r="V248" s="151">
        <f t="shared" si="187"/>
        <v>1.5</v>
      </c>
      <c r="W248" s="151">
        <f t="shared" si="187"/>
        <v>1.5</v>
      </c>
      <c r="X248" s="151">
        <f t="shared" si="187"/>
        <v>1.5</v>
      </c>
      <c r="Y248" s="151">
        <f t="shared" si="187"/>
        <v>1.5</v>
      </c>
      <c r="Z248" s="151">
        <f t="shared" si="187"/>
        <v>1.5</v>
      </c>
      <c r="AA248" s="151">
        <f t="shared" si="187"/>
        <v>1.5</v>
      </c>
      <c r="AB248" s="151">
        <f t="shared" si="187"/>
        <v>1.5</v>
      </c>
      <c r="AC248" s="151">
        <f t="shared" si="187"/>
        <v>1.5</v>
      </c>
      <c r="AD248" s="151">
        <f t="shared" si="187"/>
        <v>1.5</v>
      </c>
      <c r="AE248" s="151">
        <f t="shared" si="187"/>
        <v>1.5</v>
      </c>
      <c r="AF248" s="151">
        <f t="shared" si="187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185"/>
        <v>0.3</v>
      </c>
      <c r="C249" s="151">
        <v>0.3</v>
      </c>
      <c r="D249" s="151">
        <f t="shared" si="186"/>
        <v>0.3</v>
      </c>
      <c r="E249" s="151">
        <f t="shared" si="186"/>
        <v>0.3</v>
      </c>
      <c r="F249" s="151">
        <f t="shared" si="186"/>
        <v>0.3</v>
      </c>
      <c r="G249" s="151">
        <f t="shared" si="186"/>
        <v>0.3</v>
      </c>
      <c r="H249" s="151">
        <f t="shared" si="186"/>
        <v>0.3</v>
      </c>
      <c r="I249" s="151">
        <f t="shared" si="186"/>
        <v>0.3</v>
      </c>
      <c r="J249" s="151">
        <f t="shared" si="186"/>
        <v>0.3</v>
      </c>
      <c r="K249" s="151">
        <f t="shared" si="186"/>
        <v>0.3</v>
      </c>
      <c r="L249" s="151">
        <f t="shared" si="186"/>
        <v>0.3</v>
      </c>
      <c r="M249" s="151">
        <f t="shared" si="186"/>
        <v>0.3</v>
      </c>
      <c r="N249" s="151">
        <f t="shared" si="186"/>
        <v>0.3</v>
      </c>
      <c r="O249" s="151">
        <f t="shared" si="186"/>
        <v>0.3</v>
      </c>
      <c r="P249" s="151">
        <f t="shared" si="186"/>
        <v>0.3</v>
      </c>
      <c r="Q249" s="151">
        <f t="shared" si="186"/>
        <v>0.3</v>
      </c>
      <c r="R249" s="151">
        <f t="shared" si="186"/>
        <v>0.3</v>
      </c>
      <c r="S249" s="151">
        <f t="shared" si="186"/>
        <v>0.3</v>
      </c>
      <c r="T249" s="151">
        <f t="shared" si="187"/>
        <v>0.3</v>
      </c>
      <c r="U249" s="151">
        <f t="shared" si="187"/>
        <v>0.3</v>
      </c>
      <c r="V249" s="151">
        <f t="shared" si="187"/>
        <v>0.3</v>
      </c>
      <c r="W249" s="151">
        <f t="shared" si="187"/>
        <v>0.3</v>
      </c>
      <c r="X249" s="151">
        <f t="shared" si="187"/>
        <v>0.3</v>
      </c>
      <c r="Y249" s="151">
        <f t="shared" si="187"/>
        <v>0.3</v>
      </c>
      <c r="Z249" s="151">
        <f t="shared" si="187"/>
        <v>0.3</v>
      </c>
      <c r="AA249" s="151">
        <f t="shared" si="187"/>
        <v>0.3</v>
      </c>
      <c r="AB249" s="151">
        <f t="shared" si="187"/>
        <v>0.3</v>
      </c>
      <c r="AC249" s="151">
        <f t="shared" si="187"/>
        <v>0.3</v>
      </c>
      <c r="AD249" s="151">
        <f t="shared" si="187"/>
        <v>0.3</v>
      </c>
      <c r="AE249" s="151">
        <f t="shared" si="187"/>
        <v>0.3</v>
      </c>
      <c r="AF249" s="151">
        <f t="shared" si="187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185"/>
        <v>0.4</v>
      </c>
      <c r="C250" s="151">
        <v>0.4</v>
      </c>
      <c r="D250" s="151">
        <f t="shared" si="186"/>
        <v>0.4</v>
      </c>
      <c r="E250" s="151">
        <f t="shared" si="186"/>
        <v>0.4</v>
      </c>
      <c r="F250" s="151">
        <f t="shared" si="186"/>
        <v>0.4</v>
      </c>
      <c r="G250" s="151">
        <f t="shared" si="186"/>
        <v>0.4</v>
      </c>
      <c r="H250" s="151">
        <f t="shared" si="186"/>
        <v>0.4</v>
      </c>
      <c r="I250" s="151">
        <f t="shared" si="186"/>
        <v>0.4</v>
      </c>
      <c r="J250" s="151">
        <f t="shared" si="186"/>
        <v>0.4</v>
      </c>
      <c r="K250" s="151">
        <f t="shared" si="186"/>
        <v>0.4</v>
      </c>
      <c r="L250" s="151">
        <f t="shared" si="186"/>
        <v>0.4</v>
      </c>
      <c r="M250" s="151">
        <f t="shared" si="186"/>
        <v>0.4</v>
      </c>
      <c r="N250" s="151">
        <f t="shared" si="186"/>
        <v>0.4</v>
      </c>
      <c r="O250" s="151">
        <f t="shared" si="186"/>
        <v>0.4</v>
      </c>
      <c r="P250" s="151">
        <f t="shared" si="186"/>
        <v>0.4</v>
      </c>
      <c r="Q250" s="151">
        <f t="shared" si="186"/>
        <v>0.4</v>
      </c>
      <c r="R250" s="151">
        <f t="shared" si="186"/>
        <v>0.4</v>
      </c>
      <c r="S250" s="151">
        <f t="shared" si="186"/>
        <v>0.4</v>
      </c>
      <c r="T250" s="151">
        <f t="shared" si="187"/>
        <v>0.4</v>
      </c>
      <c r="U250" s="151">
        <f t="shared" si="187"/>
        <v>0.4</v>
      </c>
      <c r="V250" s="151">
        <f t="shared" si="187"/>
        <v>0.4</v>
      </c>
      <c r="W250" s="151">
        <f t="shared" si="187"/>
        <v>0.4</v>
      </c>
      <c r="X250" s="151">
        <f t="shared" si="187"/>
        <v>0.4</v>
      </c>
      <c r="Y250" s="151">
        <f t="shared" si="187"/>
        <v>0.4</v>
      </c>
      <c r="Z250" s="151">
        <f t="shared" si="187"/>
        <v>0.4</v>
      </c>
      <c r="AA250" s="151">
        <f t="shared" si="187"/>
        <v>0.4</v>
      </c>
      <c r="AB250" s="151">
        <f t="shared" si="187"/>
        <v>0.4</v>
      </c>
      <c r="AC250" s="151">
        <f t="shared" si="187"/>
        <v>0.4</v>
      </c>
      <c r="AD250" s="151">
        <f t="shared" si="187"/>
        <v>0.4</v>
      </c>
      <c r="AE250" s="151">
        <f t="shared" si="187"/>
        <v>0.4</v>
      </c>
      <c r="AF250" s="151">
        <f t="shared" si="187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185"/>
        <v>0.64</v>
      </c>
      <c r="C251" s="156">
        <v>0.64</v>
      </c>
      <c r="D251" s="156">
        <f t="shared" si="186"/>
        <v>0.64</v>
      </c>
      <c r="E251" s="156">
        <f t="shared" si="186"/>
        <v>0.64</v>
      </c>
      <c r="F251" s="156">
        <f t="shared" si="186"/>
        <v>0.64</v>
      </c>
      <c r="G251" s="156">
        <f t="shared" si="186"/>
        <v>0.64</v>
      </c>
      <c r="H251" s="156">
        <f t="shared" si="186"/>
        <v>0.64</v>
      </c>
      <c r="I251" s="156">
        <f t="shared" si="186"/>
        <v>0.64</v>
      </c>
      <c r="J251" s="156">
        <f t="shared" si="186"/>
        <v>0.64</v>
      </c>
      <c r="K251" s="156">
        <f t="shared" si="186"/>
        <v>0.64</v>
      </c>
      <c r="L251" s="156">
        <f t="shared" si="186"/>
        <v>0.64</v>
      </c>
      <c r="M251" s="156">
        <f t="shared" si="186"/>
        <v>0.64</v>
      </c>
      <c r="N251" s="156">
        <f t="shared" si="186"/>
        <v>0.64</v>
      </c>
      <c r="O251" s="156">
        <f t="shared" si="186"/>
        <v>0.64</v>
      </c>
      <c r="P251" s="156">
        <f t="shared" si="186"/>
        <v>0.64</v>
      </c>
      <c r="Q251" s="156">
        <f t="shared" si="186"/>
        <v>0.64</v>
      </c>
      <c r="R251" s="156">
        <f t="shared" si="186"/>
        <v>0.64</v>
      </c>
      <c r="S251" s="156">
        <f t="shared" si="186"/>
        <v>0.64</v>
      </c>
      <c r="T251" s="156">
        <f t="shared" si="187"/>
        <v>0.64</v>
      </c>
      <c r="U251" s="156">
        <f t="shared" si="187"/>
        <v>0.64</v>
      </c>
      <c r="V251" s="156">
        <f t="shared" si="187"/>
        <v>0.64</v>
      </c>
      <c r="W251" s="156">
        <f t="shared" si="187"/>
        <v>0.64</v>
      </c>
      <c r="X251" s="156">
        <f t="shared" si="187"/>
        <v>0.64</v>
      </c>
      <c r="Y251" s="156">
        <f t="shared" si="187"/>
        <v>0.64</v>
      </c>
      <c r="Z251" s="156">
        <f t="shared" si="187"/>
        <v>0.64</v>
      </c>
      <c r="AA251" s="156">
        <f t="shared" si="187"/>
        <v>0.64</v>
      </c>
      <c r="AB251" s="156">
        <f t="shared" si="187"/>
        <v>0.64</v>
      </c>
      <c r="AC251" s="156">
        <f t="shared" si="187"/>
        <v>0.64</v>
      </c>
      <c r="AD251" s="156">
        <f t="shared" si="187"/>
        <v>0.64</v>
      </c>
      <c r="AE251" s="156">
        <f t="shared" si="187"/>
        <v>0.64</v>
      </c>
      <c r="AF251" s="156">
        <f t="shared" si="187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188">SUM(B246:B251)</f>
        <v>3.54</v>
      </c>
      <c r="C252" s="160">
        <f t="shared" si="188"/>
        <v>3.54</v>
      </c>
      <c r="D252" s="160">
        <f t="shared" si="188"/>
        <v>3.54</v>
      </c>
      <c r="E252" s="160">
        <f t="shared" si="188"/>
        <v>3.54</v>
      </c>
      <c r="F252" s="160">
        <f t="shared" si="188"/>
        <v>3.54</v>
      </c>
      <c r="G252" s="160">
        <f t="shared" si="188"/>
        <v>3.54</v>
      </c>
      <c r="H252" s="160">
        <f t="shared" si="188"/>
        <v>3.54</v>
      </c>
      <c r="I252" s="160">
        <f t="shared" si="188"/>
        <v>3.54</v>
      </c>
      <c r="J252" s="160">
        <f t="shared" si="188"/>
        <v>3.54</v>
      </c>
      <c r="K252" s="160">
        <f t="shared" si="188"/>
        <v>3.54</v>
      </c>
      <c r="L252" s="160">
        <f t="shared" si="188"/>
        <v>3.54</v>
      </c>
      <c r="M252" s="160">
        <f t="shared" si="188"/>
        <v>3.54</v>
      </c>
      <c r="N252" s="160">
        <f t="shared" si="188"/>
        <v>3.54</v>
      </c>
      <c r="O252" s="160">
        <f t="shared" si="188"/>
        <v>3.54</v>
      </c>
      <c r="P252" s="160">
        <f t="shared" si="188"/>
        <v>3.54</v>
      </c>
      <c r="Q252" s="160">
        <f t="shared" si="188"/>
        <v>3.54</v>
      </c>
      <c r="R252" s="160">
        <f t="shared" si="188"/>
        <v>3.54</v>
      </c>
      <c r="S252" s="160">
        <f t="shared" si="188"/>
        <v>3.54</v>
      </c>
      <c r="T252" s="160">
        <f t="shared" si="188"/>
        <v>3.54</v>
      </c>
      <c r="U252" s="160">
        <f t="shared" si="188"/>
        <v>3.54</v>
      </c>
      <c r="V252" s="160">
        <f t="shared" si="188"/>
        <v>3.54</v>
      </c>
      <c r="W252" s="160">
        <f t="shared" si="188"/>
        <v>3.54</v>
      </c>
      <c r="X252" s="160">
        <f t="shared" si="188"/>
        <v>3.54</v>
      </c>
      <c r="Y252" s="160">
        <f t="shared" si="188"/>
        <v>3.54</v>
      </c>
      <c r="Z252" s="160">
        <f t="shared" si="188"/>
        <v>3.54</v>
      </c>
      <c r="AA252" s="160">
        <f t="shared" si="188"/>
        <v>3.54</v>
      </c>
      <c r="AB252" s="160">
        <f t="shared" si="188"/>
        <v>3.54</v>
      </c>
      <c r="AC252" s="160">
        <f t="shared" si="188"/>
        <v>3.54</v>
      </c>
      <c r="AD252" s="160">
        <f t="shared" si="188"/>
        <v>3.54</v>
      </c>
      <c r="AE252" s="160">
        <f t="shared" si="188"/>
        <v>3.54</v>
      </c>
      <c r="AF252" s="160">
        <f t="shared" si="188"/>
        <v>3.54</v>
      </c>
      <c r="AG252" s="170">
        <f t="shared" si="188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1182.5900000000001</v>
      </c>
      <c r="C256" s="173">
        <f>INDEX(G9:N9,1,MATCH(MAX(G99:N99),G99:N99,0))</f>
        <v>0.33333333333333331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2080/10/13)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2431" priority="124">
      <formula>$AH11=0</formula>
    </cfRule>
  </conditionalFormatting>
  <conditionalFormatting sqref="A132:A253">
    <cfRule type="expression" dxfId="2430" priority="125">
      <formula>$AH132=0</formula>
    </cfRule>
  </conditionalFormatting>
  <conditionalFormatting sqref="B8">
    <cfRule type="expression" dxfId="2429" priority="185">
      <formula>C$9&lt;8/24</formula>
    </cfRule>
    <cfRule type="expression" dxfId="2428" priority="186">
      <formula>C$9&gt;=20/24</formula>
    </cfRule>
    <cfRule type="expression" dxfId="2427" priority="184">
      <formula>AND(C$9&gt;=8/24,C$9&lt;14/24)</formula>
    </cfRule>
    <cfRule type="expression" dxfId="2426" priority="183">
      <formula>AND(C$9&gt;=14/24,C$9&lt;20/24)</formula>
    </cfRule>
  </conditionalFormatting>
  <conditionalFormatting sqref="B59:B62">
    <cfRule type="expression" dxfId="2425" priority="22">
      <formula>B$9&gt;=20/24</formula>
    </cfRule>
    <cfRule type="expression" dxfId="2424" priority="23">
      <formula>AND(B$9&gt;=14/24,B$9&lt;20/24)</formula>
    </cfRule>
    <cfRule type="expression" dxfId="2423" priority="24">
      <formula>AND(B$9&gt;=8/24,B$9&lt;14/24)</formula>
    </cfRule>
    <cfRule type="expression" dxfId="2422" priority="25">
      <formula>B$9&lt;8/24</formula>
    </cfRule>
  </conditionalFormatting>
  <conditionalFormatting sqref="B63:C68">
    <cfRule type="expression" dxfId="2421" priority="26">
      <formula>B$9&gt;=20/24</formula>
    </cfRule>
    <cfRule type="expression" dxfId="2420" priority="27">
      <formula>AND(B$9&gt;=14/24,B$9&lt;20/24)</formula>
    </cfRule>
    <cfRule type="expression" dxfId="2419" priority="28">
      <formula>AND(B$9&gt;=8/24,B$9&lt;14/24)</formula>
    </cfRule>
    <cfRule type="expression" dxfId="2418" priority="29">
      <formula>B$9&lt;8/24</formula>
    </cfRule>
  </conditionalFormatting>
  <conditionalFormatting sqref="B68:C68">
    <cfRule type="expression" dxfId="2417" priority="32">
      <formula>AND(B$9&gt;=14/24,B$9&lt;20/24)</formula>
    </cfRule>
    <cfRule type="expression" dxfId="2416" priority="33">
      <formula>AND(B$9&gt;=8/24,B$9&lt;14/24)</formula>
    </cfRule>
    <cfRule type="expression" dxfId="2415" priority="34">
      <formula>B$9&lt;8/24</formula>
    </cfRule>
    <cfRule type="expression" dxfId="2414" priority="31">
      <formula>B$9&gt;=20/24</formula>
    </cfRule>
  </conditionalFormatting>
  <conditionalFormatting sqref="B11:D12 E12:L12">
    <cfRule type="expression" dxfId="2413" priority="14">
      <formula>B11&gt;$AG11</formula>
    </cfRule>
    <cfRule type="expression" dxfId="2412" priority="15">
      <formula>B$9&gt;=20/24</formula>
    </cfRule>
    <cfRule type="expression" dxfId="2411" priority="16">
      <formula>AND(B$9&gt;=14/24,B$9&lt;20/24)</formula>
    </cfRule>
    <cfRule type="expression" dxfId="2410" priority="17">
      <formula>AND(B$9&gt;=8/24,B$9&lt;14/24)</formula>
    </cfRule>
    <cfRule type="expression" dxfId="2409" priority="18">
      <formula>B$9&lt;8/24</formula>
    </cfRule>
  </conditionalFormatting>
  <conditionalFormatting sqref="B13:R16 B17:Q52 R18:Y52 B69:P74 Q71:Q74 R72:Y74 B77:B99 B101:AF117 B119:AF137">
    <cfRule type="expression" dxfId="2408" priority="9">
      <formula>B$9&gt;=20/24</formula>
    </cfRule>
    <cfRule type="expression" dxfId="2407" priority="10">
      <formula>AND(B$9&gt;=14/24,B$9&lt;20/24)</formula>
    </cfRule>
    <cfRule type="expression" dxfId="2406" priority="11">
      <formula>AND(B$9&gt;=8/24,B$9&lt;14/24)</formula>
    </cfRule>
    <cfRule type="expression" dxfId="2405" priority="12">
      <formula>B$9&lt;8/24</formula>
    </cfRule>
  </conditionalFormatting>
  <conditionalFormatting sqref="B53:Y55">
    <cfRule type="expression" dxfId="2404" priority="5">
      <formula>B$9&gt;=20/24</formula>
    </cfRule>
    <cfRule type="expression" dxfId="2403" priority="6">
      <formula>AND(B$9&gt;=14/24,B$9&lt;20/24)</formula>
    </cfRule>
    <cfRule type="expression" dxfId="2402" priority="7">
      <formula>AND(B$9&gt;=8/24,B$9&lt;14/24)</formula>
    </cfRule>
    <cfRule type="expression" dxfId="2401" priority="13">
      <formula>B$9&lt;8/24</formula>
    </cfRule>
  </conditionalFormatting>
  <conditionalFormatting sqref="B9:AF10 E11 S13:Y17 R17 E59:E61 C59:D62 D63:H68 I66:J68 K67:M68 Q69:R70 S69:Y71 Z69:AF74 R71 C77:AF99 B244:AF244 B246:B252">
    <cfRule type="expression" dxfId="2400" priority="77">
      <formula>AND(B$9&gt;=8/24,B$9&lt;14/24)</formula>
    </cfRule>
    <cfRule type="expression" dxfId="2399" priority="78">
      <formula>B$9&lt;8/24</formula>
    </cfRule>
    <cfRule type="expression" dxfId="2398" priority="76">
      <formula>AND(B$9&gt;=14/24,B$9&lt;20/24)</formula>
    </cfRule>
  </conditionalFormatting>
  <conditionalFormatting sqref="D63:R68 E11 S13:Y17 R17 Z56:AF80 E57:R57 S57:Y71 C58:R62 AG62 Q69:R70 R71 C75:Y80 AG80">
    <cfRule type="expression" dxfId="2397" priority="74">
      <formula>C11&gt;$AG11</formula>
    </cfRule>
  </conditionalFormatting>
  <conditionalFormatting sqref="D246:AF252">
    <cfRule type="expression" dxfId="2396" priority="171">
      <formula>D$9&lt;8/24</formula>
    </cfRule>
    <cfRule type="expression" dxfId="2395" priority="170">
      <formula>AND(D$9&gt;=8/24,D$9&lt;14/24)</formula>
    </cfRule>
    <cfRule type="expression" dxfId="2394" priority="168">
      <formula>D$9&gt;=20/24</formula>
    </cfRule>
    <cfRule type="expression" dxfId="2393" priority="169">
      <formula>AND(D$9&gt;=14/24,D$9&lt;20/24)</formula>
    </cfRule>
  </conditionalFormatting>
  <conditionalFormatting sqref="E11 S13:Y17 R17 E59:E61 C59:D62 D63:H68 I66:J68 K67:M68 Q69:R70 S69:Y71 Z69:AF74 R71 C77:AF99 B9:AF10 B244:AF244 B246:B252">
    <cfRule type="expression" dxfId="2392" priority="75">
      <formula>B$9&gt;=20/24</formula>
    </cfRule>
  </conditionalFormatting>
  <conditionalFormatting sqref="E13:E56 C13:D57 B13:B80 F17:Q55 R18:Y55 F13:R16 C63:C74 D69:P74 Q71:Q74 R72:Y74">
    <cfRule type="expression" dxfId="2391" priority="8">
      <formula>B13&gt;$AG13</formula>
    </cfRule>
  </conditionalFormatting>
  <conditionalFormatting sqref="E56 B56:D57">
    <cfRule type="expression" dxfId="2390" priority="21">
      <formula>AND(B$9&gt;=8/24,B$9&lt;14/24)</formula>
    </cfRule>
    <cfRule type="expression" dxfId="2389" priority="19">
      <formula>B$9&gt;=20/24</formula>
    </cfRule>
    <cfRule type="expression" dxfId="2388" priority="20">
      <formula>AND(B$9&gt;=14/24,B$9&lt;20/24)</formula>
    </cfRule>
    <cfRule type="expression" dxfId="2387" priority="30">
      <formula>B$9&lt;8/24</formula>
    </cfRule>
  </conditionalFormatting>
  <conditionalFormatting sqref="E11:L11 M11:Y12 Z11:AF52">
    <cfRule type="expression" dxfId="2386" priority="92">
      <formula>E11&gt;$AG11</formula>
    </cfRule>
    <cfRule type="expression" dxfId="2385" priority="96">
      <formula>E$9&lt;8/24</formula>
    </cfRule>
    <cfRule type="expression" dxfId="2384" priority="93">
      <formula>E$9&gt;=20/24</formula>
    </cfRule>
    <cfRule type="expression" dxfId="2383" priority="94">
      <formula>AND(E$9&gt;=14/24,E$9&lt;20/24)</formula>
    </cfRule>
    <cfRule type="expression" dxfId="2382" priority="95">
      <formula>AND(E$9&gt;=8/24,E$9&lt;14/24)</formula>
    </cfRule>
  </conditionalFormatting>
  <conditionalFormatting sqref="E57:Y57">
    <cfRule type="expression" dxfId="2381" priority="101">
      <formula>E$9&lt;8/24</formula>
    </cfRule>
  </conditionalFormatting>
  <conditionalFormatting sqref="E59:AF62">
    <cfRule type="expression" dxfId="2380" priority="105">
      <formula>E$9&lt;8/24</formula>
    </cfRule>
    <cfRule type="expression" dxfId="2379" priority="104">
      <formula>AND(E$9&gt;=8/24,E$9&lt;14/24)</formula>
    </cfRule>
    <cfRule type="expression" dxfId="2378" priority="103">
      <formula>AND(E$9&gt;=14/24,E$9&lt;20/24)</formula>
    </cfRule>
    <cfRule type="expression" dxfId="2377" priority="102">
      <formula>E$9&gt;=20/24</formula>
    </cfRule>
  </conditionalFormatting>
  <conditionalFormatting sqref="F56:Y56">
    <cfRule type="expression" dxfId="2376" priority="82">
      <formula>AND(F$9&gt;=8/24,F$9&lt;14/24)</formula>
    </cfRule>
    <cfRule type="expression" dxfId="2375" priority="87">
      <formula>F$9&lt;8/24</formula>
    </cfRule>
    <cfRule type="expression" dxfId="2374" priority="79">
      <formula>F56&gt;$AG56</formula>
    </cfRule>
    <cfRule type="expression" dxfId="2373" priority="80">
      <formula>F$9&gt;=20/24</formula>
    </cfRule>
    <cfRule type="expression" dxfId="2372" priority="81">
      <formula>AND(F$9&gt;=14/24,F$9&lt;20/24)</formula>
    </cfRule>
  </conditionalFormatting>
  <conditionalFormatting sqref="I63:I65 J64:J65">
    <cfRule type="expression" dxfId="2371" priority="91">
      <formula>I$9&lt;8/24</formula>
    </cfRule>
    <cfRule type="expression" dxfId="2370" priority="90">
      <formula>AND(I$9&gt;=8/24,I$9&lt;14/24)</formula>
    </cfRule>
    <cfRule type="expression" dxfId="2369" priority="89">
      <formula>AND(I$9&gt;=14/24,I$9&lt;20/24)</formula>
    </cfRule>
    <cfRule type="expression" dxfId="2368" priority="88">
      <formula>I$9&gt;=20/24</formula>
    </cfRule>
  </conditionalFormatting>
  <conditionalFormatting sqref="I63:M65">
    <cfRule type="expression" dxfId="2367" priority="116">
      <formula>I$9&gt;=20/24</formula>
    </cfRule>
    <cfRule type="expression" dxfId="2366" priority="117">
      <formula>AND(I$9&gt;=14/24,I$9&lt;20/24)</formula>
    </cfRule>
    <cfRule type="expression" dxfId="2365" priority="118">
      <formula>AND(I$9&gt;=8/24,I$9&lt;14/24)</formula>
    </cfRule>
    <cfRule type="expression" dxfId="2364" priority="119">
      <formula>I$9&lt;8/24</formula>
    </cfRule>
  </conditionalFormatting>
  <conditionalFormatting sqref="M8 S8 AB8">
    <cfRule type="expression" dxfId="2363" priority="175">
      <formula>AND(N$9&gt;=14/24,N$9&lt;20/24)</formula>
    </cfRule>
    <cfRule type="expression" dxfId="2362" priority="176">
      <formula>AND(N$9&gt;=8/24,N$9&lt;14/24)</formula>
    </cfRule>
    <cfRule type="expression" dxfId="2361" priority="177">
      <formula>N$9&lt;8/24</formula>
    </cfRule>
  </conditionalFormatting>
  <conditionalFormatting sqref="M66">
    <cfRule type="expression" dxfId="2360" priority="3">
      <formula>AND(M$9&gt;=8/24,M$9&lt;14/24)</formula>
    </cfRule>
    <cfRule type="expression" dxfId="2359" priority="4">
      <formula>M$9&lt;8/24</formula>
    </cfRule>
    <cfRule type="expression" dxfId="2358" priority="1">
      <formula>M$9&gt;=20/24</formula>
    </cfRule>
    <cfRule type="expression" dxfId="2357" priority="2">
      <formula>AND(M$9&gt;=14/24,M$9&lt;20/24)</formula>
    </cfRule>
  </conditionalFormatting>
  <conditionalFormatting sqref="N63:AF68">
    <cfRule type="expression" dxfId="2356" priority="107">
      <formula>AND(N$9&gt;=14/24,N$9&lt;20/24)</formula>
    </cfRule>
    <cfRule type="expression" dxfId="2355" priority="106">
      <formula>N$9&gt;=20/24</formula>
    </cfRule>
    <cfRule type="expression" dxfId="2354" priority="108">
      <formula>AND(N$9&gt;=8/24,N$9&lt;14/24)</formula>
    </cfRule>
    <cfRule type="expression" dxfId="2353" priority="109">
      <formula>N$9&lt;8/24</formula>
    </cfRule>
  </conditionalFormatting>
  <conditionalFormatting sqref="O3:P3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352" priority="174">
      <formula>N$9&gt;=20/24</formula>
    </cfRule>
  </conditionalFormatting>
  <conditionalFormatting sqref="S8">
    <cfRule type="expression" dxfId="2351" priority="162">
      <formula>AND(U$9&gt;=14/24,U$9&lt;20/24)</formula>
    </cfRule>
    <cfRule type="expression" dxfId="2350" priority="161">
      <formula>U$9&gt;=20/24</formula>
    </cfRule>
    <cfRule type="expression" dxfId="2349" priority="164">
      <formula>U$9&lt;8/24</formula>
    </cfRule>
    <cfRule type="expression" dxfId="2348" priority="163">
      <formula>AND(U$9&gt;=8/24,U$9&lt;14/24)</formula>
    </cfRule>
  </conditionalFormatting>
  <conditionalFormatting sqref="V3 AB3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Z53:AF54">
    <cfRule type="expression" dxfId="2347" priority="71">
      <formula>Z$9&gt;=20/24</formula>
    </cfRule>
    <cfRule type="expression" dxfId="2346" priority="72">
      <formula>AND(Z$9&gt;=14/24,Z$9&lt;20/24)</formula>
    </cfRule>
    <cfRule type="expression" dxfId="2345" priority="73">
      <formula>AND(Z$9&gt;=8/24,Z$9&lt;14/24)</formula>
    </cfRule>
  </conditionalFormatting>
  <conditionalFormatting sqref="Z53:AF55">
    <cfRule type="expression" dxfId="2344" priority="111">
      <formula>Z53&gt;$AG53</formula>
    </cfRule>
  </conditionalFormatting>
  <conditionalFormatting sqref="Z53:AF57">
    <cfRule type="expression" dxfId="2343" priority="110">
      <formula>Z$9&lt;8/24</formula>
    </cfRule>
  </conditionalFormatting>
  <conditionalFormatting sqref="Z55:AF57 E57:Y57">
    <cfRule type="expression" dxfId="2342" priority="98">
      <formula>E$9&gt;=20/24</formula>
    </cfRule>
    <cfRule type="expression" dxfId="2341" priority="99">
      <formula>AND(E$9&gt;=14/24,E$9&lt;20/24)</formula>
    </cfRule>
    <cfRule type="expression" dxfId="2340" priority="100">
      <formula>AND(E$9&gt;=8/24,E$9&lt;14/24)</formula>
    </cfRule>
  </conditionalFormatting>
  <conditionalFormatting sqref="AB8">
    <cfRule type="expression" dxfId="2339" priority="160">
      <formula>AD$9&lt;8/24</formula>
    </cfRule>
    <cfRule type="expression" dxfId="2338" priority="159">
      <formula>AND(AD$9&gt;=8/24,AD$9&lt;14/24)</formula>
    </cfRule>
    <cfRule type="expression" dxfId="2337" priority="158">
      <formula>AND(AD$9&gt;=14/24,AD$9&lt;20/24)</formula>
    </cfRule>
    <cfRule type="expression" dxfId="2336" priority="157">
      <formula>AD$9&gt;=20/24</formula>
    </cfRule>
  </conditionalFormatting>
  <conditionalFormatting sqref="AG58">
    <cfRule type="expression" dxfId="2335" priority="152">
      <formula>AG58&gt;$AG58</formula>
    </cfRule>
  </conditionalFormatting>
  <conditionalFormatting sqref="AG62">
    <cfRule type="expression" dxfId="2334" priority="135">
      <formula>AG$9&gt;=20/24</formula>
    </cfRule>
    <cfRule type="expression" dxfId="2333" priority="136">
      <formula>AND(AG$9&gt;=14/24,AG$9&lt;20/24)</formula>
    </cfRule>
    <cfRule type="expression" dxfId="2332" priority="138">
      <formula>AG$9&lt;8/24</formula>
    </cfRule>
    <cfRule type="expression" dxfId="2331" priority="137">
      <formula>AND(AG$9&gt;=8/24,AG$9&lt;14/24)</formula>
    </cfRule>
  </conditionalFormatting>
  <conditionalFormatting sqref="AG75:AG76">
    <cfRule type="expression" dxfId="2330" priority="130">
      <formula>AG75&gt;$AG75</formula>
    </cfRule>
  </conditionalFormatting>
  <conditionalFormatting sqref="AG80">
    <cfRule type="expression" dxfId="2329" priority="134">
      <formula>AG$9&lt;8/24</formula>
    </cfRule>
    <cfRule type="expression" dxfId="2328" priority="131">
      <formula>AG$9&gt;=20/24</formula>
    </cfRule>
    <cfRule type="expression" dxfId="2327" priority="132">
      <formula>AND(AG$9&gt;=14/24,AG$9&lt;20/24)</formula>
    </cfRule>
    <cfRule type="expression" dxfId="2326" priority="133">
      <formula>AND(AG$9&gt;=8/24,AG$9&lt;14/24)</formula>
    </cfRule>
  </conditionalFormatting>
  <conditionalFormatting sqref="AG97">
    <cfRule type="expression" dxfId="2325" priority="154">
      <formula>AND(AG$9&gt;=14/24,AG$9&lt;20/24)</formula>
    </cfRule>
    <cfRule type="expression" dxfId="2324" priority="153">
      <formula>AG$9&gt;=20/24</formula>
    </cfRule>
    <cfRule type="expression" dxfId="2323" priority="156">
      <formula>AG$9&lt;8/24</formula>
    </cfRule>
    <cfRule type="expression" dxfId="2322" priority="155">
      <formula>AND(AG$9&gt;=8/24,AG$9&lt;14/24)</formula>
    </cfRule>
  </conditionalFormatting>
  <conditionalFormatting sqref="AL4:AL6">
    <cfRule type="iconSet" priority="167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50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4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49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82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66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65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321" priority="178">
      <formula>AJ$9&gt;=20/24</formula>
    </cfRule>
    <cfRule type="expression" dxfId="2320" priority="179">
      <formula>AND(AJ$9&gt;=14/24,AJ$9&lt;20/24)</formula>
    </cfRule>
    <cfRule type="expression" dxfId="2319" priority="180">
      <formula>AND(AJ$9&gt;=8/24,AJ$9&lt;14/24)</formula>
    </cfRule>
    <cfRule type="expression" dxfId="2318" priority="181">
      <formula>AJ$9&lt;8/24</formula>
    </cfRule>
  </conditionalFormatting>
  <conditionalFormatting sqref="AL88:AN88 AL94:AN94">
    <cfRule type="expression" dxfId="2317" priority="145">
      <formula>AL$9&gt;=20/24</formula>
    </cfRule>
    <cfRule type="expression" dxfId="2316" priority="146">
      <formula>AND(AL$9&gt;=14/24,AL$9&lt;20/24)</formula>
    </cfRule>
    <cfRule type="expression" dxfId="2315" priority="147">
      <formula>AND(AL$9&gt;=8/24,AL$9&lt;14/24)</formula>
    </cfRule>
    <cfRule type="expression" dxfId="2314" priority="148">
      <formula>AL$9&lt;8/24</formula>
    </cfRule>
  </conditionalFormatting>
  <conditionalFormatting sqref="AM15:AM21 AN16:AR21">
    <cfRule type="expression" dxfId="2313" priority="47">
      <formula>AX$9&gt;=20/24</formula>
    </cfRule>
    <cfRule type="expression" dxfId="2312" priority="48">
      <formula>AND(AX$9&gt;=14/24,AX$9&lt;20/24)</formula>
    </cfRule>
    <cfRule type="expression" dxfId="2311" priority="49">
      <formula>AND(AX$9&gt;=8/24,AX$9&lt;14/24)</formula>
    </cfRule>
    <cfRule type="expression" dxfId="2310" priority="50">
      <formula>AX$9&lt;8/24</formula>
    </cfRule>
  </conditionalFormatting>
  <conditionalFormatting sqref="AN89:AN92">
    <cfRule type="expression" dxfId="2309" priority="141">
      <formula>AN$9&gt;=20/24</formula>
    </cfRule>
    <cfRule type="expression" dxfId="2308" priority="142">
      <formula>AND(AN$9&gt;=14/24,AN$9&lt;20/24)</formula>
    </cfRule>
    <cfRule type="expression" dxfId="2307" priority="143">
      <formula>AND(AN$9&gt;=8/24,AN$9&lt;14/24)</formula>
    </cfRule>
    <cfRule type="expression" dxfId="2306" priority="144">
      <formula>AN$9&lt;8/24</formula>
    </cfRule>
  </conditionalFormatting>
  <conditionalFormatting sqref="AN15:AR15">
    <cfRule type="expression" dxfId="2305" priority="38">
      <formula>U$9&lt;8/24</formula>
    </cfRule>
    <cfRule type="expression" dxfId="2304" priority="37">
      <formula>AND(U$9&gt;=8/24,U$9&lt;14/24)</formula>
    </cfRule>
    <cfRule type="expression" dxfId="2303" priority="36">
      <formula>AND(U$9&gt;=14/24,U$9&lt;20/24)</formula>
    </cfRule>
    <cfRule type="expression" dxfId="2302" priority="35">
      <formula>U$9&gt;=20/24</formula>
    </cfRule>
  </conditionalFormatting>
  <conditionalFormatting sqref="AS15">
    <cfRule type="expression" dxfId="2301" priority="46">
      <formula>AA$9&lt;8/24</formula>
    </cfRule>
    <cfRule type="expression" dxfId="2300" priority="45">
      <formula>AND(AA$9&gt;=8/24,AA$9&lt;14/24)</formula>
    </cfRule>
    <cfRule type="expression" dxfId="2299" priority="43">
      <formula>AA$9&gt;=20/24</formula>
    </cfRule>
    <cfRule type="expression" dxfId="2298" priority="44">
      <formula>AND(AA$9&gt;=14/24,AA$9&lt;20/24)</formula>
    </cfRule>
  </conditionalFormatting>
  <conditionalFormatting sqref="AS16:AS21">
    <cfRule type="expression" dxfId="2297" priority="52">
      <formula>AND(BE$9&gt;=14/24,BE$9&lt;20/24)</formula>
    </cfRule>
    <cfRule type="expression" dxfId="2296" priority="53">
      <formula>AND(BE$9&gt;=8/24,BE$9&lt;14/24)</formula>
    </cfRule>
    <cfRule type="expression" dxfId="2295" priority="51">
      <formula>BE$9&gt;=20/24</formula>
    </cfRule>
    <cfRule type="expression" dxfId="2294" priority="54">
      <formula>BE$9&lt;8/24</formula>
    </cfRule>
  </conditionalFormatting>
  <conditionalFormatting sqref="AT15 AX15">
    <cfRule type="expression" dxfId="2293" priority="58">
      <formula>AC$9&lt;8/24</formula>
    </cfRule>
    <cfRule type="expression" dxfId="2292" priority="57">
      <formula>AND(AC$9&gt;=8/24,AC$9&lt;14/24)</formula>
    </cfRule>
    <cfRule type="expression" dxfId="2291" priority="56">
      <formula>AND(AC$9&gt;=14/24,AC$9&lt;20/24)</formula>
    </cfRule>
    <cfRule type="expression" dxfId="2290" priority="55">
      <formula>AC$9&gt;=20/24</formula>
    </cfRule>
  </conditionalFormatting>
  <conditionalFormatting sqref="AT16:AT21">
    <cfRule type="expression" dxfId="2289" priority="59">
      <formula>BG$9&gt;=20/24</formula>
    </cfRule>
    <cfRule type="expression" dxfId="2288" priority="60">
      <formula>AND(BG$9&gt;=14/24,BG$9&lt;20/24)</formula>
    </cfRule>
    <cfRule type="expression" dxfId="2287" priority="61">
      <formula>AND(BG$9&gt;=8/24,BG$9&lt;14/24)</formula>
    </cfRule>
    <cfRule type="expression" dxfId="2286" priority="62">
      <formula>BG$9&lt;8/24</formula>
    </cfRule>
  </conditionalFormatting>
  <conditionalFormatting sqref="AU15:AV15">
    <cfRule type="expression" dxfId="2285" priority="65">
      <formula>AND(AE$9&gt;=8/24,AE$9&lt;14/24)</formula>
    </cfRule>
    <cfRule type="expression" dxfId="2284" priority="64">
      <formula>AND(AE$9&gt;=14/24,AE$9&lt;20/24)</formula>
    </cfRule>
    <cfRule type="expression" dxfId="2283" priority="63">
      <formula>AE$9&gt;=20/24</formula>
    </cfRule>
    <cfRule type="expression" dxfId="2282" priority="66">
      <formula>AE$9&lt;8/24</formula>
    </cfRule>
  </conditionalFormatting>
  <conditionalFormatting sqref="AU16:AX21">
    <cfRule type="expression" dxfId="2281" priority="70">
      <formula>BI$9&lt;8/24</formula>
    </cfRule>
    <cfRule type="expression" dxfId="2280" priority="69">
      <formula>AND(BI$9&gt;=8/24,BI$9&lt;14/24)</formula>
    </cfRule>
    <cfRule type="expression" dxfId="2279" priority="68">
      <formula>AND(BI$9&gt;=14/24,BI$9&lt;20/24)</formula>
    </cfRule>
    <cfRule type="expression" dxfId="2278" priority="67">
      <formula>BI$9&gt;=20/24</formula>
    </cfRule>
  </conditionalFormatting>
  <conditionalFormatting sqref="AW15">
    <cfRule type="expression" dxfId="2277" priority="39">
      <formula>B$9&gt;=20/24</formula>
    </cfRule>
    <cfRule type="expression" dxfId="2276" priority="41">
      <formula>AND(B$9&gt;=8/24,B$9&lt;14/24)</formula>
    </cfRule>
    <cfRule type="expression" dxfId="2275" priority="40">
      <formula>AND(B$9&gt;=14/24,B$9&lt;20/24)</formula>
    </cfRule>
    <cfRule type="expression" dxfId="2274" priority="42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70D8-236E-4174-8066-3966D9DF7E1B}">
  <sheetPr codeName="Sheet15"/>
  <dimension ref="A1:CJ294"/>
  <sheetViews>
    <sheetView zoomScale="106" workbookViewId="0">
      <pane xSplit="1" ySplit="10" topLeftCell="B64" activePane="bottomRight" state="frozen"/>
      <selection activeCell="Z63" sqref="Z63"/>
      <selection pane="topRight" activeCell="Z63" sqref="Z63"/>
      <selection pane="bottomLeft" activeCell="Z63" sqref="Z63"/>
      <selection pane="bottomRight" activeCell="AF91" sqref="AF91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2080/10/14</v>
      </c>
      <c r="C4" s="214"/>
      <c r="D4" s="214"/>
      <c r="E4" s="215" t="str">
        <f ca="1">"2080/"&amp;"10/"&amp;INT(MID(CELL("filename",G6),FIND("]",CELL("filename",G6))+1,200))</f>
        <v>2080/10/14</v>
      </c>
      <c r="F4" s="215"/>
      <c r="G4" s="215"/>
      <c r="H4" s="215" t="str">
        <f ca="1">TEXT(E4,"dddd")</f>
        <v>Monday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99</v>
      </c>
      <c r="C5" s="30">
        <f t="shared" ref="C5:AE5" si="0">D92</f>
        <v>333</v>
      </c>
      <c r="D5" s="30">
        <f t="shared" si="0"/>
        <v>374</v>
      </c>
      <c r="E5" s="30">
        <f t="shared" si="0"/>
        <v>370.29999999999995</v>
      </c>
      <c r="F5" s="30">
        <f t="shared" si="0"/>
        <v>346.20000000000005</v>
      </c>
      <c r="G5" s="30">
        <f t="shared" si="0"/>
        <v>395.5</v>
      </c>
      <c r="H5" s="30">
        <f t="shared" si="0"/>
        <v>400.1</v>
      </c>
      <c r="I5" s="30">
        <f t="shared" si="0"/>
        <v>404.2</v>
      </c>
      <c r="J5" s="30">
        <f t="shared" si="0"/>
        <v>270.3</v>
      </c>
      <c r="K5" s="30">
        <f t="shared" si="0"/>
        <v>255.2</v>
      </c>
      <c r="L5" s="30">
        <f t="shared" si="0"/>
        <v>257.89999999999998</v>
      </c>
      <c r="M5" s="30">
        <f t="shared" si="0"/>
        <v>264</v>
      </c>
      <c r="N5" s="30">
        <f t="shared" si="0"/>
        <v>287</v>
      </c>
      <c r="O5" s="30">
        <f t="shared" si="0"/>
        <v>465.20000000000005</v>
      </c>
      <c r="P5" s="30">
        <f t="shared" si="0"/>
        <v>515.6</v>
      </c>
      <c r="Q5" s="30">
        <f t="shared" si="0"/>
        <v>512.82999999999993</v>
      </c>
      <c r="R5" s="30">
        <f t="shared" si="0"/>
        <v>512.82999999999993</v>
      </c>
      <c r="S5" s="30">
        <f t="shared" si="0"/>
        <v>601.1</v>
      </c>
      <c r="T5" s="30">
        <f t="shared" si="0"/>
        <v>576.70000000000005</v>
      </c>
      <c r="U5" s="30">
        <f t="shared" si="0"/>
        <v>517.80000000000007</v>
      </c>
      <c r="V5" s="30">
        <f t="shared" si="0"/>
        <v>645.20000000000005</v>
      </c>
      <c r="W5" s="30">
        <f t="shared" si="0"/>
        <v>618.40000000000009</v>
      </c>
      <c r="X5" s="30">
        <f t="shared" si="0"/>
        <v>634.29999999999995</v>
      </c>
      <c r="Y5" s="30">
        <f t="shared" si="0"/>
        <v>656.49999999999989</v>
      </c>
      <c r="Z5" s="30">
        <f t="shared" si="0"/>
        <v>470.5</v>
      </c>
      <c r="AA5" s="30">
        <f t="shared" si="0"/>
        <v>455.29999999999995</v>
      </c>
      <c r="AB5" s="30">
        <f t="shared" si="0"/>
        <v>369.90000000000003</v>
      </c>
      <c r="AC5" s="30">
        <f t="shared" si="0"/>
        <v>377.90000000000003</v>
      </c>
      <c r="AD5" s="30">
        <f t="shared" si="0"/>
        <v>350.6</v>
      </c>
      <c r="AE5" s="30">
        <f t="shared" si="0"/>
        <v>386.6</v>
      </c>
      <c r="AF5" s="30">
        <f>B92</f>
        <v>334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1456MW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Load=931</v>
      </c>
      <c r="B7" s="35">
        <f>B100</f>
        <v>1034.29</v>
      </c>
      <c r="C7" s="35">
        <f t="shared" ref="C7:AF7" si="1">C100</f>
        <v>943.29</v>
      </c>
      <c r="D7" s="35">
        <f t="shared" si="1"/>
        <v>931.29</v>
      </c>
      <c r="E7" s="35">
        <f t="shared" si="1"/>
        <v>983.08999999999992</v>
      </c>
      <c r="F7" s="35">
        <f t="shared" si="1"/>
        <v>983.58999999999992</v>
      </c>
      <c r="G7" s="35">
        <f t="shared" si="1"/>
        <v>1055.5900000000001</v>
      </c>
      <c r="H7" s="35">
        <f t="shared" si="1"/>
        <v>1133.5899999999999</v>
      </c>
      <c r="I7" s="35">
        <f t="shared" si="1"/>
        <v>1186.49</v>
      </c>
      <c r="J7" s="35">
        <f t="shared" si="1"/>
        <v>1255.79</v>
      </c>
      <c r="K7" s="35">
        <f t="shared" si="1"/>
        <v>1239.8900000000001</v>
      </c>
      <c r="L7" s="35">
        <f t="shared" si="1"/>
        <v>1276.29</v>
      </c>
      <c r="M7" s="35">
        <f t="shared" si="1"/>
        <v>1456.0900000000001</v>
      </c>
      <c r="N7" s="35">
        <f t="shared" si="1"/>
        <v>1431.3899999999999</v>
      </c>
      <c r="O7" s="35">
        <f t="shared" si="1"/>
        <v>1376.5500000000002</v>
      </c>
      <c r="P7" s="35">
        <f t="shared" si="1"/>
        <v>1263.8900000000001</v>
      </c>
      <c r="Q7" s="35">
        <f t="shared" si="1"/>
        <v>1263.8900000000001</v>
      </c>
      <c r="R7" s="35">
        <f t="shared" si="1"/>
        <v>1225.02</v>
      </c>
      <c r="S7" s="35">
        <f t="shared" si="1"/>
        <v>1259.72</v>
      </c>
      <c r="T7" s="35">
        <f t="shared" si="1"/>
        <v>1353.9900000000002</v>
      </c>
      <c r="U7" s="35">
        <f t="shared" si="1"/>
        <v>1378.39</v>
      </c>
      <c r="V7" s="35">
        <f t="shared" si="1"/>
        <v>1386.8900000000003</v>
      </c>
      <c r="W7" s="35">
        <f t="shared" si="1"/>
        <v>1389.99</v>
      </c>
      <c r="X7" s="35">
        <f t="shared" si="1"/>
        <v>1417.2900000000002</v>
      </c>
      <c r="Y7" s="35">
        <f t="shared" si="1"/>
        <v>1561.49</v>
      </c>
      <c r="Z7" s="35">
        <f t="shared" si="1"/>
        <v>1597.4899999999998</v>
      </c>
      <c r="AA7" s="35">
        <f t="shared" si="1"/>
        <v>1573.99</v>
      </c>
      <c r="AB7" s="35">
        <f t="shared" si="1"/>
        <v>1444.09</v>
      </c>
      <c r="AC7" s="35">
        <f t="shared" si="1"/>
        <v>1436.89</v>
      </c>
      <c r="AD7" s="35">
        <f t="shared" si="1"/>
        <v>1370.99</v>
      </c>
      <c r="AE7" s="35">
        <f t="shared" si="1"/>
        <v>1311.3899999999999</v>
      </c>
      <c r="AF7" s="35">
        <f t="shared" si="1"/>
        <v>1249.69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1456.09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1456.09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29.3</v>
      </c>
      <c r="C11" s="46">
        <v>29.3</v>
      </c>
      <c r="D11" s="46">
        <v>29.3</v>
      </c>
      <c r="E11" s="46">
        <v>29.3</v>
      </c>
      <c r="F11" s="46">
        <v>29.3</v>
      </c>
      <c r="G11" s="46">
        <v>29.3</v>
      </c>
      <c r="H11" s="46">
        <v>29.3</v>
      </c>
      <c r="I11" s="46">
        <v>29.3</v>
      </c>
      <c r="J11" s="46">
        <v>29.3</v>
      </c>
      <c r="K11" s="46">
        <v>29.3</v>
      </c>
      <c r="L11" s="46">
        <v>29.3</v>
      </c>
      <c r="M11" s="46">
        <v>28.5</v>
      </c>
      <c r="N11" s="46">
        <v>25.2</v>
      </c>
      <c r="O11" s="46">
        <v>25.2</v>
      </c>
      <c r="P11" s="46">
        <v>28.5</v>
      </c>
      <c r="Q11" s="46">
        <v>20</v>
      </c>
      <c r="R11" s="46">
        <v>26.7</v>
      </c>
      <c r="S11" s="46">
        <v>26.7</v>
      </c>
      <c r="T11" s="46">
        <v>26.7</v>
      </c>
      <c r="U11" s="46">
        <v>26.7</v>
      </c>
      <c r="V11" s="46">
        <v>26.7</v>
      </c>
      <c r="W11" s="46">
        <v>26.7</v>
      </c>
      <c r="X11" s="46">
        <v>26.7</v>
      </c>
      <c r="Y11" s="46">
        <v>26.7</v>
      </c>
      <c r="Z11" s="46">
        <v>26.7</v>
      </c>
      <c r="AA11" s="46">
        <v>64</v>
      </c>
      <c r="AB11" s="46">
        <v>26.7</v>
      </c>
      <c r="AC11" s="46">
        <v>26.7</v>
      </c>
      <c r="AD11" s="46">
        <v>26.7</v>
      </c>
      <c r="AE11" s="46">
        <v>26.7</v>
      </c>
      <c r="AF11" s="46">
        <v>26.7</v>
      </c>
      <c r="AG11" s="47">
        <v>86</v>
      </c>
      <c r="AH11" s="48">
        <f t="shared" ref="AH11:AH16" si="2">MAX(B11:AF11)</f>
        <v>64</v>
      </c>
      <c r="AI11" s="49">
        <f t="shared" ref="AI11:AI16" si="3">MIN(B11:AF11)</f>
        <v>20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10</v>
      </c>
      <c r="C12" s="46">
        <v>10</v>
      </c>
      <c r="D12" s="46">
        <v>10</v>
      </c>
      <c r="E12" s="46">
        <v>10</v>
      </c>
      <c r="F12" s="46">
        <v>10</v>
      </c>
      <c r="G12" s="46">
        <v>10</v>
      </c>
      <c r="H12" s="46">
        <v>10</v>
      </c>
      <c r="I12" s="46">
        <v>10</v>
      </c>
      <c r="J12" s="46">
        <v>10</v>
      </c>
      <c r="K12" s="46">
        <v>10</v>
      </c>
      <c r="L12" s="46">
        <v>10</v>
      </c>
      <c r="M12" s="46">
        <v>10</v>
      </c>
      <c r="N12" s="46">
        <v>10</v>
      </c>
      <c r="O12" s="46">
        <v>10</v>
      </c>
      <c r="P12" s="46">
        <v>10</v>
      </c>
      <c r="Q12" s="46">
        <v>10</v>
      </c>
      <c r="R12" s="46">
        <v>10</v>
      </c>
      <c r="S12" s="46">
        <v>10</v>
      </c>
      <c r="T12" s="46">
        <v>10</v>
      </c>
      <c r="U12" s="46">
        <v>10</v>
      </c>
      <c r="V12" s="46">
        <v>10</v>
      </c>
      <c r="W12" s="46">
        <v>10</v>
      </c>
      <c r="X12" s="46">
        <v>10</v>
      </c>
      <c r="Y12" s="46">
        <v>10</v>
      </c>
      <c r="Z12" s="46">
        <v>10</v>
      </c>
      <c r="AA12" s="46">
        <v>10</v>
      </c>
      <c r="AB12" s="46">
        <v>10</v>
      </c>
      <c r="AC12" s="46">
        <v>10</v>
      </c>
      <c r="AD12" s="46">
        <v>10</v>
      </c>
      <c r="AE12" s="46">
        <v>10</v>
      </c>
      <c r="AF12" s="46">
        <v>10</v>
      </c>
      <c r="AG12" s="50">
        <v>54</v>
      </c>
      <c r="AH12" s="48">
        <f t="shared" si="2"/>
        <v>10</v>
      </c>
      <c r="AI12" s="49">
        <f t="shared" si="3"/>
        <v>10</v>
      </c>
      <c r="AK12" s="51"/>
      <c r="AL12" s="52" t="str">
        <f ca="1">MID(CELL("filename",C7),FIND("]",CELL("filename",C7))+1,600)</f>
        <v>14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10.1</v>
      </c>
      <c r="C13" s="46">
        <v>10.1</v>
      </c>
      <c r="D13" s="46">
        <v>10.1</v>
      </c>
      <c r="E13" s="46">
        <v>10.1</v>
      </c>
      <c r="F13" s="46">
        <v>10.1</v>
      </c>
      <c r="G13" s="46">
        <v>10.1</v>
      </c>
      <c r="H13" s="46">
        <v>10.1</v>
      </c>
      <c r="I13" s="46">
        <v>10.1</v>
      </c>
      <c r="J13" s="46">
        <v>10.1</v>
      </c>
      <c r="K13" s="46">
        <v>10.1</v>
      </c>
      <c r="L13" s="46">
        <v>10.1</v>
      </c>
      <c r="M13" s="46">
        <v>10.6</v>
      </c>
      <c r="N13" s="46">
        <v>10.6</v>
      </c>
      <c r="O13" s="46">
        <v>10.6</v>
      </c>
      <c r="P13" s="46">
        <v>10.6</v>
      </c>
      <c r="Q13" s="46">
        <v>10.6</v>
      </c>
      <c r="R13" s="46">
        <v>10.199999999999999</v>
      </c>
      <c r="S13" s="46">
        <v>10.199999999999999</v>
      </c>
      <c r="T13" s="46">
        <v>10.199999999999999</v>
      </c>
      <c r="U13" s="46">
        <v>10.199999999999999</v>
      </c>
      <c r="V13" s="46">
        <v>10.199999999999999</v>
      </c>
      <c r="W13" s="46">
        <v>10.199999999999999</v>
      </c>
      <c r="X13" s="46">
        <v>10.199999999999999</v>
      </c>
      <c r="Y13" s="46">
        <v>10.199999999999999</v>
      </c>
      <c r="Z13" s="46">
        <v>10.199999999999999</v>
      </c>
      <c r="AA13" s="46">
        <v>10.199999999999999</v>
      </c>
      <c r="AB13" s="46">
        <v>10.199999999999999</v>
      </c>
      <c r="AC13" s="46">
        <v>10.199999999999999</v>
      </c>
      <c r="AD13" s="46">
        <v>10.199999999999999</v>
      </c>
      <c r="AE13" s="46">
        <v>10.199999999999999</v>
      </c>
      <c r="AF13" s="46">
        <v>10.199999999999999</v>
      </c>
      <c r="AG13" s="50">
        <v>54</v>
      </c>
      <c r="AH13" s="48">
        <f t="shared" si="2"/>
        <v>10.6</v>
      </c>
      <c r="AI13" s="49">
        <f t="shared" si="3"/>
        <v>10.1</v>
      </c>
      <c r="AK13" s="51"/>
      <c r="AL13" s="52" t="str">
        <f ca="1">"Daily Load Curve(Excluding of Export) of Nepal ("&amp;A4&amp;" "&amp;B4&amp;")"</f>
        <v>Daily Load Curve(Excluding of Export) of Nepal (Nepali Date: 2080/10/14)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17.399999999999999</v>
      </c>
      <c r="C14" s="46">
        <v>17.399999999999999</v>
      </c>
      <c r="D14" s="46">
        <v>17.399999999999999</v>
      </c>
      <c r="E14" s="46">
        <v>17.399999999999999</v>
      </c>
      <c r="F14" s="46">
        <v>17.399999999999999</v>
      </c>
      <c r="G14" s="46">
        <v>17.399999999999999</v>
      </c>
      <c r="H14" s="46">
        <v>17.399999999999999</v>
      </c>
      <c r="I14" s="46">
        <v>17.399999999999999</v>
      </c>
      <c r="J14" s="46">
        <v>17.399999999999999</v>
      </c>
      <c r="K14" s="46">
        <v>17.399999999999999</v>
      </c>
      <c r="L14" s="46">
        <v>17.399999999999999</v>
      </c>
      <c r="M14" s="46">
        <v>16.2</v>
      </c>
      <c r="N14" s="46">
        <v>16.2</v>
      </c>
      <c r="O14" s="46">
        <v>16.2</v>
      </c>
      <c r="P14" s="46">
        <v>16.2</v>
      </c>
      <c r="Q14" s="46">
        <v>16.2</v>
      </c>
      <c r="R14" s="46">
        <v>14.4</v>
      </c>
      <c r="S14" s="46">
        <v>14.4</v>
      </c>
      <c r="T14" s="46">
        <v>14.4</v>
      </c>
      <c r="U14" s="46">
        <v>14.4</v>
      </c>
      <c r="V14" s="46">
        <v>14.4</v>
      </c>
      <c r="W14" s="46">
        <v>14.4</v>
      </c>
      <c r="X14" s="46">
        <v>14.4</v>
      </c>
      <c r="Y14" s="46">
        <v>14.4</v>
      </c>
      <c r="Z14" s="46">
        <v>14.4</v>
      </c>
      <c r="AA14" s="46">
        <v>14.4</v>
      </c>
      <c r="AB14" s="46">
        <v>14.4</v>
      </c>
      <c r="AC14" s="46">
        <v>14.4</v>
      </c>
      <c r="AD14" s="46">
        <v>14.4</v>
      </c>
      <c r="AE14" s="46">
        <v>14.4</v>
      </c>
      <c r="AF14" s="46">
        <v>14.4</v>
      </c>
      <c r="AG14" s="47">
        <v>52.4</v>
      </c>
      <c r="AH14" s="48">
        <f t="shared" si="2"/>
        <v>17.399999999999999</v>
      </c>
      <c r="AI14" s="49">
        <f t="shared" si="3"/>
        <v>14.4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28.7</v>
      </c>
      <c r="C15" s="46">
        <v>28.7</v>
      </c>
      <c r="D15" s="46">
        <v>28.7</v>
      </c>
      <c r="E15" s="46">
        <v>28.7</v>
      </c>
      <c r="F15" s="46">
        <v>28.7</v>
      </c>
      <c r="G15" s="46">
        <v>28.7</v>
      </c>
      <c r="H15" s="46">
        <v>28.7</v>
      </c>
      <c r="I15" s="46">
        <v>28.7</v>
      </c>
      <c r="J15" s="46">
        <v>28.7</v>
      </c>
      <c r="K15" s="46">
        <v>28.7</v>
      </c>
      <c r="L15" s="46">
        <v>28.7</v>
      </c>
      <c r="M15" s="46">
        <v>28.6</v>
      </c>
      <c r="N15" s="46">
        <v>28.6</v>
      </c>
      <c r="O15" s="46">
        <v>28.6</v>
      </c>
      <c r="P15" s="46">
        <v>28.6</v>
      </c>
      <c r="Q15" s="46">
        <v>28.6</v>
      </c>
      <c r="R15" s="46">
        <v>28.5</v>
      </c>
      <c r="S15" s="46">
        <v>28.5</v>
      </c>
      <c r="T15" s="46">
        <v>28.5</v>
      </c>
      <c r="U15" s="46">
        <v>28.5</v>
      </c>
      <c r="V15" s="46">
        <v>28.5</v>
      </c>
      <c r="W15" s="46">
        <v>28.5</v>
      </c>
      <c r="X15" s="46">
        <v>28.5</v>
      </c>
      <c r="Y15" s="46">
        <v>28.5</v>
      </c>
      <c r="Z15" s="46">
        <v>28.5</v>
      </c>
      <c r="AA15" s="46">
        <v>28.5</v>
      </c>
      <c r="AB15" s="46">
        <v>28.5</v>
      </c>
      <c r="AC15" s="46">
        <v>28.5</v>
      </c>
      <c r="AD15" s="46">
        <v>28.5</v>
      </c>
      <c r="AE15" s="46">
        <v>28.5</v>
      </c>
      <c r="AF15" s="46">
        <v>28.5</v>
      </c>
      <c r="AG15" s="50">
        <v>50</v>
      </c>
      <c r="AH15" s="48">
        <f t="shared" si="2"/>
        <v>28.7</v>
      </c>
      <c r="AI15" s="49">
        <f t="shared" si="3"/>
        <v>28.5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17</v>
      </c>
      <c r="C16" s="46">
        <v>17</v>
      </c>
      <c r="D16" s="46">
        <v>17</v>
      </c>
      <c r="E16" s="46">
        <v>17</v>
      </c>
      <c r="F16" s="46">
        <v>17</v>
      </c>
      <c r="G16" s="46">
        <v>17</v>
      </c>
      <c r="H16" s="46">
        <v>17</v>
      </c>
      <c r="I16" s="46">
        <v>17</v>
      </c>
      <c r="J16" s="46">
        <v>17</v>
      </c>
      <c r="K16" s="46">
        <v>17</v>
      </c>
      <c r="L16" s="46">
        <v>17</v>
      </c>
      <c r="M16" s="46">
        <v>17</v>
      </c>
      <c r="N16" s="46">
        <v>17</v>
      </c>
      <c r="O16" s="46">
        <v>0</v>
      </c>
      <c r="P16" s="46">
        <v>0</v>
      </c>
      <c r="Q16" s="46">
        <v>0</v>
      </c>
      <c r="R16" s="46">
        <v>0</v>
      </c>
      <c r="S16" s="46">
        <v>0</v>
      </c>
      <c r="T16" s="46">
        <v>0</v>
      </c>
      <c r="U16" s="46">
        <v>0</v>
      </c>
      <c r="V16" s="46">
        <v>0</v>
      </c>
      <c r="W16" s="46">
        <v>0</v>
      </c>
      <c r="X16" s="46">
        <v>0</v>
      </c>
      <c r="Y16" s="46">
        <v>0</v>
      </c>
      <c r="Z16" s="46">
        <v>21.3</v>
      </c>
      <c r="AA16" s="46">
        <v>21.3</v>
      </c>
      <c r="AB16" s="46">
        <v>21.3</v>
      </c>
      <c r="AC16" s="46">
        <v>21.3</v>
      </c>
      <c r="AD16" s="46">
        <v>21.3</v>
      </c>
      <c r="AE16" s="46">
        <v>21.3</v>
      </c>
      <c r="AF16" s="46">
        <v>21.3</v>
      </c>
      <c r="AG16" s="50">
        <v>45</v>
      </c>
      <c r="AH16" s="48">
        <f t="shared" si="2"/>
        <v>21.3</v>
      </c>
      <c r="AI16" s="49">
        <f t="shared" si="3"/>
        <v>0</v>
      </c>
      <c r="AK16" s="51"/>
      <c r="AL16" s="54" t="s">
        <v>7</v>
      </c>
      <c r="AM16" s="59">
        <f>B58</f>
        <v>485.25</v>
      </c>
      <c r="AN16" s="59">
        <f t="shared" ref="AN16:AR16" si="4">C58</f>
        <v>485.25</v>
      </c>
      <c r="AO16" s="59">
        <f t="shared" si="4"/>
        <v>485.25</v>
      </c>
      <c r="AP16" s="59">
        <f t="shared" si="4"/>
        <v>485.25</v>
      </c>
      <c r="AQ16" s="59">
        <f t="shared" si="4"/>
        <v>485.25</v>
      </c>
      <c r="AR16" s="59">
        <f t="shared" si="4"/>
        <v>485.25</v>
      </c>
      <c r="AS16" s="59">
        <f>I58</f>
        <v>485.25</v>
      </c>
      <c r="AT16" s="59">
        <f>K58</f>
        <v>485.25</v>
      </c>
      <c r="AU16" s="59">
        <f t="shared" ref="AU16:AX16" si="5">M58</f>
        <v>483.35</v>
      </c>
      <c r="AV16" s="59">
        <f t="shared" si="5"/>
        <v>480.05</v>
      </c>
      <c r="AW16" s="59">
        <f t="shared" si="5"/>
        <v>463.05</v>
      </c>
      <c r="AX16" s="59">
        <f t="shared" si="5"/>
        <v>466.35000000000008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12</v>
      </c>
      <c r="C17" s="46">
        <v>12</v>
      </c>
      <c r="D17" s="46">
        <v>12</v>
      </c>
      <c r="E17" s="46">
        <v>12</v>
      </c>
      <c r="F17" s="46">
        <v>12</v>
      </c>
      <c r="G17" s="46">
        <v>12</v>
      </c>
      <c r="H17" s="46">
        <v>12</v>
      </c>
      <c r="I17" s="46">
        <v>12</v>
      </c>
      <c r="J17" s="46">
        <v>12</v>
      </c>
      <c r="K17" s="46">
        <v>12</v>
      </c>
      <c r="L17" s="46">
        <v>12</v>
      </c>
      <c r="M17" s="46">
        <v>12</v>
      </c>
      <c r="N17" s="46">
        <v>12</v>
      </c>
      <c r="O17" s="46">
        <v>12</v>
      </c>
      <c r="P17" s="46">
        <v>12</v>
      </c>
      <c r="Q17" s="46">
        <v>12</v>
      </c>
      <c r="R17" s="46">
        <v>12</v>
      </c>
      <c r="S17" s="46">
        <v>12</v>
      </c>
      <c r="T17" s="46">
        <v>12</v>
      </c>
      <c r="U17" s="46">
        <v>12</v>
      </c>
      <c r="V17" s="46">
        <v>12</v>
      </c>
      <c r="W17" s="46">
        <v>12</v>
      </c>
      <c r="X17" s="46">
        <v>12</v>
      </c>
      <c r="Y17" s="46">
        <v>12</v>
      </c>
      <c r="Z17" s="46">
        <v>12</v>
      </c>
      <c r="AA17" s="46">
        <v>12</v>
      </c>
      <c r="AB17" s="46">
        <v>12</v>
      </c>
      <c r="AC17" s="46">
        <v>12</v>
      </c>
      <c r="AD17" s="46">
        <v>12</v>
      </c>
      <c r="AE17" s="46">
        <v>12</v>
      </c>
      <c r="AF17" s="46">
        <v>12</v>
      </c>
      <c r="AG17" s="50">
        <v>44</v>
      </c>
      <c r="AH17" s="48">
        <f>MAX(B17:AG17)</f>
        <v>44</v>
      </c>
      <c r="AI17" s="49">
        <f>MIN(B17:AG17)</f>
        <v>12</v>
      </c>
      <c r="AK17" s="51"/>
      <c r="AL17" s="54" t="s">
        <v>27</v>
      </c>
      <c r="AM17" s="59">
        <f>B62</f>
        <v>105.3</v>
      </c>
      <c r="AN17" s="59">
        <f t="shared" ref="AN17:AR17" si="6">C62</f>
        <v>185.3</v>
      </c>
      <c r="AO17" s="59">
        <f t="shared" si="6"/>
        <v>35.299999999999997</v>
      </c>
      <c r="AP17" s="59">
        <f t="shared" si="6"/>
        <v>35.299999999999997</v>
      </c>
      <c r="AQ17" s="59">
        <f t="shared" si="6"/>
        <v>35.299999999999997</v>
      </c>
      <c r="AR17" s="59">
        <f t="shared" si="6"/>
        <v>85.5</v>
      </c>
      <c r="AS17" s="59">
        <f>I62</f>
        <v>75.3</v>
      </c>
      <c r="AT17" s="59">
        <f>K62</f>
        <v>189.3</v>
      </c>
      <c r="AU17" s="59">
        <f t="shared" ref="AU17:AX17" si="7">M62</f>
        <v>275.60000000000002</v>
      </c>
      <c r="AV17" s="59">
        <f t="shared" si="7"/>
        <v>245.5</v>
      </c>
      <c r="AW17" s="59">
        <f t="shared" si="7"/>
        <v>155.36000000000001</v>
      </c>
      <c r="AX17" s="59">
        <f t="shared" si="7"/>
        <v>75.599999999999994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8</v>
      </c>
      <c r="C18" s="46">
        <v>8</v>
      </c>
      <c r="D18" s="46">
        <v>8</v>
      </c>
      <c r="E18" s="46">
        <v>8</v>
      </c>
      <c r="F18" s="46">
        <v>8</v>
      </c>
      <c r="G18" s="46">
        <v>8</v>
      </c>
      <c r="H18" s="46">
        <v>8</v>
      </c>
      <c r="I18" s="46">
        <v>8</v>
      </c>
      <c r="J18" s="46">
        <v>8</v>
      </c>
      <c r="K18" s="46">
        <v>8</v>
      </c>
      <c r="L18" s="46">
        <v>8</v>
      </c>
      <c r="M18" s="46">
        <v>7.7</v>
      </c>
      <c r="N18" s="46">
        <v>7.7</v>
      </c>
      <c r="O18" s="46">
        <v>7.7</v>
      </c>
      <c r="P18" s="46">
        <v>7.7</v>
      </c>
      <c r="Q18" s="46">
        <v>7.7</v>
      </c>
      <c r="R18" s="46">
        <v>7.7</v>
      </c>
      <c r="S18" s="46">
        <v>7.7</v>
      </c>
      <c r="T18" s="46">
        <v>7.7</v>
      </c>
      <c r="U18" s="46">
        <v>7.7</v>
      </c>
      <c r="V18" s="46">
        <v>7.7</v>
      </c>
      <c r="W18" s="46">
        <v>7.7</v>
      </c>
      <c r="X18" s="46">
        <v>7.7</v>
      </c>
      <c r="Y18" s="46">
        <v>7.7</v>
      </c>
      <c r="Z18" s="46">
        <v>7.7</v>
      </c>
      <c r="AA18" s="46">
        <v>7.7</v>
      </c>
      <c r="AB18" s="46">
        <v>7.7</v>
      </c>
      <c r="AC18" s="46">
        <v>7.7</v>
      </c>
      <c r="AD18" s="46">
        <v>7.7</v>
      </c>
      <c r="AE18" s="46">
        <v>7.7</v>
      </c>
      <c r="AF18" s="46">
        <v>7.7</v>
      </c>
      <c r="AG18" s="50">
        <v>42</v>
      </c>
      <c r="AH18" s="48">
        <f t="shared" ref="AH18:AH81" si="8">MAX(B18:AF18)</f>
        <v>8</v>
      </c>
      <c r="AI18" s="49">
        <f t="shared" ref="AI18:AI81" si="9">MIN(B18:AF18)</f>
        <v>7.7</v>
      </c>
      <c r="AK18" s="51"/>
      <c r="AL18" s="54" t="s">
        <v>29</v>
      </c>
      <c r="AM18" s="59">
        <f>B76</f>
        <v>109.74</v>
      </c>
      <c r="AN18" s="59">
        <f t="shared" ref="AN18:AR18" si="10">C76</f>
        <v>122.74</v>
      </c>
      <c r="AO18" s="59">
        <f t="shared" si="10"/>
        <v>77.739999999999995</v>
      </c>
      <c r="AP18" s="59">
        <f t="shared" si="10"/>
        <v>88.539999999999992</v>
      </c>
      <c r="AQ18" s="59">
        <f t="shared" si="10"/>
        <v>92.74</v>
      </c>
      <c r="AR18" s="59">
        <f t="shared" si="10"/>
        <v>138.63999999999996</v>
      </c>
      <c r="AS18" s="59">
        <f>I76</f>
        <v>225.84</v>
      </c>
      <c r="AT18" s="59">
        <f>K76</f>
        <v>295.04000000000008</v>
      </c>
      <c r="AU18" s="59">
        <f t="shared" ref="AU18:AX18" si="11">M76</f>
        <v>289.24</v>
      </c>
      <c r="AV18" s="59">
        <f t="shared" si="11"/>
        <v>291.84000000000003</v>
      </c>
      <c r="AW18" s="59">
        <f t="shared" si="11"/>
        <v>321.14000000000004</v>
      </c>
      <c r="AX18" s="59">
        <f t="shared" si="11"/>
        <v>256.74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15</v>
      </c>
      <c r="C19" s="46">
        <v>15</v>
      </c>
      <c r="D19" s="46">
        <v>15</v>
      </c>
      <c r="E19" s="46">
        <v>15</v>
      </c>
      <c r="F19" s="46">
        <v>15</v>
      </c>
      <c r="G19" s="46">
        <v>15</v>
      </c>
      <c r="H19" s="46">
        <v>15</v>
      </c>
      <c r="I19" s="46">
        <v>15</v>
      </c>
      <c r="J19" s="46">
        <v>15</v>
      </c>
      <c r="K19" s="46">
        <v>15</v>
      </c>
      <c r="L19" s="46">
        <v>15</v>
      </c>
      <c r="M19" s="46">
        <v>15</v>
      </c>
      <c r="N19" s="46">
        <v>15</v>
      </c>
      <c r="O19" s="46">
        <v>15</v>
      </c>
      <c r="P19" s="46">
        <v>15</v>
      </c>
      <c r="Q19" s="46">
        <v>15</v>
      </c>
      <c r="R19" s="46">
        <v>15</v>
      </c>
      <c r="S19" s="46">
        <v>15</v>
      </c>
      <c r="T19" s="46">
        <v>15</v>
      </c>
      <c r="U19" s="46">
        <v>15</v>
      </c>
      <c r="V19" s="46">
        <v>15</v>
      </c>
      <c r="W19" s="46">
        <v>15</v>
      </c>
      <c r="X19" s="46">
        <v>15</v>
      </c>
      <c r="Y19" s="46">
        <v>15</v>
      </c>
      <c r="Z19" s="46">
        <v>15</v>
      </c>
      <c r="AA19" s="46">
        <v>15</v>
      </c>
      <c r="AB19" s="46">
        <v>15</v>
      </c>
      <c r="AC19" s="46">
        <v>15</v>
      </c>
      <c r="AD19" s="46">
        <v>15</v>
      </c>
      <c r="AE19" s="46">
        <v>15</v>
      </c>
      <c r="AF19" s="46">
        <v>15</v>
      </c>
      <c r="AG19" s="50">
        <v>38.46</v>
      </c>
      <c r="AH19" s="48">
        <f t="shared" si="8"/>
        <v>15</v>
      </c>
      <c r="AI19" s="49">
        <f t="shared" si="9"/>
        <v>15</v>
      </c>
      <c r="AK19" s="51"/>
      <c r="AL19" s="54" t="s">
        <v>31</v>
      </c>
      <c r="AM19" s="59">
        <f>B92</f>
        <v>334</v>
      </c>
      <c r="AN19" s="59">
        <f t="shared" ref="AN19:AR19" si="12">C92</f>
        <v>99</v>
      </c>
      <c r="AO19" s="59">
        <f t="shared" si="12"/>
        <v>333</v>
      </c>
      <c r="AP19" s="59">
        <f t="shared" si="12"/>
        <v>374</v>
      </c>
      <c r="AQ19" s="59">
        <f t="shared" si="12"/>
        <v>370.29999999999995</v>
      </c>
      <c r="AR19" s="59">
        <f t="shared" si="12"/>
        <v>346.20000000000005</v>
      </c>
      <c r="AS19" s="59">
        <f>I92</f>
        <v>400.1</v>
      </c>
      <c r="AT19" s="59">
        <f>K92</f>
        <v>270.3</v>
      </c>
      <c r="AU19" s="59">
        <f t="shared" ref="AU19:AX19" si="13">M92</f>
        <v>257.89999999999998</v>
      </c>
      <c r="AV19" s="59">
        <f t="shared" si="13"/>
        <v>264</v>
      </c>
      <c r="AW19" s="59">
        <f t="shared" si="13"/>
        <v>287</v>
      </c>
      <c r="AX19" s="59">
        <f t="shared" si="13"/>
        <v>465.20000000000005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7.8</v>
      </c>
      <c r="C20" s="46">
        <v>7.8</v>
      </c>
      <c r="D20" s="46">
        <v>7.8</v>
      </c>
      <c r="E20" s="46">
        <v>7.8</v>
      </c>
      <c r="F20" s="46">
        <v>7.8</v>
      </c>
      <c r="G20" s="46">
        <v>7.8</v>
      </c>
      <c r="H20" s="46">
        <v>7.8</v>
      </c>
      <c r="I20" s="46">
        <v>7.8</v>
      </c>
      <c r="J20" s="46">
        <v>7.8</v>
      </c>
      <c r="K20" s="46">
        <v>7.8</v>
      </c>
      <c r="L20" s="46">
        <v>7.8</v>
      </c>
      <c r="M20" s="46">
        <v>7.8</v>
      </c>
      <c r="N20" s="46">
        <v>7.8</v>
      </c>
      <c r="O20" s="46">
        <v>7.8</v>
      </c>
      <c r="P20" s="46">
        <v>7.8</v>
      </c>
      <c r="Q20" s="46">
        <v>7.8</v>
      </c>
      <c r="R20" s="46">
        <v>7.8</v>
      </c>
      <c r="S20" s="46">
        <v>7.8</v>
      </c>
      <c r="T20" s="46">
        <v>7.8</v>
      </c>
      <c r="U20" s="46">
        <v>7.8</v>
      </c>
      <c r="V20" s="46">
        <v>7.8</v>
      </c>
      <c r="W20" s="46">
        <v>7.8</v>
      </c>
      <c r="X20" s="46">
        <v>7.8</v>
      </c>
      <c r="Y20" s="46">
        <v>7.8</v>
      </c>
      <c r="Z20" s="46">
        <v>7.8</v>
      </c>
      <c r="AA20" s="46">
        <v>7.8</v>
      </c>
      <c r="AB20" s="46">
        <v>7.8</v>
      </c>
      <c r="AC20" s="46">
        <v>7.8</v>
      </c>
      <c r="AD20" s="46">
        <v>7.8</v>
      </c>
      <c r="AE20" s="46">
        <v>7.8</v>
      </c>
      <c r="AF20" s="46">
        <v>7.8</v>
      </c>
      <c r="AG20" s="50">
        <v>38.46</v>
      </c>
      <c r="AH20" s="48">
        <f t="shared" si="8"/>
        <v>7.8</v>
      </c>
      <c r="AI20" s="49">
        <f t="shared" si="9"/>
        <v>7.8</v>
      </c>
      <c r="AK20" s="51"/>
      <c r="AL20" s="54" t="s">
        <v>33</v>
      </c>
      <c r="AM20" s="59">
        <f>B80</f>
        <v>0</v>
      </c>
      <c r="AN20" s="59">
        <f t="shared" ref="AN20:AR20" si="14">C80</f>
        <v>52</v>
      </c>
      <c r="AO20" s="59">
        <f t="shared" si="14"/>
        <v>0</v>
      </c>
      <c r="AP20" s="59">
        <f t="shared" si="14"/>
        <v>0</v>
      </c>
      <c r="AQ20" s="59">
        <f t="shared" si="14"/>
        <v>0</v>
      </c>
      <c r="AR20" s="59">
        <f t="shared" si="14"/>
        <v>0</v>
      </c>
      <c r="AS20" s="59">
        <f>I80</f>
        <v>0</v>
      </c>
      <c r="AT20" s="59">
        <f>K80</f>
        <v>0</v>
      </c>
      <c r="AU20" s="59">
        <f t="shared" ref="AU20:AX20" si="15">M80</f>
        <v>0</v>
      </c>
      <c r="AV20" s="59">
        <f t="shared" si="15"/>
        <v>0</v>
      </c>
      <c r="AW20" s="59">
        <f t="shared" si="15"/>
        <v>0</v>
      </c>
      <c r="AX20" s="59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13</v>
      </c>
      <c r="C21" s="46">
        <v>13</v>
      </c>
      <c r="D21" s="46">
        <v>13</v>
      </c>
      <c r="E21" s="46">
        <v>13</v>
      </c>
      <c r="F21" s="46">
        <v>13</v>
      </c>
      <c r="G21" s="46">
        <v>13</v>
      </c>
      <c r="H21" s="46">
        <v>13</v>
      </c>
      <c r="I21" s="46">
        <v>13</v>
      </c>
      <c r="J21" s="46">
        <v>13</v>
      </c>
      <c r="K21" s="46">
        <v>13</v>
      </c>
      <c r="L21" s="46">
        <v>13</v>
      </c>
      <c r="M21" s="46">
        <v>13</v>
      </c>
      <c r="N21" s="46">
        <v>13</v>
      </c>
      <c r="O21" s="46">
        <v>13</v>
      </c>
      <c r="P21" s="46">
        <v>13</v>
      </c>
      <c r="Q21" s="46">
        <v>13</v>
      </c>
      <c r="R21" s="46">
        <v>13</v>
      </c>
      <c r="S21" s="46">
        <v>13</v>
      </c>
      <c r="T21" s="46">
        <v>13</v>
      </c>
      <c r="U21" s="46">
        <v>13</v>
      </c>
      <c r="V21" s="46">
        <v>13</v>
      </c>
      <c r="W21" s="46">
        <v>13</v>
      </c>
      <c r="X21" s="46">
        <v>13</v>
      </c>
      <c r="Y21" s="46">
        <v>13</v>
      </c>
      <c r="Z21" s="46">
        <v>13</v>
      </c>
      <c r="AA21" s="46">
        <v>13</v>
      </c>
      <c r="AB21" s="46">
        <v>13</v>
      </c>
      <c r="AC21" s="46">
        <v>13</v>
      </c>
      <c r="AD21" s="46">
        <v>13</v>
      </c>
      <c r="AE21" s="46">
        <v>13</v>
      </c>
      <c r="AF21" s="46">
        <v>13</v>
      </c>
      <c r="AG21" s="50">
        <v>36</v>
      </c>
      <c r="AH21" s="48">
        <f t="shared" si="8"/>
        <v>13</v>
      </c>
      <c r="AI21" s="49">
        <f t="shared" si="9"/>
        <v>13</v>
      </c>
      <c r="AK21" s="51"/>
      <c r="AL21" s="54" t="s">
        <v>35</v>
      </c>
      <c r="AM21" s="59">
        <f>B98</f>
        <v>0</v>
      </c>
      <c r="AN21" s="59">
        <f t="shared" ref="AN21:AR21" si="16">C98</f>
        <v>0</v>
      </c>
      <c r="AO21" s="59">
        <f t="shared" si="16"/>
        <v>0</v>
      </c>
      <c r="AP21" s="59">
        <f t="shared" si="16"/>
        <v>0</v>
      </c>
      <c r="AQ21" s="59">
        <f t="shared" si="16"/>
        <v>0</v>
      </c>
      <c r="AR21" s="59">
        <f t="shared" si="16"/>
        <v>0</v>
      </c>
      <c r="AS21" s="59">
        <f>I98</f>
        <v>0</v>
      </c>
      <c r="AT21" s="59">
        <f>K98</f>
        <v>0</v>
      </c>
      <c r="AU21" s="59">
        <f t="shared" ref="AU21:AX21" si="17">M98</f>
        <v>150</v>
      </c>
      <c r="AV21" s="59">
        <f t="shared" si="17"/>
        <v>150</v>
      </c>
      <c r="AW21" s="59">
        <f t="shared" si="17"/>
        <v>150</v>
      </c>
      <c r="AX21" s="59">
        <f t="shared" si="17"/>
        <v>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7.3</v>
      </c>
      <c r="C22" s="46">
        <v>7.3</v>
      </c>
      <c r="D22" s="46">
        <v>7.3</v>
      </c>
      <c r="E22" s="46">
        <v>7.3</v>
      </c>
      <c r="F22" s="46">
        <v>7.3</v>
      </c>
      <c r="G22" s="46">
        <v>7.3</v>
      </c>
      <c r="H22" s="46">
        <v>7.3</v>
      </c>
      <c r="I22" s="46">
        <v>7.3</v>
      </c>
      <c r="J22" s="46">
        <v>7.3</v>
      </c>
      <c r="K22" s="46">
        <v>7.3</v>
      </c>
      <c r="L22" s="46">
        <v>7.3</v>
      </c>
      <c r="M22" s="46">
        <v>7.3</v>
      </c>
      <c r="N22" s="46">
        <v>7.3</v>
      </c>
      <c r="O22" s="46">
        <v>7.3</v>
      </c>
      <c r="P22" s="46">
        <v>7.3</v>
      </c>
      <c r="Q22" s="46">
        <v>7.3</v>
      </c>
      <c r="R22" s="46">
        <v>7.3</v>
      </c>
      <c r="S22" s="46">
        <v>7.3</v>
      </c>
      <c r="T22" s="46">
        <v>7.3</v>
      </c>
      <c r="U22" s="46">
        <v>7.3</v>
      </c>
      <c r="V22" s="46">
        <v>7.3</v>
      </c>
      <c r="W22" s="46">
        <v>7.3</v>
      </c>
      <c r="X22" s="46">
        <v>7.3</v>
      </c>
      <c r="Y22" s="46">
        <v>7.3</v>
      </c>
      <c r="Z22" s="46">
        <v>7.3</v>
      </c>
      <c r="AA22" s="46">
        <v>7.3</v>
      </c>
      <c r="AB22" s="46">
        <v>7.3</v>
      </c>
      <c r="AC22" s="46">
        <v>7.3</v>
      </c>
      <c r="AD22" s="46">
        <v>7.3</v>
      </c>
      <c r="AE22" s="46">
        <v>7.3</v>
      </c>
      <c r="AF22" s="46">
        <v>7.3</v>
      </c>
      <c r="AG22" s="60">
        <v>30</v>
      </c>
      <c r="AH22" s="48">
        <f t="shared" si="8"/>
        <v>7.3</v>
      </c>
      <c r="AI22" s="49">
        <f t="shared" si="9"/>
        <v>7.3</v>
      </c>
      <c r="AK22" s="51"/>
      <c r="AL22" s="61" t="s">
        <v>37</v>
      </c>
      <c r="AM22" s="62">
        <f>SUM(AM16:AM21)</f>
        <v>1034.29</v>
      </c>
      <c r="AN22" s="62">
        <f t="shared" ref="AN22:AX22" si="18">SUM(AN16:AN21)</f>
        <v>944.29</v>
      </c>
      <c r="AO22" s="62">
        <f t="shared" si="18"/>
        <v>931.29</v>
      </c>
      <c r="AP22" s="62">
        <f t="shared" si="18"/>
        <v>983.08999999999992</v>
      </c>
      <c r="AQ22" s="62">
        <f t="shared" si="18"/>
        <v>983.58999999999992</v>
      </c>
      <c r="AR22" s="62">
        <f t="shared" si="18"/>
        <v>1055.5900000000001</v>
      </c>
      <c r="AS22" s="62">
        <f t="shared" si="18"/>
        <v>1186.49</v>
      </c>
      <c r="AT22" s="62">
        <f t="shared" si="18"/>
        <v>1239.8900000000001</v>
      </c>
      <c r="AU22" s="62">
        <f t="shared" si="18"/>
        <v>1456.0900000000001</v>
      </c>
      <c r="AV22" s="62">
        <f t="shared" si="18"/>
        <v>1431.3899999999999</v>
      </c>
      <c r="AW22" s="62">
        <f t="shared" si="18"/>
        <v>1376.5500000000002</v>
      </c>
      <c r="AX22" s="62">
        <f t="shared" si="18"/>
        <v>1263.8900000000001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6</v>
      </c>
      <c r="C23" s="46">
        <v>6</v>
      </c>
      <c r="D23" s="46">
        <v>6</v>
      </c>
      <c r="E23" s="46">
        <v>6</v>
      </c>
      <c r="F23" s="46">
        <v>6</v>
      </c>
      <c r="G23" s="46">
        <v>6</v>
      </c>
      <c r="H23" s="46">
        <v>6</v>
      </c>
      <c r="I23" s="46">
        <v>6</v>
      </c>
      <c r="J23" s="46">
        <v>6</v>
      </c>
      <c r="K23" s="46">
        <v>6</v>
      </c>
      <c r="L23" s="46">
        <v>6</v>
      </c>
      <c r="M23" s="46">
        <v>6</v>
      </c>
      <c r="N23" s="46">
        <v>6</v>
      </c>
      <c r="O23" s="46">
        <v>6</v>
      </c>
      <c r="P23" s="46">
        <v>6</v>
      </c>
      <c r="Q23" s="46">
        <v>6</v>
      </c>
      <c r="R23" s="46">
        <v>6</v>
      </c>
      <c r="S23" s="46">
        <v>6</v>
      </c>
      <c r="T23" s="46">
        <v>6</v>
      </c>
      <c r="U23" s="46">
        <v>6</v>
      </c>
      <c r="V23" s="46">
        <v>6</v>
      </c>
      <c r="W23" s="46">
        <v>6</v>
      </c>
      <c r="X23" s="46">
        <v>6</v>
      </c>
      <c r="Y23" s="46">
        <v>6</v>
      </c>
      <c r="Z23" s="46">
        <v>6</v>
      </c>
      <c r="AA23" s="46">
        <v>6</v>
      </c>
      <c r="AB23" s="46">
        <v>6</v>
      </c>
      <c r="AC23" s="46">
        <v>6</v>
      </c>
      <c r="AD23" s="46">
        <v>6</v>
      </c>
      <c r="AE23" s="46">
        <v>6</v>
      </c>
      <c r="AF23" s="46">
        <v>6</v>
      </c>
      <c r="AG23" s="50">
        <v>24.2</v>
      </c>
      <c r="AH23" s="48">
        <f t="shared" si="8"/>
        <v>6</v>
      </c>
      <c r="AI23" s="49">
        <f t="shared" si="9"/>
        <v>6</v>
      </c>
      <c r="AK23" s="51"/>
      <c r="AL23" s="61" t="s">
        <v>39</v>
      </c>
      <c r="AM23" s="62">
        <f>B107*-1</f>
        <v>0</v>
      </c>
      <c r="AN23" s="62">
        <f t="shared" ref="AN23:AR23" si="19">C107*-1</f>
        <v>-1</v>
      </c>
      <c r="AO23" s="62">
        <f t="shared" si="19"/>
        <v>0</v>
      </c>
      <c r="AP23" s="62">
        <f t="shared" si="19"/>
        <v>0</v>
      </c>
      <c r="AQ23" s="62">
        <f t="shared" si="19"/>
        <v>0</v>
      </c>
      <c r="AR23" s="62">
        <f t="shared" si="19"/>
        <v>0</v>
      </c>
      <c r="AS23" s="62">
        <f>I107*-1</f>
        <v>0</v>
      </c>
      <c r="AT23" s="62">
        <f>K107*-1</f>
        <v>0</v>
      </c>
      <c r="AU23" s="62">
        <f t="shared" ref="AU23:AX23" si="20">M107*-1</f>
        <v>0</v>
      </c>
      <c r="AV23" s="62">
        <f t="shared" si="20"/>
        <v>0</v>
      </c>
      <c r="AW23" s="62">
        <f t="shared" si="20"/>
        <v>0</v>
      </c>
      <c r="AX23" s="62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8.8000000000000007</v>
      </c>
      <c r="C24" s="46">
        <v>8.8000000000000007</v>
      </c>
      <c r="D24" s="46">
        <v>8.8000000000000007</v>
      </c>
      <c r="E24" s="46">
        <v>8.8000000000000007</v>
      </c>
      <c r="F24" s="46">
        <v>8.8000000000000007</v>
      </c>
      <c r="G24" s="46">
        <v>8.8000000000000007</v>
      </c>
      <c r="H24" s="46">
        <v>8.8000000000000007</v>
      </c>
      <c r="I24" s="46">
        <v>8.8000000000000007</v>
      </c>
      <c r="J24" s="46">
        <v>8.8000000000000007</v>
      </c>
      <c r="K24" s="46">
        <v>8.8000000000000007</v>
      </c>
      <c r="L24" s="46">
        <v>8.8000000000000007</v>
      </c>
      <c r="M24" s="46">
        <v>8.8000000000000007</v>
      </c>
      <c r="N24" s="46">
        <v>8.8000000000000007</v>
      </c>
      <c r="O24" s="46">
        <v>8.8000000000000007</v>
      </c>
      <c r="P24" s="46">
        <v>8.8000000000000007</v>
      </c>
      <c r="Q24" s="46">
        <v>8.8000000000000007</v>
      </c>
      <c r="R24" s="46">
        <v>8.8000000000000007</v>
      </c>
      <c r="S24" s="46">
        <v>8.8000000000000007</v>
      </c>
      <c r="T24" s="46">
        <v>8.8000000000000007</v>
      </c>
      <c r="U24" s="46">
        <v>8.8000000000000007</v>
      </c>
      <c r="V24" s="46">
        <v>8.8000000000000007</v>
      </c>
      <c r="W24" s="46">
        <v>8.8000000000000007</v>
      </c>
      <c r="X24" s="46">
        <v>8.8000000000000007</v>
      </c>
      <c r="Y24" s="46">
        <v>8.8000000000000007</v>
      </c>
      <c r="Z24" s="46">
        <v>8.8000000000000007</v>
      </c>
      <c r="AA24" s="46">
        <v>8.8000000000000007</v>
      </c>
      <c r="AB24" s="46">
        <v>8.8000000000000007</v>
      </c>
      <c r="AC24" s="46">
        <v>8.8000000000000007</v>
      </c>
      <c r="AD24" s="46">
        <v>8.8000000000000007</v>
      </c>
      <c r="AE24" s="46">
        <v>8.8000000000000007</v>
      </c>
      <c r="AF24" s="46">
        <v>8.8000000000000007</v>
      </c>
      <c r="AG24" s="50">
        <v>28</v>
      </c>
      <c r="AH24" s="48">
        <f t="shared" si="8"/>
        <v>8.8000000000000007</v>
      </c>
      <c r="AI24" s="49">
        <f t="shared" si="9"/>
        <v>8.8000000000000007</v>
      </c>
      <c r="AK24" s="51"/>
      <c r="AL24" s="61" t="s">
        <v>41</v>
      </c>
      <c r="AM24" s="62">
        <f>AM22+AM23</f>
        <v>1034.29</v>
      </c>
      <c r="AN24" s="62">
        <f t="shared" ref="AN24:AX24" si="21">AN22+AN23</f>
        <v>943.29</v>
      </c>
      <c r="AO24" s="62">
        <f t="shared" si="21"/>
        <v>931.29</v>
      </c>
      <c r="AP24" s="62">
        <f t="shared" si="21"/>
        <v>983.08999999999992</v>
      </c>
      <c r="AQ24" s="62">
        <f t="shared" si="21"/>
        <v>983.58999999999992</v>
      </c>
      <c r="AR24" s="62">
        <f t="shared" si="21"/>
        <v>1055.5900000000001</v>
      </c>
      <c r="AS24" s="62">
        <f t="shared" si="21"/>
        <v>1186.49</v>
      </c>
      <c r="AT24" s="62">
        <f t="shared" si="21"/>
        <v>1239.8900000000001</v>
      </c>
      <c r="AU24" s="62">
        <f t="shared" si="21"/>
        <v>1456.0900000000001</v>
      </c>
      <c r="AV24" s="62">
        <f t="shared" si="21"/>
        <v>1431.3899999999999</v>
      </c>
      <c r="AW24" s="62">
        <f t="shared" si="21"/>
        <v>1376.5500000000002</v>
      </c>
      <c r="AX24" s="62">
        <f t="shared" si="21"/>
        <v>1263.8900000000001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7.9</v>
      </c>
      <c r="C25" s="46">
        <v>7.9</v>
      </c>
      <c r="D25" s="46">
        <v>7.9</v>
      </c>
      <c r="E25" s="46">
        <v>7.9</v>
      </c>
      <c r="F25" s="46">
        <v>7.9</v>
      </c>
      <c r="G25" s="46">
        <v>7.9</v>
      </c>
      <c r="H25" s="46">
        <v>7.9</v>
      </c>
      <c r="I25" s="46">
        <v>7.9</v>
      </c>
      <c r="J25" s="46">
        <v>7.9</v>
      </c>
      <c r="K25" s="46">
        <v>7.9</v>
      </c>
      <c r="L25" s="46">
        <v>7.9</v>
      </c>
      <c r="M25" s="46">
        <v>7.9</v>
      </c>
      <c r="N25" s="46">
        <v>7.9</v>
      </c>
      <c r="O25" s="46">
        <v>7.9</v>
      </c>
      <c r="P25" s="46">
        <v>7.9</v>
      </c>
      <c r="Q25" s="46">
        <v>7.9</v>
      </c>
      <c r="R25" s="46">
        <v>7.9</v>
      </c>
      <c r="S25" s="46">
        <v>7.9</v>
      </c>
      <c r="T25" s="46">
        <v>7.9</v>
      </c>
      <c r="U25" s="46">
        <v>7.9</v>
      </c>
      <c r="V25" s="46">
        <v>7.9</v>
      </c>
      <c r="W25" s="46">
        <v>7.9</v>
      </c>
      <c r="X25" s="46">
        <v>7.9</v>
      </c>
      <c r="Y25" s="46">
        <v>7.9</v>
      </c>
      <c r="Z25" s="46">
        <v>7.9</v>
      </c>
      <c r="AA25" s="46">
        <v>7.9</v>
      </c>
      <c r="AB25" s="46">
        <v>7.9</v>
      </c>
      <c r="AC25" s="46">
        <v>7.9</v>
      </c>
      <c r="AD25" s="46">
        <v>7.9</v>
      </c>
      <c r="AE25" s="46">
        <v>7.9</v>
      </c>
      <c r="AF25" s="46">
        <v>7.9</v>
      </c>
      <c r="AG25" s="60">
        <v>30</v>
      </c>
      <c r="AH25" s="48">
        <f t="shared" si="8"/>
        <v>7.9</v>
      </c>
      <c r="AI25" s="49">
        <f t="shared" si="9"/>
        <v>7.9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13.5</v>
      </c>
      <c r="C26" s="46">
        <v>13.5</v>
      </c>
      <c r="D26" s="46">
        <v>13.5</v>
      </c>
      <c r="E26" s="46">
        <v>13.5</v>
      </c>
      <c r="F26" s="46">
        <v>13.5</v>
      </c>
      <c r="G26" s="46">
        <v>13.5</v>
      </c>
      <c r="H26" s="46">
        <v>13.5</v>
      </c>
      <c r="I26" s="46">
        <v>13.5</v>
      </c>
      <c r="J26" s="46">
        <v>13.5</v>
      </c>
      <c r="K26" s="46">
        <v>13.5</v>
      </c>
      <c r="L26" s="46">
        <v>13.5</v>
      </c>
      <c r="M26" s="46">
        <v>13.5</v>
      </c>
      <c r="N26" s="46">
        <v>13.5</v>
      </c>
      <c r="O26" s="46">
        <v>13.5</v>
      </c>
      <c r="P26" s="46">
        <v>13.5</v>
      </c>
      <c r="Q26" s="46">
        <v>13.5</v>
      </c>
      <c r="R26" s="46">
        <v>13.5</v>
      </c>
      <c r="S26" s="46">
        <v>13.5</v>
      </c>
      <c r="T26" s="46">
        <v>13.5</v>
      </c>
      <c r="U26" s="46">
        <v>13.5</v>
      </c>
      <c r="V26" s="46">
        <v>13.5</v>
      </c>
      <c r="W26" s="46">
        <v>13.5</v>
      </c>
      <c r="X26" s="46">
        <v>13.5</v>
      </c>
      <c r="Y26" s="46">
        <v>13.5</v>
      </c>
      <c r="Z26" s="46">
        <v>13.5</v>
      </c>
      <c r="AA26" s="46">
        <v>13.5</v>
      </c>
      <c r="AB26" s="46">
        <v>13.5</v>
      </c>
      <c r="AC26" s="46">
        <v>13.5</v>
      </c>
      <c r="AD26" s="46">
        <v>13.5</v>
      </c>
      <c r="AE26" s="46">
        <v>13.5</v>
      </c>
      <c r="AF26" s="46">
        <v>13.5</v>
      </c>
      <c r="AG26" s="50">
        <v>25</v>
      </c>
      <c r="AH26" s="48">
        <f t="shared" si="8"/>
        <v>13.5</v>
      </c>
      <c r="AI26" s="49">
        <f t="shared" si="9"/>
        <v>13.5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5</v>
      </c>
      <c r="N27" s="46">
        <v>5</v>
      </c>
      <c r="O27" s="46">
        <v>5</v>
      </c>
      <c r="P27" s="46">
        <v>5</v>
      </c>
      <c r="Q27" s="46">
        <v>5</v>
      </c>
      <c r="R27" s="46">
        <v>5</v>
      </c>
      <c r="S27" s="46">
        <v>5</v>
      </c>
      <c r="T27" s="46">
        <v>5</v>
      </c>
      <c r="U27" s="46">
        <v>5</v>
      </c>
      <c r="V27" s="46">
        <v>5</v>
      </c>
      <c r="W27" s="46">
        <v>5</v>
      </c>
      <c r="X27" s="46">
        <v>5</v>
      </c>
      <c r="Y27" s="46">
        <v>5</v>
      </c>
      <c r="Z27" s="46">
        <v>5</v>
      </c>
      <c r="AA27" s="46">
        <v>5</v>
      </c>
      <c r="AB27" s="46">
        <v>5</v>
      </c>
      <c r="AC27" s="46">
        <v>5</v>
      </c>
      <c r="AD27" s="46">
        <v>5</v>
      </c>
      <c r="AE27" s="46">
        <v>5</v>
      </c>
      <c r="AF27" s="46">
        <v>5</v>
      </c>
      <c r="AG27" s="50">
        <v>25</v>
      </c>
      <c r="AH27" s="48">
        <f t="shared" si="8"/>
        <v>5</v>
      </c>
      <c r="AI27" s="49">
        <f t="shared" si="9"/>
        <v>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6</v>
      </c>
      <c r="C28" s="46">
        <v>6</v>
      </c>
      <c r="D28" s="46">
        <v>6</v>
      </c>
      <c r="E28" s="46">
        <v>6</v>
      </c>
      <c r="F28" s="46">
        <v>6</v>
      </c>
      <c r="G28" s="46">
        <v>6</v>
      </c>
      <c r="H28" s="46">
        <v>6</v>
      </c>
      <c r="I28" s="46">
        <v>6</v>
      </c>
      <c r="J28" s="46">
        <v>6</v>
      </c>
      <c r="K28" s="46">
        <v>6</v>
      </c>
      <c r="L28" s="46">
        <v>6</v>
      </c>
      <c r="M28" s="46">
        <v>6</v>
      </c>
      <c r="N28" s="46">
        <v>6</v>
      </c>
      <c r="O28" s="46">
        <v>6</v>
      </c>
      <c r="P28" s="46">
        <v>6</v>
      </c>
      <c r="Q28" s="46">
        <v>6</v>
      </c>
      <c r="R28" s="46">
        <v>6</v>
      </c>
      <c r="S28" s="46">
        <v>6</v>
      </c>
      <c r="T28" s="46">
        <v>6</v>
      </c>
      <c r="U28" s="46">
        <v>6</v>
      </c>
      <c r="V28" s="46">
        <v>6</v>
      </c>
      <c r="W28" s="46">
        <v>6</v>
      </c>
      <c r="X28" s="46">
        <v>6</v>
      </c>
      <c r="Y28" s="46">
        <v>6</v>
      </c>
      <c r="Z28" s="46">
        <v>6</v>
      </c>
      <c r="AA28" s="46">
        <v>6</v>
      </c>
      <c r="AB28" s="46">
        <v>6</v>
      </c>
      <c r="AC28" s="46">
        <v>6</v>
      </c>
      <c r="AD28" s="46">
        <v>6</v>
      </c>
      <c r="AE28" s="46">
        <v>6</v>
      </c>
      <c r="AF28" s="46">
        <v>6</v>
      </c>
      <c r="AG28" s="50">
        <v>25</v>
      </c>
      <c r="AH28" s="48">
        <f t="shared" si="8"/>
        <v>6</v>
      </c>
      <c r="AI28" s="49">
        <f t="shared" si="9"/>
        <v>6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8</v>
      </c>
      <c r="C29" s="46">
        <v>8</v>
      </c>
      <c r="D29" s="46">
        <v>8</v>
      </c>
      <c r="E29" s="46">
        <v>8</v>
      </c>
      <c r="F29" s="46">
        <v>8</v>
      </c>
      <c r="G29" s="46">
        <v>8</v>
      </c>
      <c r="H29" s="46">
        <v>8</v>
      </c>
      <c r="I29" s="46">
        <v>8</v>
      </c>
      <c r="J29" s="46">
        <v>8</v>
      </c>
      <c r="K29" s="46">
        <v>8</v>
      </c>
      <c r="L29" s="46">
        <v>8</v>
      </c>
      <c r="M29" s="46">
        <v>8</v>
      </c>
      <c r="N29" s="46">
        <v>8</v>
      </c>
      <c r="O29" s="46">
        <v>8</v>
      </c>
      <c r="P29" s="46">
        <v>8</v>
      </c>
      <c r="Q29" s="46">
        <v>8</v>
      </c>
      <c r="R29" s="46">
        <v>8</v>
      </c>
      <c r="S29" s="46">
        <v>8</v>
      </c>
      <c r="T29" s="46">
        <v>8</v>
      </c>
      <c r="U29" s="46">
        <v>8</v>
      </c>
      <c r="V29" s="46">
        <v>8</v>
      </c>
      <c r="W29" s="46">
        <v>8</v>
      </c>
      <c r="X29" s="46">
        <v>8</v>
      </c>
      <c r="Y29" s="46">
        <v>8</v>
      </c>
      <c r="Z29" s="46">
        <v>8</v>
      </c>
      <c r="AA29" s="46">
        <v>8</v>
      </c>
      <c r="AB29" s="46">
        <v>8</v>
      </c>
      <c r="AC29" s="46">
        <v>8</v>
      </c>
      <c r="AD29" s="46">
        <v>8</v>
      </c>
      <c r="AE29" s="46">
        <v>8</v>
      </c>
      <c r="AF29" s="46">
        <v>8</v>
      </c>
      <c r="AG29" s="50">
        <v>25</v>
      </c>
      <c r="AH29" s="48">
        <f t="shared" si="8"/>
        <v>8</v>
      </c>
      <c r="AI29" s="49">
        <f t="shared" si="9"/>
        <v>8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7.7</v>
      </c>
      <c r="C30" s="46">
        <v>7.7</v>
      </c>
      <c r="D30" s="46">
        <v>7.7</v>
      </c>
      <c r="E30" s="46">
        <v>7.7</v>
      </c>
      <c r="F30" s="46">
        <v>7.7</v>
      </c>
      <c r="G30" s="46">
        <v>7.7</v>
      </c>
      <c r="H30" s="46">
        <v>7.7</v>
      </c>
      <c r="I30" s="46">
        <v>7.7</v>
      </c>
      <c r="J30" s="46">
        <v>7.7</v>
      </c>
      <c r="K30" s="46">
        <v>7.7</v>
      </c>
      <c r="L30" s="46">
        <v>7.7</v>
      </c>
      <c r="M30" s="46">
        <v>7.7</v>
      </c>
      <c r="N30" s="46">
        <v>7.7</v>
      </c>
      <c r="O30" s="46">
        <v>7.7</v>
      </c>
      <c r="P30" s="46">
        <v>7.7</v>
      </c>
      <c r="Q30" s="46">
        <v>7.7</v>
      </c>
      <c r="R30" s="46">
        <v>7.7</v>
      </c>
      <c r="S30" s="46">
        <v>7.7</v>
      </c>
      <c r="T30" s="46">
        <v>7.7</v>
      </c>
      <c r="U30" s="46">
        <v>7.7</v>
      </c>
      <c r="V30" s="46">
        <v>7.7</v>
      </c>
      <c r="W30" s="46">
        <v>7.7</v>
      </c>
      <c r="X30" s="46">
        <v>7.7</v>
      </c>
      <c r="Y30" s="46">
        <v>7.7</v>
      </c>
      <c r="Z30" s="46">
        <v>7.7</v>
      </c>
      <c r="AA30" s="46">
        <v>7.7</v>
      </c>
      <c r="AB30" s="46">
        <v>7.7</v>
      </c>
      <c r="AC30" s="46">
        <v>7.7</v>
      </c>
      <c r="AD30" s="46">
        <v>7.7</v>
      </c>
      <c r="AE30" s="46">
        <v>7.7</v>
      </c>
      <c r="AF30" s="46">
        <v>7.7</v>
      </c>
      <c r="AG30" s="50">
        <v>23.5</v>
      </c>
      <c r="AH30" s="48">
        <f t="shared" si="8"/>
        <v>7.7</v>
      </c>
      <c r="AI30" s="49">
        <f t="shared" si="9"/>
        <v>7.7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>
        <v>3</v>
      </c>
      <c r="V31" s="46">
        <v>3</v>
      </c>
      <c r="W31" s="46">
        <v>3</v>
      </c>
      <c r="X31" s="46">
        <v>3</v>
      </c>
      <c r="Y31" s="46">
        <v>3</v>
      </c>
      <c r="Z31" s="46">
        <v>3</v>
      </c>
      <c r="AA31" s="46">
        <v>3</v>
      </c>
      <c r="AB31" s="46">
        <v>3</v>
      </c>
      <c r="AC31" s="46">
        <v>3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8"/>
        <v>3</v>
      </c>
      <c r="AI31" s="49">
        <f t="shared" si="9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5.5</v>
      </c>
      <c r="Q32" s="46">
        <v>5.5</v>
      </c>
      <c r="R32" s="46">
        <v>5.5</v>
      </c>
      <c r="S32" s="46">
        <v>5.5</v>
      </c>
      <c r="T32" s="46">
        <v>5.5</v>
      </c>
      <c r="U32" s="46">
        <v>5.5</v>
      </c>
      <c r="V32" s="46">
        <v>5.5</v>
      </c>
      <c r="W32" s="46">
        <v>5.5</v>
      </c>
      <c r="X32" s="46">
        <v>5.5</v>
      </c>
      <c r="Y32" s="46">
        <v>5.5</v>
      </c>
      <c r="Z32" s="46">
        <v>5.5</v>
      </c>
      <c r="AA32" s="46">
        <v>5.5</v>
      </c>
      <c r="AB32" s="46">
        <v>5.5</v>
      </c>
      <c r="AC32" s="46">
        <v>5.5</v>
      </c>
      <c r="AD32" s="46">
        <v>5.5</v>
      </c>
      <c r="AE32" s="46">
        <v>5.5</v>
      </c>
      <c r="AF32" s="46">
        <v>5.5</v>
      </c>
      <c r="AG32" s="50">
        <v>22.1</v>
      </c>
      <c r="AH32" s="48">
        <f t="shared" si="8"/>
        <v>5.5</v>
      </c>
      <c r="AI32" s="49">
        <f t="shared" si="9"/>
        <v>5.5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6</v>
      </c>
      <c r="C33" s="46">
        <v>6</v>
      </c>
      <c r="D33" s="46">
        <v>6</v>
      </c>
      <c r="E33" s="46">
        <v>6</v>
      </c>
      <c r="F33" s="46">
        <v>6</v>
      </c>
      <c r="G33" s="46">
        <v>6</v>
      </c>
      <c r="H33" s="46">
        <v>6</v>
      </c>
      <c r="I33" s="46">
        <v>6</v>
      </c>
      <c r="J33" s="46">
        <v>6</v>
      </c>
      <c r="K33" s="46">
        <v>6</v>
      </c>
      <c r="L33" s="46">
        <v>6</v>
      </c>
      <c r="M33" s="46">
        <v>6</v>
      </c>
      <c r="N33" s="46">
        <v>6</v>
      </c>
      <c r="O33" s="46">
        <v>6</v>
      </c>
      <c r="P33" s="46">
        <v>6</v>
      </c>
      <c r="Q33" s="46">
        <v>6</v>
      </c>
      <c r="R33" s="46">
        <v>6</v>
      </c>
      <c r="S33" s="46">
        <v>6</v>
      </c>
      <c r="T33" s="46">
        <v>6</v>
      </c>
      <c r="U33" s="46">
        <v>6</v>
      </c>
      <c r="V33" s="46">
        <v>6</v>
      </c>
      <c r="W33" s="46">
        <v>6</v>
      </c>
      <c r="X33" s="46">
        <v>6</v>
      </c>
      <c r="Y33" s="46">
        <v>6</v>
      </c>
      <c r="Z33" s="46">
        <v>6</v>
      </c>
      <c r="AA33" s="46">
        <v>6</v>
      </c>
      <c r="AB33" s="46">
        <v>6</v>
      </c>
      <c r="AC33" s="46">
        <v>6</v>
      </c>
      <c r="AD33" s="46">
        <v>6</v>
      </c>
      <c r="AE33" s="46">
        <v>6</v>
      </c>
      <c r="AF33" s="46">
        <v>6</v>
      </c>
      <c r="AG33" s="50">
        <v>22</v>
      </c>
      <c r="AH33" s="48">
        <f t="shared" si="8"/>
        <v>6</v>
      </c>
      <c r="AI33" s="49">
        <f t="shared" si="9"/>
        <v>6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11.8</v>
      </c>
      <c r="C34" s="46">
        <v>11.8</v>
      </c>
      <c r="D34" s="46">
        <v>11.8</v>
      </c>
      <c r="E34" s="46">
        <v>11.8</v>
      </c>
      <c r="F34" s="46">
        <v>11.8</v>
      </c>
      <c r="G34" s="46">
        <v>11.8</v>
      </c>
      <c r="H34" s="46">
        <v>11.8</v>
      </c>
      <c r="I34" s="46">
        <v>11.8</v>
      </c>
      <c r="J34" s="46">
        <v>11.8</v>
      </c>
      <c r="K34" s="46">
        <v>11.8</v>
      </c>
      <c r="L34" s="46">
        <v>11.8</v>
      </c>
      <c r="M34" s="46">
        <v>11.8</v>
      </c>
      <c r="N34" s="46">
        <v>11.8</v>
      </c>
      <c r="O34" s="46">
        <v>11.8</v>
      </c>
      <c r="P34" s="46">
        <v>11.8</v>
      </c>
      <c r="Q34" s="46">
        <v>11.8</v>
      </c>
      <c r="R34" s="46">
        <v>11.8</v>
      </c>
      <c r="S34" s="46">
        <v>11.8</v>
      </c>
      <c r="T34" s="46">
        <v>11.8</v>
      </c>
      <c r="U34" s="46">
        <v>11.8</v>
      </c>
      <c r="V34" s="46">
        <v>11.8</v>
      </c>
      <c r="W34" s="46">
        <v>11.8</v>
      </c>
      <c r="X34" s="46">
        <v>11.8</v>
      </c>
      <c r="Y34" s="46">
        <v>11.8</v>
      </c>
      <c r="Z34" s="46">
        <v>11.8</v>
      </c>
      <c r="AA34" s="46">
        <v>11.8</v>
      </c>
      <c r="AB34" s="46">
        <v>11.8</v>
      </c>
      <c r="AC34" s="46">
        <v>11.8</v>
      </c>
      <c r="AD34" s="46">
        <v>11.8</v>
      </c>
      <c r="AE34" s="46">
        <v>11.8</v>
      </c>
      <c r="AF34" s="46">
        <v>11.8</v>
      </c>
      <c r="AG34" s="50">
        <v>22</v>
      </c>
      <c r="AH34" s="48">
        <f t="shared" si="8"/>
        <v>11.8</v>
      </c>
      <c r="AI34" s="49">
        <f t="shared" si="9"/>
        <v>11.8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8"/>
        <v>4</v>
      </c>
      <c r="AI35" s="49">
        <f t="shared" si="9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>
        <v>4</v>
      </c>
      <c r="V36" s="46">
        <v>4</v>
      </c>
      <c r="W36" s="46">
        <v>4</v>
      </c>
      <c r="X36" s="46">
        <v>4</v>
      </c>
      <c r="Y36" s="46">
        <v>4</v>
      </c>
      <c r="Z36" s="46">
        <v>4</v>
      </c>
      <c r="AA36" s="46">
        <v>4</v>
      </c>
      <c r="AB36" s="46">
        <v>4</v>
      </c>
      <c r="AC36" s="46">
        <v>4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8"/>
        <v>4</v>
      </c>
      <c r="AI36" s="49">
        <f t="shared" si="9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>
        <v>5.7</v>
      </c>
      <c r="V37" s="46">
        <v>5.7</v>
      </c>
      <c r="W37" s="46">
        <v>5.7</v>
      </c>
      <c r="X37" s="46">
        <v>5.7</v>
      </c>
      <c r="Y37" s="46">
        <v>5.7</v>
      </c>
      <c r="Z37" s="46">
        <v>5.7</v>
      </c>
      <c r="AA37" s="46">
        <v>5.7</v>
      </c>
      <c r="AB37" s="46">
        <v>5.7</v>
      </c>
      <c r="AC37" s="46">
        <v>5.7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8"/>
        <v>5.7</v>
      </c>
      <c r="AI37" s="49">
        <f t="shared" si="9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7.2</v>
      </c>
      <c r="Q38" s="46">
        <v>7.2</v>
      </c>
      <c r="R38" s="46">
        <v>7.2</v>
      </c>
      <c r="S38" s="46">
        <v>7.2</v>
      </c>
      <c r="T38" s="46">
        <v>7.2</v>
      </c>
      <c r="U38" s="46">
        <v>7.2</v>
      </c>
      <c r="V38" s="46">
        <v>7.2</v>
      </c>
      <c r="W38" s="46">
        <v>7.2</v>
      </c>
      <c r="X38" s="46">
        <v>7.2</v>
      </c>
      <c r="Y38" s="46">
        <v>7.2</v>
      </c>
      <c r="Z38" s="46">
        <v>7.2</v>
      </c>
      <c r="AA38" s="46">
        <v>7.2</v>
      </c>
      <c r="AB38" s="46">
        <v>7.2</v>
      </c>
      <c r="AC38" s="46">
        <v>7.2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8"/>
        <v>7.2</v>
      </c>
      <c r="AI38" s="49">
        <f t="shared" si="9"/>
        <v>7.2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0</v>
      </c>
      <c r="C40" s="46">
        <v>0</v>
      </c>
      <c r="D40" s="46">
        <v>0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46">
        <v>0</v>
      </c>
      <c r="P40" s="46">
        <v>0</v>
      </c>
      <c r="Q40" s="46">
        <v>0</v>
      </c>
      <c r="R40" s="46">
        <v>0</v>
      </c>
      <c r="S40" s="46">
        <v>0</v>
      </c>
      <c r="T40" s="46">
        <v>0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6">
        <v>0</v>
      </c>
      <c r="AD40" s="46">
        <v>0</v>
      </c>
      <c r="AE40" s="46">
        <v>0</v>
      </c>
      <c r="AF40" s="46">
        <v>0</v>
      </c>
      <c r="AG40" s="50">
        <v>14.9</v>
      </c>
      <c r="AH40" s="48">
        <f t="shared" si="8"/>
        <v>0</v>
      </c>
      <c r="AI40" s="49">
        <f t="shared" si="9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8"/>
        <v>4</v>
      </c>
      <c r="AI41" s="49">
        <f t="shared" si="9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>
        <v>1.8</v>
      </c>
      <c r="V42" s="46">
        <v>1.8</v>
      </c>
      <c r="W42" s="46">
        <v>1.8</v>
      </c>
      <c r="X42" s="46">
        <v>1.8</v>
      </c>
      <c r="Y42" s="46">
        <v>1.8</v>
      </c>
      <c r="Z42" s="46">
        <v>1.8</v>
      </c>
      <c r="AA42" s="46">
        <v>1.8</v>
      </c>
      <c r="AB42" s="46">
        <v>1.8</v>
      </c>
      <c r="AC42" s="46">
        <v>1.8</v>
      </c>
      <c r="AD42" s="46">
        <v>1.8</v>
      </c>
      <c r="AE42" s="46">
        <v>1.8</v>
      </c>
      <c r="AF42" s="46">
        <v>1.8</v>
      </c>
      <c r="AG42" s="50">
        <v>13.6</v>
      </c>
      <c r="AH42" s="48">
        <f t="shared" si="8"/>
        <v>1.8</v>
      </c>
      <c r="AI42" s="49">
        <f t="shared" si="9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>
        <v>3.8</v>
      </c>
      <c r="V43" s="46">
        <v>3.8</v>
      </c>
      <c r="W43" s="46">
        <v>3.8</v>
      </c>
      <c r="X43" s="46">
        <v>3.8</v>
      </c>
      <c r="Y43" s="46">
        <v>3.8</v>
      </c>
      <c r="Z43" s="46">
        <v>3.8</v>
      </c>
      <c r="AA43" s="46">
        <v>3.8</v>
      </c>
      <c r="AB43" s="46">
        <v>3.8</v>
      </c>
      <c r="AC43" s="46">
        <v>3.8</v>
      </c>
      <c r="AD43" s="46">
        <v>3.8</v>
      </c>
      <c r="AE43" s="46">
        <v>3.8</v>
      </c>
      <c r="AF43" s="46">
        <v>3.8</v>
      </c>
      <c r="AG43" s="50">
        <v>13</v>
      </c>
      <c r="AH43" s="48">
        <f t="shared" si="8"/>
        <v>3.8</v>
      </c>
      <c r="AI43" s="49">
        <f t="shared" si="9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2.5</v>
      </c>
      <c r="C44" s="46">
        <v>2.5</v>
      </c>
      <c r="D44" s="46">
        <v>2.5</v>
      </c>
      <c r="E44" s="46">
        <v>2.5</v>
      </c>
      <c r="F44" s="46">
        <v>2.5</v>
      </c>
      <c r="G44" s="46">
        <v>2.5</v>
      </c>
      <c r="H44" s="46">
        <v>2.5</v>
      </c>
      <c r="I44" s="46">
        <v>2.5</v>
      </c>
      <c r="J44" s="46">
        <v>2.5</v>
      </c>
      <c r="K44" s="46">
        <v>2.5</v>
      </c>
      <c r="L44" s="46">
        <v>2.5</v>
      </c>
      <c r="M44" s="46">
        <v>2.5</v>
      </c>
      <c r="N44" s="46">
        <v>2.5</v>
      </c>
      <c r="O44" s="46">
        <v>2.5</v>
      </c>
      <c r="P44" s="46">
        <v>2.5</v>
      </c>
      <c r="Q44" s="46">
        <v>2.5</v>
      </c>
      <c r="R44" s="46">
        <v>2.5</v>
      </c>
      <c r="S44" s="46">
        <v>2.5</v>
      </c>
      <c r="T44" s="46">
        <v>2.5</v>
      </c>
      <c r="U44" s="46">
        <v>2.5</v>
      </c>
      <c r="V44" s="46">
        <v>2.5</v>
      </c>
      <c r="W44" s="46">
        <v>2.5</v>
      </c>
      <c r="X44" s="46">
        <v>2.5</v>
      </c>
      <c r="Y44" s="46">
        <v>2.5</v>
      </c>
      <c r="Z44" s="46">
        <v>2.5</v>
      </c>
      <c r="AA44" s="46">
        <v>2.5</v>
      </c>
      <c r="AB44" s="46">
        <v>2.5</v>
      </c>
      <c r="AC44" s="46">
        <v>2.5</v>
      </c>
      <c r="AD44" s="46">
        <v>2.5</v>
      </c>
      <c r="AE44" s="46">
        <v>2.5</v>
      </c>
      <c r="AF44" s="46">
        <v>2.5</v>
      </c>
      <c r="AG44" s="50">
        <v>12</v>
      </c>
      <c r="AH44" s="48">
        <f t="shared" si="8"/>
        <v>2.5</v>
      </c>
      <c r="AI44" s="49">
        <f t="shared" si="9"/>
        <v>2.5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>
        <v>9</v>
      </c>
      <c r="V45" s="46">
        <v>9</v>
      </c>
      <c r="W45" s="46">
        <v>9</v>
      </c>
      <c r="X45" s="46">
        <v>9</v>
      </c>
      <c r="Y45" s="46">
        <v>9</v>
      </c>
      <c r="Z45" s="46">
        <v>9</v>
      </c>
      <c r="AA45" s="46">
        <v>9</v>
      </c>
      <c r="AB45" s="46">
        <v>9</v>
      </c>
      <c r="AC45" s="46">
        <v>9</v>
      </c>
      <c r="AD45" s="46">
        <v>9</v>
      </c>
      <c r="AE45" s="46">
        <v>9</v>
      </c>
      <c r="AF45" s="46">
        <v>9</v>
      </c>
      <c r="AG45" s="50">
        <v>12</v>
      </c>
      <c r="AH45" s="48">
        <f t="shared" si="8"/>
        <v>9</v>
      </c>
      <c r="AI45" s="49">
        <f t="shared" si="9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>
        <v>3.5</v>
      </c>
      <c r="V47" s="46">
        <v>3.5</v>
      </c>
      <c r="W47" s="46">
        <v>3.5</v>
      </c>
      <c r="X47" s="46">
        <v>3.5</v>
      </c>
      <c r="Y47" s="46">
        <v>3.5</v>
      </c>
      <c r="Z47" s="46">
        <v>3.5</v>
      </c>
      <c r="AA47" s="46">
        <v>3.5</v>
      </c>
      <c r="AB47" s="46">
        <v>3.5</v>
      </c>
      <c r="AC47" s="46">
        <v>3.5</v>
      </c>
      <c r="AD47" s="46">
        <v>3.5</v>
      </c>
      <c r="AE47" s="46">
        <v>3.5</v>
      </c>
      <c r="AF47" s="46">
        <v>3.5</v>
      </c>
      <c r="AG47" s="63">
        <v>22</v>
      </c>
      <c r="AH47" s="48">
        <f t="shared" si="8"/>
        <v>3.5</v>
      </c>
      <c r="AI47" s="49">
        <f t="shared" si="9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>
        <v>5</v>
      </c>
      <c r="V48" s="46">
        <v>5</v>
      </c>
      <c r="W48" s="46">
        <v>5</v>
      </c>
      <c r="X48" s="46">
        <v>5</v>
      </c>
      <c r="Y48" s="46">
        <v>5</v>
      </c>
      <c r="Z48" s="46">
        <v>5</v>
      </c>
      <c r="AA48" s="46">
        <v>5</v>
      </c>
      <c r="AB48" s="46">
        <v>5</v>
      </c>
      <c r="AC48" s="46">
        <v>5</v>
      </c>
      <c r="AD48" s="46">
        <v>5</v>
      </c>
      <c r="AE48" s="46">
        <v>5</v>
      </c>
      <c r="AF48" s="46">
        <v>5</v>
      </c>
      <c r="AG48" s="60">
        <v>11.88</v>
      </c>
      <c r="AH48" s="48">
        <f t="shared" si="8"/>
        <v>5</v>
      </c>
      <c r="AI48" s="49">
        <f t="shared" si="9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5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4" t="s">
        <v>67</v>
      </c>
      <c r="B50" s="46">
        <v>2.4500000000000002</v>
      </c>
      <c r="C50" s="46">
        <v>2.4500000000000002</v>
      </c>
      <c r="D50" s="46">
        <v>2.4500000000000002</v>
      </c>
      <c r="E50" s="46">
        <v>2.4500000000000002</v>
      </c>
      <c r="F50" s="46">
        <v>2.4500000000000002</v>
      </c>
      <c r="G50" s="46">
        <v>2.4500000000000002</v>
      </c>
      <c r="H50" s="46">
        <v>2.4500000000000002</v>
      </c>
      <c r="I50" s="46">
        <v>2.4500000000000002</v>
      </c>
      <c r="J50" s="46">
        <v>2.4500000000000002</v>
      </c>
      <c r="K50" s="46">
        <v>2.4500000000000002</v>
      </c>
      <c r="L50" s="46">
        <v>2.4500000000000002</v>
      </c>
      <c r="M50" s="46">
        <v>2.4500000000000002</v>
      </c>
      <c r="N50" s="46">
        <v>2.4500000000000002</v>
      </c>
      <c r="O50" s="46">
        <v>2.4500000000000002</v>
      </c>
      <c r="P50" s="46">
        <v>2.4500000000000002</v>
      </c>
      <c r="Q50" s="46">
        <v>2.4500000000000002</v>
      </c>
      <c r="R50" s="46">
        <v>2.4500000000000002</v>
      </c>
      <c r="S50" s="46">
        <v>2.4500000000000002</v>
      </c>
      <c r="T50" s="46">
        <v>2.4500000000000002</v>
      </c>
      <c r="U50" s="46">
        <v>2.4500000000000002</v>
      </c>
      <c r="V50" s="46">
        <v>2.4500000000000002</v>
      </c>
      <c r="W50" s="46">
        <v>2.4500000000000002</v>
      </c>
      <c r="X50" s="46">
        <v>2.4500000000000002</v>
      </c>
      <c r="Y50" s="46">
        <v>2.4500000000000002</v>
      </c>
      <c r="Z50" s="46">
        <v>2.4500000000000002</v>
      </c>
      <c r="AA50" s="46">
        <v>2.4500000000000002</v>
      </c>
      <c r="AB50" s="46">
        <v>2.4500000000000002</v>
      </c>
      <c r="AC50" s="46">
        <v>2.4500000000000002</v>
      </c>
      <c r="AD50" s="46">
        <v>2.4500000000000002</v>
      </c>
      <c r="AE50" s="46">
        <v>2.4500000000000002</v>
      </c>
      <c r="AF50" s="46">
        <v>2.4500000000000002</v>
      </c>
      <c r="AG50" s="65">
        <v>11</v>
      </c>
      <c r="AH50" s="48">
        <f t="shared" si="8"/>
        <v>2.4500000000000002</v>
      </c>
      <c r="AI50" s="49">
        <f t="shared" si="9"/>
        <v>2.4500000000000002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65">
        <v>11</v>
      </c>
      <c r="AH51" s="48">
        <f t="shared" si="8"/>
        <v>3</v>
      </c>
      <c r="AI51" s="49">
        <f t="shared" si="9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5">
        <v>10</v>
      </c>
      <c r="AH52" s="48">
        <f t="shared" si="8"/>
        <v>4</v>
      </c>
      <c r="AI52" s="49">
        <f t="shared" si="9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>
        <v>4.5</v>
      </c>
      <c r="V53" s="46">
        <v>4.5</v>
      </c>
      <c r="W53" s="46">
        <v>4.5</v>
      </c>
      <c r="X53" s="46">
        <v>4.5</v>
      </c>
      <c r="Y53" s="46">
        <v>4.5</v>
      </c>
      <c r="Z53" s="46">
        <v>4.5</v>
      </c>
      <c r="AA53" s="46">
        <v>4.5</v>
      </c>
      <c r="AB53" s="46">
        <v>4.5</v>
      </c>
      <c r="AC53" s="46">
        <v>4.5</v>
      </c>
      <c r="AD53" s="46">
        <v>4.5</v>
      </c>
      <c r="AE53" s="46">
        <v>4.5</v>
      </c>
      <c r="AF53" s="46">
        <v>4.5</v>
      </c>
      <c r="AG53" s="65">
        <v>10</v>
      </c>
      <c r="AH53" s="48">
        <f t="shared" si="8"/>
        <v>4.5</v>
      </c>
      <c r="AI53" s="49">
        <f t="shared" si="9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5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5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>
        <v>150</v>
      </c>
      <c r="W56" s="67">
        <v>150</v>
      </c>
      <c r="X56" s="67">
        <v>150</v>
      </c>
      <c r="Y56" s="67">
        <v>150</v>
      </c>
      <c r="Z56" s="67">
        <v>150</v>
      </c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8" t="s">
        <v>74</v>
      </c>
      <c r="B57" s="67">
        <v>39</v>
      </c>
      <c r="C57" s="67">
        <v>39</v>
      </c>
      <c r="D57" s="67">
        <v>39</v>
      </c>
      <c r="E57" s="67">
        <v>57</v>
      </c>
      <c r="F57" s="67">
        <v>57</v>
      </c>
      <c r="G57" s="67">
        <v>57</v>
      </c>
      <c r="H57" s="67">
        <v>55.3</v>
      </c>
      <c r="I57" s="67">
        <v>54</v>
      </c>
      <c r="J57" s="67">
        <v>54</v>
      </c>
      <c r="K57" s="67">
        <v>54</v>
      </c>
      <c r="L57" s="67">
        <v>54</v>
      </c>
      <c r="M57" s="67">
        <v>54</v>
      </c>
      <c r="N57" s="53">
        <f>33.4+20.2</f>
        <v>53.599999999999994</v>
      </c>
      <c r="O57" s="53">
        <f>32.8+19.1</f>
        <v>51.9</v>
      </c>
      <c r="P57" s="53">
        <f>33.1+19.7</f>
        <v>52.8</v>
      </c>
      <c r="Q57" s="53">
        <f>32.3+17.5</f>
        <v>49.8</v>
      </c>
      <c r="R57" s="53">
        <v>52.8</v>
      </c>
      <c r="S57" s="53">
        <v>47</v>
      </c>
      <c r="T57" s="53">
        <v>47</v>
      </c>
      <c r="U57" s="53">
        <v>53.5</v>
      </c>
      <c r="V57" s="53">
        <v>57.7</v>
      </c>
      <c r="W57" s="53">
        <v>52.8</v>
      </c>
      <c r="X57" s="53">
        <v>52.8</v>
      </c>
      <c r="Y57" s="53">
        <v>50</v>
      </c>
      <c r="Z57" s="53">
        <v>50</v>
      </c>
      <c r="AA57" s="53">
        <v>55</v>
      </c>
      <c r="AB57" s="53">
        <v>64</v>
      </c>
      <c r="AC57" s="53">
        <v>64</v>
      </c>
      <c r="AD57" s="53">
        <v>64</v>
      </c>
      <c r="AE57" s="53">
        <v>64</v>
      </c>
      <c r="AF57" s="53">
        <v>64</v>
      </c>
      <c r="AG57" s="65">
        <v>240</v>
      </c>
      <c r="AH57" s="48">
        <f t="shared" si="8"/>
        <v>64</v>
      </c>
      <c r="AI57" s="49">
        <f t="shared" si="9"/>
        <v>39</v>
      </c>
      <c r="AK57" s="51"/>
    </row>
    <row r="58" spans="1:88" ht="15.75" thickBot="1" x14ac:dyDescent="0.3">
      <c r="A58" s="69" t="s">
        <v>75</v>
      </c>
      <c r="B58" s="70">
        <f t="shared" ref="B58:C58" si="22">SUM(B11:B56)</f>
        <v>485.25</v>
      </c>
      <c r="C58" s="70">
        <f t="shared" si="22"/>
        <v>485.25</v>
      </c>
      <c r="D58" s="70">
        <f t="shared" ref="D58:AF58" si="23">SUM(D11:D56)</f>
        <v>485.25</v>
      </c>
      <c r="E58" s="70">
        <f t="shared" si="23"/>
        <v>485.25</v>
      </c>
      <c r="F58" s="70">
        <f t="shared" si="23"/>
        <v>485.25</v>
      </c>
      <c r="G58" s="70">
        <f t="shared" si="23"/>
        <v>485.25</v>
      </c>
      <c r="H58" s="70">
        <f t="shared" si="23"/>
        <v>485.25</v>
      </c>
      <c r="I58" s="70">
        <f t="shared" si="23"/>
        <v>485.25</v>
      </c>
      <c r="J58" s="70">
        <f t="shared" si="23"/>
        <v>485.25</v>
      </c>
      <c r="K58" s="70">
        <f t="shared" si="23"/>
        <v>485.25</v>
      </c>
      <c r="L58" s="70">
        <f t="shared" si="23"/>
        <v>485.25</v>
      </c>
      <c r="M58" s="70">
        <f t="shared" si="23"/>
        <v>483.35</v>
      </c>
      <c r="N58" s="70">
        <f t="shared" si="23"/>
        <v>480.05</v>
      </c>
      <c r="O58" s="70">
        <f t="shared" si="23"/>
        <v>463.05</v>
      </c>
      <c r="P58" s="70">
        <f t="shared" si="23"/>
        <v>466.35000000000008</v>
      </c>
      <c r="Q58" s="70">
        <f t="shared" si="23"/>
        <v>457.85</v>
      </c>
      <c r="R58" s="70">
        <f t="shared" si="23"/>
        <v>462.25000000000006</v>
      </c>
      <c r="S58" s="70">
        <f t="shared" ref="S58:T58" si="24">SUM(S11:S56)</f>
        <v>462.25000000000006</v>
      </c>
      <c r="T58" s="70">
        <f t="shared" si="24"/>
        <v>462.25000000000006</v>
      </c>
      <c r="U58" s="70">
        <f t="shared" ref="U58:V58" si="25">SUM(U11:U56)</f>
        <v>462.25000000000006</v>
      </c>
      <c r="V58" s="70">
        <f t="shared" si="25"/>
        <v>462.25000000000006</v>
      </c>
      <c r="W58" s="70">
        <f t="shared" ref="W58:X58" si="26">SUM(W11:W56)</f>
        <v>462.25000000000006</v>
      </c>
      <c r="X58" s="70">
        <f t="shared" si="26"/>
        <v>462.25000000000006</v>
      </c>
      <c r="Y58" s="70">
        <f t="shared" ref="Y58:Z58" si="27">SUM(Y11:Y56)</f>
        <v>462.25000000000006</v>
      </c>
      <c r="Z58" s="70">
        <f t="shared" si="27"/>
        <v>483.55</v>
      </c>
      <c r="AA58" s="70">
        <f t="shared" ref="AA58" si="28">SUM(AA11:AA56)</f>
        <v>520.85</v>
      </c>
      <c r="AB58" s="70">
        <f t="shared" si="23"/>
        <v>483.55</v>
      </c>
      <c r="AC58" s="70">
        <f t="shared" si="23"/>
        <v>483.55</v>
      </c>
      <c r="AD58" s="70">
        <f t="shared" si="23"/>
        <v>483.55</v>
      </c>
      <c r="AE58" s="70">
        <f t="shared" si="23"/>
        <v>483.55</v>
      </c>
      <c r="AF58" s="70">
        <f t="shared" si="23"/>
        <v>483.55</v>
      </c>
      <c r="AG58" s="71">
        <f>SUM(AG14:AG56)</f>
        <v>1042.4000000000001</v>
      </c>
      <c r="AH58" s="48">
        <f t="shared" si="8"/>
        <v>520.85</v>
      </c>
      <c r="AI58" s="49">
        <f t="shared" si="9"/>
        <v>457.85</v>
      </c>
      <c r="AK58" s="51"/>
    </row>
    <row r="59" spans="1:88" x14ac:dyDescent="0.25">
      <c r="A59" s="72" t="s">
        <v>76</v>
      </c>
      <c r="B59" s="46">
        <v>70</v>
      </c>
      <c r="C59" s="46">
        <v>150</v>
      </c>
      <c r="D59" s="46">
        <v>0</v>
      </c>
      <c r="E59" s="46">
        <v>0</v>
      </c>
      <c r="F59" s="46">
        <v>0</v>
      </c>
      <c r="G59" s="46">
        <v>50.2</v>
      </c>
      <c r="H59" s="46">
        <v>30</v>
      </c>
      <c r="I59" s="46">
        <v>40</v>
      </c>
      <c r="J59" s="46">
        <v>50</v>
      </c>
      <c r="K59" s="46">
        <v>154</v>
      </c>
      <c r="L59" s="46">
        <v>210</v>
      </c>
      <c r="M59" s="46">
        <v>240</v>
      </c>
      <c r="N59" s="73">
        <v>210</v>
      </c>
      <c r="O59" s="73">
        <v>120</v>
      </c>
      <c r="P59" s="73">
        <v>40</v>
      </c>
      <c r="Q59" s="73">
        <v>35</v>
      </c>
      <c r="R59" s="73">
        <v>0</v>
      </c>
      <c r="S59" s="73">
        <v>0</v>
      </c>
      <c r="T59" s="73">
        <v>0</v>
      </c>
      <c r="U59" s="73">
        <v>0</v>
      </c>
      <c r="V59" s="73">
        <v>55.2</v>
      </c>
      <c r="W59" s="73">
        <v>40.9</v>
      </c>
      <c r="X59" s="73">
        <v>50.3</v>
      </c>
      <c r="Y59" s="73">
        <v>120</v>
      </c>
      <c r="Z59" s="73">
        <v>120</v>
      </c>
      <c r="AA59" s="73">
        <v>201</v>
      </c>
      <c r="AB59" s="46">
        <v>160</v>
      </c>
      <c r="AC59" s="46">
        <v>261.3</v>
      </c>
      <c r="AD59" s="46">
        <v>228</v>
      </c>
      <c r="AE59" s="46">
        <v>70</v>
      </c>
      <c r="AF59" s="46">
        <v>50.2</v>
      </c>
      <c r="AG59" s="60">
        <v>456</v>
      </c>
      <c r="AH59" s="48">
        <f t="shared" si="8"/>
        <v>261.3</v>
      </c>
      <c r="AI59" s="49">
        <f t="shared" si="9"/>
        <v>0</v>
      </c>
      <c r="AK59" s="51"/>
    </row>
    <row r="60" spans="1:88" x14ac:dyDescent="0.25">
      <c r="A60" s="74" t="s">
        <v>77</v>
      </c>
      <c r="B60" s="75">
        <v>25</v>
      </c>
      <c r="C60" s="75">
        <v>25</v>
      </c>
      <c r="D60" s="75">
        <v>25</v>
      </c>
      <c r="E60" s="75">
        <v>25</v>
      </c>
      <c r="F60" s="75">
        <v>25</v>
      </c>
      <c r="G60" s="75">
        <v>25</v>
      </c>
      <c r="H60" s="75">
        <v>25</v>
      </c>
      <c r="I60" s="75">
        <v>25</v>
      </c>
      <c r="J60" s="75">
        <v>25</v>
      </c>
      <c r="K60" s="75">
        <v>25</v>
      </c>
      <c r="L60" s="75">
        <v>25</v>
      </c>
      <c r="M60" s="75">
        <v>25</v>
      </c>
      <c r="N60" s="75">
        <v>25</v>
      </c>
      <c r="O60" s="75">
        <v>25</v>
      </c>
      <c r="P60" s="75">
        <v>25</v>
      </c>
      <c r="Q60" s="75">
        <v>25</v>
      </c>
      <c r="R60" s="75">
        <v>25</v>
      </c>
      <c r="S60" s="75">
        <v>25</v>
      </c>
      <c r="T60" s="75">
        <v>25</v>
      </c>
      <c r="U60" s="75">
        <v>25</v>
      </c>
      <c r="V60" s="75">
        <v>25</v>
      </c>
      <c r="W60" s="75">
        <v>25</v>
      </c>
      <c r="X60" s="75">
        <v>25</v>
      </c>
      <c r="Y60" s="75">
        <v>25</v>
      </c>
      <c r="Z60" s="75">
        <v>25</v>
      </c>
      <c r="AA60" s="75">
        <v>25</v>
      </c>
      <c r="AB60" s="75">
        <v>25</v>
      </c>
      <c r="AC60" s="75">
        <v>25</v>
      </c>
      <c r="AD60" s="75">
        <v>25</v>
      </c>
      <c r="AE60" s="75">
        <v>25</v>
      </c>
      <c r="AF60" s="75">
        <v>25</v>
      </c>
      <c r="AG60" s="65">
        <v>60</v>
      </c>
      <c r="AH60" s="48">
        <f t="shared" si="8"/>
        <v>25</v>
      </c>
      <c r="AI60" s="49">
        <f t="shared" si="9"/>
        <v>25</v>
      </c>
      <c r="AK60" s="51"/>
    </row>
    <row r="61" spans="1:88" ht="15.75" thickBot="1" x14ac:dyDescent="0.3">
      <c r="A61" s="76" t="s">
        <v>78</v>
      </c>
      <c r="B61" s="77">
        <v>10.3</v>
      </c>
      <c r="C61" s="77">
        <v>10.3</v>
      </c>
      <c r="D61" s="77">
        <v>10.3</v>
      </c>
      <c r="E61" s="77">
        <v>10.3</v>
      </c>
      <c r="F61" s="77">
        <v>10.3</v>
      </c>
      <c r="G61" s="77">
        <v>10.3</v>
      </c>
      <c r="H61" s="77">
        <v>10.3</v>
      </c>
      <c r="I61" s="77">
        <v>10.3</v>
      </c>
      <c r="J61" s="77">
        <v>10.3</v>
      </c>
      <c r="K61" s="77">
        <v>10.3</v>
      </c>
      <c r="L61" s="77">
        <v>10.3</v>
      </c>
      <c r="M61" s="77">
        <v>10.6</v>
      </c>
      <c r="N61" s="77">
        <v>10.5</v>
      </c>
      <c r="O61" s="77">
        <v>10.36</v>
      </c>
      <c r="P61" s="77">
        <v>10.6</v>
      </c>
      <c r="Q61" s="77">
        <v>10.6</v>
      </c>
      <c r="R61" s="77">
        <v>10.6</v>
      </c>
      <c r="S61" s="77">
        <v>10.6</v>
      </c>
      <c r="T61" s="77">
        <v>10.6</v>
      </c>
      <c r="U61" s="77">
        <v>10.6</v>
      </c>
      <c r="V61" s="77">
        <v>10.6</v>
      </c>
      <c r="W61" s="77">
        <v>10.6</v>
      </c>
      <c r="X61" s="77">
        <v>10.6</v>
      </c>
      <c r="Y61" s="77">
        <v>10.6</v>
      </c>
      <c r="Z61" s="77">
        <v>10.6</v>
      </c>
      <c r="AA61" s="77">
        <v>10.6</v>
      </c>
      <c r="AB61" s="77">
        <v>10.6</v>
      </c>
      <c r="AC61" s="77">
        <v>10.6</v>
      </c>
      <c r="AD61" s="77">
        <v>10.6</v>
      </c>
      <c r="AE61" s="77">
        <v>10.6</v>
      </c>
      <c r="AF61" s="77">
        <v>10.6</v>
      </c>
      <c r="AG61" s="78">
        <v>22.1</v>
      </c>
      <c r="AH61" s="48">
        <f t="shared" si="8"/>
        <v>10.6</v>
      </c>
      <c r="AI61" s="49">
        <f t="shared" si="9"/>
        <v>10.3</v>
      </c>
      <c r="AK61" s="51"/>
    </row>
    <row r="62" spans="1:88" ht="15.75" thickBot="1" x14ac:dyDescent="0.3">
      <c r="A62" s="79" t="s">
        <v>79</v>
      </c>
      <c r="B62" s="70">
        <f t="shared" ref="B62:C62" si="29">SUM(B59:B61)</f>
        <v>105.3</v>
      </c>
      <c r="C62" s="70">
        <f t="shared" si="29"/>
        <v>185.3</v>
      </c>
      <c r="D62" s="70">
        <f t="shared" ref="D62:AG62" si="30">SUM(D59:D61)</f>
        <v>35.299999999999997</v>
      </c>
      <c r="E62" s="70">
        <f t="shared" si="30"/>
        <v>35.299999999999997</v>
      </c>
      <c r="F62" s="70">
        <f t="shared" si="30"/>
        <v>35.299999999999997</v>
      </c>
      <c r="G62" s="70">
        <f t="shared" si="30"/>
        <v>85.5</v>
      </c>
      <c r="H62" s="70">
        <f t="shared" si="30"/>
        <v>65.3</v>
      </c>
      <c r="I62" s="70">
        <f t="shared" si="30"/>
        <v>75.3</v>
      </c>
      <c r="J62" s="70">
        <f t="shared" si="30"/>
        <v>85.3</v>
      </c>
      <c r="K62" s="70">
        <f t="shared" si="30"/>
        <v>189.3</v>
      </c>
      <c r="L62" s="70">
        <f t="shared" si="30"/>
        <v>245.3</v>
      </c>
      <c r="M62" s="70">
        <f t="shared" si="30"/>
        <v>275.60000000000002</v>
      </c>
      <c r="N62" s="70">
        <f t="shared" si="30"/>
        <v>245.5</v>
      </c>
      <c r="O62" s="70">
        <f t="shared" si="30"/>
        <v>155.36000000000001</v>
      </c>
      <c r="P62" s="70">
        <f t="shared" si="30"/>
        <v>75.599999999999994</v>
      </c>
      <c r="Q62" s="70">
        <f t="shared" si="30"/>
        <v>70.599999999999994</v>
      </c>
      <c r="R62" s="70">
        <f t="shared" si="30"/>
        <v>35.6</v>
      </c>
      <c r="S62" s="70">
        <f t="shared" ref="S62:T62" si="31">SUM(S59:S61)</f>
        <v>35.6</v>
      </c>
      <c r="T62" s="70">
        <f t="shared" si="31"/>
        <v>35.6</v>
      </c>
      <c r="U62" s="70">
        <f t="shared" ref="U62:V62" si="32">SUM(U59:U61)</f>
        <v>35.6</v>
      </c>
      <c r="V62" s="70">
        <f t="shared" si="32"/>
        <v>90.8</v>
      </c>
      <c r="W62" s="70">
        <f t="shared" ref="W62:X62" si="33">SUM(W59:W61)</f>
        <v>76.5</v>
      </c>
      <c r="X62" s="70">
        <f t="shared" si="33"/>
        <v>85.899999999999991</v>
      </c>
      <c r="Y62" s="70">
        <f t="shared" ref="Y62:Z62" si="34">SUM(Y59:Y61)</f>
        <v>155.6</v>
      </c>
      <c r="Z62" s="70">
        <f t="shared" si="34"/>
        <v>155.6</v>
      </c>
      <c r="AA62" s="70">
        <f t="shared" ref="AA62" si="35">SUM(AA59:AA61)</f>
        <v>236.6</v>
      </c>
      <c r="AB62" s="70">
        <f t="shared" si="30"/>
        <v>195.6</v>
      </c>
      <c r="AC62" s="70">
        <f t="shared" si="30"/>
        <v>296.90000000000003</v>
      </c>
      <c r="AD62" s="70">
        <f t="shared" si="30"/>
        <v>263.60000000000002</v>
      </c>
      <c r="AE62" s="70">
        <f t="shared" si="30"/>
        <v>105.6</v>
      </c>
      <c r="AF62" s="70">
        <f t="shared" si="30"/>
        <v>85.8</v>
      </c>
      <c r="AG62" s="71">
        <f t="shared" si="30"/>
        <v>538.1</v>
      </c>
      <c r="AH62" s="48">
        <f t="shared" si="8"/>
        <v>296.90000000000003</v>
      </c>
      <c r="AI62" s="49">
        <f t="shared" si="9"/>
        <v>35.299999999999997</v>
      </c>
      <c r="AK62" s="51"/>
    </row>
    <row r="63" spans="1:88" x14ac:dyDescent="0.25">
      <c r="A63" s="45" t="s">
        <v>80</v>
      </c>
      <c r="B63" s="46">
        <v>0</v>
      </c>
      <c r="C63" s="46">
        <v>0</v>
      </c>
      <c r="D63" s="46">
        <v>0</v>
      </c>
      <c r="E63" s="46">
        <v>0</v>
      </c>
      <c r="F63" s="46">
        <v>0</v>
      </c>
      <c r="G63" s="46">
        <v>0</v>
      </c>
      <c r="H63" s="46">
        <v>30.3</v>
      </c>
      <c r="I63" s="46">
        <v>35.4</v>
      </c>
      <c r="J63" s="46">
        <v>61</v>
      </c>
      <c r="K63" s="46">
        <v>80</v>
      </c>
      <c r="L63" s="46">
        <v>90</v>
      </c>
      <c r="M63" s="46">
        <v>91.6</v>
      </c>
      <c r="N63" s="46">
        <v>91.9</v>
      </c>
      <c r="O63" s="46">
        <v>121.6</v>
      </c>
      <c r="P63" s="46">
        <v>62.1</v>
      </c>
      <c r="Q63" s="46">
        <v>61.9</v>
      </c>
      <c r="R63" s="46">
        <v>70</v>
      </c>
      <c r="S63" s="46">
        <v>97.4</v>
      </c>
      <c r="T63" s="46">
        <v>97.4</v>
      </c>
      <c r="U63" s="46">
        <v>122.5</v>
      </c>
      <c r="V63" s="46">
        <v>116.2</v>
      </c>
      <c r="W63" s="46">
        <v>62.5</v>
      </c>
      <c r="X63" s="46">
        <v>71.2</v>
      </c>
      <c r="Y63" s="46">
        <v>93.2</v>
      </c>
      <c r="Z63" s="46">
        <v>101.4</v>
      </c>
      <c r="AA63" s="46">
        <v>130</v>
      </c>
      <c r="AB63" s="46">
        <v>116</v>
      </c>
      <c r="AC63" s="46">
        <v>96.5</v>
      </c>
      <c r="AD63" s="46">
        <v>91</v>
      </c>
      <c r="AE63" s="46">
        <v>91.2</v>
      </c>
      <c r="AF63" s="46">
        <v>61.1</v>
      </c>
      <c r="AG63" s="60">
        <v>144</v>
      </c>
      <c r="AH63" s="48">
        <f t="shared" si="8"/>
        <v>130</v>
      </c>
      <c r="AI63" s="49">
        <f t="shared" si="9"/>
        <v>0</v>
      </c>
      <c r="AK63" s="51"/>
    </row>
    <row r="64" spans="1:88" x14ac:dyDescent="0.25">
      <c r="A64" s="64" t="s">
        <v>81</v>
      </c>
      <c r="B64" s="75">
        <v>0</v>
      </c>
      <c r="C64" s="75">
        <v>0</v>
      </c>
      <c r="D64" s="75">
        <v>0</v>
      </c>
      <c r="E64" s="75">
        <v>0</v>
      </c>
      <c r="F64" s="75">
        <v>0</v>
      </c>
      <c r="G64" s="75">
        <v>29.7</v>
      </c>
      <c r="H64" s="75">
        <v>24.9</v>
      </c>
      <c r="I64" s="75">
        <v>45</v>
      </c>
      <c r="J64" s="75">
        <v>61</v>
      </c>
      <c r="K64" s="75">
        <v>60</v>
      </c>
      <c r="L64" s="75">
        <v>55</v>
      </c>
      <c r="M64" s="75">
        <v>51</v>
      </c>
      <c r="N64" s="75">
        <v>54.2</v>
      </c>
      <c r="O64" s="75">
        <v>54.2</v>
      </c>
      <c r="P64" s="75">
        <v>49.2</v>
      </c>
      <c r="Q64" s="75">
        <v>23.8</v>
      </c>
      <c r="R64" s="75">
        <v>23.5</v>
      </c>
      <c r="S64" s="75">
        <v>34.799999999999997</v>
      </c>
      <c r="T64" s="75">
        <v>34.799999999999997</v>
      </c>
      <c r="U64" s="75">
        <v>34.799999999999997</v>
      </c>
      <c r="V64" s="75">
        <v>50</v>
      </c>
      <c r="W64" s="75">
        <v>25.1</v>
      </c>
      <c r="X64" s="75">
        <v>24.8</v>
      </c>
      <c r="Y64" s="75">
        <v>29.6</v>
      </c>
      <c r="Z64" s="75">
        <v>49.9</v>
      </c>
      <c r="AA64" s="75">
        <v>62</v>
      </c>
      <c r="AB64" s="46">
        <v>50.3</v>
      </c>
      <c r="AC64" s="46">
        <v>34.799999999999997</v>
      </c>
      <c r="AD64" s="46">
        <v>33.5</v>
      </c>
      <c r="AE64" s="46">
        <v>25.2</v>
      </c>
      <c r="AF64" s="46">
        <v>22.2</v>
      </c>
      <c r="AG64" s="65">
        <v>70</v>
      </c>
      <c r="AH64" s="48">
        <f t="shared" si="8"/>
        <v>62</v>
      </c>
      <c r="AI64" s="49">
        <f t="shared" si="9"/>
        <v>0</v>
      </c>
      <c r="AK64" s="51"/>
    </row>
    <row r="65" spans="1:75" x14ac:dyDescent="0.25">
      <c r="A65" s="64" t="s">
        <v>82</v>
      </c>
      <c r="B65" s="75">
        <v>32</v>
      </c>
      <c r="C65" s="75">
        <v>45</v>
      </c>
      <c r="D65" s="75">
        <v>0</v>
      </c>
      <c r="E65" s="75">
        <v>0</v>
      </c>
      <c r="F65" s="75">
        <v>0</v>
      </c>
      <c r="G65" s="75">
        <v>16.2</v>
      </c>
      <c r="H65" s="75">
        <v>32.6</v>
      </c>
      <c r="I65" s="75">
        <v>48</v>
      </c>
      <c r="J65" s="75">
        <v>61</v>
      </c>
      <c r="K65" s="75">
        <v>61</v>
      </c>
      <c r="L65" s="75">
        <v>51</v>
      </c>
      <c r="M65" s="75">
        <v>53.3</v>
      </c>
      <c r="N65" s="75">
        <v>53.1</v>
      </c>
      <c r="O65" s="75">
        <v>52.7</v>
      </c>
      <c r="P65" s="75">
        <v>52.3</v>
      </c>
      <c r="Q65" s="75">
        <v>33.6</v>
      </c>
      <c r="R65" s="75">
        <v>16.5</v>
      </c>
      <c r="S65" s="75">
        <v>22</v>
      </c>
      <c r="T65" s="75">
        <v>22</v>
      </c>
      <c r="U65" s="75">
        <v>46.2</v>
      </c>
      <c r="V65" s="75">
        <v>54.2</v>
      </c>
      <c r="W65" s="75">
        <v>24.9</v>
      </c>
      <c r="X65" s="75">
        <v>53.9</v>
      </c>
      <c r="Y65" s="75">
        <v>65.099999999999994</v>
      </c>
      <c r="Z65" s="75">
        <v>50.2</v>
      </c>
      <c r="AA65" s="75">
        <v>66.2</v>
      </c>
      <c r="AB65" s="46">
        <v>55.5</v>
      </c>
      <c r="AC65" s="46">
        <v>67.400000000000006</v>
      </c>
      <c r="AD65" s="46">
        <v>33.6</v>
      </c>
      <c r="AE65" s="46">
        <v>66.8</v>
      </c>
      <c r="AF65" s="46">
        <v>33.700000000000003</v>
      </c>
      <c r="AG65" s="65">
        <v>69</v>
      </c>
      <c r="AH65" s="48">
        <f t="shared" si="8"/>
        <v>67.400000000000006</v>
      </c>
      <c r="AI65" s="49">
        <f t="shared" si="9"/>
        <v>0</v>
      </c>
      <c r="AK65" s="51"/>
    </row>
    <row r="66" spans="1:75" x14ac:dyDescent="0.25">
      <c r="A66" s="64" t="s">
        <v>83</v>
      </c>
      <c r="B66" s="75">
        <v>35.299999999999997</v>
      </c>
      <c r="C66" s="75">
        <v>35.299999999999997</v>
      </c>
      <c r="D66" s="75">
        <v>35.299999999999997</v>
      </c>
      <c r="E66" s="75">
        <v>35.299999999999997</v>
      </c>
      <c r="F66" s="75">
        <v>35.299999999999997</v>
      </c>
      <c r="G66" s="75">
        <v>35.299999999999997</v>
      </c>
      <c r="H66" s="75">
        <v>42.3</v>
      </c>
      <c r="I66" s="75">
        <v>40</v>
      </c>
      <c r="J66" s="75">
        <v>40</v>
      </c>
      <c r="K66" s="75">
        <v>40</v>
      </c>
      <c r="L66" s="75">
        <v>40</v>
      </c>
      <c r="M66" s="75">
        <v>37</v>
      </c>
      <c r="N66" s="75">
        <v>37</v>
      </c>
      <c r="O66" s="75">
        <v>37</v>
      </c>
      <c r="P66" s="75">
        <v>38</v>
      </c>
      <c r="Q66" s="75">
        <v>38</v>
      </c>
      <c r="R66" s="75">
        <v>35.5</v>
      </c>
      <c r="S66" s="75">
        <v>35.799999999999997</v>
      </c>
      <c r="T66" s="75">
        <v>35.799999999999997</v>
      </c>
      <c r="U66" s="75">
        <v>37.299999999999997</v>
      </c>
      <c r="V66" s="75">
        <v>37.299999999999997</v>
      </c>
      <c r="W66" s="75">
        <v>35.799999999999997</v>
      </c>
      <c r="X66" s="75">
        <v>35.799999999999997</v>
      </c>
      <c r="Y66" s="75">
        <v>35.799999999999997</v>
      </c>
      <c r="Z66" s="75">
        <v>35.299999999999997</v>
      </c>
      <c r="AA66" s="75">
        <v>35.299999999999997</v>
      </c>
      <c r="AB66" s="75">
        <v>35.299999999999997</v>
      </c>
      <c r="AC66" s="46">
        <v>35.299999999999997</v>
      </c>
      <c r="AD66" s="46">
        <v>35.299999999999997</v>
      </c>
      <c r="AE66" s="46">
        <v>35.299999999999997</v>
      </c>
      <c r="AF66" s="46">
        <v>36.299999999999997</v>
      </c>
      <c r="AG66" s="65">
        <v>60</v>
      </c>
      <c r="AH66" s="48">
        <f t="shared" si="8"/>
        <v>42.3</v>
      </c>
      <c r="AI66" s="49">
        <f t="shared" si="9"/>
        <v>35.299999999999997</v>
      </c>
      <c r="AK66" s="51"/>
    </row>
    <row r="67" spans="1:75" x14ac:dyDescent="0.25">
      <c r="A67" s="64" t="s">
        <v>84</v>
      </c>
      <c r="B67" s="46">
        <v>0</v>
      </c>
      <c r="C67" s="46">
        <v>0</v>
      </c>
      <c r="D67" s="46">
        <v>0</v>
      </c>
      <c r="E67" s="46">
        <v>10.8</v>
      </c>
      <c r="F67" s="46">
        <v>15</v>
      </c>
      <c r="G67" s="46">
        <v>15</v>
      </c>
      <c r="H67" s="46">
        <v>15</v>
      </c>
      <c r="I67" s="46">
        <v>15</v>
      </c>
      <c r="J67" s="46">
        <v>15</v>
      </c>
      <c r="K67" s="46">
        <v>10</v>
      </c>
      <c r="L67" s="46">
        <v>10</v>
      </c>
      <c r="M67" s="75">
        <v>10.8</v>
      </c>
      <c r="N67" s="75">
        <v>11.1</v>
      </c>
      <c r="O67" s="75">
        <v>11.1</v>
      </c>
      <c r="P67" s="75">
        <v>10.6</v>
      </c>
      <c r="Q67" s="75">
        <v>10.6</v>
      </c>
      <c r="R67" s="75">
        <v>14.8</v>
      </c>
      <c r="S67" s="75">
        <v>14.8</v>
      </c>
      <c r="T67" s="75">
        <v>14.8</v>
      </c>
      <c r="U67" s="75">
        <v>14.7</v>
      </c>
      <c r="V67" s="75">
        <v>14.7</v>
      </c>
      <c r="W67" s="75">
        <v>14.6</v>
      </c>
      <c r="X67" s="75">
        <v>22.5</v>
      </c>
      <c r="Y67" s="75">
        <v>22.5</v>
      </c>
      <c r="Z67" s="75">
        <v>22.5</v>
      </c>
      <c r="AA67" s="75">
        <v>10</v>
      </c>
      <c r="AB67" s="75">
        <v>10</v>
      </c>
      <c r="AC67" s="46">
        <v>10</v>
      </c>
      <c r="AD67" s="46">
        <v>10</v>
      </c>
      <c r="AE67" s="46">
        <v>10</v>
      </c>
      <c r="AF67" s="46">
        <v>0</v>
      </c>
      <c r="AG67" s="65">
        <v>30</v>
      </c>
      <c r="AH67" s="48">
        <f t="shared" si="8"/>
        <v>22.5</v>
      </c>
      <c r="AI67" s="49">
        <f t="shared" si="9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</row>
    <row r="68" spans="1:75" x14ac:dyDescent="0.25">
      <c r="A68" s="64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0.6</v>
      </c>
      <c r="K68" s="46">
        <v>1.6</v>
      </c>
      <c r="L68" s="46">
        <v>2.1</v>
      </c>
      <c r="M68" s="75">
        <v>3</v>
      </c>
      <c r="N68" s="75">
        <v>2</v>
      </c>
      <c r="O68" s="75">
        <v>2</v>
      </c>
      <c r="P68" s="75">
        <v>2</v>
      </c>
      <c r="Q68" s="75">
        <v>9.4</v>
      </c>
      <c r="R68" s="75">
        <v>11.5</v>
      </c>
      <c r="S68" s="75">
        <v>1.7</v>
      </c>
      <c r="T68" s="75">
        <v>1.7</v>
      </c>
      <c r="U68" s="75">
        <v>5.8</v>
      </c>
      <c r="V68" s="75">
        <v>1.1000000000000001</v>
      </c>
      <c r="W68" s="75">
        <v>0.6</v>
      </c>
      <c r="X68" s="75">
        <v>0</v>
      </c>
      <c r="Y68" s="75">
        <v>0</v>
      </c>
      <c r="Z68" s="75">
        <v>0</v>
      </c>
      <c r="AA68" s="75">
        <v>0</v>
      </c>
      <c r="AB68" s="75">
        <v>0</v>
      </c>
      <c r="AC68" s="46">
        <v>0</v>
      </c>
      <c r="AD68" s="46">
        <v>0</v>
      </c>
      <c r="AE68" s="46">
        <v>0</v>
      </c>
      <c r="AF68" s="46">
        <v>0</v>
      </c>
      <c r="AG68" s="65">
        <v>25</v>
      </c>
      <c r="AH68" s="48">
        <f t="shared" si="8"/>
        <v>11.5</v>
      </c>
      <c r="AI68" s="49">
        <f t="shared" si="9"/>
        <v>0</v>
      </c>
      <c r="AK68" s="51"/>
      <c r="AY68" s="1" t="s">
        <v>86</v>
      </c>
      <c r="AZ68" s="81">
        <f>ROUND(C81,0)</f>
        <v>40</v>
      </c>
      <c r="BA68" s="80">
        <f t="shared" ref="BA68:BD72" si="36">D81</f>
        <v>40</v>
      </c>
      <c r="BB68" s="80">
        <f t="shared" si="36"/>
        <v>40</v>
      </c>
      <c r="BC68" s="80">
        <f t="shared" si="36"/>
        <v>31.9</v>
      </c>
      <c r="BD68" s="80">
        <f t="shared" si="36"/>
        <v>29.1</v>
      </c>
      <c r="BE68" s="81">
        <f>I81</f>
        <v>32</v>
      </c>
      <c r="BF68" s="81">
        <f>K81</f>
        <v>36.299999999999997</v>
      </c>
      <c r="BG68" s="81">
        <f t="shared" ref="BG68:BP72" si="37">M81</f>
        <v>42.5</v>
      </c>
      <c r="BH68" s="81">
        <f t="shared" si="37"/>
        <v>43.3</v>
      </c>
      <c r="BI68" s="81">
        <f t="shared" si="37"/>
        <v>48.7</v>
      </c>
      <c r="BJ68" s="81">
        <f t="shared" si="37"/>
        <v>52.3</v>
      </c>
      <c r="BK68" s="81">
        <f t="shared" si="37"/>
        <v>50.9</v>
      </c>
      <c r="BL68" s="81">
        <f t="shared" si="37"/>
        <v>52.63</v>
      </c>
      <c r="BM68" s="81">
        <f t="shared" si="37"/>
        <v>52.63</v>
      </c>
      <c r="BN68" s="81">
        <f t="shared" si="37"/>
        <v>59</v>
      </c>
      <c r="BO68" s="81">
        <f t="shared" si="37"/>
        <v>55.8</v>
      </c>
      <c r="BP68" s="81">
        <f t="shared" si="37"/>
        <v>60</v>
      </c>
      <c r="BQ68" s="81">
        <f>X81</f>
        <v>51.5</v>
      </c>
      <c r="BR68" s="81">
        <f>Z81</f>
        <v>69.400000000000006</v>
      </c>
      <c r="BS68" s="80">
        <f>AB81</f>
        <v>48.7</v>
      </c>
      <c r="BT68" s="80">
        <f>AD81</f>
        <v>45.6</v>
      </c>
      <c r="BU68" s="80">
        <f>AE81</f>
        <v>42.5</v>
      </c>
      <c r="BV68" s="80">
        <f>AF81</f>
        <v>44.1</v>
      </c>
      <c r="BW68" s="80">
        <f>B81</f>
        <v>54</v>
      </c>
    </row>
    <row r="69" spans="1:75" x14ac:dyDescent="0.25">
      <c r="A69" s="64" t="s">
        <v>87</v>
      </c>
      <c r="B69" s="75">
        <v>15</v>
      </c>
      <c r="C69" s="75">
        <v>15</v>
      </c>
      <c r="D69" s="75">
        <v>15</v>
      </c>
      <c r="E69" s="75">
        <v>15</v>
      </c>
      <c r="F69" s="75">
        <v>15</v>
      </c>
      <c r="G69" s="75">
        <v>15</v>
      </c>
      <c r="H69" s="75">
        <v>15</v>
      </c>
      <c r="I69" s="75">
        <v>15</v>
      </c>
      <c r="J69" s="75">
        <v>15</v>
      </c>
      <c r="K69" s="75">
        <v>15</v>
      </c>
      <c r="L69" s="75">
        <v>15</v>
      </c>
      <c r="M69" s="75">
        <v>15</v>
      </c>
      <c r="N69" s="75">
        <v>15</v>
      </c>
      <c r="O69" s="75">
        <v>15</v>
      </c>
      <c r="P69" s="75">
        <v>15</v>
      </c>
      <c r="Q69" s="75">
        <v>15</v>
      </c>
      <c r="R69" s="75">
        <v>15</v>
      </c>
      <c r="S69" s="75">
        <v>15</v>
      </c>
      <c r="T69" s="75">
        <v>15</v>
      </c>
      <c r="U69" s="75">
        <v>15</v>
      </c>
      <c r="V69" s="75">
        <v>15</v>
      </c>
      <c r="W69" s="75">
        <v>15</v>
      </c>
      <c r="X69" s="75">
        <v>15</v>
      </c>
      <c r="Y69" s="75">
        <v>15</v>
      </c>
      <c r="Z69" s="75">
        <v>15</v>
      </c>
      <c r="AA69" s="75">
        <v>15</v>
      </c>
      <c r="AB69" s="75">
        <v>15</v>
      </c>
      <c r="AC69" s="75">
        <v>15</v>
      </c>
      <c r="AD69" s="75">
        <v>15</v>
      </c>
      <c r="AE69" s="75">
        <v>15</v>
      </c>
      <c r="AF69" s="75">
        <v>15</v>
      </c>
      <c r="AG69" s="65">
        <v>24</v>
      </c>
      <c r="AH69" s="48">
        <f t="shared" si="8"/>
        <v>15</v>
      </c>
      <c r="AI69" s="49">
        <f t="shared" si="9"/>
        <v>15</v>
      </c>
      <c r="AK69" s="51"/>
      <c r="AY69" s="1" t="s">
        <v>88</v>
      </c>
      <c r="AZ69" s="81">
        <f>ROUND(C82,0)</f>
        <v>0</v>
      </c>
      <c r="BA69" s="80">
        <f t="shared" si="36"/>
        <v>0</v>
      </c>
      <c r="BB69" s="80">
        <f t="shared" si="36"/>
        <v>0</v>
      </c>
      <c r="BC69" s="80">
        <f t="shared" si="36"/>
        <v>0</v>
      </c>
      <c r="BD69" s="80">
        <f t="shared" si="36"/>
        <v>0</v>
      </c>
      <c r="BE69" s="81">
        <f t="shared" ref="BE69:BE72" si="38">I82</f>
        <v>0</v>
      </c>
      <c r="BF69" s="81">
        <f t="shared" ref="BF69:BF72" si="39">K82</f>
        <v>0</v>
      </c>
      <c r="BG69" s="81">
        <f t="shared" si="37"/>
        <v>0</v>
      </c>
      <c r="BH69" s="81">
        <f t="shared" si="37"/>
        <v>0</v>
      </c>
      <c r="BI69" s="81">
        <f t="shared" si="37"/>
        <v>0</v>
      </c>
      <c r="BJ69" s="81">
        <f t="shared" si="37"/>
        <v>0</v>
      </c>
      <c r="BK69" s="81">
        <f t="shared" si="37"/>
        <v>0</v>
      </c>
      <c r="BL69" s="81">
        <f t="shared" si="37"/>
        <v>0</v>
      </c>
      <c r="BM69" s="81">
        <f t="shared" si="37"/>
        <v>0</v>
      </c>
      <c r="BN69" s="81">
        <f t="shared" si="37"/>
        <v>0</v>
      </c>
      <c r="BO69" s="81">
        <f t="shared" si="37"/>
        <v>0</v>
      </c>
      <c r="BP69" s="81">
        <f t="shared" si="37"/>
        <v>0</v>
      </c>
      <c r="BQ69" s="81">
        <f t="shared" ref="BQ69:BQ72" si="40">X82</f>
        <v>0</v>
      </c>
      <c r="BR69" s="81">
        <f t="shared" ref="BR69:BR72" si="41">Z82</f>
        <v>0</v>
      </c>
      <c r="BS69" s="80">
        <f t="shared" ref="BS69:BS72" si="42">AB82</f>
        <v>0</v>
      </c>
      <c r="BT69" s="80">
        <f t="shared" ref="BT69:BV72" si="43">AD82</f>
        <v>0</v>
      </c>
      <c r="BU69" s="80">
        <f t="shared" si="43"/>
        <v>0</v>
      </c>
      <c r="BV69" s="80">
        <f t="shared" si="43"/>
        <v>0</v>
      </c>
      <c r="BW69" s="80">
        <f t="shared" ref="BW69:BW72" si="44">B82</f>
        <v>0</v>
      </c>
    </row>
    <row r="70" spans="1:75" x14ac:dyDescent="0.25">
      <c r="A70" s="64" t="s">
        <v>89</v>
      </c>
      <c r="B70" s="75">
        <v>0</v>
      </c>
      <c r="C70" s="75">
        <v>0</v>
      </c>
      <c r="D70" s="75">
        <v>0</v>
      </c>
      <c r="E70" s="75">
        <v>0</v>
      </c>
      <c r="F70" s="75">
        <v>0</v>
      </c>
      <c r="G70" s="75">
        <v>0</v>
      </c>
      <c r="H70" s="75">
        <v>0</v>
      </c>
      <c r="I70" s="75">
        <v>0</v>
      </c>
      <c r="J70" s="75">
        <v>0</v>
      </c>
      <c r="K70" s="75">
        <v>0</v>
      </c>
      <c r="L70" s="75">
        <v>0</v>
      </c>
      <c r="M70" s="75">
        <v>0</v>
      </c>
      <c r="N70" s="75">
        <v>0</v>
      </c>
      <c r="O70" s="75">
        <v>0</v>
      </c>
      <c r="P70" s="75">
        <v>0</v>
      </c>
      <c r="Q70" s="75">
        <v>0</v>
      </c>
      <c r="R70" s="75">
        <v>0</v>
      </c>
      <c r="S70" s="75">
        <v>0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5">
        <v>0</v>
      </c>
      <c r="Z70" s="75">
        <v>0</v>
      </c>
      <c r="AA70" s="75">
        <v>0</v>
      </c>
      <c r="AB70" s="75">
        <v>0</v>
      </c>
      <c r="AC70" s="75">
        <v>0</v>
      </c>
      <c r="AD70" s="75">
        <v>0</v>
      </c>
      <c r="AE70" s="75">
        <v>0</v>
      </c>
      <c r="AF70" s="75">
        <v>0</v>
      </c>
      <c r="AG70" s="65">
        <v>15</v>
      </c>
      <c r="AH70" s="48">
        <f t="shared" si="8"/>
        <v>0</v>
      </c>
      <c r="AI70" s="49">
        <f t="shared" si="9"/>
        <v>0</v>
      </c>
      <c r="AK70" s="51"/>
      <c r="AL70" s="82"/>
      <c r="AO70" s="82"/>
      <c r="AY70" s="1" t="s">
        <v>90</v>
      </c>
      <c r="AZ70" s="81">
        <f>ROUND(C83,0)</f>
        <v>59</v>
      </c>
      <c r="BA70" s="80">
        <f t="shared" si="36"/>
        <v>293</v>
      </c>
      <c r="BB70" s="80">
        <f t="shared" si="36"/>
        <v>334</v>
      </c>
      <c r="BC70" s="80">
        <f t="shared" si="36"/>
        <v>296</v>
      </c>
      <c r="BD70" s="80">
        <f t="shared" si="36"/>
        <v>267</v>
      </c>
      <c r="BE70" s="81">
        <f t="shared" si="38"/>
        <v>322</v>
      </c>
      <c r="BF70" s="81">
        <f t="shared" si="39"/>
        <v>185</v>
      </c>
      <c r="BG70" s="81">
        <f t="shared" si="37"/>
        <v>165</v>
      </c>
      <c r="BH70" s="81">
        <f t="shared" si="37"/>
        <v>176.7</v>
      </c>
      <c r="BI70" s="81">
        <f t="shared" si="37"/>
        <v>193</v>
      </c>
      <c r="BJ70" s="81">
        <f t="shared" si="37"/>
        <v>343.8</v>
      </c>
      <c r="BK70" s="81">
        <f t="shared" si="37"/>
        <v>345</v>
      </c>
      <c r="BL70" s="81">
        <f t="shared" si="37"/>
        <v>349</v>
      </c>
      <c r="BM70" s="81">
        <f t="shared" si="37"/>
        <v>349</v>
      </c>
      <c r="BN70" s="81">
        <f t="shared" si="37"/>
        <v>398.1</v>
      </c>
      <c r="BO70" s="81">
        <f t="shared" si="37"/>
        <v>402.8</v>
      </c>
      <c r="BP70" s="81">
        <f t="shared" si="37"/>
        <v>352.8</v>
      </c>
      <c r="BQ70" s="81">
        <f t="shared" si="40"/>
        <v>374.6</v>
      </c>
      <c r="BR70" s="81">
        <f t="shared" si="41"/>
        <v>375</v>
      </c>
      <c r="BS70" s="80">
        <f t="shared" si="42"/>
        <v>299</v>
      </c>
      <c r="BT70" s="80">
        <f t="shared" si="43"/>
        <v>229</v>
      </c>
      <c r="BU70" s="80">
        <f t="shared" si="43"/>
        <v>195</v>
      </c>
      <c r="BV70" s="80">
        <f t="shared" si="43"/>
        <v>218.3</v>
      </c>
      <c r="BW70" s="80">
        <f t="shared" si="44"/>
        <v>280</v>
      </c>
    </row>
    <row r="71" spans="1:75" s="82" customFormat="1" x14ac:dyDescent="0.25">
      <c r="A71" s="64" t="s">
        <v>91</v>
      </c>
      <c r="B71" s="75">
        <v>9.8000000000000007</v>
      </c>
      <c r="C71" s="75">
        <v>9.8000000000000007</v>
      </c>
      <c r="D71" s="75">
        <v>9.8000000000000007</v>
      </c>
      <c r="E71" s="75">
        <v>9.8000000000000007</v>
      </c>
      <c r="F71" s="75">
        <v>9.8000000000000007</v>
      </c>
      <c r="G71" s="75">
        <v>9.8000000000000007</v>
      </c>
      <c r="H71" s="75">
        <v>9.8000000000000007</v>
      </c>
      <c r="I71" s="75">
        <v>9.8000000000000007</v>
      </c>
      <c r="J71" s="75">
        <v>9.8000000000000007</v>
      </c>
      <c r="K71" s="75">
        <v>9.8000000000000007</v>
      </c>
      <c r="L71" s="75">
        <v>9.8000000000000007</v>
      </c>
      <c r="M71" s="75">
        <v>9.9</v>
      </c>
      <c r="N71" s="75">
        <v>9.9</v>
      </c>
      <c r="O71" s="75">
        <v>9.9</v>
      </c>
      <c r="P71" s="75">
        <v>9.9</v>
      </c>
      <c r="Q71" s="75">
        <v>9.9</v>
      </c>
      <c r="R71" s="75">
        <v>9.9</v>
      </c>
      <c r="S71" s="75">
        <v>9.9</v>
      </c>
      <c r="T71" s="75">
        <v>9.9</v>
      </c>
      <c r="U71" s="75">
        <v>9.9</v>
      </c>
      <c r="V71" s="75">
        <v>9.9</v>
      </c>
      <c r="W71" s="75">
        <v>9.9</v>
      </c>
      <c r="X71" s="75">
        <v>9.9</v>
      </c>
      <c r="Y71" s="75">
        <v>9.9</v>
      </c>
      <c r="Z71" s="75">
        <v>9.9</v>
      </c>
      <c r="AA71" s="75">
        <v>9.9</v>
      </c>
      <c r="AB71" s="75">
        <v>9.9</v>
      </c>
      <c r="AC71" s="75">
        <v>9.9</v>
      </c>
      <c r="AD71" s="75">
        <v>9.9</v>
      </c>
      <c r="AE71" s="75">
        <v>10.4</v>
      </c>
      <c r="AF71" s="75">
        <v>10.5</v>
      </c>
      <c r="AG71" s="65">
        <v>14.1</v>
      </c>
      <c r="AH71" s="48">
        <f t="shared" si="8"/>
        <v>10.5</v>
      </c>
      <c r="AI71" s="49">
        <f t="shared" si="9"/>
        <v>9.8000000000000007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0</v>
      </c>
      <c r="BA71" s="80">
        <f t="shared" si="36"/>
        <v>0</v>
      </c>
      <c r="BB71" s="80">
        <f t="shared" si="36"/>
        <v>0</v>
      </c>
      <c r="BC71" s="80">
        <f t="shared" si="36"/>
        <v>0</v>
      </c>
      <c r="BD71" s="80">
        <f t="shared" si="36"/>
        <v>0</v>
      </c>
      <c r="BE71" s="81">
        <f t="shared" si="38"/>
        <v>0</v>
      </c>
      <c r="BF71" s="81">
        <f t="shared" si="39"/>
        <v>0</v>
      </c>
      <c r="BG71" s="81">
        <f t="shared" si="37"/>
        <v>0</v>
      </c>
      <c r="BH71" s="81">
        <f t="shared" si="37"/>
        <v>0</v>
      </c>
      <c r="BI71" s="81">
        <f t="shared" si="37"/>
        <v>0</v>
      </c>
      <c r="BJ71" s="81">
        <f t="shared" si="37"/>
        <v>0</v>
      </c>
      <c r="BK71" s="81">
        <f t="shared" si="37"/>
        <v>48</v>
      </c>
      <c r="BL71" s="81">
        <f t="shared" si="37"/>
        <v>44.9</v>
      </c>
      <c r="BM71" s="81">
        <f t="shared" si="37"/>
        <v>44.9</v>
      </c>
      <c r="BN71" s="81">
        <f t="shared" si="37"/>
        <v>56.4</v>
      </c>
      <c r="BO71" s="81">
        <f t="shared" si="37"/>
        <v>53.5</v>
      </c>
      <c r="BP71" s="81">
        <f t="shared" si="37"/>
        <v>41.3</v>
      </c>
      <c r="BQ71" s="81">
        <f t="shared" si="40"/>
        <v>47.3</v>
      </c>
      <c r="BR71" s="81">
        <f t="shared" si="41"/>
        <v>44.7</v>
      </c>
      <c r="BS71" s="80">
        <f t="shared" si="42"/>
        <v>0</v>
      </c>
      <c r="BT71" s="80">
        <f t="shared" si="43"/>
        <v>0</v>
      </c>
      <c r="BU71" s="80">
        <f t="shared" si="43"/>
        <v>0</v>
      </c>
      <c r="BV71" s="80">
        <f t="shared" si="43"/>
        <v>0</v>
      </c>
      <c r="BW71" s="80">
        <f t="shared" si="44"/>
        <v>0</v>
      </c>
    </row>
    <row r="72" spans="1:75" x14ac:dyDescent="0.25">
      <c r="A72" s="83" t="s">
        <v>93</v>
      </c>
      <c r="B72" s="75">
        <v>5.0999999999999996</v>
      </c>
      <c r="C72" s="75">
        <v>5.0999999999999996</v>
      </c>
      <c r="D72" s="75">
        <v>5.0999999999999996</v>
      </c>
      <c r="E72" s="75">
        <v>5.0999999999999996</v>
      </c>
      <c r="F72" s="75">
        <v>5.0999999999999996</v>
      </c>
      <c r="G72" s="75">
        <v>5.0999999999999996</v>
      </c>
      <c r="H72" s="75">
        <v>5.0999999999999996</v>
      </c>
      <c r="I72" s="75">
        <v>5.0999999999999996</v>
      </c>
      <c r="J72" s="75">
        <v>5.0999999999999996</v>
      </c>
      <c r="K72" s="75">
        <v>5.0999999999999996</v>
      </c>
      <c r="L72" s="75">
        <v>5.0999999999999996</v>
      </c>
      <c r="M72" s="75">
        <v>5.0999999999999996</v>
      </c>
      <c r="N72" s="75">
        <v>5.0999999999999996</v>
      </c>
      <c r="O72" s="75">
        <v>5.0999999999999996</v>
      </c>
      <c r="P72" s="75">
        <v>5.0999999999999996</v>
      </c>
      <c r="Q72" s="75">
        <v>5.0999999999999996</v>
      </c>
      <c r="R72" s="75">
        <v>5.0999999999999996</v>
      </c>
      <c r="S72" s="75">
        <v>5.0999999999999996</v>
      </c>
      <c r="T72" s="75">
        <v>5.0999999999999996</v>
      </c>
      <c r="U72" s="75">
        <v>5.0999999999999996</v>
      </c>
      <c r="V72" s="75">
        <v>5.0999999999999996</v>
      </c>
      <c r="W72" s="75">
        <v>5.0999999999999996</v>
      </c>
      <c r="X72" s="75">
        <v>5.0999999999999996</v>
      </c>
      <c r="Y72" s="75">
        <v>5.0999999999999996</v>
      </c>
      <c r="Z72" s="75">
        <v>5.0999999999999996</v>
      </c>
      <c r="AA72" s="75">
        <v>5.0999999999999996</v>
      </c>
      <c r="AB72" s="75">
        <v>5.0999999999999996</v>
      </c>
      <c r="AC72" s="75">
        <v>5.0999999999999996</v>
      </c>
      <c r="AD72" s="75">
        <v>5.0999999999999996</v>
      </c>
      <c r="AE72" s="75">
        <v>5.0999999999999996</v>
      </c>
      <c r="AF72" s="75">
        <v>4.8</v>
      </c>
      <c r="AG72" s="65">
        <v>14</v>
      </c>
      <c r="AH72" s="48">
        <f t="shared" si="8"/>
        <v>5.0999999999999996</v>
      </c>
      <c r="AI72" s="49">
        <f t="shared" si="9"/>
        <v>4.8</v>
      </c>
      <c r="AK72" s="51"/>
      <c r="AY72" s="1" t="s">
        <v>94</v>
      </c>
      <c r="AZ72" s="81">
        <f>ROUND(C85,0)</f>
        <v>0</v>
      </c>
      <c r="BA72" s="80">
        <f t="shared" si="36"/>
        <v>0</v>
      </c>
      <c r="BB72" s="80">
        <f t="shared" si="36"/>
        <v>0</v>
      </c>
      <c r="BC72" s="80">
        <f t="shared" si="36"/>
        <v>0</v>
      </c>
      <c r="BD72" s="80">
        <f t="shared" si="36"/>
        <v>0</v>
      </c>
      <c r="BE72" s="81">
        <f t="shared" si="38"/>
        <v>0</v>
      </c>
      <c r="BF72" s="81">
        <f t="shared" si="39"/>
        <v>0</v>
      </c>
      <c r="BG72" s="81">
        <f t="shared" si="37"/>
        <v>0</v>
      </c>
      <c r="BH72" s="81">
        <f t="shared" si="37"/>
        <v>0</v>
      </c>
      <c r="BI72" s="81">
        <f t="shared" si="37"/>
        <v>0</v>
      </c>
      <c r="BJ72" s="81">
        <f t="shared" si="37"/>
        <v>0</v>
      </c>
      <c r="BK72" s="81">
        <f t="shared" si="37"/>
        <v>0</v>
      </c>
      <c r="BL72" s="81">
        <f t="shared" si="37"/>
        <v>0</v>
      </c>
      <c r="BM72" s="81">
        <f t="shared" si="37"/>
        <v>0</v>
      </c>
      <c r="BN72" s="81">
        <f t="shared" si="37"/>
        <v>0</v>
      </c>
      <c r="BO72" s="81">
        <f t="shared" si="37"/>
        <v>0</v>
      </c>
      <c r="BP72" s="81">
        <f t="shared" si="37"/>
        <v>0</v>
      </c>
      <c r="BQ72" s="81">
        <f t="shared" si="40"/>
        <v>74.900000000000006</v>
      </c>
      <c r="BR72" s="81">
        <f t="shared" si="41"/>
        <v>97.6</v>
      </c>
      <c r="BS72" s="80">
        <f t="shared" si="42"/>
        <v>107.6</v>
      </c>
      <c r="BT72" s="80">
        <f t="shared" si="43"/>
        <v>103.3</v>
      </c>
      <c r="BU72" s="80">
        <f t="shared" si="43"/>
        <v>113.1</v>
      </c>
      <c r="BV72" s="80">
        <f t="shared" si="43"/>
        <v>124.2</v>
      </c>
      <c r="BW72" s="80">
        <f t="shared" si="44"/>
        <v>0</v>
      </c>
    </row>
    <row r="73" spans="1:75" x14ac:dyDescent="0.25">
      <c r="A73" s="64" t="s">
        <v>95</v>
      </c>
      <c r="B73" s="75">
        <v>4.5</v>
      </c>
      <c r="C73" s="75">
        <v>4.5</v>
      </c>
      <c r="D73" s="75">
        <v>4.5</v>
      </c>
      <c r="E73" s="75">
        <v>4.5</v>
      </c>
      <c r="F73" s="75">
        <v>4.5</v>
      </c>
      <c r="G73" s="75">
        <v>4.5</v>
      </c>
      <c r="H73" s="75">
        <v>4.5</v>
      </c>
      <c r="I73" s="75">
        <v>4.5</v>
      </c>
      <c r="J73" s="75">
        <v>4.5</v>
      </c>
      <c r="K73" s="75">
        <v>4.5</v>
      </c>
      <c r="L73" s="75">
        <v>4.5</v>
      </c>
      <c r="M73" s="75">
        <v>4.5</v>
      </c>
      <c r="N73" s="75">
        <v>4.5</v>
      </c>
      <c r="O73" s="75">
        <v>4.5</v>
      </c>
      <c r="P73" s="75">
        <v>4.5</v>
      </c>
      <c r="Q73" s="75">
        <v>4.5</v>
      </c>
      <c r="R73" s="75">
        <v>4.5</v>
      </c>
      <c r="S73" s="75">
        <v>4.5</v>
      </c>
      <c r="T73" s="75">
        <v>4.5</v>
      </c>
      <c r="U73" s="75">
        <v>4.5</v>
      </c>
      <c r="V73" s="75">
        <v>4.5</v>
      </c>
      <c r="W73" s="75">
        <v>4.5</v>
      </c>
      <c r="X73" s="75">
        <v>4.5</v>
      </c>
      <c r="Y73" s="75">
        <v>4.5</v>
      </c>
      <c r="Z73" s="75">
        <v>4.5</v>
      </c>
      <c r="AA73" s="75">
        <v>4.5</v>
      </c>
      <c r="AB73" s="75">
        <v>4.5</v>
      </c>
      <c r="AC73" s="75">
        <v>4.5</v>
      </c>
      <c r="AD73" s="75">
        <v>4.5</v>
      </c>
      <c r="AE73" s="75">
        <v>4.5</v>
      </c>
      <c r="AF73" s="75">
        <v>4.5</v>
      </c>
      <c r="AG73" s="65">
        <v>10.050000000000001</v>
      </c>
      <c r="AH73" s="48">
        <f t="shared" si="8"/>
        <v>4.5</v>
      </c>
      <c r="AI73" s="49">
        <f t="shared" si="9"/>
        <v>4.5</v>
      </c>
      <c r="AK73" s="51"/>
      <c r="AY73" s="1" t="s">
        <v>96</v>
      </c>
      <c r="AZ73" s="81">
        <f>ROUND(C91,0)</f>
        <v>0</v>
      </c>
      <c r="BA73" s="81">
        <f>D91</f>
        <v>0</v>
      </c>
      <c r="BB73" s="81">
        <f>E91</f>
        <v>0</v>
      </c>
      <c r="BC73" s="81">
        <f>F91</f>
        <v>42.4</v>
      </c>
      <c r="BD73" s="81">
        <f>G91</f>
        <v>50.1</v>
      </c>
      <c r="BE73" s="81">
        <f>I91</f>
        <v>46.1</v>
      </c>
      <c r="BF73" s="81">
        <f>K91</f>
        <v>49</v>
      </c>
      <c r="BG73" s="81">
        <f t="shared" ref="BG73:BP73" si="45">M91</f>
        <v>50.4</v>
      </c>
      <c r="BH73" s="81">
        <f t="shared" si="45"/>
        <v>44</v>
      </c>
      <c r="BI73" s="81">
        <f t="shared" si="45"/>
        <v>45.3</v>
      </c>
      <c r="BJ73" s="81">
        <f t="shared" si="45"/>
        <v>69.099999999999994</v>
      </c>
      <c r="BK73" s="81">
        <f t="shared" si="45"/>
        <v>71.7</v>
      </c>
      <c r="BL73" s="81">
        <f t="shared" si="45"/>
        <v>66.3</v>
      </c>
      <c r="BM73" s="81">
        <f t="shared" si="45"/>
        <v>66.3</v>
      </c>
      <c r="BN73" s="81">
        <f t="shared" si="45"/>
        <v>87.6</v>
      </c>
      <c r="BO73" s="81">
        <f t="shared" si="45"/>
        <v>64.599999999999994</v>
      </c>
      <c r="BP73" s="81">
        <f t="shared" si="45"/>
        <v>63.7</v>
      </c>
      <c r="BQ73" s="81">
        <f>X91</f>
        <v>70.099999999999994</v>
      </c>
      <c r="BR73" s="81">
        <f>Z91</f>
        <v>69.8</v>
      </c>
      <c r="BS73" s="81">
        <f>AB91</f>
        <v>0</v>
      </c>
      <c r="BT73" s="81">
        <f>AD91</f>
        <v>0</v>
      </c>
      <c r="BU73" s="81">
        <f>AE91</f>
        <v>0</v>
      </c>
      <c r="BV73" s="81">
        <f>AF91</f>
        <v>0</v>
      </c>
      <c r="BW73" s="81">
        <f>B91</f>
        <v>0</v>
      </c>
    </row>
    <row r="74" spans="1:75" x14ac:dyDescent="0.25">
      <c r="A74" s="64" t="s">
        <v>97</v>
      </c>
      <c r="B74" s="75">
        <v>4.5</v>
      </c>
      <c r="C74" s="75">
        <v>4.5</v>
      </c>
      <c r="D74" s="75">
        <v>4.5</v>
      </c>
      <c r="E74" s="75">
        <v>4.5</v>
      </c>
      <c r="F74" s="75">
        <v>4.5</v>
      </c>
      <c r="G74" s="75">
        <v>4.5</v>
      </c>
      <c r="H74" s="75">
        <v>4.5</v>
      </c>
      <c r="I74" s="75">
        <v>4.5</v>
      </c>
      <c r="J74" s="75">
        <v>4.5</v>
      </c>
      <c r="K74" s="75">
        <v>4.5</v>
      </c>
      <c r="L74" s="75">
        <v>4.5</v>
      </c>
      <c r="M74" s="75">
        <v>4.5</v>
      </c>
      <c r="N74" s="75">
        <v>4.5</v>
      </c>
      <c r="O74" s="75">
        <v>4.5</v>
      </c>
      <c r="P74" s="75">
        <v>4.5</v>
      </c>
      <c r="Q74" s="75">
        <v>4.5</v>
      </c>
      <c r="R74" s="75">
        <v>4.5</v>
      </c>
      <c r="S74" s="75">
        <v>4.5</v>
      </c>
      <c r="T74" s="75">
        <v>4.5</v>
      </c>
      <c r="U74" s="75">
        <v>4.5</v>
      </c>
      <c r="V74" s="75">
        <v>4.5</v>
      </c>
      <c r="W74" s="75">
        <v>4.5</v>
      </c>
      <c r="X74" s="75">
        <v>4.5</v>
      </c>
      <c r="Y74" s="75">
        <v>4.5</v>
      </c>
      <c r="Z74" s="75">
        <v>4.5</v>
      </c>
      <c r="AA74" s="75">
        <v>4.5</v>
      </c>
      <c r="AB74" s="75">
        <v>4.5</v>
      </c>
      <c r="AC74" s="75">
        <v>4.5</v>
      </c>
      <c r="AD74" s="75">
        <v>4.5</v>
      </c>
      <c r="AE74" s="75">
        <v>4.5</v>
      </c>
      <c r="AF74" s="75">
        <v>4</v>
      </c>
      <c r="AG74" s="65">
        <v>6.2</v>
      </c>
      <c r="AH74" s="48">
        <f t="shared" si="8"/>
        <v>4.5</v>
      </c>
      <c r="AI74" s="49">
        <f t="shared" si="9"/>
        <v>4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</row>
    <row r="75" spans="1:75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>
        <v>3.54</v>
      </c>
      <c r="W75" s="84">
        <v>3.54</v>
      </c>
      <c r="X75" s="84">
        <v>3.54</v>
      </c>
      <c r="Y75" s="84">
        <v>3.54</v>
      </c>
      <c r="Z75" s="84">
        <v>3.54</v>
      </c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8"/>
        <v>3.54</v>
      </c>
      <c r="AI75" s="49">
        <f t="shared" si="9"/>
        <v>3.54</v>
      </c>
      <c r="AK75" s="51"/>
      <c r="AZ75" s="81">
        <f>VALUE(AZ68)</f>
        <v>40</v>
      </c>
      <c r="BA75" s="81">
        <f t="shared" ref="BA75:BW75" si="46">VALUE(BA68)</f>
        <v>40</v>
      </c>
      <c r="BB75" s="81">
        <f t="shared" si="46"/>
        <v>40</v>
      </c>
      <c r="BC75" s="81">
        <f t="shared" si="46"/>
        <v>31.9</v>
      </c>
      <c r="BD75" s="81">
        <f t="shared" si="46"/>
        <v>29.1</v>
      </c>
      <c r="BE75" s="81">
        <f t="shared" si="46"/>
        <v>32</v>
      </c>
      <c r="BF75" s="81">
        <f t="shared" si="46"/>
        <v>36.299999999999997</v>
      </c>
      <c r="BG75" s="81">
        <f t="shared" si="46"/>
        <v>42.5</v>
      </c>
      <c r="BH75" s="81">
        <f t="shared" si="46"/>
        <v>43.3</v>
      </c>
      <c r="BI75" s="81">
        <f t="shared" si="46"/>
        <v>48.7</v>
      </c>
      <c r="BJ75" s="81">
        <f t="shared" si="46"/>
        <v>52.3</v>
      </c>
      <c r="BK75" s="81">
        <f t="shared" si="46"/>
        <v>50.9</v>
      </c>
      <c r="BL75" s="81">
        <f t="shared" si="46"/>
        <v>52.63</v>
      </c>
      <c r="BM75" s="81">
        <f t="shared" si="46"/>
        <v>52.63</v>
      </c>
      <c r="BN75" s="81">
        <f t="shared" si="46"/>
        <v>59</v>
      </c>
      <c r="BO75" s="81">
        <f t="shared" si="46"/>
        <v>55.8</v>
      </c>
      <c r="BP75" s="81">
        <f t="shared" si="46"/>
        <v>60</v>
      </c>
      <c r="BQ75" s="81">
        <f t="shared" si="46"/>
        <v>51.5</v>
      </c>
      <c r="BR75" s="81">
        <f t="shared" si="46"/>
        <v>69.400000000000006</v>
      </c>
      <c r="BS75" s="81">
        <f t="shared" si="46"/>
        <v>48.7</v>
      </c>
      <c r="BT75" s="81">
        <f t="shared" si="46"/>
        <v>45.6</v>
      </c>
      <c r="BU75" s="81">
        <f t="shared" si="46"/>
        <v>42.5</v>
      </c>
      <c r="BV75" s="81">
        <f t="shared" si="46"/>
        <v>44.1</v>
      </c>
      <c r="BW75" s="81">
        <f t="shared" si="46"/>
        <v>54</v>
      </c>
    </row>
    <row r="76" spans="1:75" ht="15.75" thickBot="1" x14ac:dyDescent="0.3">
      <c r="A76" s="86" t="s">
        <v>99</v>
      </c>
      <c r="B76" s="70">
        <f t="shared" ref="B76:C76" si="47">SUM(B63:B75)</f>
        <v>109.74</v>
      </c>
      <c r="C76" s="70">
        <f t="shared" si="47"/>
        <v>122.74</v>
      </c>
      <c r="D76" s="70">
        <f t="shared" ref="D76:AG76" si="48">SUM(D63:D75)</f>
        <v>77.739999999999995</v>
      </c>
      <c r="E76" s="70">
        <f t="shared" si="48"/>
        <v>88.539999999999992</v>
      </c>
      <c r="F76" s="70">
        <f t="shared" si="48"/>
        <v>92.74</v>
      </c>
      <c r="G76" s="70">
        <f t="shared" si="48"/>
        <v>138.63999999999996</v>
      </c>
      <c r="H76" s="70">
        <f t="shared" si="48"/>
        <v>187.54000000000002</v>
      </c>
      <c r="I76" s="70">
        <f t="shared" si="48"/>
        <v>225.84</v>
      </c>
      <c r="J76" s="70">
        <f t="shared" si="48"/>
        <v>281.04000000000002</v>
      </c>
      <c r="K76" s="70">
        <f t="shared" si="48"/>
        <v>295.04000000000008</v>
      </c>
      <c r="L76" s="70">
        <f t="shared" si="48"/>
        <v>290.54000000000008</v>
      </c>
      <c r="M76" s="70">
        <f t="shared" si="48"/>
        <v>289.24</v>
      </c>
      <c r="N76" s="70">
        <f t="shared" si="48"/>
        <v>291.84000000000003</v>
      </c>
      <c r="O76" s="70">
        <f t="shared" si="48"/>
        <v>321.14000000000004</v>
      </c>
      <c r="P76" s="70">
        <f t="shared" si="48"/>
        <v>256.74</v>
      </c>
      <c r="Q76" s="70">
        <f t="shared" si="48"/>
        <v>219.84</v>
      </c>
      <c r="R76" s="70">
        <f t="shared" si="48"/>
        <v>214.34</v>
      </c>
      <c r="S76" s="70">
        <f t="shared" ref="S76:T76" si="49">SUM(S63:S75)</f>
        <v>249.04</v>
      </c>
      <c r="T76" s="70">
        <f t="shared" si="49"/>
        <v>249.04</v>
      </c>
      <c r="U76" s="70">
        <f t="shared" ref="U76:V76" si="50">SUM(U63:U75)</f>
        <v>303.84000000000003</v>
      </c>
      <c r="V76" s="70">
        <f t="shared" si="50"/>
        <v>316.04000000000002</v>
      </c>
      <c r="W76" s="70">
        <f t="shared" ref="W76:X76" si="51">SUM(W63:W75)</f>
        <v>206.04</v>
      </c>
      <c r="X76" s="70">
        <f t="shared" si="51"/>
        <v>250.73999999999998</v>
      </c>
      <c r="Y76" s="70">
        <f t="shared" ref="Y76:Z76" si="52">SUM(Y63:Y75)</f>
        <v>288.74</v>
      </c>
      <c r="Z76" s="70">
        <f t="shared" si="52"/>
        <v>301.84000000000003</v>
      </c>
      <c r="AA76" s="70">
        <f t="shared" ref="AA76" si="53">SUM(AA63:AA75)</f>
        <v>346.04</v>
      </c>
      <c r="AB76" s="70">
        <f t="shared" si="48"/>
        <v>309.64000000000004</v>
      </c>
      <c r="AC76" s="70">
        <f t="shared" si="48"/>
        <v>286.54000000000002</v>
      </c>
      <c r="AD76" s="70">
        <f t="shared" si="48"/>
        <v>245.93999999999997</v>
      </c>
      <c r="AE76" s="70">
        <f t="shared" si="48"/>
        <v>271.54000000000002</v>
      </c>
      <c r="AF76" s="70">
        <f t="shared" si="48"/>
        <v>195.64000000000001</v>
      </c>
      <c r="AG76" s="71">
        <f t="shared" si="48"/>
        <v>489.91</v>
      </c>
      <c r="AH76" s="48">
        <f t="shared" si="8"/>
        <v>346.04</v>
      </c>
      <c r="AI76" s="49">
        <f t="shared" si="9"/>
        <v>77.739999999999995</v>
      </c>
      <c r="AK76" s="51"/>
      <c r="AZ76" s="81">
        <f t="shared" ref="AZ76:BW80" si="54">VALUE(AZ69)</f>
        <v>0</v>
      </c>
      <c r="BA76" s="81">
        <f t="shared" si="54"/>
        <v>0</v>
      </c>
      <c r="BB76" s="81">
        <f t="shared" si="54"/>
        <v>0</v>
      </c>
      <c r="BC76" s="81">
        <f t="shared" si="54"/>
        <v>0</v>
      </c>
      <c r="BD76" s="81">
        <f t="shared" si="54"/>
        <v>0</v>
      </c>
      <c r="BE76" s="81">
        <f t="shared" si="54"/>
        <v>0</v>
      </c>
      <c r="BF76" s="81">
        <f t="shared" si="54"/>
        <v>0</v>
      </c>
      <c r="BG76" s="81">
        <f t="shared" si="54"/>
        <v>0</v>
      </c>
      <c r="BH76" s="81">
        <f t="shared" si="54"/>
        <v>0</v>
      </c>
      <c r="BI76" s="81">
        <f t="shared" si="54"/>
        <v>0</v>
      </c>
      <c r="BJ76" s="81">
        <f t="shared" si="54"/>
        <v>0</v>
      </c>
      <c r="BK76" s="81">
        <f t="shared" si="54"/>
        <v>0</v>
      </c>
      <c r="BL76" s="81">
        <f t="shared" si="54"/>
        <v>0</v>
      </c>
      <c r="BM76" s="81">
        <f t="shared" si="54"/>
        <v>0</v>
      </c>
      <c r="BN76" s="81">
        <f t="shared" si="54"/>
        <v>0</v>
      </c>
      <c r="BO76" s="81">
        <f t="shared" si="54"/>
        <v>0</v>
      </c>
      <c r="BP76" s="81">
        <f t="shared" si="54"/>
        <v>0</v>
      </c>
      <c r="BQ76" s="81">
        <f t="shared" si="54"/>
        <v>0</v>
      </c>
      <c r="BR76" s="81">
        <f t="shared" si="54"/>
        <v>0</v>
      </c>
      <c r="BS76" s="81">
        <f t="shared" si="54"/>
        <v>0</v>
      </c>
      <c r="BT76" s="81">
        <f t="shared" si="54"/>
        <v>0</v>
      </c>
      <c r="BU76" s="81">
        <f t="shared" si="54"/>
        <v>0</v>
      </c>
      <c r="BV76" s="81">
        <f t="shared" si="54"/>
        <v>0</v>
      </c>
      <c r="BW76" s="81">
        <f t="shared" si="54"/>
        <v>0</v>
      </c>
    </row>
    <row r="77" spans="1:75" x14ac:dyDescent="0.25">
      <c r="A77" s="45" t="s">
        <v>100</v>
      </c>
      <c r="B77" s="46">
        <v>0</v>
      </c>
      <c r="C77" s="46">
        <v>30</v>
      </c>
      <c r="D77" s="46">
        <v>0</v>
      </c>
      <c r="E77" s="46">
        <v>0</v>
      </c>
      <c r="F77" s="46">
        <v>0</v>
      </c>
      <c r="G77" s="46">
        <v>0</v>
      </c>
      <c r="H77" s="46">
        <v>0</v>
      </c>
      <c r="I77" s="46">
        <v>0</v>
      </c>
      <c r="J77" s="46">
        <v>0</v>
      </c>
      <c r="K77" s="46">
        <v>0</v>
      </c>
      <c r="L77" s="46">
        <v>0</v>
      </c>
      <c r="M77" s="46">
        <v>0</v>
      </c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>
        <v>14</v>
      </c>
      <c r="Z77" s="46">
        <v>0</v>
      </c>
      <c r="AA77" s="46">
        <v>0</v>
      </c>
      <c r="AB77" s="46">
        <v>0</v>
      </c>
      <c r="AC77" s="46">
        <v>0</v>
      </c>
      <c r="AD77" s="46">
        <v>0</v>
      </c>
      <c r="AE77" s="46">
        <v>60</v>
      </c>
      <c r="AF77" s="46">
        <v>60</v>
      </c>
      <c r="AG77" s="60">
        <v>60</v>
      </c>
      <c r="AH77" s="48">
        <f t="shared" si="8"/>
        <v>60</v>
      </c>
      <c r="AI77" s="49">
        <f t="shared" si="9"/>
        <v>0</v>
      </c>
      <c r="AK77" s="51"/>
      <c r="AZ77" s="81">
        <f t="shared" si="54"/>
        <v>59</v>
      </c>
      <c r="BA77" s="81">
        <f t="shared" si="54"/>
        <v>293</v>
      </c>
      <c r="BB77" s="81">
        <f t="shared" si="54"/>
        <v>334</v>
      </c>
      <c r="BC77" s="81">
        <f t="shared" si="54"/>
        <v>296</v>
      </c>
      <c r="BD77" s="81">
        <f t="shared" si="54"/>
        <v>267</v>
      </c>
      <c r="BE77" s="81">
        <f t="shared" si="54"/>
        <v>322</v>
      </c>
      <c r="BF77" s="81">
        <f t="shared" si="54"/>
        <v>185</v>
      </c>
      <c r="BG77" s="81">
        <f t="shared" si="54"/>
        <v>165</v>
      </c>
      <c r="BH77" s="81">
        <f t="shared" si="54"/>
        <v>176.7</v>
      </c>
      <c r="BI77" s="81">
        <f t="shared" si="54"/>
        <v>193</v>
      </c>
      <c r="BJ77" s="81">
        <f t="shared" si="54"/>
        <v>343.8</v>
      </c>
      <c r="BK77" s="81">
        <f t="shared" si="54"/>
        <v>345</v>
      </c>
      <c r="BL77" s="81">
        <f t="shared" si="54"/>
        <v>349</v>
      </c>
      <c r="BM77" s="81">
        <f t="shared" si="54"/>
        <v>349</v>
      </c>
      <c r="BN77" s="81">
        <f t="shared" si="54"/>
        <v>398.1</v>
      </c>
      <c r="BO77" s="81">
        <f t="shared" si="54"/>
        <v>402.8</v>
      </c>
      <c r="BP77" s="81">
        <f t="shared" si="54"/>
        <v>352.8</v>
      </c>
      <c r="BQ77" s="81">
        <f t="shared" si="54"/>
        <v>374.6</v>
      </c>
      <c r="BR77" s="81">
        <f t="shared" si="54"/>
        <v>375</v>
      </c>
      <c r="BS77" s="81">
        <f t="shared" si="54"/>
        <v>299</v>
      </c>
      <c r="BT77" s="81">
        <f t="shared" si="54"/>
        <v>229</v>
      </c>
      <c r="BU77" s="81">
        <f t="shared" si="54"/>
        <v>195</v>
      </c>
      <c r="BV77" s="81">
        <f t="shared" si="54"/>
        <v>218.3</v>
      </c>
      <c r="BW77" s="81">
        <f t="shared" si="54"/>
        <v>280</v>
      </c>
    </row>
    <row r="78" spans="1:75" x14ac:dyDescent="0.25">
      <c r="A78" s="64" t="s">
        <v>101</v>
      </c>
      <c r="B78" s="75">
        <v>0</v>
      </c>
      <c r="C78" s="75">
        <v>15</v>
      </c>
      <c r="D78" s="75">
        <v>0</v>
      </c>
      <c r="E78" s="75">
        <v>0</v>
      </c>
      <c r="F78" s="75">
        <v>0</v>
      </c>
      <c r="G78" s="75">
        <v>0</v>
      </c>
      <c r="H78" s="75">
        <v>0</v>
      </c>
      <c r="I78" s="75">
        <v>0</v>
      </c>
      <c r="J78" s="75">
        <v>0</v>
      </c>
      <c r="K78" s="75">
        <v>0</v>
      </c>
      <c r="L78" s="75">
        <v>0</v>
      </c>
      <c r="M78" s="75">
        <v>0</v>
      </c>
      <c r="N78" s="75"/>
      <c r="O78" s="75"/>
      <c r="P78" s="75"/>
      <c r="Q78" s="75"/>
      <c r="R78" s="75"/>
      <c r="S78" s="75"/>
      <c r="T78" s="75">
        <v>4.4000000000000004</v>
      </c>
      <c r="U78" s="75"/>
      <c r="V78" s="75"/>
      <c r="W78" s="75"/>
      <c r="X78" s="75"/>
      <c r="Y78" s="75">
        <v>4.8</v>
      </c>
      <c r="Z78" s="75">
        <v>0</v>
      </c>
      <c r="AA78" s="75">
        <v>0</v>
      </c>
      <c r="AB78" s="75">
        <v>0</v>
      </c>
      <c r="AC78" s="75">
        <v>0</v>
      </c>
      <c r="AD78" s="75">
        <v>0</v>
      </c>
      <c r="AE78" s="75">
        <v>29.4</v>
      </c>
      <c r="AF78" s="75">
        <v>27.9</v>
      </c>
      <c r="AG78" s="65">
        <v>32</v>
      </c>
      <c r="AH78" s="48">
        <f t="shared" si="8"/>
        <v>29.4</v>
      </c>
      <c r="AI78" s="49">
        <f t="shared" si="9"/>
        <v>0</v>
      </c>
      <c r="AK78" s="51"/>
      <c r="AZ78" s="81">
        <f t="shared" si="54"/>
        <v>0</v>
      </c>
      <c r="BA78" s="81">
        <f t="shared" si="54"/>
        <v>0</v>
      </c>
      <c r="BB78" s="81">
        <f t="shared" si="54"/>
        <v>0</v>
      </c>
      <c r="BC78" s="81">
        <f t="shared" si="54"/>
        <v>0</v>
      </c>
      <c r="BD78" s="81">
        <f t="shared" si="54"/>
        <v>0</v>
      </c>
      <c r="BE78" s="81">
        <f t="shared" si="54"/>
        <v>0</v>
      </c>
      <c r="BF78" s="81">
        <f t="shared" si="54"/>
        <v>0</v>
      </c>
      <c r="BG78" s="81">
        <f t="shared" si="54"/>
        <v>0</v>
      </c>
      <c r="BH78" s="81">
        <f t="shared" si="54"/>
        <v>0</v>
      </c>
      <c r="BI78" s="81">
        <f t="shared" si="54"/>
        <v>0</v>
      </c>
      <c r="BJ78" s="81">
        <f t="shared" si="54"/>
        <v>0</v>
      </c>
      <c r="BK78" s="81">
        <f t="shared" si="54"/>
        <v>48</v>
      </c>
      <c r="BL78" s="81">
        <f t="shared" si="54"/>
        <v>44.9</v>
      </c>
      <c r="BM78" s="81">
        <f t="shared" si="54"/>
        <v>44.9</v>
      </c>
      <c r="BN78" s="81">
        <f t="shared" si="54"/>
        <v>56.4</v>
      </c>
      <c r="BO78" s="81">
        <f t="shared" si="54"/>
        <v>53.5</v>
      </c>
      <c r="BP78" s="81">
        <f t="shared" si="54"/>
        <v>41.3</v>
      </c>
      <c r="BQ78" s="81">
        <f t="shared" si="54"/>
        <v>47.3</v>
      </c>
      <c r="BR78" s="81">
        <f t="shared" si="54"/>
        <v>44.7</v>
      </c>
      <c r="BS78" s="81">
        <f t="shared" si="54"/>
        <v>0</v>
      </c>
      <c r="BT78" s="81">
        <f t="shared" si="54"/>
        <v>0</v>
      </c>
      <c r="BU78" s="81">
        <f t="shared" si="54"/>
        <v>0</v>
      </c>
      <c r="BV78" s="81">
        <f t="shared" si="54"/>
        <v>0</v>
      </c>
      <c r="BW78" s="81">
        <f t="shared" si="54"/>
        <v>0</v>
      </c>
    </row>
    <row r="79" spans="1:75" ht="15.75" thickBot="1" x14ac:dyDescent="0.3">
      <c r="A79" s="83" t="s">
        <v>102</v>
      </c>
      <c r="B79" s="77">
        <v>0</v>
      </c>
      <c r="C79" s="77">
        <v>7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/>
      <c r="O79" s="77"/>
      <c r="P79" s="77"/>
      <c r="Q79" s="77"/>
      <c r="R79" s="77"/>
      <c r="S79" s="77"/>
      <c r="T79" s="77">
        <v>1.6</v>
      </c>
      <c r="U79" s="77"/>
      <c r="V79" s="77"/>
      <c r="W79" s="77"/>
      <c r="X79" s="77"/>
      <c r="Y79" s="77">
        <v>1.8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10.7</v>
      </c>
      <c r="AF79" s="77">
        <v>10.199999999999999</v>
      </c>
      <c r="AG79" s="78">
        <v>14</v>
      </c>
      <c r="AH79" s="48">
        <f t="shared" si="8"/>
        <v>10.7</v>
      </c>
      <c r="AI79" s="49">
        <f t="shared" si="9"/>
        <v>0</v>
      </c>
      <c r="AK79" s="51"/>
      <c r="AZ79" s="81">
        <f t="shared" si="54"/>
        <v>0</v>
      </c>
      <c r="BA79" s="81">
        <f t="shared" si="54"/>
        <v>0</v>
      </c>
      <c r="BB79" s="81">
        <f t="shared" si="54"/>
        <v>0</v>
      </c>
      <c r="BC79" s="81">
        <f t="shared" si="54"/>
        <v>0</v>
      </c>
      <c r="BD79" s="81">
        <f t="shared" si="54"/>
        <v>0</v>
      </c>
      <c r="BE79" s="81">
        <f t="shared" si="54"/>
        <v>0</v>
      </c>
      <c r="BF79" s="81">
        <f t="shared" si="54"/>
        <v>0</v>
      </c>
      <c r="BG79" s="81">
        <f t="shared" si="54"/>
        <v>0</v>
      </c>
      <c r="BH79" s="81">
        <f t="shared" si="54"/>
        <v>0</v>
      </c>
      <c r="BI79" s="81">
        <f t="shared" si="54"/>
        <v>0</v>
      </c>
      <c r="BJ79" s="81">
        <f t="shared" si="54"/>
        <v>0</v>
      </c>
      <c r="BK79" s="81">
        <f t="shared" si="54"/>
        <v>0</v>
      </c>
      <c r="BL79" s="81">
        <f t="shared" si="54"/>
        <v>0</v>
      </c>
      <c r="BM79" s="81">
        <f t="shared" si="54"/>
        <v>0</v>
      </c>
      <c r="BN79" s="81">
        <f t="shared" si="54"/>
        <v>0</v>
      </c>
      <c r="BO79" s="81">
        <f t="shared" si="54"/>
        <v>0</v>
      </c>
      <c r="BP79" s="81">
        <f t="shared" si="54"/>
        <v>0</v>
      </c>
      <c r="BQ79" s="81">
        <f t="shared" si="54"/>
        <v>74.900000000000006</v>
      </c>
      <c r="BR79" s="81">
        <f t="shared" si="54"/>
        <v>97.6</v>
      </c>
      <c r="BS79" s="81">
        <f t="shared" si="54"/>
        <v>107.6</v>
      </c>
      <c r="BT79" s="81">
        <f t="shared" si="54"/>
        <v>103.3</v>
      </c>
      <c r="BU79" s="81">
        <f t="shared" si="54"/>
        <v>113.1</v>
      </c>
      <c r="BV79" s="81">
        <f t="shared" si="54"/>
        <v>124.2</v>
      </c>
      <c r="BW79" s="81">
        <f t="shared" si="54"/>
        <v>0</v>
      </c>
    </row>
    <row r="80" spans="1:75" ht="15.75" thickBot="1" x14ac:dyDescent="0.3">
      <c r="A80" s="86" t="s">
        <v>103</v>
      </c>
      <c r="B80" s="70">
        <f t="shared" ref="B80:C80" si="55">B77+B78+B79</f>
        <v>0</v>
      </c>
      <c r="C80" s="70">
        <f t="shared" si="55"/>
        <v>52</v>
      </c>
      <c r="D80" s="70">
        <f t="shared" ref="D80:AF80" si="56">D77+D78+D79</f>
        <v>0</v>
      </c>
      <c r="E80" s="70">
        <f t="shared" si="56"/>
        <v>0</v>
      </c>
      <c r="F80" s="70">
        <f t="shared" si="56"/>
        <v>0</v>
      </c>
      <c r="G80" s="70">
        <f t="shared" si="56"/>
        <v>0</v>
      </c>
      <c r="H80" s="70">
        <f t="shared" si="56"/>
        <v>0</v>
      </c>
      <c r="I80" s="70">
        <f t="shared" si="56"/>
        <v>0</v>
      </c>
      <c r="J80" s="70">
        <f t="shared" si="56"/>
        <v>0</v>
      </c>
      <c r="K80" s="70">
        <f t="shared" si="56"/>
        <v>0</v>
      </c>
      <c r="L80" s="70">
        <f t="shared" si="56"/>
        <v>0</v>
      </c>
      <c r="M80" s="70">
        <f t="shared" si="56"/>
        <v>0</v>
      </c>
      <c r="N80" s="70">
        <f t="shared" si="56"/>
        <v>0</v>
      </c>
      <c r="O80" s="70">
        <f t="shared" si="56"/>
        <v>0</v>
      </c>
      <c r="P80" s="70">
        <f t="shared" si="56"/>
        <v>0</v>
      </c>
      <c r="Q80" s="70">
        <f t="shared" si="56"/>
        <v>0</v>
      </c>
      <c r="R80" s="70">
        <f t="shared" si="56"/>
        <v>0</v>
      </c>
      <c r="S80" s="70">
        <f t="shared" ref="S80:T80" si="57">S77+S78+S79</f>
        <v>0</v>
      </c>
      <c r="T80" s="70">
        <f t="shared" si="57"/>
        <v>6</v>
      </c>
      <c r="U80" s="70">
        <f t="shared" ref="U80:V80" si="58">U77+U78+U79</f>
        <v>0</v>
      </c>
      <c r="V80" s="70">
        <f t="shared" si="58"/>
        <v>0</v>
      </c>
      <c r="W80" s="70">
        <f t="shared" ref="W80:X80" si="59">W77+W78+W79</f>
        <v>0</v>
      </c>
      <c r="X80" s="70">
        <f t="shared" si="59"/>
        <v>0</v>
      </c>
      <c r="Y80" s="70">
        <f t="shared" ref="Y80:Z80" si="60">Y77+Y78+Y79</f>
        <v>20.6</v>
      </c>
      <c r="Z80" s="70">
        <f t="shared" si="60"/>
        <v>0</v>
      </c>
      <c r="AA80" s="70">
        <f t="shared" ref="AA80" si="61">AA77+AA78+AA79</f>
        <v>0</v>
      </c>
      <c r="AB80" s="70">
        <f t="shared" si="56"/>
        <v>0</v>
      </c>
      <c r="AC80" s="70">
        <f t="shared" si="56"/>
        <v>0</v>
      </c>
      <c r="AD80" s="70">
        <f t="shared" si="56"/>
        <v>0</v>
      </c>
      <c r="AE80" s="70">
        <f t="shared" si="56"/>
        <v>100.10000000000001</v>
      </c>
      <c r="AF80" s="70">
        <f t="shared" si="56"/>
        <v>98.100000000000009</v>
      </c>
      <c r="AG80" s="71">
        <f>SUM(AG77:AG79)</f>
        <v>106</v>
      </c>
      <c r="AH80" s="48">
        <f t="shared" si="8"/>
        <v>100.10000000000001</v>
      </c>
      <c r="AI80" s="49">
        <f t="shared" si="9"/>
        <v>0</v>
      </c>
      <c r="AK80" s="51"/>
      <c r="AZ80" s="81">
        <f t="shared" si="54"/>
        <v>0</v>
      </c>
      <c r="BA80" s="81">
        <f t="shared" si="54"/>
        <v>0</v>
      </c>
      <c r="BB80" s="81">
        <f t="shared" si="54"/>
        <v>0</v>
      </c>
      <c r="BC80" s="81">
        <f t="shared" si="54"/>
        <v>42.4</v>
      </c>
      <c r="BD80" s="81">
        <f t="shared" si="54"/>
        <v>50.1</v>
      </c>
      <c r="BE80" s="81">
        <f t="shared" si="54"/>
        <v>46.1</v>
      </c>
      <c r="BF80" s="81">
        <f t="shared" si="54"/>
        <v>49</v>
      </c>
      <c r="BG80" s="81">
        <f t="shared" si="54"/>
        <v>50.4</v>
      </c>
      <c r="BH80" s="81">
        <f t="shared" si="54"/>
        <v>44</v>
      </c>
      <c r="BI80" s="81">
        <f t="shared" si="54"/>
        <v>45.3</v>
      </c>
      <c r="BJ80" s="81">
        <f t="shared" si="54"/>
        <v>69.099999999999994</v>
      </c>
      <c r="BK80" s="81">
        <f t="shared" si="54"/>
        <v>71.7</v>
      </c>
      <c r="BL80" s="81">
        <f t="shared" si="54"/>
        <v>66.3</v>
      </c>
      <c r="BM80" s="81">
        <f t="shared" si="54"/>
        <v>66.3</v>
      </c>
      <c r="BN80" s="81">
        <f t="shared" si="54"/>
        <v>87.6</v>
      </c>
      <c r="BO80" s="81">
        <f t="shared" si="54"/>
        <v>64.599999999999994</v>
      </c>
      <c r="BP80" s="81">
        <f t="shared" si="54"/>
        <v>63.7</v>
      </c>
      <c r="BQ80" s="81">
        <f t="shared" si="54"/>
        <v>70.099999999999994</v>
      </c>
      <c r="BR80" s="81">
        <f t="shared" si="54"/>
        <v>69.8</v>
      </c>
      <c r="BS80" s="81">
        <f t="shared" si="54"/>
        <v>0</v>
      </c>
      <c r="BT80" s="81">
        <f t="shared" si="54"/>
        <v>0</v>
      </c>
      <c r="BU80" s="81">
        <f t="shared" si="54"/>
        <v>0</v>
      </c>
      <c r="BV80" s="81">
        <f t="shared" si="54"/>
        <v>0</v>
      </c>
      <c r="BW80" s="81">
        <f t="shared" si="54"/>
        <v>0</v>
      </c>
    </row>
    <row r="81" spans="1:64" x14ac:dyDescent="0.25">
      <c r="A81" s="45" t="s">
        <v>104</v>
      </c>
      <c r="B81" s="46">
        <v>54</v>
      </c>
      <c r="C81" s="46">
        <v>40</v>
      </c>
      <c r="D81" s="46">
        <v>40</v>
      </c>
      <c r="E81" s="46">
        <v>40</v>
      </c>
      <c r="F81" s="46">
        <v>31.9</v>
      </c>
      <c r="G81" s="46">
        <v>29.1</v>
      </c>
      <c r="H81" s="46">
        <v>37.5</v>
      </c>
      <c r="I81" s="46">
        <v>32</v>
      </c>
      <c r="J81" s="46">
        <v>38.1</v>
      </c>
      <c r="K81" s="46">
        <v>36.299999999999997</v>
      </c>
      <c r="L81" s="46">
        <v>41.7</v>
      </c>
      <c r="M81" s="46">
        <v>42.5</v>
      </c>
      <c r="N81" s="46">
        <v>43.3</v>
      </c>
      <c r="O81" s="46">
        <v>48.7</v>
      </c>
      <c r="P81" s="46">
        <v>52.3</v>
      </c>
      <c r="Q81" s="46">
        <v>50.9</v>
      </c>
      <c r="R81" s="46">
        <v>52.63</v>
      </c>
      <c r="S81" s="46">
        <v>52.63</v>
      </c>
      <c r="T81" s="46">
        <v>59</v>
      </c>
      <c r="U81" s="46">
        <v>55.8</v>
      </c>
      <c r="V81" s="46">
        <v>60</v>
      </c>
      <c r="W81" s="46">
        <v>58.6</v>
      </c>
      <c r="X81" s="46">
        <v>51.5</v>
      </c>
      <c r="Y81" s="46">
        <v>60.6</v>
      </c>
      <c r="Z81" s="46">
        <v>69.400000000000006</v>
      </c>
      <c r="AA81" s="46">
        <v>48.8</v>
      </c>
      <c r="AB81" s="46">
        <v>48.7</v>
      </c>
      <c r="AC81" s="46">
        <v>45.2</v>
      </c>
      <c r="AD81" s="46">
        <v>45.6</v>
      </c>
      <c r="AE81" s="46">
        <v>42.5</v>
      </c>
      <c r="AF81" s="46">
        <v>44.1</v>
      </c>
      <c r="AG81" s="60"/>
      <c r="AH81" s="48">
        <f t="shared" si="8"/>
        <v>69.400000000000006</v>
      </c>
      <c r="AI81" s="49">
        <f t="shared" si="9"/>
        <v>29.1</v>
      </c>
      <c r="AK81" s="51"/>
      <c r="AY81" s="81"/>
    </row>
    <row r="82" spans="1:64" x14ac:dyDescent="0.25">
      <c r="A82" s="64" t="s">
        <v>105</v>
      </c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65"/>
      <c r="AH82" s="48">
        <f t="shared" ref="AH82:AH125" si="62">MAX(B82:AF82)</f>
        <v>0</v>
      </c>
      <c r="AI82" s="49">
        <f t="shared" ref="AI82:AI125" si="63">MIN(B82:AF82)</f>
        <v>0</v>
      </c>
      <c r="AK82" s="51"/>
      <c r="AY82" s="81"/>
      <c r="BF82" s="81"/>
      <c r="BG82" s="81"/>
      <c r="BH82" s="81"/>
      <c r="BI82" s="81"/>
      <c r="BJ82" s="81"/>
      <c r="BK82" s="81"/>
    </row>
    <row r="83" spans="1:64" x14ac:dyDescent="0.25">
      <c r="A83" s="64" t="s">
        <v>106</v>
      </c>
      <c r="B83" s="75">
        <v>280</v>
      </c>
      <c r="C83" s="75">
        <v>59</v>
      </c>
      <c r="D83" s="75">
        <v>293</v>
      </c>
      <c r="E83" s="75">
        <v>334</v>
      </c>
      <c r="F83" s="75">
        <v>296</v>
      </c>
      <c r="G83" s="75">
        <v>267</v>
      </c>
      <c r="H83" s="75">
        <v>314</v>
      </c>
      <c r="I83" s="75">
        <v>322</v>
      </c>
      <c r="J83" s="75">
        <v>314.39999999999998</v>
      </c>
      <c r="K83" s="75">
        <v>185</v>
      </c>
      <c r="L83" s="75">
        <v>160</v>
      </c>
      <c r="M83" s="75">
        <v>165</v>
      </c>
      <c r="N83" s="75">
        <v>176.7</v>
      </c>
      <c r="O83" s="75">
        <v>193</v>
      </c>
      <c r="P83" s="75">
        <v>343.8</v>
      </c>
      <c r="Q83" s="75">
        <v>345</v>
      </c>
      <c r="R83" s="75">
        <v>349</v>
      </c>
      <c r="S83" s="75">
        <v>349</v>
      </c>
      <c r="T83" s="75">
        <v>398.1</v>
      </c>
      <c r="U83" s="75">
        <v>402.8</v>
      </c>
      <c r="V83" s="75">
        <v>352.8</v>
      </c>
      <c r="W83" s="75">
        <v>417.5</v>
      </c>
      <c r="X83" s="75">
        <v>374.6</v>
      </c>
      <c r="Y83" s="75">
        <v>380.2</v>
      </c>
      <c r="Z83" s="75">
        <v>375</v>
      </c>
      <c r="AA83" s="75">
        <v>280</v>
      </c>
      <c r="AB83" s="75">
        <v>299</v>
      </c>
      <c r="AC83" s="75">
        <v>214.9</v>
      </c>
      <c r="AD83" s="75">
        <v>229</v>
      </c>
      <c r="AE83" s="75">
        <v>195</v>
      </c>
      <c r="AF83" s="75">
        <v>218.3</v>
      </c>
      <c r="AG83" s="87"/>
      <c r="AH83" s="48">
        <f t="shared" si="62"/>
        <v>417.5</v>
      </c>
      <c r="AI83" s="49">
        <f t="shared" si="63"/>
        <v>59</v>
      </c>
      <c r="AK83" s="51"/>
      <c r="AY83" s="81"/>
      <c r="BF83" s="80"/>
      <c r="BG83" s="80"/>
      <c r="BH83" s="80"/>
      <c r="BI83" s="80"/>
      <c r="BJ83" s="80"/>
      <c r="BK83" s="81"/>
    </row>
    <row r="84" spans="1:64" x14ac:dyDescent="0.25">
      <c r="A84" s="64" t="s">
        <v>107</v>
      </c>
      <c r="B84" s="75"/>
      <c r="C84" s="75"/>
      <c r="D84" s="75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>
        <v>48</v>
      </c>
      <c r="R84" s="88">
        <v>44.9</v>
      </c>
      <c r="S84" s="88">
        <v>44.9</v>
      </c>
      <c r="T84" s="88">
        <v>56.4</v>
      </c>
      <c r="U84" s="88">
        <v>53.5</v>
      </c>
      <c r="V84" s="88">
        <v>41.3</v>
      </c>
      <c r="W84" s="88">
        <v>37.700000000000003</v>
      </c>
      <c r="X84" s="88">
        <v>47.3</v>
      </c>
      <c r="Y84" s="88">
        <v>40.200000000000003</v>
      </c>
      <c r="Z84" s="88">
        <v>44.7</v>
      </c>
      <c r="AA84" s="88">
        <v>44.2</v>
      </c>
      <c r="AB84" s="88">
        <v>0</v>
      </c>
      <c r="AC84" s="88">
        <v>0</v>
      </c>
      <c r="AD84" s="88">
        <v>0</v>
      </c>
      <c r="AE84" s="88">
        <v>0</v>
      </c>
      <c r="AF84" s="88">
        <v>0</v>
      </c>
      <c r="AG84" s="87"/>
      <c r="AH84" s="48">
        <f t="shared" si="62"/>
        <v>56.4</v>
      </c>
      <c r="AI84" s="49">
        <f t="shared" si="63"/>
        <v>0</v>
      </c>
      <c r="AK84" s="51"/>
      <c r="AY84" s="81"/>
      <c r="BF84" s="80"/>
      <c r="BG84" s="81">
        <f t="array" ref="BG84:BL107">TRANSPOSE(AZ68:BW73)</f>
        <v>40</v>
      </c>
      <c r="BH84" s="81">
        <v>0</v>
      </c>
      <c r="BI84" s="81">
        <v>59</v>
      </c>
      <c r="BJ84" s="81">
        <v>0</v>
      </c>
      <c r="BK84" s="81">
        <v>0</v>
      </c>
      <c r="BL84" s="81">
        <v>0</v>
      </c>
    </row>
    <row r="85" spans="1:64" x14ac:dyDescent="0.25">
      <c r="A85" s="64" t="s">
        <v>108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>
        <v>62.5</v>
      </c>
      <c r="X85" s="46">
        <v>74.900000000000006</v>
      </c>
      <c r="Y85" s="46">
        <v>88.3</v>
      </c>
      <c r="Z85" s="46">
        <v>97.6</v>
      </c>
      <c r="AA85" s="46">
        <v>97.5</v>
      </c>
      <c r="AB85" s="46">
        <v>107.6</v>
      </c>
      <c r="AC85" s="46">
        <v>109.8</v>
      </c>
      <c r="AD85" s="46">
        <v>103.3</v>
      </c>
      <c r="AE85" s="46">
        <v>113.1</v>
      </c>
      <c r="AF85" s="46">
        <v>124.2</v>
      </c>
      <c r="AG85" s="87"/>
      <c r="AH85" s="48">
        <f t="shared" si="62"/>
        <v>124.2</v>
      </c>
      <c r="AI85" s="49">
        <f t="shared" si="63"/>
        <v>62.5</v>
      </c>
      <c r="AK85" s="51"/>
      <c r="AY85" s="81"/>
      <c r="BF85" s="80"/>
      <c r="BG85" s="81">
        <v>40</v>
      </c>
      <c r="BH85" s="81">
        <v>0</v>
      </c>
      <c r="BI85" s="81">
        <v>293</v>
      </c>
      <c r="BJ85" s="81">
        <v>0</v>
      </c>
      <c r="BK85" s="81">
        <v>0</v>
      </c>
      <c r="BL85" s="81">
        <v>0</v>
      </c>
    </row>
    <row r="86" spans="1:64" x14ac:dyDescent="0.25">
      <c r="A86" s="64" t="s">
        <v>109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7"/>
      <c r="AH86" s="48">
        <f t="shared" si="62"/>
        <v>0</v>
      </c>
      <c r="AI86" s="49">
        <f t="shared" si="63"/>
        <v>0</v>
      </c>
      <c r="AK86" s="51"/>
      <c r="AY86" s="81"/>
      <c r="BF86" s="80"/>
      <c r="BG86" s="81">
        <v>40</v>
      </c>
      <c r="BH86" s="81">
        <v>0</v>
      </c>
      <c r="BI86" s="81">
        <v>334</v>
      </c>
      <c r="BJ86" s="81">
        <v>0</v>
      </c>
      <c r="BK86" s="81">
        <v>0</v>
      </c>
      <c r="BL86" s="81">
        <v>0</v>
      </c>
    </row>
    <row r="87" spans="1:64" ht="15.75" thickBot="1" x14ac:dyDescent="0.3">
      <c r="A87" s="64" t="s">
        <v>110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7"/>
      <c r="AH87" s="48">
        <f t="shared" si="62"/>
        <v>0</v>
      </c>
      <c r="AI87" s="49">
        <f t="shared" si="63"/>
        <v>0</v>
      </c>
      <c r="AK87" s="51"/>
      <c r="AL87" s="90" t="s">
        <v>111</v>
      </c>
      <c r="AM87" s="90"/>
      <c r="AY87" s="81"/>
      <c r="BF87" s="81"/>
      <c r="BG87" s="81">
        <v>31.9</v>
      </c>
      <c r="BH87" s="81">
        <v>0</v>
      </c>
      <c r="BI87" s="81">
        <v>296</v>
      </c>
      <c r="BJ87" s="81">
        <v>0</v>
      </c>
      <c r="BK87" s="81">
        <v>0</v>
      </c>
      <c r="BL87" s="81">
        <v>42.4</v>
      </c>
    </row>
    <row r="88" spans="1:64" x14ac:dyDescent="0.25">
      <c r="A88" s="64" t="s">
        <v>112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7"/>
      <c r="AH88" s="48">
        <f t="shared" si="62"/>
        <v>0</v>
      </c>
      <c r="AI88" s="49">
        <f t="shared" si="63"/>
        <v>0</v>
      </c>
      <c r="AK88" s="91"/>
      <c r="AL88" s="92"/>
      <c r="AM88" s="92"/>
      <c r="AN88" s="93"/>
      <c r="AY88" s="81"/>
      <c r="BF88" s="81"/>
      <c r="BG88" s="81">
        <v>29.1</v>
      </c>
      <c r="BH88" s="81">
        <v>0</v>
      </c>
      <c r="BI88" s="81">
        <v>267</v>
      </c>
      <c r="BJ88" s="81">
        <v>0</v>
      </c>
      <c r="BK88" s="81">
        <v>0</v>
      </c>
      <c r="BL88" s="81">
        <v>50.1</v>
      </c>
    </row>
    <row r="89" spans="1:64" x14ac:dyDescent="0.25">
      <c r="A89" s="64" t="s">
        <v>113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7"/>
      <c r="AH89" s="48">
        <f t="shared" si="62"/>
        <v>0</v>
      </c>
      <c r="AI89" s="49">
        <f t="shared" si="63"/>
        <v>0</v>
      </c>
      <c r="AK89" s="94" t="s">
        <v>114</v>
      </c>
      <c r="AL89" s="75"/>
      <c r="AM89" s="88"/>
      <c r="AN89" s="95"/>
      <c r="AY89" s="81"/>
      <c r="BF89" s="81"/>
      <c r="BG89" s="81">
        <v>32</v>
      </c>
      <c r="BH89" s="81">
        <v>0</v>
      </c>
      <c r="BI89" s="81">
        <v>322</v>
      </c>
      <c r="BJ89" s="81">
        <v>0</v>
      </c>
      <c r="BK89" s="81">
        <v>0</v>
      </c>
      <c r="BL89" s="81">
        <v>46.1</v>
      </c>
    </row>
    <row r="90" spans="1:64" x14ac:dyDescent="0.25">
      <c r="A90" s="96" t="s">
        <v>115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97"/>
      <c r="AH90" s="48">
        <f t="shared" si="62"/>
        <v>0</v>
      </c>
      <c r="AI90" s="49">
        <f t="shared" si="63"/>
        <v>0</v>
      </c>
      <c r="AK90" s="94" t="s">
        <v>116</v>
      </c>
      <c r="AL90" s="88"/>
      <c r="AM90" s="88"/>
      <c r="AN90" s="95"/>
      <c r="AY90" s="81"/>
      <c r="BF90" s="81"/>
      <c r="BG90" s="81">
        <v>36.299999999999997</v>
      </c>
      <c r="BH90" s="81">
        <v>0</v>
      </c>
      <c r="BI90" s="81">
        <v>185</v>
      </c>
      <c r="BJ90" s="81">
        <v>0</v>
      </c>
      <c r="BK90" s="81">
        <v>0</v>
      </c>
      <c r="BL90" s="81">
        <v>49</v>
      </c>
    </row>
    <row r="91" spans="1:64" ht="15.75" thickBot="1" x14ac:dyDescent="0.3">
      <c r="A91" s="96" t="s">
        <v>117</v>
      </c>
      <c r="B91" s="89"/>
      <c r="C91" s="89"/>
      <c r="D91" s="89"/>
      <c r="E91" s="89"/>
      <c r="F91" s="89">
        <v>42.4</v>
      </c>
      <c r="G91" s="89">
        <v>50.1</v>
      </c>
      <c r="H91" s="89">
        <v>44</v>
      </c>
      <c r="I91" s="89">
        <v>46.1</v>
      </c>
      <c r="J91" s="89">
        <v>51.7</v>
      </c>
      <c r="K91" s="89">
        <v>49</v>
      </c>
      <c r="L91" s="89">
        <v>53.5</v>
      </c>
      <c r="M91" s="89">
        <v>50.4</v>
      </c>
      <c r="N91" s="89">
        <v>44</v>
      </c>
      <c r="O91" s="89">
        <v>45.3</v>
      </c>
      <c r="P91" s="89">
        <v>69.099999999999994</v>
      </c>
      <c r="Q91" s="89">
        <v>71.7</v>
      </c>
      <c r="R91" s="89">
        <v>66.3</v>
      </c>
      <c r="S91" s="89">
        <v>66.3</v>
      </c>
      <c r="T91" s="89">
        <v>87.6</v>
      </c>
      <c r="U91" s="89">
        <v>64.599999999999994</v>
      </c>
      <c r="V91" s="89">
        <v>63.7</v>
      </c>
      <c r="W91" s="89">
        <v>68.900000000000006</v>
      </c>
      <c r="X91" s="89">
        <v>70.099999999999994</v>
      </c>
      <c r="Y91" s="89">
        <v>65</v>
      </c>
      <c r="Z91" s="89">
        <v>69.8</v>
      </c>
      <c r="AA91" s="89">
        <v>0</v>
      </c>
      <c r="AB91" s="89">
        <v>0</v>
      </c>
      <c r="AC91" s="89">
        <v>0</v>
      </c>
      <c r="AD91" s="89">
        <v>0</v>
      </c>
      <c r="AE91" s="89">
        <v>0</v>
      </c>
      <c r="AF91" s="89">
        <v>0</v>
      </c>
      <c r="AG91" s="97"/>
      <c r="AH91" s="48">
        <f t="shared" si="62"/>
        <v>87.6</v>
      </c>
      <c r="AI91" s="49">
        <f t="shared" si="63"/>
        <v>0</v>
      </c>
      <c r="AK91" s="98"/>
      <c r="AL91" s="46"/>
      <c r="AM91" s="46"/>
      <c r="AN91" s="99"/>
      <c r="AY91" s="81"/>
      <c r="BF91" s="81"/>
      <c r="BG91" s="81">
        <v>42.5</v>
      </c>
      <c r="BH91" s="81">
        <v>0</v>
      </c>
      <c r="BI91" s="81">
        <v>165</v>
      </c>
      <c r="BJ91" s="81">
        <v>0</v>
      </c>
      <c r="BK91" s="81">
        <v>0</v>
      </c>
      <c r="BL91" s="81">
        <v>50.4</v>
      </c>
    </row>
    <row r="92" spans="1:64" ht="15.75" thickBot="1" x14ac:dyDescent="0.3">
      <c r="A92" s="86" t="s">
        <v>118</v>
      </c>
      <c r="B92" s="70">
        <f t="shared" ref="B92:C92" si="64">SUMIF(B81:B91,"&gt;0")</f>
        <v>334</v>
      </c>
      <c r="C92" s="70">
        <f t="shared" si="64"/>
        <v>99</v>
      </c>
      <c r="D92" s="70">
        <f t="shared" ref="D92:AF92" si="65">SUMIF(D81:D91,"&gt;0")</f>
        <v>333</v>
      </c>
      <c r="E92" s="70">
        <f t="shared" si="65"/>
        <v>374</v>
      </c>
      <c r="F92" s="70">
        <f t="shared" si="65"/>
        <v>370.29999999999995</v>
      </c>
      <c r="G92" s="70">
        <f t="shared" si="65"/>
        <v>346.20000000000005</v>
      </c>
      <c r="H92" s="70">
        <f t="shared" si="65"/>
        <v>395.5</v>
      </c>
      <c r="I92" s="70">
        <f t="shared" si="65"/>
        <v>400.1</v>
      </c>
      <c r="J92" s="70">
        <f t="shared" si="65"/>
        <v>404.2</v>
      </c>
      <c r="K92" s="70">
        <f t="shared" si="65"/>
        <v>270.3</v>
      </c>
      <c r="L92" s="70">
        <f t="shared" si="65"/>
        <v>255.2</v>
      </c>
      <c r="M92" s="70">
        <f t="shared" si="65"/>
        <v>257.89999999999998</v>
      </c>
      <c r="N92" s="70">
        <f t="shared" si="65"/>
        <v>264</v>
      </c>
      <c r="O92" s="70">
        <f t="shared" si="65"/>
        <v>287</v>
      </c>
      <c r="P92" s="70">
        <f t="shared" si="65"/>
        <v>465.20000000000005</v>
      </c>
      <c r="Q92" s="70">
        <f t="shared" si="65"/>
        <v>515.6</v>
      </c>
      <c r="R92" s="70">
        <f t="shared" si="65"/>
        <v>512.82999999999993</v>
      </c>
      <c r="S92" s="70">
        <f t="shared" ref="S92:T92" si="66">SUMIF(S81:S91,"&gt;0")</f>
        <v>512.82999999999993</v>
      </c>
      <c r="T92" s="70">
        <f t="shared" si="66"/>
        <v>601.1</v>
      </c>
      <c r="U92" s="70">
        <f t="shared" ref="U92:V92" si="67">SUMIF(U81:U91,"&gt;0")</f>
        <v>576.70000000000005</v>
      </c>
      <c r="V92" s="70">
        <f t="shared" si="67"/>
        <v>517.80000000000007</v>
      </c>
      <c r="W92" s="70">
        <f t="shared" ref="W92:X92" si="68">SUMIF(W81:W91,"&gt;0")</f>
        <v>645.20000000000005</v>
      </c>
      <c r="X92" s="70">
        <f t="shared" si="68"/>
        <v>618.40000000000009</v>
      </c>
      <c r="Y92" s="70">
        <f t="shared" ref="Y92:Z92" si="69">SUMIF(Y81:Y91,"&gt;0")</f>
        <v>634.29999999999995</v>
      </c>
      <c r="Z92" s="70">
        <f t="shared" si="69"/>
        <v>656.49999999999989</v>
      </c>
      <c r="AA92" s="70">
        <f t="shared" ref="AA92" si="70">SUMIF(AA81:AA91,"&gt;0")</f>
        <v>470.5</v>
      </c>
      <c r="AB92" s="70">
        <f t="shared" si="65"/>
        <v>455.29999999999995</v>
      </c>
      <c r="AC92" s="70">
        <f t="shared" si="65"/>
        <v>369.90000000000003</v>
      </c>
      <c r="AD92" s="70">
        <f t="shared" si="65"/>
        <v>377.90000000000003</v>
      </c>
      <c r="AE92" s="70">
        <f t="shared" si="65"/>
        <v>350.6</v>
      </c>
      <c r="AF92" s="70">
        <f t="shared" si="65"/>
        <v>386.6</v>
      </c>
      <c r="AG92" s="100">
        <f>SUM(AG81:AG91)</f>
        <v>0</v>
      </c>
      <c r="AH92" s="48">
        <f t="shared" si="62"/>
        <v>656.49999999999989</v>
      </c>
      <c r="AI92" s="49">
        <f t="shared" si="63"/>
        <v>99</v>
      </c>
      <c r="AK92" s="98"/>
      <c r="AL92" s="89"/>
      <c r="AM92" s="101"/>
      <c r="AN92" s="202"/>
      <c r="AY92" s="81"/>
      <c r="BF92" s="81"/>
      <c r="BG92" s="81">
        <v>43.3</v>
      </c>
      <c r="BH92" s="81">
        <v>0</v>
      </c>
      <c r="BI92" s="81">
        <v>176.7</v>
      </c>
      <c r="BJ92" s="81">
        <v>0</v>
      </c>
      <c r="BK92" s="81">
        <v>0</v>
      </c>
      <c r="BL92" s="81">
        <v>44</v>
      </c>
    </row>
    <row r="93" spans="1:64" x14ac:dyDescent="0.25">
      <c r="A93" s="45" t="s">
        <v>119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62"/>
        <v>0</v>
      </c>
      <c r="AI93" s="49">
        <f t="shared" si="63"/>
        <v>0</v>
      </c>
      <c r="AK93" s="98"/>
      <c r="AL93" s="89"/>
      <c r="AM93" s="89"/>
      <c r="AN93" s="203"/>
      <c r="BF93" s="81"/>
      <c r="BG93" s="81">
        <v>48.7</v>
      </c>
      <c r="BH93" s="81">
        <v>0</v>
      </c>
      <c r="BI93" s="81">
        <v>193</v>
      </c>
      <c r="BJ93" s="81">
        <v>0</v>
      </c>
      <c r="BK93" s="81">
        <v>0</v>
      </c>
      <c r="BL93" s="81">
        <v>45.3</v>
      </c>
    </row>
    <row r="94" spans="1:64" ht="15.75" thickBot="1" x14ac:dyDescent="0.3">
      <c r="A94" s="64" t="s">
        <v>120</v>
      </c>
      <c r="B94" s="89">
        <v>0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62"/>
        <v>0</v>
      </c>
      <c r="AI94" s="49">
        <f t="shared" si="63"/>
        <v>0</v>
      </c>
      <c r="AK94" s="103"/>
      <c r="AL94" s="104"/>
      <c r="AM94" s="104"/>
      <c r="AN94" s="105"/>
      <c r="BF94" s="81"/>
      <c r="BG94" s="81">
        <v>52.3</v>
      </c>
      <c r="BH94" s="81">
        <v>0</v>
      </c>
      <c r="BI94" s="81">
        <v>343.8</v>
      </c>
      <c r="BJ94" s="81">
        <v>0</v>
      </c>
      <c r="BK94" s="81">
        <v>0</v>
      </c>
      <c r="BL94" s="81">
        <v>69.099999999999994</v>
      </c>
    </row>
    <row r="95" spans="1:64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0</v>
      </c>
      <c r="Y95" s="106">
        <v>0</v>
      </c>
      <c r="Z95" s="106">
        <v>0</v>
      </c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62"/>
        <v>0</v>
      </c>
      <c r="AI95" s="49">
        <f t="shared" si="63"/>
        <v>0</v>
      </c>
      <c r="BF95" s="81"/>
      <c r="BG95" s="81">
        <v>50.9</v>
      </c>
      <c r="BH95" s="81">
        <v>0</v>
      </c>
      <c r="BI95" s="81">
        <v>345</v>
      </c>
      <c r="BJ95" s="81">
        <v>48</v>
      </c>
      <c r="BK95" s="81">
        <v>0</v>
      </c>
      <c r="BL95" s="81">
        <v>71.7</v>
      </c>
    </row>
    <row r="96" spans="1:64" ht="15.75" thickBot="1" x14ac:dyDescent="0.3">
      <c r="A96" s="86" t="s">
        <v>122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100">
        <f>SUM(AG93:AG95)</f>
        <v>55.4</v>
      </c>
      <c r="AH96" s="48">
        <f t="shared" si="62"/>
        <v>0</v>
      </c>
      <c r="AI96" s="49">
        <f t="shared" si="63"/>
        <v>0</v>
      </c>
      <c r="BF96" s="81"/>
      <c r="BG96" s="81">
        <v>52.63</v>
      </c>
      <c r="BH96" s="81">
        <v>0</v>
      </c>
      <c r="BI96" s="81">
        <v>349</v>
      </c>
      <c r="BJ96" s="81">
        <v>44.9</v>
      </c>
      <c r="BK96" s="81">
        <v>0</v>
      </c>
      <c r="BL96" s="81">
        <v>66.3</v>
      </c>
    </row>
    <row r="97" spans="1:64" ht="15.75" thickBot="1" x14ac:dyDescent="0.3">
      <c r="A97" s="86" t="s">
        <v>123</v>
      </c>
      <c r="B97" s="107">
        <f t="shared" ref="B97:C97" si="71">B58+B62+B80+B76+B92+B96</f>
        <v>1034.29</v>
      </c>
      <c r="C97" s="107">
        <f t="shared" si="71"/>
        <v>944.29</v>
      </c>
      <c r="D97" s="107">
        <f t="shared" ref="D97:AG97" si="72">D58+D62+D80+D76+D92+D96</f>
        <v>931.29</v>
      </c>
      <c r="E97" s="107">
        <f t="shared" si="72"/>
        <v>983.08999999999992</v>
      </c>
      <c r="F97" s="107">
        <f t="shared" si="72"/>
        <v>983.58999999999992</v>
      </c>
      <c r="G97" s="107">
        <f t="shared" si="72"/>
        <v>1055.5900000000001</v>
      </c>
      <c r="H97" s="107">
        <f t="shared" si="72"/>
        <v>1133.5899999999999</v>
      </c>
      <c r="I97" s="107">
        <f t="shared" si="72"/>
        <v>1186.49</v>
      </c>
      <c r="J97" s="107">
        <f t="shared" si="72"/>
        <v>1255.79</v>
      </c>
      <c r="K97" s="107">
        <f t="shared" si="72"/>
        <v>1239.8900000000001</v>
      </c>
      <c r="L97" s="107">
        <f t="shared" si="72"/>
        <v>1276.29</v>
      </c>
      <c r="M97" s="107">
        <f t="shared" si="72"/>
        <v>1306.0900000000001</v>
      </c>
      <c r="N97" s="107">
        <f t="shared" si="72"/>
        <v>1281.3899999999999</v>
      </c>
      <c r="O97" s="107">
        <f t="shared" si="72"/>
        <v>1226.5500000000002</v>
      </c>
      <c r="P97" s="107">
        <f t="shared" si="72"/>
        <v>1263.8900000000001</v>
      </c>
      <c r="Q97" s="107">
        <f t="shared" si="72"/>
        <v>1263.8900000000001</v>
      </c>
      <c r="R97" s="107">
        <f t="shared" si="72"/>
        <v>1225.02</v>
      </c>
      <c r="S97" s="107">
        <f t="shared" ref="S97:T97" si="73">S58+S62+S80+S76+S92+S96</f>
        <v>1259.72</v>
      </c>
      <c r="T97" s="107">
        <f t="shared" si="73"/>
        <v>1353.9900000000002</v>
      </c>
      <c r="U97" s="107">
        <f t="shared" ref="U97:V97" si="74">U58+U62+U80+U76+U92+U96</f>
        <v>1378.39</v>
      </c>
      <c r="V97" s="107">
        <f t="shared" si="74"/>
        <v>1386.8900000000003</v>
      </c>
      <c r="W97" s="107">
        <f t="shared" ref="W97:X97" si="75">W58+W62+W80+W76+W92+W96</f>
        <v>1389.99</v>
      </c>
      <c r="X97" s="107">
        <f t="shared" si="75"/>
        <v>1417.2900000000002</v>
      </c>
      <c r="Y97" s="107">
        <f t="shared" ref="Y97:Z97" si="76">Y58+Y62+Y80+Y76+Y92+Y96</f>
        <v>1561.49</v>
      </c>
      <c r="Z97" s="107">
        <f t="shared" si="76"/>
        <v>1597.4899999999998</v>
      </c>
      <c r="AA97" s="107">
        <f t="shared" ref="AA97" si="77">AA58+AA62+AA80+AA76+AA92+AA96</f>
        <v>1573.99</v>
      </c>
      <c r="AB97" s="107">
        <f t="shared" si="72"/>
        <v>1444.09</v>
      </c>
      <c r="AC97" s="107">
        <f t="shared" si="72"/>
        <v>1436.89</v>
      </c>
      <c r="AD97" s="107">
        <f t="shared" si="72"/>
        <v>1370.99</v>
      </c>
      <c r="AE97" s="107">
        <f t="shared" si="72"/>
        <v>1311.3899999999999</v>
      </c>
      <c r="AF97" s="107">
        <f t="shared" si="72"/>
        <v>1249.69</v>
      </c>
      <c r="AG97" s="71">
        <f t="shared" si="72"/>
        <v>2231.81</v>
      </c>
      <c r="AH97" s="48">
        <f t="shared" si="62"/>
        <v>1597.4899999999998</v>
      </c>
      <c r="AI97" s="49">
        <f t="shared" si="63"/>
        <v>931.29</v>
      </c>
      <c r="BF97" s="81"/>
      <c r="BG97" s="81">
        <v>52.63</v>
      </c>
      <c r="BH97" s="81">
        <v>0</v>
      </c>
      <c r="BI97" s="81">
        <v>349</v>
      </c>
      <c r="BJ97" s="81">
        <v>44.9</v>
      </c>
      <c r="BK97" s="81">
        <v>0</v>
      </c>
      <c r="BL97" s="81">
        <v>66.3</v>
      </c>
    </row>
    <row r="98" spans="1:64" ht="15.75" thickBot="1" x14ac:dyDescent="0.3">
      <c r="A98" s="108" t="s">
        <v>124</v>
      </c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>
        <v>150</v>
      </c>
      <c r="N98" s="109">
        <v>150</v>
      </c>
      <c r="O98" s="109">
        <v>150</v>
      </c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0"/>
      <c r="AH98" s="48">
        <f t="shared" si="62"/>
        <v>150</v>
      </c>
      <c r="AI98" s="49">
        <f t="shared" si="63"/>
        <v>150</v>
      </c>
      <c r="BF98" s="81"/>
      <c r="BG98" s="81">
        <v>59</v>
      </c>
      <c r="BH98" s="81">
        <v>0</v>
      </c>
      <c r="BI98" s="81">
        <v>398.1</v>
      </c>
      <c r="BJ98" s="81">
        <v>56.4</v>
      </c>
      <c r="BK98" s="81">
        <v>0</v>
      </c>
      <c r="BL98" s="81">
        <v>87.6</v>
      </c>
    </row>
    <row r="99" spans="1:64" ht="15.75" thickBot="1" x14ac:dyDescent="0.3">
      <c r="A99" s="86" t="s">
        <v>125</v>
      </c>
      <c r="B99" s="107">
        <f t="shared" ref="B99:C99" si="78">B97+B98</f>
        <v>1034.29</v>
      </c>
      <c r="C99" s="107">
        <f t="shared" si="78"/>
        <v>944.29</v>
      </c>
      <c r="D99" s="107">
        <f t="shared" ref="D99:AF99" si="79">D97+D98</f>
        <v>931.29</v>
      </c>
      <c r="E99" s="107">
        <f t="shared" si="79"/>
        <v>983.08999999999992</v>
      </c>
      <c r="F99" s="107">
        <f t="shared" si="79"/>
        <v>983.58999999999992</v>
      </c>
      <c r="G99" s="107">
        <f t="shared" si="79"/>
        <v>1055.5900000000001</v>
      </c>
      <c r="H99" s="107">
        <f t="shared" si="79"/>
        <v>1133.5899999999999</v>
      </c>
      <c r="I99" s="107">
        <f t="shared" si="79"/>
        <v>1186.49</v>
      </c>
      <c r="J99" s="107">
        <f t="shared" si="79"/>
        <v>1255.79</v>
      </c>
      <c r="K99" s="107">
        <f t="shared" si="79"/>
        <v>1239.8900000000001</v>
      </c>
      <c r="L99" s="107">
        <f t="shared" si="79"/>
        <v>1276.29</v>
      </c>
      <c r="M99" s="107">
        <f t="shared" si="79"/>
        <v>1456.0900000000001</v>
      </c>
      <c r="N99" s="107">
        <f t="shared" si="79"/>
        <v>1431.3899999999999</v>
      </c>
      <c r="O99" s="107">
        <f t="shared" si="79"/>
        <v>1376.5500000000002</v>
      </c>
      <c r="P99" s="107">
        <f t="shared" si="79"/>
        <v>1263.8900000000001</v>
      </c>
      <c r="Q99" s="107">
        <f t="shared" si="79"/>
        <v>1263.8900000000001</v>
      </c>
      <c r="R99" s="107">
        <f t="shared" si="79"/>
        <v>1225.02</v>
      </c>
      <c r="S99" s="107">
        <f t="shared" ref="S99:T99" si="80">S97+S98</f>
        <v>1259.72</v>
      </c>
      <c r="T99" s="107">
        <f t="shared" si="80"/>
        <v>1353.9900000000002</v>
      </c>
      <c r="U99" s="107">
        <f t="shared" ref="U99:V99" si="81">U97+U98</f>
        <v>1378.39</v>
      </c>
      <c r="V99" s="107">
        <f t="shared" si="81"/>
        <v>1386.8900000000003</v>
      </c>
      <c r="W99" s="107">
        <f t="shared" ref="W99:X99" si="82">W97+W98</f>
        <v>1389.99</v>
      </c>
      <c r="X99" s="107">
        <f t="shared" si="82"/>
        <v>1417.2900000000002</v>
      </c>
      <c r="Y99" s="107">
        <f t="shared" ref="Y99:Z99" si="83">Y97+Y98</f>
        <v>1561.49</v>
      </c>
      <c r="Z99" s="107">
        <f t="shared" si="83"/>
        <v>1597.4899999999998</v>
      </c>
      <c r="AA99" s="107">
        <f t="shared" ref="AA99" si="84">AA97+AA98</f>
        <v>1573.99</v>
      </c>
      <c r="AB99" s="107">
        <f t="shared" si="79"/>
        <v>1444.09</v>
      </c>
      <c r="AC99" s="107">
        <f t="shared" si="79"/>
        <v>1436.89</v>
      </c>
      <c r="AD99" s="107">
        <f t="shared" si="79"/>
        <v>1370.99</v>
      </c>
      <c r="AE99" s="107">
        <f t="shared" si="79"/>
        <v>1311.3899999999999</v>
      </c>
      <c r="AF99" s="107">
        <f t="shared" si="79"/>
        <v>1249.69</v>
      </c>
      <c r="AG99" s="100">
        <f>AG96+AG92+AG80+AG76+AG58+AG98</f>
        <v>1693.71</v>
      </c>
      <c r="AH99" s="48">
        <f t="shared" si="62"/>
        <v>1597.4899999999998</v>
      </c>
      <c r="AI99" s="49">
        <f t="shared" si="63"/>
        <v>931.29</v>
      </c>
      <c r="BF99" s="81"/>
      <c r="BG99" s="81">
        <v>55.8</v>
      </c>
      <c r="BH99" s="81">
        <v>0</v>
      </c>
      <c r="BI99" s="81">
        <v>402.8</v>
      </c>
      <c r="BJ99" s="81">
        <v>53.5</v>
      </c>
      <c r="BK99" s="81">
        <v>0</v>
      </c>
      <c r="BL99" s="81">
        <v>64.599999999999994</v>
      </c>
    </row>
    <row r="100" spans="1:64" ht="15.75" thickBot="1" x14ac:dyDescent="0.3">
      <c r="A100" s="86" t="s">
        <v>126</v>
      </c>
      <c r="B100" s="107">
        <f t="shared" ref="B100:M100" si="85">B99-(B107)</f>
        <v>1034.29</v>
      </c>
      <c r="C100" s="107">
        <f t="shared" ref="C100" si="86">C99-(C107)</f>
        <v>943.29</v>
      </c>
      <c r="D100" s="107">
        <f t="shared" si="85"/>
        <v>931.29</v>
      </c>
      <c r="E100" s="107">
        <f t="shared" si="85"/>
        <v>983.08999999999992</v>
      </c>
      <c r="F100" s="107">
        <f t="shared" si="85"/>
        <v>983.58999999999992</v>
      </c>
      <c r="G100" s="107">
        <f t="shared" si="85"/>
        <v>1055.5900000000001</v>
      </c>
      <c r="H100" s="107">
        <f t="shared" si="85"/>
        <v>1133.5899999999999</v>
      </c>
      <c r="I100" s="107">
        <f t="shared" si="85"/>
        <v>1186.49</v>
      </c>
      <c r="J100" s="107">
        <f t="shared" si="85"/>
        <v>1255.79</v>
      </c>
      <c r="K100" s="107">
        <f t="shared" si="85"/>
        <v>1239.8900000000001</v>
      </c>
      <c r="L100" s="107">
        <f t="shared" si="85"/>
        <v>1276.29</v>
      </c>
      <c r="M100" s="107">
        <f t="shared" si="85"/>
        <v>1456.0900000000001</v>
      </c>
      <c r="N100" s="107">
        <f>N99-(N107)</f>
        <v>1431.3899999999999</v>
      </c>
      <c r="O100" s="107">
        <f t="shared" ref="O100:AF100" si="87">O99-(O107)</f>
        <v>1376.5500000000002</v>
      </c>
      <c r="P100" s="107">
        <f t="shared" si="87"/>
        <v>1263.8900000000001</v>
      </c>
      <c r="Q100" s="107">
        <f t="shared" si="87"/>
        <v>1263.8900000000001</v>
      </c>
      <c r="R100" s="107">
        <f t="shared" si="87"/>
        <v>1225.02</v>
      </c>
      <c r="S100" s="107">
        <f t="shared" ref="S100:T100" si="88">S99-(S107)</f>
        <v>1259.72</v>
      </c>
      <c r="T100" s="107">
        <f t="shared" si="88"/>
        <v>1353.9900000000002</v>
      </c>
      <c r="U100" s="107">
        <f t="shared" ref="U100:V100" si="89">U99-(U107)</f>
        <v>1378.39</v>
      </c>
      <c r="V100" s="107">
        <f t="shared" si="89"/>
        <v>1386.8900000000003</v>
      </c>
      <c r="W100" s="107">
        <f t="shared" ref="W100:X100" si="90">W99-(W107)</f>
        <v>1389.99</v>
      </c>
      <c r="X100" s="107">
        <f t="shared" si="90"/>
        <v>1417.2900000000002</v>
      </c>
      <c r="Y100" s="107">
        <f t="shared" ref="Y100:Z100" si="91">Y99-(Y107)</f>
        <v>1561.49</v>
      </c>
      <c r="Z100" s="107">
        <f t="shared" si="91"/>
        <v>1597.4899999999998</v>
      </c>
      <c r="AA100" s="107">
        <f t="shared" ref="AA100" si="92">AA99-(AA107)</f>
        <v>1573.99</v>
      </c>
      <c r="AB100" s="107">
        <f t="shared" si="87"/>
        <v>1444.09</v>
      </c>
      <c r="AC100" s="107">
        <f t="shared" si="87"/>
        <v>1436.89</v>
      </c>
      <c r="AD100" s="107">
        <f t="shared" si="87"/>
        <v>1370.99</v>
      </c>
      <c r="AE100" s="107">
        <f t="shared" si="87"/>
        <v>1311.3899999999999</v>
      </c>
      <c r="AF100" s="107">
        <f t="shared" si="87"/>
        <v>1249.69</v>
      </c>
      <c r="AG100" s="100"/>
      <c r="AH100" s="48">
        <f t="shared" si="62"/>
        <v>1597.4899999999998</v>
      </c>
      <c r="AI100" s="49">
        <f t="shared" si="63"/>
        <v>931.29</v>
      </c>
      <c r="BF100" s="81"/>
      <c r="BG100" s="81">
        <v>60</v>
      </c>
      <c r="BH100" s="81">
        <v>0</v>
      </c>
      <c r="BI100" s="81">
        <v>352.8</v>
      </c>
      <c r="BJ100" s="81">
        <v>41.3</v>
      </c>
      <c r="BK100" s="81">
        <v>0</v>
      </c>
      <c r="BL100" s="81">
        <v>63.7</v>
      </c>
    </row>
    <row r="101" spans="1:64" x14ac:dyDescent="0.25">
      <c r="A101" s="45" t="s">
        <v>107</v>
      </c>
      <c r="B101" s="88">
        <f t="shared" ref="B101:AF101" si="93">IF(B84&lt;0,B84*-1,0)</f>
        <v>0</v>
      </c>
      <c r="C101" s="88">
        <f t="shared" ref="C101" si="94">IF(C84&lt;0,C84*-1,0)</f>
        <v>0</v>
      </c>
      <c r="D101" s="88">
        <f t="shared" si="93"/>
        <v>0</v>
      </c>
      <c r="E101" s="88">
        <f t="shared" si="93"/>
        <v>0</v>
      </c>
      <c r="F101" s="88">
        <f t="shared" si="93"/>
        <v>0</v>
      </c>
      <c r="G101" s="88">
        <f t="shared" si="93"/>
        <v>0</v>
      </c>
      <c r="H101" s="88">
        <f t="shared" si="93"/>
        <v>0</v>
      </c>
      <c r="I101" s="88">
        <f t="shared" si="93"/>
        <v>0</v>
      </c>
      <c r="J101" s="88">
        <f t="shared" si="93"/>
        <v>0</v>
      </c>
      <c r="K101" s="88">
        <f t="shared" si="93"/>
        <v>0</v>
      </c>
      <c r="L101" s="88">
        <f t="shared" si="93"/>
        <v>0</v>
      </c>
      <c r="M101" s="88">
        <f t="shared" si="93"/>
        <v>0</v>
      </c>
      <c r="N101" s="88">
        <f t="shared" si="93"/>
        <v>0</v>
      </c>
      <c r="O101" s="88">
        <f t="shared" si="93"/>
        <v>0</v>
      </c>
      <c r="P101" s="88">
        <f t="shared" si="93"/>
        <v>0</v>
      </c>
      <c r="Q101" s="88">
        <f t="shared" si="93"/>
        <v>0</v>
      </c>
      <c r="R101" s="88">
        <f t="shared" si="93"/>
        <v>0</v>
      </c>
      <c r="S101" s="88">
        <f t="shared" ref="S101:T101" si="95">IF(S84&lt;0,S84*-1,0)</f>
        <v>0</v>
      </c>
      <c r="T101" s="88">
        <f t="shared" si="95"/>
        <v>0</v>
      </c>
      <c r="U101" s="88">
        <f t="shared" ref="U101:V101" si="96">IF(U84&lt;0,U84*-1,0)</f>
        <v>0</v>
      </c>
      <c r="V101" s="88">
        <f t="shared" si="96"/>
        <v>0</v>
      </c>
      <c r="W101" s="88">
        <f t="shared" ref="W101:X101" si="97">IF(W84&lt;0,W84*-1,0)</f>
        <v>0</v>
      </c>
      <c r="X101" s="88">
        <f t="shared" si="97"/>
        <v>0</v>
      </c>
      <c r="Y101" s="88">
        <f t="shared" ref="Y101:Z101" si="98">IF(Y84&lt;0,Y84*-1,0)</f>
        <v>0</v>
      </c>
      <c r="Z101" s="88">
        <f t="shared" si="98"/>
        <v>0</v>
      </c>
      <c r="AA101" s="88">
        <f t="shared" ref="AA101" si="99">IF(AA84&lt;0,AA84*-1,0)</f>
        <v>0</v>
      </c>
      <c r="AB101" s="88">
        <f t="shared" si="93"/>
        <v>0</v>
      </c>
      <c r="AC101" s="88">
        <f t="shared" si="93"/>
        <v>0</v>
      </c>
      <c r="AD101" s="88">
        <f t="shared" si="93"/>
        <v>0</v>
      </c>
      <c r="AE101" s="88">
        <f t="shared" si="93"/>
        <v>0</v>
      </c>
      <c r="AF101" s="88">
        <f t="shared" si="93"/>
        <v>0</v>
      </c>
      <c r="AG101" s="60"/>
      <c r="AH101" s="48">
        <f t="shared" si="62"/>
        <v>0</v>
      </c>
      <c r="AI101" s="49">
        <f t="shared" si="63"/>
        <v>0</v>
      </c>
      <c r="BF101" s="80"/>
      <c r="BG101" s="81">
        <v>51.5</v>
      </c>
      <c r="BH101" s="81">
        <v>0</v>
      </c>
      <c r="BI101" s="81">
        <v>374.6</v>
      </c>
      <c r="BJ101" s="81">
        <v>47.3</v>
      </c>
      <c r="BK101" s="81">
        <v>74.900000000000006</v>
      </c>
      <c r="BL101" s="81">
        <v>70.099999999999994</v>
      </c>
    </row>
    <row r="102" spans="1:64" x14ac:dyDescent="0.25">
      <c r="A102" s="64" t="s">
        <v>105</v>
      </c>
      <c r="B102" s="88">
        <f t="shared" ref="B102:AF102" si="100">IF(B82&lt;0,B82*-1,0)</f>
        <v>0</v>
      </c>
      <c r="C102" s="88">
        <f t="shared" ref="C102" si="101">IF(C82&lt;0,C82*-1,0)</f>
        <v>0</v>
      </c>
      <c r="D102" s="88">
        <f t="shared" si="100"/>
        <v>0</v>
      </c>
      <c r="E102" s="88">
        <f t="shared" si="100"/>
        <v>0</v>
      </c>
      <c r="F102" s="88">
        <f t="shared" si="100"/>
        <v>0</v>
      </c>
      <c r="G102" s="88">
        <f t="shared" si="100"/>
        <v>0</v>
      </c>
      <c r="H102" s="88">
        <f t="shared" si="100"/>
        <v>0</v>
      </c>
      <c r="I102" s="88">
        <f t="shared" si="100"/>
        <v>0</v>
      </c>
      <c r="J102" s="88">
        <f t="shared" si="100"/>
        <v>0</v>
      </c>
      <c r="K102" s="88">
        <f t="shared" si="100"/>
        <v>0</v>
      </c>
      <c r="L102" s="88">
        <f t="shared" si="100"/>
        <v>0</v>
      </c>
      <c r="M102" s="88">
        <f t="shared" si="100"/>
        <v>0</v>
      </c>
      <c r="N102" s="88">
        <f t="shared" si="100"/>
        <v>0</v>
      </c>
      <c r="O102" s="88">
        <f t="shared" si="100"/>
        <v>0</v>
      </c>
      <c r="P102" s="88">
        <f t="shared" si="100"/>
        <v>0</v>
      </c>
      <c r="Q102" s="88">
        <f t="shared" si="100"/>
        <v>0</v>
      </c>
      <c r="R102" s="88">
        <f t="shared" si="100"/>
        <v>0</v>
      </c>
      <c r="S102" s="88">
        <f t="shared" ref="S102:T102" si="102">IF(S82&lt;0,S82*-1,0)</f>
        <v>0</v>
      </c>
      <c r="T102" s="88">
        <f t="shared" si="102"/>
        <v>0</v>
      </c>
      <c r="U102" s="88">
        <f t="shared" ref="U102:V102" si="103">IF(U82&lt;0,U82*-1,0)</f>
        <v>0</v>
      </c>
      <c r="V102" s="88">
        <f t="shared" si="103"/>
        <v>0</v>
      </c>
      <c r="W102" s="88">
        <f t="shared" ref="W102:X102" si="104">IF(W82&lt;0,W82*-1,0)</f>
        <v>0</v>
      </c>
      <c r="X102" s="88">
        <f t="shared" si="104"/>
        <v>0</v>
      </c>
      <c r="Y102" s="88">
        <f t="shared" ref="Y102:Z102" si="105">IF(Y82&lt;0,Y82*-1,0)</f>
        <v>0</v>
      </c>
      <c r="Z102" s="88">
        <f t="shared" si="105"/>
        <v>0</v>
      </c>
      <c r="AA102" s="88">
        <f t="shared" ref="AA102" si="106">IF(AA82&lt;0,AA82*-1,0)</f>
        <v>0</v>
      </c>
      <c r="AB102" s="88">
        <f t="shared" si="100"/>
        <v>0</v>
      </c>
      <c r="AC102" s="88">
        <f t="shared" si="100"/>
        <v>0</v>
      </c>
      <c r="AD102" s="88">
        <f t="shared" si="100"/>
        <v>0</v>
      </c>
      <c r="AE102" s="88">
        <f t="shared" si="100"/>
        <v>0</v>
      </c>
      <c r="AF102" s="88">
        <f t="shared" si="100"/>
        <v>0</v>
      </c>
      <c r="AG102" s="65"/>
      <c r="AH102" s="48">
        <f t="shared" si="62"/>
        <v>0</v>
      </c>
      <c r="AI102" s="49">
        <f t="shared" si="63"/>
        <v>0</v>
      </c>
      <c r="BF102" s="80"/>
      <c r="BG102" s="81">
        <v>69.400000000000006</v>
      </c>
      <c r="BH102" s="81">
        <v>0</v>
      </c>
      <c r="BI102" s="81">
        <v>375</v>
      </c>
      <c r="BJ102" s="81">
        <v>44.7</v>
      </c>
      <c r="BK102" s="81">
        <v>97.6</v>
      </c>
      <c r="BL102" s="81">
        <v>69.8</v>
      </c>
    </row>
    <row r="103" spans="1:64" x14ac:dyDescent="0.25">
      <c r="A103" s="96" t="s">
        <v>127</v>
      </c>
      <c r="B103" s="88">
        <f t="shared" ref="B103:AF103" si="107">IF(B85&lt;0,B85*-1,0)</f>
        <v>0</v>
      </c>
      <c r="C103" s="88">
        <f t="shared" ref="C103" si="108">IF(C85&lt;0,C85*-1,0)</f>
        <v>0</v>
      </c>
      <c r="D103" s="88">
        <f t="shared" si="107"/>
        <v>0</v>
      </c>
      <c r="E103" s="88">
        <f t="shared" si="107"/>
        <v>0</v>
      </c>
      <c r="F103" s="88">
        <f t="shared" si="107"/>
        <v>0</v>
      </c>
      <c r="G103" s="88">
        <f t="shared" si="107"/>
        <v>0</v>
      </c>
      <c r="H103" s="88">
        <f t="shared" si="107"/>
        <v>0</v>
      </c>
      <c r="I103" s="88">
        <f t="shared" si="107"/>
        <v>0</v>
      </c>
      <c r="J103" s="88">
        <f t="shared" si="107"/>
        <v>0</v>
      </c>
      <c r="K103" s="88">
        <f t="shared" si="107"/>
        <v>0</v>
      </c>
      <c r="L103" s="88">
        <f t="shared" si="107"/>
        <v>0</v>
      </c>
      <c r="M103" s="88">
        <f t="shared" si="107"/>
        <v>0</v>
      </c>
      <c r="N103" s="88">
        <f t="shared" si="107"/>
        <v>0</v>
      </c>
      <c r="O103" s="88">
        <f t="shared" si="107"/>
        <v>0</v>
      </c>
      <c r="P103" s="88">
        <f t="shared" si="107"/>
        <v>0</v>
      </c>
      <c r="Q103" s="88">
        <f t="shared" si="107"/>
        <v>0</v>
      </c>
      <c r="R103" s="88">
        <f t="shared" si="107"/>
        <v>0</v>
      </c>
      <c r="S103" s="88">
        <f t="shared" ref="S103:T103" si="109">IF(S85&lt;0,S85*-1,0)</f>
        <v>0</v>
      </c>
      <c r="T103" s="88">
        <f t="shared" si="109"/>
        <v>0</v>
      </c>
      <c r="U103" s="88">
        <f t="shared" ref="U103:V103" si="110">IF(U85&lt;0,U85*-1,0)</f>
        <v>0</v>
      </c>
      <c r="V103" s="88">
        <f t="shared" si="110"/>
        <v>0</v>
      </c>
      <c r="W103" s="88">
        <f t="shared" ref="W103:X103" si="111">IF(W85&lt;0,W85*-1,0)</f>
        <v>0</v>
      </c>
      <c r="X103" s="88">
        <f t="shared" si="111"/>
        <v>0</v>
      </c>
      <c r="Y103" s="88">
        <f t="shared" ref="Y103:Z103" si="112">IF(Y85&lt;0,Y85*-1,0)</f>
        <v>0</v>
      </c>
      <c r="Z103" s="88">
        <f t="shared" si="112"/>
        <v>0</v>
      </c>
      <c r="AA103" s="88">
        <f t="shared" ref="AA103" si="113">IF(AA85&lt;0,AA85*-1,0)</f>
        <v>0</v>
      </c>
      <c r="AB103" s="88">
        <f t="shared" si="107"/>
        <v>0</v>
      </c>
      <c r="AC103" s="88">
        <f t="shared" si="107"/>
        <v>0</v>
      </c>
      <c r="AD103" s="88">
        <f t="shared" si="107"/>
        <v>0</v>
      </c>
      <c r="AE103" s="88">
        <f t="shared" si="107"/>
        <v>0</v>
      </c>
      <c r="AF103" s="88">
        <f t="shared" si="107"/>
        <v>0</v>
      </c>
      <c r="AG103" s="110"/>
      <c r="AH103" s="48">
        <f t="shared" si="62"/>
        <v>0</v>
      </c>
      <c r="AI103" s="49">
        <f t="shared" si="63"/>
        <v>0</v>
      </c>
      <c r="BF103" s="80"/>
      <c r="BG103" s="81">
        <v>48.7</v>
      </c>
      <c r="BH103" s="81">
        <v>0</v>
      </c>
      <c r="BI103" s="81">
        <v>299</v>
      </c>
      <c r="BJ103" s="81">
        <v>0</v>
      </c>
      <c r="BK103" s="81">
        <v>107.6</v>
      </c>
      <c r="BL103" s="81">
        <v>0</v>
      </c>
    </row>
    <row r="104" spans="1:64" x14ac:dyDescent="0.25">
      <c r="A104" s="96" t="s">
        <v>128</v>
      </c>
      <c r="B104" s="88">
        <f t="shared" ref="B104:AF104" si="114">IF(B83&lt;0,B83*-1,0)</f>
        <v>0</v>
      </c>
      <c r="C104" s="88">
        <f t="shared" ref="C104" si="115">IF(C83&lt;0,C83*-1,0)</f>
        <v>0</v>
      </c>
      <c r="D104" s="88">
        <f t="shared" si="114"/>
        <v>0</v>
      </c>
      <c r="E104" s="88">
        <f t="shared" si="114"/>
        <v>0</v>
      </c>
      <c r="F104" s="88">
        <f t="shared" si="114"/>
        <v>0</v>
      </c>
      <c r="G104" s="88">
        <f t="shared" si="114"/>
        <v>0</v>
      </c>
      <c r="H104" s="88">
        <f t="shared" si="114"/>
        <v>0</v>
      </c>
      <c r="I104" s="88">
        <f t="shared" si="114"/>
        <v>0</v>
      </c>
      <c r="J104" s="88">
        <f t="shared" si="114"/>
        <v>0</v>
      </c>
      <c r="K104" s="88">
        <f t="shared" si="114"/>
        <v>0</v>
      </c>
      <c r="L104" s="88">
        <f t="shared" si="114"/>
        <v>0</v>
      </c>
      <c r="M104" s="88">
        <f t="shared" si="114"/>
        <v>0</v>
      </c>
      <c r="N104" s="88">
        <f t="shared" si="114"/>
        <v>0</v>
      </c>
      <c r="O104" s="88">
        <f t="shared" si="114"/>
        <v>0</v>
      </c>
      <c r="P104" s="88">
        <f t="shared" si="114"/>
        <v>0</v>
      </c>
      <c r="Q104" s="88">
        <f t="shared" si="114"/>
        <v>0</v>
      </c>
      <c r="R104" s="88">
        <f t="shared" si="114"/>
        <v>0</v>
      </c>
      <c r="S104" s="88">
        <f t="shared" ref="S104:T104" si="116">IF(S83&lt;0,S83*-1,0)</f>
        <v>0</v>
      </c>
      <c r="T104" s="88">
        <f t="shared" si="116"/>
        <v>0</v>
      </c>
      <c r="U104" s="88">
        <f t="shared" ref="U104:V104" si="117">IF(U83&lt;0,U83*-1,0)</f>
        <v>0</v>
      </c>
      <c r="V104" s="88">
        <f t="shared" si="117"/>
        <v>0</v>
      </c>
      <c r="W104" s="88">
        <f t="shared" ref="W104:X104" si="118">IF(W83&lt;0,W83*-1,0)</f>
        <v>0</v>
      </c>
      <c r="X104" s="88">
        <f t="shared" si="118"/>
        <v>0</v>
      </c>
      <c r="Y104" s="88">
        <f t="shared" ref="Y104:Z104" si="119">IF(Y83&lt;0,Y83*-1,0)</f>
        <v>0</v>
      </c>
      <c r="Z104" s="88">
        <f t="shared" si="119"/>
        <v>0</v>
      </c>
      <c r="AA104" s="88">
        <f t="shared" ref="AA104" si="120">IF(AA83&lt;0,AA83*-1,0)</f>
        <v>0</v>
      </c>
      <c r="AB104" s="88">
        <f t="shared" si="114"/>
        <v>0</v>
      </c>
      <c r="AC104" s="88">
        <f t="shared" si="114"/>
        <v>0</v>
      </c>
      <c r="AD104" s="88">
        <f t="shared" si="114"/>
        <v>0</v>
      </c>
      <c r="AE104" s="88">
        <f t="shared" si="114"/>
        <v>0</v>
      </c>
      <c r="AF104" s="88">
        <f t="shared" si="114"/>
        <v>0</v>
      </c>
      <c r="AG104" s="110"/>
      <c r="AH104" s="48">
        <f t="shared" si="62"/>
        <v>0</v>
      </c>
      <c r="AI104" s="49">
        <f t="shared" si="63"/>
        <v>0</v>
      </c>
      <c r="BF104" s="80"/>
      <c r="BG104" s="81">
        <v>45.6</v>
      </c>
      <c r="BH104" s="81">
        <v>0</v>
      </c>
      <c r="BI104" s="81">
        <v>229</v>
      </c>
      <c r="BJ104" s="81">
        <v>0</v>
      </c>
      <c r="BK104" s="81">
        <v>103.3</v>
      </c>
      <c r="BL104" s="81">
        <v>0</v>
      </c>
    </row>
    <row r="105" spans="1:64" x14ac:dyDescent="0.25">
      <c r="A105" s="96" t="s">
        <v>104</v>
      </c>
      <c r="B105" s="88">
        <f t="shared" ref="B105:AF105" si="121">IF(B81&lt;0,B81*-1,0)</f>
        <v>0</v>
      </c>
      <c r="C105" s="88">
        <f t="shared" ref="C105" si="122">IF(C81&lt;0,C81*-1,0)</f>
        <v>0</v>
      </c>
      <c r="D105" s="88">
        <f t="shared" si="121"/>
        <v>0</v>
      </c>
      <c r="E105" s="88">
        <f t="shared" si="121"/>
        <v>0</v>
      </c>
      <c r="F105" s="88">
        <f t="shared" si="121"/>
        <v>0</v>
      </c>
      <c r="G105" s="88">
        <f t="shared" si="121"/>
        <v>0</v>
      </c>
      <c r="H105" s="88">
        <f t="shared" si="121"/>
        <v>0</v>
      </c>
      <c r="I105" s="88">
        <f t="shared" si="121"/>
        <v>0</v>
      </c>
      <c r="J105" s="88">
        <f t="shared" si="121"/>
        <v>0</v>
      </c>
      <c r="K105" s="88">
        <f t="shared" si="121"/>
        <v>0</v>
      </c>
      <c r="L105" s="88">
        <f t="shared" si="121"/>
        <v>0</v>
      </c>
      <c r="M105" s="88">
        <f t="shared" si="121"/>
        <v>0</v>
      </c>
      <c r="N105" s="88">
        <f t="shared" si="121"/>
        <v>0</v>
      </c>
      <c r="O105" s="88">
        <f t="shared" si="121"/>
        <v>0</v>
      </c>
      <c r="P105" s="88">
        <f t="shared" si="121"/>
        <v>0</v>
      </c>
      <c r="Q105" s="88">
        <f t="shared" si="121"/>
        <v>0</v>
      </c>
      <c r="R105" s="88">
        <f t="shared" si="121"/>
        <v>0</v>
      </c>
      <c r="S105" s="88">
        <f t="shared" ref="S105:T105" si="123">IF(S81&lt;0,S81*-1,0)</f>
        <v>0</v>
      </c>
      <c r="T105" s="88">
        <f t="shared" si="123"/>
        <v>0</v>
      </c>
      <c r="U105" s="88">
        <f t="shared" ref="U105:V105" si="124">IF(U81&lt;0,U81*-1,0)</f>
        <v>0</v>
      </c>
      <c r="V105" s="88">
        <f t="shared" si="124"/>
        <v>0</v>
      </c>
      <c r="W105" s="88">
        <f t="shared" ref="W105:X105" si="125">IF(W81&lt;0,W81*-1,0)</f>
        <v>0</v>
      </c>
      <c r="X105" s="88">
        <f t="shared" si="125"/>
        <v>0</v>
      </c>
      <c r="Y105" s="88">
        <f t="shared" ref="Y105:Z105" si="126">IF(Y81&lt;0,Y81*-1,0)</f>
        <v>0</v>
      </c>
      <c r="Z105" s="88">
        <f t="shared" si="126"/>
        <v>0</v>
      </c>
      <c r="AA105" s="88">
        <f t="shared" ref="AA105" si="127">IF(AA81&lt;0,AA81*-1,0)</f>
        <v>0</v>
      </c>
      <c r="AB105" s="88">
        <f t="shared" si="121"/>
        <v>0</v>
      </c>
      <c r="AC105" s="88">
        <f t="shared" si="121"/>
        <v>0</v>
      </c>
      <c r="AD105" s="88">
        <f t="shared" si="121"/>
        <v>0</v>
      </c>
      <c r="AE105" s="88">
        <f t="shared" si="121"/>
        <v>0</v>
      </c>
      <c r="AF105" s="88">
        <f t="shared" si="121"/>
        <v>0</v>
      </c>
      <c r="AG105" s="110"/>
      <c r="AH105" s="48">
        <f t="shared" si="62"/>
        <v>0</v>
      </c>
      <c r="AI105" s="49">
        <f t="shared" si="63"/>
        <v>0</v>
      </c>
      <c r="BF105" s="80"/>
      <c r="BG105" s="81">
        <v>42.5</v>
      </c>
      <c r="BH105" s="81">
        <v>0</v>
      </c>
      <c r="BI105" s="81">
        <v>195</v>
      </c>
      <c r="BJ105" s="81">
        <v>0</v>
      </c>
      <c r="BK105" s="81">
        <v>113.1</v>
      </c>
      <c r="BL105" s="81">
        <v>0</v>
      </c>
    </row>
    <row r="106" spans="1:64" ht="15.75" thickBot="1" x14ac:dyDescent="0.3">
      <c r="A106" s="96" t="s">
        <v>129</v>
      </c>
      <c r="B106" s="106">
        <v>0</v>
      </c>
      <c r="C106" s="106">
        <v>1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0</v>
      </c>
      <c r="Y106" s="106">
        <v>0</v>
      </c>
      <c r="Z106" s="106">
        <v>0</v>
      </c>
      <c r="AA106" s="106">
        <v>0</v>
      </c>
      <c r="AB106" s="106">
        <v>0</v>
      </c>
      <c r="AC106" s="106">
        <v>0</v>
      </c>
      <c r="AD106" s="106">
        <v>0</v>
      </c>
      <c r="AE106" s="106">
        <v>0</v>
      </c>
      <c r="AF106" s="106">
        <v>0</v>
      </c>
      <c r="AG106" s="97"/>
      <c r="AH106" s="48">
        <f t="shared" si="62"/>
        <v>1</v>
      </c>
      <c r="AI106" s="49">
        <f t="shared" si="63"/>
        <v>0</v>
      </c>
      <c r="BG106" s="81">
        <v>44.1</v>
      </c>
      <c r="BH106" s="81">
        <v>0</v>
      </c>
      <c r="BI106" s="81">
        <v>218.3</v>
      </c>
      <c r="BJ106" s="81">
        <v>0</v>
      </c>
      <c r="BK106" s="81">
        <v>124.2</v>
      </c>
      <c r="BL106" s="81">
        <v>0</v>
      </c>
    </row>
    <row r="107" spans="1:64" ht="15.75" thickBot="1" x14ac:dyDescent="0.3">
      <c r="A107" s="111" t="s">
        <v>130</v>
      </c>
      <c r="B107" s="70">
        <f t="shared" ref="B107" si="128">SUM(B101:B106)</f>
        <v>0</v>
      </c>
      <c r="C107" s="70">
        <f t="shared" ref="C107" si="129">SUM(C101:C106)</f>
        <v>1</v>
      </c>
      <c r="D107" s="70">
        <f t="shared" ref="D107:AF107" si="130">SUM(D101:D106)</f>
        <v>0</v>
      </c>
      <c r="E107" s="70">
        <f t="shared" si="130"/>
        <v>0</v>
      </c>
      <c r="F107" s="70">
        <f t="shared" si="130"/>
        <v>0</v>
      </c>
      <c r="G107" s="70">
        <f t="shared" si="130"/>
        <v>0</v>
      </c>
      <c r="H107" s="70">
        <f t="shared" si="130"/>
        <v>0</v>
      </c>
      <c r="I107" s="70">
        <f t="shared" si="130"/>
        <v>0</v>
      </c>
      <c r="J107" s="70">
        <f t="shared" si="130"/>
        <v>0</v>
      </c>
      <c r="K107" s="70">
        <f t="shared" si="130"/>
        <v>0</v>
      </c>
      <c r="L107" s="70">
        <f t="shared" si="130"/>
        <v>0</v>
      </c>
      <c r="M107" s="70">
        <f t="shared" si="130"/>
        <v>0</v>
      </c>
      <c r="N107" s="70">
        <f t="shared" si="130"/>
        <v>0</v>
      </c>
      <c r="O107" s="70">
        <f t="shared" si="130"/>
        <v>0</v>
      </c>
      <c r="P107" s="70">
        <f t="shared" si="130"/>
        <v>0</v>
      </c>
      <c r="Q107" s="70">
        <f t="shared" si="130"/>
        <v>0</v>
      </c>
      <c r="R107" s="70">
        <f t="shared" si="130"/>
        <v>0</v>
      </c>
      <c r="S107" s="70">
        <f t="shared" ref="S107:T107" si="131">SUM(S101:S106)</f>
        <v>0</v>
      </c>
      <c r="T107" s="70">
        <f t="shared" si="131"/>
        <v>0</v>
      </c>
      <c r="U107" s="70">
        <f t="shared" ref="U107:V107" si="132">SUM(U101:U106)</f>
        <v>0</v>
      </c>
      <c r="V107" s="70">
        <f t="shared" si="132"/>
        <v>0</v>
      </c>
      <c r="W107" s="70">
        <f t="shared" ref="W107:X107" si="133">SUM(W101:W106)</f>
        <v>0</v>
      </c>
      <c r="X107" s="70">
        <f t="shared" si="133"/>
        <v>0</v>
      </c>
      <c r="Y107" s="70">
        <f t="shared" ref="Y107:Z107" si="134">SUM(Y101:Y106)</f>
        <v>0</v>
      </c>
      <c r="Z107" s="70">
        <f t="shared" si="134"/>
        <v>0</v>
      </c>
      <c r="AA107" s="70">
        <f t="shared" ref="AA107" si="135">SUM(AA101:AA106)</f>
        <v>0</v>
      </c>
      <c r="AB107" s="70">
        <f t="shared" si="130"/>
        <v>0</v>
      </c>
      <c r="AC107" s="70">
        <f t="shared" si="130"/>
        <v>0</v>
      </c>
      <c r="AD107" s="70">
        <f t="shared" si="130"/>
        <v>0</v>
      </c>
      <c r="AE107" s="70">
        <f t="shared" si="130"/>
        <v>0</v>
      </c>
      <c r="AF107" s="70">
        <f t="shared" si="130"/>
        <v>0</v>
      </c>
      <c r="AG107" s="100"/>
      <c r="AH107" s="48">
        <f t="shared" si="62"/>
        <v>1</v>
      </c>
      <c r="AI107" s="49">
        <f t="shared" si="63"/>
        <v>0</v>
      </c>
      <c r="AK107" s="51"/>
      <c r="BG107" s="81">
        <v>54</v>
      </c>
      <c r="BH107" s="81">
        <v>0</v>
      </c>
      <c r="BI107" s="81">
        <v>280</v>
      </c>
      <c r="BJ107" s="81">
        <v>0</v>
      </c>
      <c r="BK107" s="81">
        <v>0</v>
      </c>
      <c r="BL107" s="81">
        <v>0</v>
      </c>
    </row>
    <row r="108" spans="1:64" ht="15.75" thickBot="1" x14ac:dyDescent="0.3">
      <c r="A108" s="86" t="s">
        <v>131</v>
      </c>
      <c r="B108" s="70">
        <f t="shared" ref="B108:AF108" si="136">B92-B107</f>
        <v>334</v>
      </c>
      <c r="C108" s="70">
        <f t="shared" si="136"/>
        <v>98</v>
      </c>
      <c r="D108" s="70">
        <f t="shared" si="136"/>
        <v>333</v>
      </c>
      <c r="E108" s="70">
        <f t="shared" si="136"/>
        <v>374</v>
      </c>
      <c r="F108" s="70">
        <f t="shared" si="136"/>
        <v>370.29999999999995</v>
      </c>
      <c r="G108" s="70">
        <f t="shared" si="136"/>
        <v>346.20000000000005</v>
      </c>
      <c r="H108" s="70">
        <f t="shared" si="136"/>
        <v>395.5</v>
      </c>
      <c r="I108" s="70">
        <f t="shared" si="136"/>
        <v>400.1</v>
      </c>
      <c r="J108" s="70">
        <f t="shared" si="136"/>
        <v>404.2</v>
      </c>
      <c r="K108" s="70">
        <f t="shared" si="136"/>
        <v>270.3</v>
      </c>
      <c r="L108" s="70">
        <f t="shared" si="136"/>
        <v>255.2</v>
      </c>
      <c r="M108" s="70">
        <f t="shared" si="136"/>
        <v>257.89999999999998</v>
      </c>
      <c r="N108" s="70">
        <f t="shared" si="136"/>
        <v>264</v>
      </c>
      <c r="O108" s="70">
        <f t="shared" si="136"/>
        <v>287</v>
      </c>
      <c r="P108" s="70">
        <f t="shared" si="136"/>
        <v>465.20000000000005</v>
      </c>
      <c r="Q108" s="70">
        <f t="shared" si="136"/>
        <v>515.6</v>
      </c>
      <c r="R108" s="70">
        <f t="shared" si="136"/>
        <v>512.82999999999993</v>
      </c>
      <c r="S108" s="70">
        <f t="shared" ref="S108:T108" si="137">S92-S107</f>
        <v>512.82999999999993</v>
      </c>
      <c r="T108" s="70">
        <f t="shared" si="137"/>
        <v>601.1</v>
      </c>
      <c r="U108" s="70">
        <f t="shared" ref="U108:V108" si="138">U92-U107</f>
        <v>576.70000000000005</v>
      </c>
      <c r="V108" s="70">
        <f t="shared" si="138"/>
        <v>517.80000000000007</v>
      </c>
      <c r="W108" s="70">
        <f t="shared" ref="W108:X108" si="139">W92-W107</f>
        <v>645.20000000000005</v>
      </c>
      <c r="X108" s="70">
        <f t="shared" si="139"/>
        <v>618.40000000000009</v>
      </c>
      <c r="Y108" s="70">
        <f t="shared" ref="Y108:Z108" si="140">Y92-Y107</f>
        <v>634.29999999999995</v>
      </c>
      <c r="Z108" s="70">
        <f t="shared" si="140"/>
        <v>656.49999999999989</v>
      </c>
      <c r="AA108" s="70">
        <f t="shared" ref="AA108" si="141">AA92-AA107</f>
        <v>470.5</v>
      </c>
      <c r="AB108" s="70">
        <f t="shared" si="136"/>
        <v>455.29999999999995</v>
      </c>
      <c r="AC108" s="70">
        <f t="shared" si="136"/>
        <v>369.90000000000003</v>
      </c>
      <c r="AD108" s="70">
        <f t="shared" si="136"/>
        <v>377.90000000000003</v>
      </c>
      <c r="AE108" s="70">
        <f t="shared" si="136"/>
        <v>350.6</v>
      </c>
      <c r="AF108" s="70">
        <f t="shared" si="136"/>
        <v>386.6</v>
      </c>
      <c r="AG108" s="100"/>
      <c r="AH108" s="48">
        <f t="shared" si="62"/>
        <v>656.49999999999989</v>
      </c>
      <c r="AI108" s="49">
        <f t="shared" si="63"/>
        <v>98</v>
      </c>
    </row>
    <row r="109" spans="1:64" x14ac:dyDescent="0.25">
      <c r="A109" s="112" t="s">
        <v>132</v>
      </c>
      <c r="B109" s="113">
        <v>49.95</v>
      </c>
      <c r="C109" s="113">
        <v>50.02</v>
      </c>
      <c r="D109" s="113">
        <v>49.988</v>
      </c>
      <c r="E109" s="113">
        <v>49.988</v>
      </c>
      <c r="F109" s="113">
        <v>50</v>
      </c>
      <c r="G109" s="113">
        <v>50.031999999999996</v>
      </c>
      <c r="H109" s="113">
        <v>49.972999999999999</v>
      </c>
      <c r="I109" s="113">
        <v>50.075000000000003</v>
      </c>
      <c r="J109" s="113">
        <v>50.05</v>
      </c>
      <c r="K109" s="113">
        <v>50.07</v>
      </c>
      <c r="L109" s="113">
        <v>50.064999999999998</v>
      </c>
      <c r="M109" s="113">
        <v>50.055999999999997</v>
      </c>
      <c r="N109" s="113">
        <v>50.015000000000001</v>
      </c>
      <c r="O109" s="113">
        <v>50.011000000000003</v>
      </c>
      <c r="P109" s="113">
        <v>50.015000000000001</v>
      </c>
      <c r="Q109" s="113">
        <v>50.000999999999998</v>
      </c>
      <c r="R109" s="113">
        <v>50.048000000000002</v>
      </c>
      <c r="S109" s="113">
        <v>49.97</v>
      </c>
      <c r="T109" s="113">
        <v>50.02</v>
      </c>
      <c r="U109" s="113">
        <v>49.92</v>
      </c>
      <c r="V109" s="113">
        <v>49.93</v>
      </c>
      <c r="W109" s="113">
        <v>50.04</v>
      </c>
      <c r="X109" s="113">
        <v>50.02</v>
      </c>
      <c r="Y109" s="113">
        <v>50.08</v>
      </c>
      <c r="Z109" s="113">
        <v>49.99</v>
      </c>
      <c r="AA109" s="113">
        <v>49.78</v>
      </c>
      <c r="AB109" s="113">
        <v>49.926000000000002</v>
      </c>
      <c r="AC109" s="113">
        <v>49.9</v>
      </c>
      <c r="AD109" s="113">
        <v>49.942</v>
      </c>
      <c r="AE109" s="113">
        <v>50.021000000000001</v>
      </c>
      <c r="AF109" s="113">
        <v>49.966000000000001</v>
      </c>
      <c r="AG109" s="114"/>
      <c r="AH109" s="48">
        <f t="shared" si="62"/>
        <v>50.08</v>
      </c>
      <c r="AI109" s="49">
        <f t="shared" si="63"/>
        <v>49.78</v>
      </c>
    </row>
    <row r="110" spans="1:64" x14ac:dyDescent="0.25">
      <c r="A110" s="115" t="s">
        <v>133</v>
      </c>
      <c r="B110" s="75">
        <v>129.5</v>
      </c>
      <c r="C110" s="75">
        <v>130.9</v>
      </c>
      <c r="D110" s="75">
        <v>127.6</v>
      </c>
      <c r="E110" s="75">
        <v>127.6</v>
      </c>
      <c r="F110" s="75">
        <v>129.5</v>
      </c>
      <c r="G110" s="75">
        <v>128.30000000000001</v>
      </c>
      <c r="H110" s="75">
        <v>127.1</v>
      </c>
      <c r="I110" s="75">
        <v>127</v>
      </c>
      <c r="J110" s="75">
        <v>126.7</v>
      </c>
      <c r="K110" s="75">
        <v>127.7</v>
      </c>
      <c r="L110" s="75">
        <v>125.6</v>
      </c>
      <c r="M110" s="75">
        <v>125.4</v>
      </c>
      <c r="N110" s="75">
        <v>125.4</v>
      </c>
      <c r="O110" s="75">
        <v>125.5</v>
      </c>
      <c r="P110" s="75">
        <v>124.5</v>
      </c>
      <c r="Q110" s="75">
        <v>126.3</v>
      </c>
      <c r="R110" s="75">
        <v>126.5</v>
      </c>
      <c r="S110" s="75">
        <v>125.8</v>
      </c>
      <c r="T110" s="75">
        <v>124.7</v>
      </c>
      <c r="U110" s="75">
        <v>124.6</v>
      </c>
      <c r="V110" s="75">
        <v>123.9</v>
      </c>
      <c r="W110" s="75">
        <v>127</v>
      </c>
      <c r="X110" s="75">
        <v>127.4</v>
      </c>
      <c r="Y110" s="75">
        <v>127.8</v>
      </c>
      <c r="Z110" s="75">
        <v>127</v>
      </c>
      <c r="AA110" s="75">
        <v>127</v>
      </c>
      <c r="AB110" s="75">
        <v>127.9</v>
      </c>
      <c r="AC110" s="75">
        <v>126.9</v>
      </c>
      <c r="AD110" s="75">
        <v>127.2</v>
      </c>
      <c r="AE110" s="75">
        <v>132.4</v>
      </c>
      <c r="AF110" s="75">
        <v>131.9</v>
      </c>
      <c r="AG110" s="116"/>
      <c r="AH110" s="48">
        <f t="shared" si="62"/>
        <v>132.4</v>
      </c>
      <c r="AI110" s="49">
        <f t="shared" si="63"/>
        <v>123.9</v>
      </c>
    </row>
    <row r="111" spans="1:64" x14ac:dyDescent="0.25">
      <c r="A111" s="115" t="s">
        <v>134</v>
      </c>
      <c r="B111" s="75">
        <v>132.69999999999999</v>
      </c>
      <c r="C111" s="75">
        <v>134</v>
      </c>
      <c r="D111" s="75">
        <v>131.19999999999999</v>
      </c>
      <c r="E111" s="75">
        <v>131.19999999999999</v>
      </c>
      <c r="F111" s="75">
        <v>133.30000000000001</v>
      </c>
      <c r="G111" s="75">
        <v>132.5</v>
      </c>
      <c r="H111" s="75">
        <v>131.30000000000001</v>
      </c>
      <c r="I111" s="75">
        <v>130.1</v>
      </c>
      <c r="J111" s="75">
        <v>129.5</v>
      </c>
      <c r="K111" s="75">
        <v>130</v>
      </c>
      <c r="L111" s="75">
        <v>128.1</v>
      </c>
      <c r="M111" s="75">
        <v>127.7</v>
      </c>
      <c r="N111" s="75">
        <v>127.5</v>
      </c>
      <c r="O111" s="75">
        <v>127.9</v>
      </c>
      <c r="P111" s="75">
        <v>127.1</v>
      </c>
      <c r="Q111" s="75">
        <v>128.5</v>
      </c>
      <c r="R111" s="75">
        <v>128.80000000000001</v>
      </c>
      <c r="S111" s="75">
        <v>128.4</v>
      </c>
      <c r="T111" s="75">
        <v>127.5</v>
      </c>
      <c r="U111" s="75">
        <v>127.3</v>
      </c>
      <c r="V111" s="75">
        <v>127.1</v>
      </c>
      <c r="W111" s="75">
        <v>128.69999999999999</v>
      </c>
      <c r="X111" s="75">
        <v>129.6</v>
      </c>
      <c r="Y111" s="75">
        <v>129.5</v>
      </c>
      <c r="Z111" s="75">
        <v>128.5</v>
      </c>
      <c r="AA111" s="75">
        <v>128.5</v>
      </c>
      <c r="AB111" s="75">
        <v>130</v>
      </c>
      <c r="AC111" s="75">
        <v>129.69999999999999</v>
      </c>
      <c r="AD111" s="75">
        <v>130</v>
      </c>
      <c r="AE111" s="75">
        <v>134.69999999999999</v>
      </c>
      <c r="AF111" s="75">
        <v>134.30000000000001</v>
      </c>
      <c r="AG111" s="116"/>
      <c r="AH111" s="48">
        <f t="shared" si="62"/>
        <v>134.69999999999999</v>
      </c>
      <c r="AI111" s="49">
        <f t="shared" si="63"/>
        <v>127.1</v>
      </c>
    </row>
    <row r="112" spans="1:64" x14ac:dyDescent="0.25">
      <c r="A112" s="115" t="s">
        <v>135</v>
      </c>
      <c r="B112" s="75">
        <v>133</v>
      </c>
      <c r="C112" s="75">
        <v>133</v>
      </c>
      <c r="D112" s="75">
        <v>133</v>
      </c>
      <c r="E112" s="75">
        <v>132.4</v>
      </c>
      <c r="F112" s="75">
        <v>133.6</v>
      </c>
      <c r="G112" s="75">
        <v>132.6</v>
      </c>
      <c r="H112" s="75">
        <v>131.19999999999999</v>
      </c>
      <c r="I112" s="75">
        <v>128.19999999999999</v>
      </c>
      <c r="J112" s="75">
        <v>129.4</v>
      </c>
      <c r="K112" s="75">
        <v>130.30000000000001</v>
      </c>
      <c r="L112" s="75">
        <v>127.8</v>
      </c>
      <c r="M112" s="75">
        <v>127.1</v>
      </c>
      <c r="N112" s="75">
        <v>129.69999999999999</v>
      </c>
      <c r="O112" s="75">
        <v>129.19999999999999</v>
      </c>
      <c r="P112" s="75">
        <v>130.4</v>
      </c>
      <c r="Q112" s="75">
        <v>129.9</v>
      </c>
      <c r="R112" s="75">
        <v>129.5</v>
      </c>
      <c r="S112" s="75">
        <v>129.1</v>
      </c>
      <c r="T112" s="75">
        <v>130.1</v>
      </c>
      <c r="U112" s="75">
        <v>128.30000000000001</v>
      </c>
      <c r="V112" s="75">
        <v>129</v>
      </c>
      <c r="W112" s="75">
        <v>128.30000000000001</v>
      </c>
      <c r="X112" s="75">
        <v>129.19999999999999</v>
      </c>
      <c r="Y112" s="75">
        <v>127.3</v>
      </c>
      <c r="Z112" s="75">
        <v>129.5</v>
      </c>
      <c r="AA112" s="75">
        <v>129.5</v>
      </c>
      <c r="AB112" s="75">
        <v>129.9</v>
      </c>
      <c r="AC112" s="75">
        <v>131.1</v>
      </c>
      <c r="AD112" s="75">
        <v>131.1</v>
      </c>
      <c r="AE112" s="75">
        <v>132.19999999999999</v>
      </c>
      <c r="AF112" s="75">
        <v>132.30000000000001</v>
      </c>
      <c r="AG112" s="116"/>
      <c r="AH112" s="48">
        <f t="shared" si="62"/>
        <v>133.6</v>
      </c>
      <c r="AI112" s="49">
        <f t="shared" si="63"/>
        <v>127.1</v>
      </c>
    </row>
    <row r="113" spans="1:35" x14ac:dyDescent="0.25">
      <c r="A113" s="117" t="s">
        <v>136</v>
      </c>
      <c r="B113" s="75">
        <v>133</v>
      </c>
      <c r="C113" s="75">
        <v>133</v>
      </c>
      <c r="D113" s="75">
        <v>133</v>
      </c>
      <c r="E113" s="75">
        <v>134.5</v>
      </c>
      <c r="F113" s="75">
        <v>135.1</v>
      </c>
      <c r="G113" s="75">
        <v>134.19999999999999</v>
      </c>
      <c r="H113" s="75">
        <v>132.30000000000001</v>
      </c>
      <c r="I113" s="75">
        <v>129.5</v>
      </c>
      <c r="J113" s="75">
        <v>129.5</v>
      </c>
      <c r="K113" s="75">
        <v>132.1</v>
      </c>
      <c r="L113" s="75">
        <v>129.4</v>
      </c>
      <c r="M113" s="75">
        <v>128.69999999999999</v>
      </c>
      <c r="N113" s="75">
        <v>130.4</v>
      </c>
      <c r="O113" s="75">
        <v>130.5</v>
      </c>
      <c r="P113" s="75">
        <v>131.1</v>
      </c>
      <c r="Q113" s="75">
        <v>131.5</v>
      </c>
      <c r="R113" s="75">
        <v>132.69999999999999</v>
      </c>
      <c r="S113" s="75">
        <v>131</v>
      </c>
      <c r="T113" s="75">
        <v>131.69999999999999</v>
      </c>
      <c r="U113" s="75">
        <v>129.80000000000001</v>
      </c>
      <c r="V113" s="75">
        <v>130.80000000000001</v>
      </c>
      <c r="W113" s="75">
        <v>129.6</v>
      </c>
      <c r="X113" s="75">
        <v>130.19999999999999</v>
      </c>
      <c r="Y113" s="75">
        <v>128.30000000000001</v>
      </c>
      <c r="Z113" s="75">
        <v>130.30000000000001</v>
      </c>
      <c r="AA113" s="75">
        <v>130.30000000000001</v>
      </c>
      <c r="AB113" s="75">
        <v>132</v>
      </c>
      <c r="AC113" s="75">
        <v>133.4</v>
      </c>
      <c r="AD113" s="75">
        <v>133.4</v>
      </c>
      <c r="AE113" s="75">
        <v>133.5</v>
      </c>
      <c r="AF113" s="75">
        <v>131.80000000000001</v>
      </c>
      <c r="AG113" s="116"/>
      <c r="AH113" s="48">
        <f t="shared" si="62"/>
        <v>135.1</v>
      </c>
      <c r="AI113" s="49">
        <f t="shared" si="63"/>
        <v>128.30000000000001</v>
      </c>
    </row>
    <row r="114" spans="1:35" x14ac:dyDescent="0.25">
      <c r="A114" s="117" t="s">
        <v>137</v>
      </c>
      <c r="B114" s="118">
        <v>132.6</v>
      </c>
      <c r="C114" s="118">
        <v>135</v>
      </c>
      <c r="D114" s="118">
        <v>135</v>
      </c>
      <c r="E114" s="118">
        <v>130.4</v>
      </c>
      <c r="F114" s="118">
        <v>135.6</v>
      </c>
      <c r="G114" s="118">
        <v>134.9</v>
      </c>
      <c r="H114" s="118">
        <v>135.30000000000001</v>
      </c>
      <c r="I114" s="118">
        <v>133.80000000000001</v>
      </c>
      <c r="J114" s="118">
        <v>133.9</v>
      </c>
      <c r="K114" s="118">
        <v>134.1</v>
      </c>
      <c r="L114" s="118">
        <v>132.80000000000001</v>
      </c>
      <c r="M114" s="118">
        <v>133.5</v>
      </c>
      <c r="N114" s="118">
        <v>132.9</v>
      </c>
      <c r="O114" s="118">
        <v>133.80000000000001</v>
      </c>
      <c r="P114" s="118">
        <v>129.6</v>
      </c>
      <c r="Q114" s="118">
        <v>133.5</v>
      </c>
      <c r="R114" s="118">
        <v>135.4</v>
      </c>
      <c r="S114" s="118">
        <v>135.5</v>
      </c>
      <c r="T114" s="118">
        <v>134.5</v>
      </c>
      <c r="U114" s="118">
        <v>135</v>
      </c>
      <c r="V114" s="118">
        <v>133.5</v>
      </c>
      <c r="W114" s="118">
        <v>134.9</v>
      </c>
      <c r="X114" s="118">
        <v>134</v>
      </c>
      <c r="Y114" s="118">
        <v>135</v>
      </c>
      <c r="Z114" s="118">
        <v>134.80000000000001</v>
      </c>
      <c r="AA114" s="118">
        <v>134.80000000000001</v>
      </c>
      <c r="AB114" s="118">
        <v>133.9</v>
      </c>
      <c r="AC114" s="118">
        <v>132.4</v>
      </c>
      <c r="AD114" s="118">
        <v>132.4</v>
      </c>
      <c r="AE114" s="118">
        <v>134.1</v>
      </c>
      <c r="AF114" s="118">
        <v>131.19999999999999</v>
      </c>
      <c r="AG114" s="119"/>
      <c r="AH114" s="48">
        <f t="shared" si="62"/>
        <v>135.6</v>
      </c>
      <c r="AI114" s="49">
        <f t="shared" si="63"/>
        <v>129.6</v>
      </c>
    </row>
    <row r="115" spans="1:35" x14ac:dyDescent="0.25">
      <c r="A115" s="115" t="s">
        <v>138</v>
      </c>
      <c r="B115" s="75">
        <v>130</v>
      </c>
      <c r="C115" s="75">
        <v>131.5</v>
      </c>
      <c r="D115" s="75">
        <v>131.5</v>
      </c>
      <c r="E115" s="75">
        <v>132.30000000000001</v>
      </c>
      <c r="F115" s="75">
        <v>128.19999999999999</v>
      </c>
      <c r="G115" s="75">
        <v>133.1</v>
      </c>
      <c r="H115" s="75">
        <v>128.80000000000001</v>
      </c>
      <c r="I115" s="75">
        <v>128.80000000000001</v>
      </c>
      <c r="J115" s="75">
        <v>131.1</v>
      </c>
      <c r="K115" s="75">
        <v>132.6</v>
      </c>
      <c r="L115" s="75">
        <v>128.9</v>
      </c>
      <c r="M115" s="75">
        <v>126.3</v>
      </c>
      <c r="N115" s="75">
        <v>126.3</v>
      </c>
      <c r="O115" s="75">
        <v>132</v>
      </c>
      <c r="P115" s="75">
        <v>126</v>
      </c>
      <c r="Q115" s="75">
        <v>129.19999999999999</v>
      </c>
      <c r="R115" s="75">
        <v>129.69999999999999</v>
      </c>
      <c r="S115" s="75">
        <v>134.80000000000001</v>
      </c>
      <c r="T115" s="75">
        <v>135.4</v>
      </c>
      <c r="U115" s="75">
        <v>129.30000000000001</v>
      </c>
      <c r="V115" s="75">
        <v>129.19999999999999</v>
      </c>
      <c r="W115" s="75">
        <v>129.9</v>
      </c>
      <c r="X115" s="75">
        <v>132.69999999999999</v>
      </c>
      <c r="Y115" s="75">
        <v>126.7</v>
      </c>
      <c r="Z115" s="75">
        <v>127.1</v>
      </c>
      <c r="AA115" s="75">
        <v>127.1</v>
      </c>
      <c r="AB115" s="75">
        <v>131.6</v>
      </c>
      <c r="AC115" s="75">
        <v>132.1</v>
      </c>
      <c r="AD115" s="75">
        <v>132.1</v>
      </c>
      <c r="AE115" s="75">
        <v>130.69999999999999</v>
      </c>
      <c r="AF115" s="75">
        <v>134.5</v>
      </c>
      <c r="AG115" s="116"/>
      <c r="AH115" s="48">
        <f t="shared" si="62"/>
        <v>135.4</v>
      </c>
      <c r="AI115" s="49">
        <f t="shared" si="63"/>
        <v>126</v>
      </c>
    </row>
    <row r="116" spans="1:35" ht="15.75" thickBot="1" x14ac:dyDescent="0.3">
      <c r="A116" s="115" t="s">
        <v>139</v>
      </c>
      <c r="B116" s="104">
        <v>66.900000000000006</v>
      </c>
      <c r="C116" s="104">
        <v>67.8</v>
      </c>
      <c r="D116" s="104">
        <v>67.8</v>
      </c>
      <c r="E116" s="104">
        <v>66</v>
      </c>
      <c r="F116" s="104">
        <v>67.099999999999994</v>
      </c>
      <c r="G116" s="104">
        <v>66.599999999999994</v>
      </c>
      <c r="H116" s="104">
        <v>66</v>
      </c>
      <c r="I116" s="104">
        <v>65.400000000000006</v>
      </c>
      <c r="J116" s="104">
        <v>64.900000000000006</v>
      </c>
      <c r="K116" s="104">
        <v>65</v>
      </c>
      <c r="L116" s="104">
        <v>64.2</v>
      </c>
      <c r="M116" s="104">
        <v>63.9</v>
      </c>
      <c r="N116" s="104">
        <v>64</v>
      </c>
      <c r="O116" s="104">
        <v>64.2</v>
      </c>
      <c r="P116" s="104">
        <v>64</v>
      </c>
      <c r="Q116" s="104">
        <v>64.8</v>
      </c>
      <c r="R116" s="104">
        <v>64.8</v>
      </c>
      <c r="S116" s="104">
        <v>64.599999999999994</v>
      </c>
      <c r="T116" s="104">
        <v>64.3</v>
      </c>
      <c r="U116" s="104">
        <v>64.3</v>
      </c>
      <c r="V116" s="104">
        <v>63.9</v>
      </c>
      <c r="W116" s="104">
        <v>65.2</v>
      </c>
      <c r="X116" s="104">
        <v>65.2</v>
      </c>
      <c r="Y116" s="104">
        <v>65</v>
      </c>
      <c r="Z116" s="104">
        <v>64.599999999999994</v>
      </c>
      <c r="AA116" s="104">
        <v>64.599999999999994</v>
      </c>
      <c r="AB116" s="104">
        <v>65.8</v>
      </c>
      <c r="AC116" s="104">
        <v>65.400000000000006</v>
      </c>
      <c r="AD116" s="104">
        <v>65.400000000000006</v>
      </c>
      <c r="AE116" s="104">
        <v>67.8</v>
      </c>
      <c r="AF116" s="104">
        <v>67.599999999999994</v>
      </c>
      <c r="AG116" s="120"/>
      <c r="AH116" s="48">
        <f t="shared" si="62"/>
        <v>67.8</v>
      </c>
      <c r="AI116" s="49">
        <f t="shared" si="63"/>
        <v>63.9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62"/>
        <v>0</v>
      </c>
      <c r="AI117" s="49">
        <f t="shared" si="63"/>
        <v>0</v>
      </c>
    </row>
    <row r="118" spans="1:35" ht="15.75" thickBot="1" x14ac:dyDescent="0.3">
      <c r="A118" s="122" t="s">
        <v>141</v>
      </c>
      <c r="B118" s="123">
        <f>SUM(B22,B28,B31:B32,B66,B68:B69,B71,B73,B119:B123,B155,B161,B167,B176,B178,B190,B197,B200:B201,B208,B210,B212,B216:B218,B220:B222,B227,B233:B234,B236:B238,B246,B251)</f>
        <v>134.33999999999997</v>
      </c>
      <c r="C118" s="123">
        <f>SUM(C22,C28,C31:C32,C66,C68:C69,C71,C73,C119:C123,C155,C161,C167,C176,C178,C190,C197,C200:C201,C208,C210,C212,C216:C218,C220:C222,C227,C233:C234,C236:C238,C246,C251)</f>
        <v>120.33999999999999</v>
      </c>
      <c r="D118" s="123">
        <f t="shared" ref="D118:O118" si="142">SUM(D22,D28,D31:D32,D66,D68:D69,D71,D73,D119:D123,D155,D161,D167,D176,D178,D190,D197,D200:D201,D208,D210,D212,D216:D218,D220:D222,D227,D233:D234,D236:D238,D246,D251)</f>
        <v>99.34</v>
      </c>
      <c r="E118" s="123">
        <f t="shared" si="142"/>
        <v>99.34</v>
      </c>
      <c r="F118" s="123">
        <f t="shared" si="142"/>
        <v>114.14</v>
      </c>
      <c r="G118" s="123">
        <f t="shared" si="142"/>
        <v>129.04</v>
      </c>
      <c r="H118" s="123">
        <f t="shared" si="142"/>
        <v>169.83999999999997</v>
      </c>
      <c r="I118" s="123">
        <f t="shared" si="142"/>
        <v>208.74</v>
      </c>
      <c r="J118" s="123">
        <f t="shared" si="142"/>
        <v>259.04000000000002</v>
      </c>
      <c r="K118" s="123">
        <f t="shared" si="142"/>
        <v>286.54000000000002</v>
      </c>
      <c r="L118" s="123">
        <f t="shared" si="142"/>
        <v>313.74</v>
      </c>
      <c r="M118" s="123">
        <f t="shared" si="142"/>
        <v>310.33999999999997</v>
      </c>
      <c r="N118" s="123">
        <f t="shared" si="142"/>
        <v>313.14000000000004</v>
      </c>
      <c r="O118" s="123">
        <f t="shared" si="142"/>
        <v>315.64</v>
      </c>
      <c r="P118" s="123">
        <v>42</v>
      </c>
      <c r="Q118" s="123">
        <f t="shared" ref="Q118:AF118" si="143">SUM(Q22,Q28,Q31:Q32,Q66,Q68:Q69,Q71,Q73,Q119:Q123,Q155,Q161,Q167,Q176,Q178,Q190,Q197,Q200:Q201,Q208,Q210,Q212,Q216:Q218,Q220:Q222,Q227,Q233:Q234,Q236:Q238,Q246,Q251)</f>
        <v>293.03999999999996</v>
      </c>
      <c r="R118" s="123">
        <f t="shared" si="143"/>
        <v>290.84000000000003</v>
      </c>
      <c r="S118" s="123">
        <f t="shared" ref="S118:T118" si="144">SUM(S22,S28,S31:S32,S66,S68:S69,S71,S73,S119:S123,S155,S161,S167,S176,S178,S190,S197,S200:S201,S208,S210,S212,S216:S218,S220:S222,S227,S233:S234,S236:S238,S246,S251)</f>
        <v>283.04000000000002</v>
      </c>
      <c r="T118" s="123">
        <f t="shared" si="144"/>
        <v>295.14</v>
      </c>
      <c r="U118" s="123">
        <f t="shared" ref="U118:V118" si="145">SUM(U22,U28,U31:U32,U66,U68:U69,U71,U73,U119:U123,U155,U161,U167,U176,U178,U190,U197,U200:U201,U208,U210,U212,U216:U218,U220:U222,U227,U233:U234,U236:U238,U246,U251)</f>
        <v>314.04000000000002</v>
      </c>
      <c r="V118" s="123">
        <f t="shared" si="145"/>
        <v>311.94</v>
      </c>
      <c r="W118" s="123">
        <f t="shared" ref="W118:X118" si="146">SUM(W22,W28,W31:W32,W66,W68:W69,W71,W73,W119:W123,W155,W161,W167,W176,W178,W190,W197,W200:W201,W208,W210,W212,W216:W218,W220:W222,W227,W233:W234,W236:W238,W246,W251)</f>
        <v>318.03999999999996</v>
      </c>
      <c r="X118" s="123">
        <f t="shared" si="146"/>
        <v>333.24</v>
      </c>
      <c r="Y118" s="123">
        <f t="shared" ref="Y118:Z118" si="147">SUM(Y22,Y28,Y31:Y32,Y66,Y68:Y69,Y71,Y73,Y119:Y123,Y155,Y161,Y167,Y176,Y178,Y190,Y197,Y200:Y201,Y208,Y210,Y212,Y216:Y218,Y220:Y222,Y227,Y233:Y234,Y236:Y238,Y246,Y251)</f>
        <v>358.74</v>
      </c>
      <c r="Z118" s="123">
        <f t="shared" si="147"/>
        <v>368.23999999999995</v>
      </c>
      <c r="AA118" s="123">
        <f t="shared" ref="AA118" si="148">SUM(AA22,AA28,AA31:AA32,AA66,AA68:AA69,AA71,AA73,AA119:AA123,AA155,AA161,AA167,AA176,AA178,AA190,AA197,AA200:AA201,AA208,AA210,AA212,AA216:AA218,AA220:AA222,AA227,AA233:AA234,AA236:AA238,AA246,AA251)</f>
        <v>350.44</v>
      </c>
      <c r="AB118" s="123">
        <f t="shared" si="143"/>
        <v>307.64000000000004</v>
      </c>
      <c r="AC118" s="123">
        <f t="shared" si="143"/>
        <v>274.04000000000002</v>
      </c>
      <c r="AD118" s="123">
        <f t="shared" si="143"/>
        <v>238.84</v>
      </c>
      <c r="AE118" s="123">
        <f t="shared" si="143"/>
        <v>150.54</v>
      </c>
      <c r="AF118" s="123">
        <f t="shared" si="143"/>
        <v>113.14</v>
      </c>
      <c r="AG118" s="124"/>
      <c r="AH118" s="48">
        <f t="shared" si="62"/>
        <v>368.23999999999995</v>
      </c>
      <c r="AI118" s="49">
        <f t="shared" si="63"/>
        <v>42</v>
      </c>
    </row>
    <row r="119" spans="1:35" x14ac:dyDescent="0.25">
      <c r="A119" s="125" t="s">
        <v>142</v>
      </c>
      <c r="B119" s="126">
        <v>-19</v>
      </c>
      <c r="C119" s="126">
        <v>3</v>
      </c>
      <c r="D119" s="126">
        <v>-21.4</v>
      </c>
      <c r="E119" s="126">
        <v>-21.4</v>
      </c>
      <c r="F119" s="126">
        <v>-12.6</v>
      </c>
      <c r="G119" s="126">
        <v>-5.3</v>
      </c>
      <c r="H119" s="126">
        <v>2.6</v>
      </c>
      <c r="I119" s="126">
        <v>7.2</v>
      </c>
      <c r="J119" s="126">
        <v>20.7</v>
      </c>
      <c r="K119" s="126">
        <v>30.4</v>
      </c>
      <c r="L119" s="126">
        <v>27.2</v>
      </c>
      <c r="M119" s="126">
        <v>30</v>
      </c>
      <c r="N119" s="126">
        <v>31</v>
      </c>
      <c r="O119" s="126">
        <v>45.2</v>
      </c>
      <c r="P119" s="126">
        <v>37.5</v>
      </c>
      <c r="Q119" s="126">
        <v>29.4</v>
      </c>
      <c r="R119" s="126">
        <v>28.4</v>
      </c>
      <c r="S119" s="126">
        <v>38</v>
      </c>
      <c r="T119" s="126">
        <v>36.5</v>
      </c>
      <c r="U119" s="126">
        <v>43.2</v>
      </c>
      <c r="V119" s="126">
        <v>41.9</v>
      </c>
      <c r="W119" s="126">
        <v>13.4</v>
      </c>
      <c r="X119" s="126">
        <v>20.8</v>
      </c>
      <c r="Y119" s="126">
        <v>20.399999999999999</v>
      </c>
      <c r="Z119" s="126">
        <v>27.8</v>
      </c>
      <c r="AA119" s="126">
        <v>22.2</v>
      </c>
      <c r="AB119" s="126">
        <v>8.4</v>
      </c>
      <c r="AC119" s="126">
        <v>3.7</v>
      </c>
      <c r="AD119" s="126">
        <v>-1.6</v>
      </c>
      <c r="AE119" s="126">
        <v>2</v>
      </c>
      <c r="AF119" s="126">
        <v>-16.100000000000001</v>
      </c>
      <c r="AG119" s="127">
        <v>75</v>
      </c>
      <c r="AH119" s="48">
        <f t="shared" si="62"/>
        <v>45.2</v>
      </c>
      <c r="AI119" s="49">
        <f t="shared" si="63"/>
        <v>-21.4</v>
      </c>
    </row>
    <row r="120" spans="1:35" x14ac:dyDescent="0.25">
      <c r="A120" s="128" t="s">
        <v>143</v>
      </c>
      <c r="B120" s="129">
        <v>-32</v>
      </c>
      <c r="C120" s="129">
        <v>0</v>
      </c>
      <c r="D120" s="129">
        <v>-31.6</v>
      </c>
      <c r="E120" s="129">
        <v>-31.6</v>
      </c>
      <c r="F120" s="129">
        <v>-18.3</v>
      </c>
      <c r="G120" s="129">
        <v>-9</v>
      </c>
      <c r="H120" s="129">
        <v>1</v>
      </c>
      <c r="I120" s="129">
        <v>6</v>
      </c>
      <c r="J120" s="129">
        <v>24.5</v>
      </c>
      <c r="K120" s="129">
        <v>36.5</v>
      </c>
      <c r="L120" s="129">
        <v>31.4</v>
      </c>
      <c r="M120" s="129">
        <v>35.5</v>
      </c>
      <c r="N120" s="129">
        <v>36.799999999999997</v>
      </c>
      <c r="O120" s="129">
        <v>56</v>
      </c>
      <c r="P120" s="129">
        <v>46.3</v>
      </c>
      <c r="Q120" s="129">
        <v>34.6</v>
      </c>
      <c r="R120" s="129">
        <v>35.200000000000003</v>
      </c>
      <c r="S120" s="129">
        <v>47.7</v>
      </c>
      <c r="T120" s="129">
        <v>46.7</v>
      </c>
      <c r="U120" s="129">
        <v>51.1</v>
      </c>
      <c r="V120" s="129">
        <v>53.5</v>
      </c>
      <c r="W120" s="129">
        <v>17.7</v>
      </c>
      <c r="X120" s="129">
        <v>27.2</v>
      </c>
      <c r="Y120" s="129">
        <v>27.1</v>
      </c>
      <c r="Z120" s="129">
        <v>37.799999999999997</v>
      </c>
      <c r="AA120" s="129">
        <v>32.6</v>
      </c>
      <c r="AB120" s="129">
        <v>12.9</v>
      </c>
      <c r="AC120" s="129">
        <v>7</v>
      </c>
      <c r="AD120" s="129">
        <v>0.1</v>
      </c>
      <c r="AE120" s="129">
        <v>4.8</v>
      </c>
      <c r="AF120" s="129">
        <v>-23.7</v>
      </c>
      <c r="AG120" s="127">
        <v>240</v>
      </c>
      <c r="AH120" s="48">
        <f t="shared" si="62"/>
        <v>56</v>
      </c>
      <c r="AI120" s="49">
        <f t="shared" si="63"/>
        <v>-32</v>
      </c>
    </row>
    <row r="121" spans="1:35" x14ac:dyDescent="0.25">
      <c r="A121" s="128" t="s">
        <v>144</v>
      </c>
      <c r="B121" s="129">
        <v>-14</v>
      </c>
      <c r="C121" s="129">
        <v>-40</v>
      </c>
      <c r="D121" s="129">
        <v>-30</v>
      </c>
      <c r="E121" s="129">
        <v>-30</v>
      </c>
      <c r="F121" s="129">
        <v>-30</v>
      </c>
      <c r="G121" s="129">
        <v>-34</v>
      </c>
      <c r="H121" s="129">
        <v>-29</v>
      </c>
      <c r="I121" s="129">
        <v>-14</v>
      </c>
      <c r="J121" s="129">
        <v>2</v>
      </c>
      <c r="K121" s="129">
        <v>0</v>
      </c>
      <c r="L121" s="129">
        <v>10</v>
      </c>
      <c r="M121" s="129">
        <v>5.9</v>
      </c>
      <c r="N121" s="129">
        <f>4.8+5.6</f>
        <v>10.399999999999999</v>
      </c>
      <c r="O121" s="129">
        <f>1.4+1.2</f>
        <v>2.5999999999999996</v>
      </c>
      <c r="P121" s="129">
        <f>-1.4-1.8</f>
        <v>-3.2</v>
      </c>
      <c r="Q121" s="129">
        <v>0</v>
      </c>
      <c r="R121" s="129">
        <v>3.4</v>
      </c>
      <c r="S121" s="129">
        <v>-5</v>
      </c>
      <c r="T121" s="129">
        <v>-2.5</v>
      </c>
      <c r="U121" s="129">
        <v>-1.5</v>
      </c>
      <c r="V121" s="129">
        <v>-6</v>
      </c>
      <c r="W121" s="129">
        <v>41</v>
      </c>
      <c r="X121" s="129">
        <v>39</v>
      </c>
      <c r="Y121" s="129">
        <v>47</v>
      </c>
      <c r="Z121" s="129">
        <v>46</v>
      </c>
      <c r="AA121" s="129">
        <v>38</v>
      </c>
      <c r="AB121" s="129">
        <v>28</v>
      </c>
      <c r="AC121" s="129">
        <v>19.8</v>
      </c>
      <c r="AD121" s="129">
        <v>10</v>
      </c>
      <c r="AE121" s="129">
        <v>-37</v>
      </c>
      <c r="AF121" s="129">
        <v>-31.9</v>
      </c>
      <c r="AG121" s="127">
        <v>240</v>
      </c>
      <c r="AH121" s="48">
        <f t="shared" si="62"/>
        <v>47</v>
      </c>
      <c r="AI121" s="49">
        <f t="shared" si="63"/>
        <v>-40</v>
      </c>
    </row>
    <row r="122" spans="1:35" ht="15.75" thickBot="1" x14ac:dyDescent="0.3">
      <c r="A122" s="128" t="s">
        <v>145</v>
      </c>
      <c r="B122" s="129">
        <v>1</v>
      </c>
      <c r="C122" s="129">
        <v>13</v>
      </c>
      <c r="D122" s="129">
        <v>-2</v>
      </c>
      <c r="E122" s="129">
        <v>-2</v>
      </c>
      <c r="F122" s="129">
        <v>-1.3</v>
      </c>
      <c r="G122" s="129">
        <v>-5</v>
      </c>
      <c r="H122" s="129">
        <v>-10.1</v>
      </c>
      <c r="I122" s="129">
        <v>-1.5</v>
      </c>
      <c r="J122" s="129">
        <v>5.2</v>
      </c>
      <c r="K122" s="129">
        <v>16</v>
      </c>
      <c r="L122" s="129">
        <v>17</v>
      </c>
      <c r="M122" s="129">
        <v>14.3</v>
      </c>
      <c r="N122" s="129">
        <v>15.4</v>
      </c>
      <c r="O122" s="129">
        <v>14.9</v>
      </c>
      <c r="P122" s="129">
        <v>0</v>
      </c>
      <c r="Q122" s="129">
        <v>6.7</v>
      </c>
      <c r="R122" s="129">
        <v>1.8</v>
      </c>
      <c r="S122" s="129">
        <v>-1.3</v>
      </c>
      <c r="T122" s="129">
        <v>3.2</v>
      </c>
      <c r="U122" s="129">
        <v>0</v>
      </c>
      <c r="V122" s="129">
        <v>0</v>
      </c>
      <c r="W122" s="129">
        <v>12.7</v>
      </c>
      <c r="X122" s="129">
        <v>25.3</v>
      </c>
      <c r="Y122" s="129">
        <v>28.9</v>
      </c>
      <c r="Z122" s="129">
        <v>21.7</v>
      </c>
      <c r="AA122" s="129">
        <v>19.399999999999999</v>
      </c>
      <c r="AB122" s="129">
        <v>15.4</v>
      </c>
      <c r="AC122" s="129">
        <v>3.7</v>
      </c>
      <c r="AD122" s="129">
        <v>0.9</v>
      </c>
      <c r="AE122" s="129">
        <v>27.8</v>
      </c>
      <c r="AF122" s="129">
        <v>28.3</v>
      </c>
      <c r="AG122" s="127">
        <v>60</v>
      </c>
      <c r="AH122" s="48">
        <f t="shared" si="62"/>
        <v>28.9</v>
      </c>
      <c r="AI122" s="49">
        <f t="shared" si="63"/>
        <v>-10.1</v>
      </c>
    </row>
    <row r="123" spans="1:35" x14ac:dyDescent="0.25">
      <c r="A123" s="125" t="s">
        <v>146</v>
      </c>
      <c r="B123" s="130">
        <v>111</v>
      </c>
      <c r="C123" s="130">
        <v>57</v>
      </c>
      <c r="D123" s="130">
        <v>97</v>
      </c>
      <c r="E123" s="130">
        <v>97</v>
      </c>
      <c r="F123" s="130">
        <v>89</v>
      </c>
      <c r="G123" s="130">
        <v>95</v>
      </c>
      <c r="H123" s="130">
        <v>111</v>
      </c>
      <c r="I123" s="130">
        <v>119</v>
      </c>
      <c r="J123" s="130">
        <v>114</v>
      </c>
      <c r="K123" s="130">
        <v>110</v>
      </c>
      <c r="L123" s="130">
        <v>134</v>
      </c>
      <c r="M123" s="130">
        <v>132.5</v>
      </c>
      <c r="N123" s="130">
        <v>128.4</v>
      </c>
      <c r="O123" s="130">
        <v>105.8</v>
      </c>
      <c r="P123" s="130">
        <v>127.4</v>
      </c>
      <c r="Q123" s="130">
        <f>122.8</f>
        <v>122.8</v>
      </c>
      <c r="R123" s="130">
        <v>122.9</v>
      </c>
      <c r="S123" s="130">
        <v>114</v>
      </c>
      <c r="T123" s="130">
        <v>121.6</v>
      </c>
      <c r="U123" s="130">
        <v>126</v>
      </c>
      <c r="V123" s="130">
        <v>132</v>
      </c>
      <c r="W123" s="130">
        <v>144.69999999999999</v>
      </c>
      <c r="X123" s="130">
        <v>133</v>
      </c>
      <c r="Y123" s="130">
        <v>147.4</v>
      </c>
      <c r="Z123" s="130">
        <v>147.5</v>
      </c>
      <c r="AA123" s="130">
        <v>150.80000000000001</v>
      </c>
      <c r="AB123" s="130">
        <v>155.5</v>
      </c>
      <c r="AC123" s="130">
        <v>152.4</v>
      </c>
      <c r="AD123" s="130">
        <v>142</v>
      </c>
      <c r="AE123" s="130">
        <v>65</v>
      </c>
      <c r="AF123" s="130">
        <v>67.5</v>
      </c>
      <c r="AG123" s="131">
        <v>120</v>
      </c>
      <c r="AH123" s="48">
        <f t="shared" si="62"/>
        <v>155.5</v>
      </c>
      <c r="AI123" s="49">
        <f t="shared" si="63"/>
        <v>57</v>
      </c>
    </row>
    <row r="124" spans="1:35" x14ac:dyDescent="0.25">
      <c r="A124" s="128" t="s">
        <v>147</v>
      </c>
      <c r="B124" s="130">
        <v>79</v>
      </c>
      <c r="C124" s="130">
        <v>50</v>
      </c>
      <c r="D124" s="130">
        <v>72.5</v>
      </c>
      <c r="E124" s="130">
        <v>72.5</v>
      </c>
      <c r="F124" s="130">
        <v>68.2</v>
      </c>
      <c r="G124" s="130">
        <v>72</v>
      </c>
      <c r="H124" s="130">
        <v>79</v>
      </c>
      <c r="I124" s="130">
        <v>82.6</v>
      </c>
      <c r="J124" s="130">
        <v>80</v>
      </c>
      <c r="K124" s="130">
        <v>78</v>
      </c>
      <c r="L124" s="130">
        <v>90</v>
      </c>
      <c r="M124" s="130">
        <v>82.5</v>
      </c>
      <c r="N124" s="130">
        <v>86</v>
      </c>
      <c r="O124" s="130">
        <v>66.8</v>
      </c>
      <c r="P124" s="130">
        <v>77.599999999999994</v>
      </c>
      <c r="Q124" s="130">
        <v>75.2</v>
      </c>
      <c r="R124" s="130">
        <v>75.8</v>
      </c>
      <c r="S124" s="130">
        <v>67</v>
      </c>
      <c r="T124" s="130">
        <v>70.400000000000006</v>
      </c>
      <c r="U124" s="130">
        <v>71.400000000000006</v>
      </c>
      <c r="V124" s="130">
        <v>74.3</v>
      </c>
      <c r="W124" s="130">
        <v>81</v>
      </c>
      <c r="X124" s="130">
        <v>75</v>
      </c>
      <c r="Y124" s="130">
        <v>81.099999999999994</v>
      </c>
      <c r="Z124" s="130">
        <v>89.2</v>
      </c>
      <c r="AA124" s="130">
        <v>90.6</v>
      </c>
      <c r="AB124" s="130">
        <v>98.3</v>
      </c>
      <c r="AC124" s="130">
        <v>97.5</v>
      </c>
      <c r="AD124" s="130">
        <v>93.1</v>
      </c>
      <c r="AE124" s="130">
        <v>54.2</v>
      </c>
      <c r="AF124" s="130">
        <v>57.2</v>
      </c>
      <c r="AG124" s="131"/>
      <c r="AH124" s="48">
        <f t="shared" si="62"/>
        <v>98.3</v>
      </c>
      <c r="AI124" s="49">
        <f t="shared" si="63"/>
        <v>50</v>
      </c>
    </row>
    <row r="125" spans="1:35" x14ac:dyDescent="0.25">
      <c r="A125" s="128" t="s">
        <v>148</v>
      </c>
      <c r="B125" s="130">
        <v>69</v>
      </c>
      <c r="C125" s="130">
        <v>32</v>
      </c>
      <c r="D125" s="130">
        <v>70</v>
      </c>
      <c r="E125" s="130">
        <v>70</v>
      </c>
      <c r="F125" s="130">
        <v>62.4</v>
      </c>
      <c r="G125" s="130">
        <v>54</v>
      </c>
      <c r="H125" s="130">
        <v>46</v>
      </c>
      <c r="I125" s="130">
        <v>43</v>
      </c>
      <c r="J125" s="130">
        <v>14</v>
      </c>
      <c r="K125" s="130">
        <v>-2.4</v>
      </c>
      <c r="L125" s="130">
        <v>4</v>
      </c>
      <c r="M125" s="130">
        <v>5</v>
      </c>
      <c r="N125" s="130">
        <v>4.4000000000000004</v>
      </c>
      <c r="O125" s="130">
        <v>-20</v>
      </c>
      <c r="P125" s="130">
        <v>-0.7</v>
      </c>
      <c r="Q125" s="130">
        <v>9.1</v>
      </c>
      <c r="R125" s="130">
        <v>8.3000000000000007</v>
      </c>
      <c r="S125" s="130">
        <v>-4.8</v>
      </c>
      <c r="T125" s="130">
        <v>-2.8</v>
      </c>
      <c r="U125" s="130">
        <v>-9.1</v>
      </c>
      <c r="V125" s="130">
        <v>-8.9</v>
      </c>
      <c r="W125" s="130">
        <v>-4.2</v>
      </c>
      <c r="X125" s="130">
        <v>-19.399999999999999</v>
      </c>
      <c r="Y125" s="130">
        <v>-25.7</v>
      </c>
      <c r="Z125" s="130">
        <v>-25</v>
      </c>
      <c r="AA125" s="130">
        <v>-10.4</v>
      </c>
      <c r="AB125" s="130">
        <v>15.7</v>
      </c>
      <c r="AC125" s="130">
        <v>27.9</v>
      </c>
      <c r="AD125" s="130">
        <v>38.299999999999997</v>
      </c>
      <c r="AE125" s="130">
        <v>9.4</v>
      </c>
      <c r="AF125" s="130">
        <v>36.9</v>
      </c>
      <c r="AG125" s="131"/>
      <c r="AH125" s="48">
        <f t="shared" si="62"/>
        <v>70</v>
      </c>
      <c r="AI125" s="49">
        <f t="shared" si="63"/>
        <v>-25.7</v>
      </c>
    </row>
    <row r="126" spans="1:35" ht="15.75" thickBot="1" x14ac:dyDescent="0.3">
      <c r="A126" s="128" t="s">
        <v>149</v>
      </c>
      <c r="B126" s="130"/>
      <c r="C126" s="130"/>
      <c r="D126" s="130">
        <v>86</v>
      </c>
      <c r="E126" s="130">
        <v>86</v>
      </c>
      <c r="F126" s="130">
        <v>85</v>
      </c>
      <c r="G126" s="130">
        <v>90</v>
      </c>
      <c r="H126" s="130">
        <v>100</v>
      </c>
      <c r="I126" s="130">
        <v>100</v>
      </c>
      <c r="J126" s="130">
        <v>86</v>
      </c>
      <c r="K126" s="130">
        <v>71.400000000000006</v>
      </c>
      <c r="L126" s="130">
        <v>90</v>
      </c>
      <c r="M126" s="130">
        <v>80.3</v>
      </c>
      <c r="N126" s="130">
        <v>85.5</v>
      </c>
      <c r="O126" s="130">
        <v>66.900000000000006</v>
      </c>
      <c r="P126" s="130">
        <v>98.4</v>
      </c>
      <c r="Q126" s="130">
        <v>94.9</v>
      </c>
      <c r="R126" s="130">
        <v>97.3</v>
      </c>
      <c r="S126" s="130">
        <v>89.5</v>
      </c>
      <c r="T126" s="130">
        <v>99.4</v>
      </c>
      <c r="U126" s="130">
        <v>92.3</v>
      </c>
      <c r="V126" s="130">
        <v>98</v>
      </c>
      <c r="W126" s="130">
        <v>89.3</v>
      </c>
      <c r="X126" s="130">
        <v>78.400000000000006</v>
      </c>
      <c r="Y126" s="130">
        <v>80.5</v>
      </c>
      <c r="Z126" s="130">
        <v>84.9</v>
      </c>
      <c r="AA126" s="130">
        <v>85.8</v>
      </c>
      <c r="AB126" s="130">
        <v>94.3</v>
      </c>
      <c r="AC126" s="130">
        <v>91.8</v>
      </c>
      <c r="AD126" s="130">
        <v>92.3</v>
      </c>
      <c r="AE126" s="130">
        <v>42.5</v>
      </c>
      <c r="AF126" s="130">
        <v>52.8</v>
      </c>
      <c r="AG126" s="127"/>
      <c r="AH126" s="48">
        <f>MAX(B126:AF126)</f>
        <v>100</v>
      </c>
      <c r="AI126" s="49">
        <f>MIN(B126:AF126)</f>
        <v>42.5</v>
      </c>
    </row>
    <row r="127" spans="1:35" x14ac:dyDescent="0.25">
      <c r="A127" s="125" t="s">
        <v>305</v>
      </c>
      <c r="B127" s="130"/>
      <c r="C127" s="130"/>
      <c r="D127" s="130">
        <v>12</v>
      </c>
      <c r="E127" s="130">
        <v>12</v>
      </c>
      <c r="F127" s="130">
        <v>8</v>
      </c>
      <c r="G127" s="130">
        <v>-15</v>
      </c>
      <c r="H127" s="130">
        <v>5</v>
      </c>
      <c r="I127" s="130">
        <v>4</v>
      </c>
      <c r="J127" s="130">
        <v>-5</v>
      </c>
      <c r="K127" s="130">
        <v>-57</v>
      </c>
      <c r="L127" s="130">
        <v>-72</v>
      </c>
      <c r="M127" s="130">
        <v>-88.5</v>
      </c>
      <c r="N127" s="130">
        <v>-75.400000000000006</v>
      </c>
      <c r="O127" s="130">
        <v>-42.4</v>
      </c>
      <c r="P127" s="130">
        <v>9.4</v>
      </c>
      <c r="Q127" s="130">
        <v>9.9</v>
      </c>
      <c r="R127" s="130">
        <v>49.6</v>
      </c>
      <c r="S127" s="130">
        <v>27.4</v>
      </c>
      <c r="T127" s="130">
        <v>26.6</v>
      </c>
      <c r="U127" s="130">
        <v>29.2</v>
      </c>
      <c r="V127" s="130">
        <v>3.4</v>
      </c>
      <c r="W127" s="130">
        <v>20.399999999999999</v>
      </c>
      <c r="X127" s="130">
        <v>7.4</v>
      </c>
      <c r="Y127" s="130">
        <v>-18</v>
      </c>
      <c r="Z127" s="130">
        <v>-17.600000000000001</v>
      </c>
      <c r="AA127" s="130">
        <v>-56</v>
      </c>
      <c r="AB127" s="130">
        <v>-85.6</v>
      </c>
      <c r="AC127" s="130">
        <v>-87.4</v>
      </c>
      <c r="AD127" s="130">
        <v>-77.599999999999994</v>
      </c>
      <c r="AE127" s="130">
        <v>-39.9</v>
      </c>
      <c r="AF127" s="130">
        <v>-26.3</v>
      </c>
      <c r="AG127" s="127"/>
      <c r="AH127" s="48">
        <f>MAX(B127:AF127)</f>
        <v>49.6</v>
      </c>
      <c r="AI127" s="49">
        <f>MIN(B127:AF127)</f>
        <v>-88.5</v>
      </c>
    </row>
    <row r="128" spans="1:35" x14ac:dyDescent="0.25">
      <c r="A128" s="128" t="s">
        <v>151</v>
      </c>
      <c r="B128" s="118"/>
      <c r="C128" s="118"/>
      <c r="D128" s="118">
        <v>28</v>
      </c>
      <c r="E128" s="118">
        <v>28</v>
      </c>
      <c r="F128" s="118">
        <v>26.2</v>
      </c>
      <c r="G128" s="118">
        <v>23</v>
      </c>
      <c r="H128" s="118">
        <v>19</v>
      </c>
      <c r="I128" s="118">
        <v>11</v>
      </c>
      <c r="J128" s="118">
        <v>4.2</v>
      </c>
      <c r="K128" s="118">
        <v>4.3</v>
      </c>
      <c r="L128" s="118">
        <v>2</v>
      </c>
      <c r="M128" s="118">
        <v>-2</v>
      </c>
      <c r="N128" s="118">
        <v>-3.9</v>
      </c>
      <c r="O128" s="118">
        <v>-7.8</v>
      </c>
      <c r="P128" s="118">
        <v>-12.6</v>
      </c>
      <c r="Q128" s="118">
        <v>-8.4</v>
      </c>
      <c r="R128" s="118">
        <v>16.7</v>
      </c>
      <c r="S128" s="118">
        <v>6.6</v>
      </c>
      <c r="T128" s="118">
        <v>9.8000000000000007</v>
      </c>
      <c r="U128" s="118">
        <v>7.7</v>
      </c>
      <c r="V128" s="118">
        <v>13.8</v>
      </c>
      <c r="W128" s="118">
        <v>2.4</v>
      </c>
      <c r="X128" s="118">
        <v>-5.2</v>
      </c>
      <c r="Y128" s="118">
        <v>-15.1</v>
      </c>
      <c r="Z128" s="118">
        <v>-7.7</v>
      </c>
      <c r="AA128" s="118">
        <v>4.8</v>
      </c>
      <c r="AB128" s="118">
        <v>12.8</v>
      </c>
      <c r="AC128" s="118">
        <v>13.7</v>
      </c>
      <c r="AD128" s="118">
        <v>8.6999999999999993</v>
      </c>
      <c r="AE128" s="118">
        <v>16.3</v>
      </c>
      <c r="AF128" s="118">
        <v>28.1</v>
      </c>
      <c r="AG128" s="127"/>
      <c r="AH128" s="48">
        <f>MAX(B128:AF128)</f>
        <v>28.1</v>
      </c>
      <c r="AI128" s="49">
        <f>MIN(B128:AF128)</f>
        <v>-15.1</v>
      </c>
    </row>
    <row r="129" spans="1:37" x14ac:dyDescent="0.25">
      <c r="A129" s="128" t="s">
        <v>306</v>
      </c>
      <c r="B129" s="118"/>
      <c r="C129" s="118"/>
      <c r="D129" s="118">
        <v>37</v>
      </c>
      <c r="E129" s="118">
        <v>37</v>
      </c>
      <c r="F129" s="118">
        <v>37.1</v>
      </c>
      <c r="G129" s="118">
        <v>39</v>
      </c>
      <c r="H129" s="118">
        <v>44</v>
      </c>
      <c r="I129" s="118">
        <v>50</v>
      </c>
      <c r="J129" s="118">
        <v>58.1</v>
      </c>
      <c r="K129" s="118">
        <v>66</v>
      </c>
      <c r="L129" s="118">
        <v>69</v>
      </c>
      <c r="M129" s="118">
        <v>70.7</v>
      </c>
      <c r="N129" s="118">
        <v>64.8</v>
      </c>
      <c r="O129" s="118">
        <v>60.3</v>
      </c>
      <c r="P129" s="118">
        <v>56.8</v>
      </c>
      <c r="Q129" s="118">
        <v>56.3</v>
      </c>
      <c r="R129" s="118">
        <v>49.7</v>
      </c>
      <c r="S129" s="118">
        <v>54.1</v>
      </c>
      <c r="T129" s="118">
        <v>61.7</v>
      </c>
      <c r="U129" s="118">
        <v>64.099999999999994</v>
      </c>
      <c r="V129" s="118">
        <v>57.2</v>
      </c>
      <c r="W129" s="118">
        <v>70.7</v>
      </c>
      <c r="X129" s="118">
        <v>78.3</v>
      </c>
      <c r="Y129" s="118">
        <v>104.5</v>
      </c>
      <c r="Z129" s="118">
        <v>100.3</v>
      </c>
      <c r="AA129" s="118">
        <v>83.5</v>
      </c>
      <c r="AB129" s="118">
        <v>82</v>
      </c>
      <c r="AC129" s="118">
        <v>75.400000000000006</v>
      </c>
      <c r="AD129" s="118">
        <v>77.900000000000006</v>
      </c>
      <c r="AE129" s="118">
        <v>69</v>
      </c>
      <c r="AF129" s="118">
        <v>59.2</v>
      </c>
      <c r="AG129" s="127"/>
      <c r="AH129" s="48">
        <f>MAX(B129:AF129)</f>
        <v>104.5</v>
      </c>
      <c r="AI129" s="49">
        <f>MIN(B129:AF129)</f>
        <v>37</v>
      </c>
    </row>
    <row r="130" spans="1:37" ht="15.75" thickBot="1" x14ac:dyDescent="0.3">
      <c r="A130" s="128" t="s">
        <v>153</v>
      </c>
      <c r="B130" s="118"/>
      <c r="C130" s="118"/>
      <c r="D130" s="118">
        <v>43</v>
      </c>
      <c r="E130" s="118">
        <v>43</v>
      </c>
      <c r="F130" s="118">
        <v>46</v>
      </c>
      <c r="G130" s="118">
        <v>50</v>
      </c>
      <c r="H130" s="118">
        <v>55</v>
      </c>
      <c r="I130" s="118">
        <v>60.3</v>
      </c>
      <c r="J130" s="118">
        <v>68.2</v>
      </c>
      <c r="K130" s="118">
        <v>74.2</v>
      </c>
      <c r="L130" s="118">
        <v>78</v>
      </c>
      <c r="M130" s="118">
        <v>84.3</v>
      </c>
      <c r="N130" s="118">
        <v>71</v>
      </c>
      <c r="O130" s="118">
        <v>69.7</v>
      </c>
      <c r="P130" s="118">
        <v>72.599999999999994</v>
      </c>
      <c r="Q130" s="118">
        <v>62.2</v>
      </c>
      <c r="R130" s="118">
        <v>62.3</v>
      </c>
      <c r="S130" s="118">
        <v>66.099999999999994</v>
      </c>
      <c r="T130" s="118">
        <v>66.900000000000006</v>
      </c>
      <c r="U130" s="118">
        <v>74.3</v>
      </c>
      <c r="V130" s="118">
        <v>67.3</v>
      </c>
      <c r="W130" s="118">
        <v>75.5</v>
      </c>
      <c r="X130" s="118">
        <v>82.5</v>
      </c>
      <c r="Y130" s="118">
        <v>107.8</v>
      </c>
      <c r="Z130" s="118">
        <v>103.4</v>
      </c>
      <c r="AA130" s="118">
        <v>89.5</v>
      </c>
      <c r="AB130" s="118">
        <v>87.9</v>
      </c>
      <c r="AC130" s="118">
        <v>81.099999999999994</v>
      </c>
      <c r="AD130" s="118">
        <v>84.7</v>
      </c>
      <c r="AE130" s="118">
        <v>81.099999999999994</v>
      </c>
      <c r="AF130" s="118">
        <v>63.2</v>
      </c>
      <c r="AG130" s="127"/>
      <c r="AH130" s="48">
        <f>MAX(B130:AF130)</f>
        <v>107.8</v>
      </c>
      <c r="AI130" s="49">
        <f>MIN(B130:AF130)</f>
        <v>43</v>
      </c>
    </row>
    <row r="131" spans="1:37" x14ac:dyDescent="0.25">
      <c r="A131" s="132" t="s">
        <v>154</v>
      </c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4"/>
      <c r="AG131" s="44"/>
      <c r="AH131" s="48"/>
      <c r="AI131" s="49"/>
    </row>
    <row r="132" spans="1:37" x14ac:dyDescent="0.25">
      <c r="A132" s="135" t="s">
        <v>155</v>
      </c>
      <c r="B132" s="136">
        <v>1983.78</v>
      </c>
      <c r="C132" s="136">
        <v>1983.58</v>
      </c>
      <c r="D132" s="136">
        <v>1983.42</v>
      </c>
      <c r="E132" s="136">
        <v>1983.7</v>
      </c>
      <c r="F132" s="136">
        <v>1983.9</v>
      </c>
      <c r="G132" s="136">
        <v>1984.03</v>
      </c>
      <c r="H132" s="136"/>
      <c r="I132" s="136">
        <v>1984.2</v>
      </c>
      <c r="J132" s="136"/>
      <c r="K132" s="136">
        <v>1984.2</v>
      </c>
      <c r="L132" s="136"/>
      <c r="M132" s="136">
        <v>1983.5</v>
      </c>
      <c r="N132" s="136">
        <v>1983.15</v>
      </c>
      <c r="O132" s="136">
        <v>1982.75</v>
      </c>
      <c r="P132" s="136">
        <v>1983.85</v>
      </c>
      <c r="Q132" s="136">
        <v>1982.9</v>
      </c>
      <c r="R132" s="136">
        <v>1983.15</v>
      </c>
      <c r="S132" s="136">
        <v>1983.4</v>
      </c>
      <c r="T132" s="136">
        <v>1983.62</v>
      </c>
      <c r="U132" s="136">
        <v>1983.82</v>
      </c>
      <c r="V132" s="136">
        <v>1983.91</v>
      </c>
      <c r="W132" s="136"/>
      <c r="X132" s="136">
        <v>1984</v>
      </c>
      <c r="Y132" s="136"/>
      <c r="Z132" s="136">
        <v>1983.9</v>
      </c>
      <c r="AA132" s="136"/>
      <c r="AB132" s="136">
        <v>1983.03</v>
      </c>
      <c r="AC132" s="136"/>
      <c r="AD132" s="136">
        <v>1982.77</v>
      </c>
      <c r="AE132" s="136">
        <v>1982.5</v>
      </c>
      <c r="AF132" s="137">
        <v>1982.6</v>
      </c>
      <c r="AG132" s="138"/>
      <c r="AH132" s="48"/>
      <c r="AI132" s="49"/>
    </row>
    <row r="133" spans="1:37" x14ac:dyDescent="0.25">
      <c r="A133" s="135" t="s">
        <v>156</v>
      </c>
      <c r="B133" s="139">
        <v>519.86</v>
      </c>
      <c r="C133" s="139">
        <v>520.26</v>
      </c>
      <c r="D133" s="139">
        <v>520.66</v>
      </c>
      <c r="E133" s="139">
        <v>521.02</v>
      </c>
      <c r="F133" s="139">
        <v>521.38</v>
      </c>
      <c r="G133" s="139">
        <v>521.76</v>
      </c>
      <c r="H133" s="139"/>
      <c r="I133" s="139">
        <v>521.95000000000005</v>
      </c>
      <c r="J133" s="139"/>
      <c r="K133" s="139">
        <v>521.95000000000005</v>
      </c>
      <c r="L133" s="139"/>
      <c r="M133" s="139">
        <v>521.79999999999995</v>
      </c>
      <c r="N133" s="139">
        <v>521.65</v>
      </c>
      <c r="O133" s="139">
        <v>521.44000000000005</v>
      </c>
      <c r="P133" s="139">
        <v>521.32000000000005</v>
      </c>
      <c r="Q133" s="139">
        <v>521.34</v>
      </c>
      <c r="R133" s="139">
        <v>521.34</v>
      </c>
      <c r="S133" s="139">
        <v>521.29999999999995</v>
      </c>
      <c r="T133" s="139">
        <v>521.1</v>
      </c>
      <c r="U133" s="139">
        <v>520.9</v>
      </c>
      <c r="V133" s="139">
        <v>520.45000000000005</v>
      </c>
      <c r="W133" s="139"/>
      <c r="X133" s="139">
        <v>520.35</v>
      </c>
      <c r="Y133" s="139"/>
      <c r="Z133" s="139">
        <v>520.21</v>
      </c>
      <c r="AA133" s="139"/>
      <c r="AB133" s="139">
        <v>519.66</v>
      </c>
      <c r="AC133" s="139"/>
      <c r="AD133" s="139">
        <v>519.26</v>
      </c>
      <c r="AE133" s="139">
        <v>519.02</v>
      </c>
      <c r="AF133" s="140">
        <v>518.86</v>
      </c>
      <c r="AG133" s="138"/>
      <c r="AH133" s="48"/>
      <c r="AI133" s="49"/>
    </row>
    <row r="134" spans="1:37" x14ac:dyDescent="0.25">
      <c r="A134" s="135" t="s">
        <v>158</v>
      </c>
      <c r="B134" s="139">
        <v>622.88</v>
      </c>
      <c r="C134" s="139">
        <v>623.25</v>
      </c>
      <c r="D134" s="139">
        <v>623.75</v>
      </c>
      <c r="E134" s="139">
        <v>624.13</v>
      </c>
      <c r="F134" s="139">
        <v>624.42999999999995</v>
      </c>
      <c r="G134" s="139">
        <v>624.64</v>
      </c>
      <c r="H134" s="139"/>
      <c r="I134" s="139">
        <v>624.67999999999995</v>
      </c>
      <c r="J134" s="139"/>
      <c r="K134" s="139">
        <v>624.44000000000005</v>
      </c>
      <c r="L134" s="139"/>
      <c r="M134" s="139">
        <v>624.04999999999995</v>
      </c>
      <c r="N134" s="139">
        <v>623.66999999999996</v>
      </c>
      <c r="O134" s="139">
        <v>623.37</v>
      </c>
      <c r="P134" s="139">
        <v>623.01</v>
      </c>
      <c r="Q134" s="139">
        <v>622.91999999999996</v>
      </c>
      <c r="R134" s="139">
        <v>622.99</v>
      </c>
      <c r="S134" s="139">
        <v>622.99</v>
      </c>
      <c r="T134" s="139">
        <v>622.96</v>
      </c>
      <c r="U134" s="139">
        <v>622.92999999999995</v>
      </c>
      <c r="V134" s="139">
        <v>622.61</v>
      </c>
      <c r="W134" s="139"/>
      <c r="X134" s="139">
        <v>622.54</v>
      </c>
      <c r="Y134" s="139"/>
      <c r="Z134" s="139">
        <v>622.54999999999995</v>
      </c>
      <c r="AA134" s="139"/>
      <c r="AB134" s="139">
        <v>621.54</v>
      </c>
      <c r="AC134" s="139"/>
      <c r="AD134" s="139">
        <v>621.36</v>
      </c>
      <c r="AE134" s="139">
        <v>621.46</v>
      </c>
      <c r="AF134" s="140">
        <v>621.65</v>
      </c>
      <c r="AG134" s="138"/>
      <c r="AH134" s="48"/>
      <c r="AI134" s="49"/>
    </row>
    <row r="135" spans="1:37" x14ac:dyDescent="0.25">
      <c r="A135" s="135" t="s">
        <v>159</v>
      </c>
      <c r="B135" s="139">
        <v>335.89</v>
      </c>
      <c r="C135" s="139">
        <v>336.09</v>
      </c>
      <c r="D135" s="139">
        <v>336.13</v>
      </c>
      <c r="E135" s="139">
        <v>336.5</v>
      </c>
      <c r="F135" s="139">
        <v>336.7</v>
      </c>
      <c r="G135" s="139">
        <v>336.76</v>
      </c>
      <c r="H135" s="139"/>
      <c r="I135" s="139">
        <v>336.7</v>
      </c>
      <c r="J135" s="139"/>
      <c r="K135" s="139">
        <v>336.45</v>
      </c>
      <c r="L135" s="139"/>
      <c r="M135" s="139">
        <v>336.04</v>
      </c>
      <c r="N135" s="139">
        <v>335.67</v>
      </c>
      <c r="O135" s="139">
        <v>335.28</v>
      </c>
      <c r="P135" s="139">
        <v>334.81</v>
      </c>
      <c r="Q135" s="139">
        <v>334.57</v>
      </c>
      <c r="R135" s="139">
        <v>33.07</v>
      </c>
      <c r="S135" s="139">
        <v>335.44</v>
      </c>
      <c r="T135" s="139">
        <v>335.89</v>
      </c>
      <c r="U135" s="139">
        <v>336.2</v>
      </c>
      <c r="V135" s="139">
        <v>336.26</v>
      </c>
      <c r="W135" s="139"/>
      <c r="X135" s="139">
        <v>336.25</v>
      </c>
      <c r="Y135" s="139"/>
      <c r="Z135" s="139">
        <v>335.98</v>
      </c>
      <c r="AA135" s="139"/>
      <c r="AB135" s="139">
        <v>335.85</v>
      </c>
      <c r="AC135" s="139"/>
      <c r="AD135" s="139">
        <v>335.64</v>
      </c>
      <c r="AE135" s="139">
        <v>335.37</v>
      </c>
      <c r="AF135" s="140">
        <v>335.23</v>
      </c>
      <c r="AG135" s="138"/>
      <c r="AH135" s="48"/>
      <c r="AI135" s="49"/>
    </row>
    <row r="136" spans="1:37" x14ac:dyDescent="0.25">
      <c r="A136" s="135" t="s">
        <v>160</v>
      </c>
      <c r="B136" s="139"/>
      <c r="C136" s="139">
        <v>884.7</v>
      </c>
      <c r="D136" s="139">
        <v>885.9</v>
      </c>
      <c r="E136" s="139">
        <v>886</v>
      </c>
      <c r="F136" s="139">
        <v>886</v>
      </c>
      <c r="G136" s="139">
        <v>885.9</v>
      </c>
      <c r="H136" s="139"/>
      <c r="I136" s="139">
        <v>885.7</v>
      </c>
      <c r="J136" s="139"/>
      <c r="K136" s="139">
        <v>885.6</v>
      </c>
      <c r="L136" s="139"/>
      <c r="M136" s="139">
        <v>885.7</v>
      </c>
      <c r="N136" s="139">
        <v>885.6</v>
      </c>
      <c r="O136" s="139">
        <v>885.6</v>
      </c>
      <c r="P136" s="139">
        <v>885.6</v>
      </c>
      <c r="Q136" s="139">
        <v>885.7</v>
      </c>
      <c r="R136" s="139">
        <v>885.6</v>
      </c>
      <c r="S136" s="139">
        <v>885.4</v>
      </c>
      <c r="T136" s="139">
        <v>885.3</v>
      </c>
      <c r="U136" s="139">
        <v>885</v>
      </c>
      <c r="V136" s="139">
        <v>884.8</v>
      </c>
      <c r="W136" s="139"/>
      <c r="X136" s="139">
        <v>884.5</v>
      </c>
      <c r="Y136" s="139"/>
      <c r="Z136" s="139">
        <v>883.2</v>
      </c>
      <c r="AA136" s="139"/>
      <c r="AB136" s="139">
        <v>882.6</v>
      </c>
      <c r="AC136" s="139"/>
      <c r="AD136" s="139">
        <v>882.6</v>
      </c>
      <c r="AE136" s="139">
        <v>882.6</v>
      </c>
      <c r="AF136" s="140"/>
      <c r="AG136" s="138"/>
      <c r="AH136" s="48"/>
      <c r="AI136" s="49"/>
    </row>
    <row r="137" spans="1:37" ht="15.75" thickBot="1" x14ac:dyDescent="0.3">
      <c r="A137" s="135" t="s">
        <v>161</v>
      </c>
      <c r="B137" s="141">
        <v>1519.77</v>
      </c>
      <c r="C137" s="141"/>
      <c r="D137" s="141"/>
      <c r="E137" s="141"/>
      <c r="F137" s="141"/>
      <c r="G137" s="141"/>
      <c r="H137" s="141"/>
      <c r="I137" s="141"/>
      <c r="J137" s="141"/>
      <c r="K137" s="141">
        <v>1519.77</v>
      </c>
      <c r="L137" s="141"/>
      <c r="M137" s="141">
        <v>1519.77</v>
      </c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  <c r="AF137" s="142"/>
      <c r="AG137" s="138"/>
      <c r="AH137" s="48"/>
      <c r="AI137" s="49"/>
    </row>
    <row r="138" spans="1:37" ht="15.75" thickBot="1" x14ac:dyDescent="0.3">
      <c r="A138" s="143" t="s">
        <v>162</v>
      </c>
      <c r="B138" s="144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149">SUM(B139:B243)</f>
        <v>0</v>
      </c>
      <c r="C244" s="160">
        <f t="shared" si="149"/>
        <v>0</v>
      </c>
      <c r="D244" s="160">
        <f t="shared" si="149"/>
        <v>0</v>
      </c>
      <c r="E244" s="160">
        <f t="shared" si="149"/>
        <v>0</v>
      </c>
      <c r="F244" s="160">
        <f t="shared" si="149"/>
        <v>0</v>
      </c>
      <c r="G244" s="160">
        <f t="shared" si="149"/>
        <v>0</v>
      </c>
      <c r="H244" s="160">
        <f t="shared" si="149"/>
        <v>0</v>
      </c>
      <c r="I244" s="160">
        <f t="shared" si="149"/>
        <v>0</v>
      </c>
      <c r="J244" s="160">
        <f t="shared" si="149"/>
        <v>0</v>
      </c>
      <c r="K244" s="160">
        <f t="shared" si="149"/>
        <v>0</v>
      </c>
      <c r="L244" s="160">
        <f t="shared" si="149"/>
        <v>0</v>
      </c>
      <c r="M244" s="160">
        <f t="shared" si="149"/>
        <v>0</v>
      </c>
      <c r="N244" s="160">
        <f t="shared" si="149"/>
        <v>0</v>
      </c>
      <c r="O244" s="160">
        <f t="shared" si="149"/>
        <v>0</v>
      </c>
      <c r="P244" s="160">
        <f t="shared" si="149"/>
        <v>0</v>
      </c>
      <c r="Q244" s="160">
        <f t="shared" si="149"/>
        <v>0</v>
      </c>
      <c r="R244" s="160">
        <f t="shared" si="149"/>
        <v>0</v>
      </c>
      <c r="S244" s="160">
        <f t="shared" si="149"/>
        <v>0</v>
      </c>
      <c r="T244" s="160">
        <f t="shared" si="149"/>
        <v>0</v>
      </c>
      <c r="U244" s="160">
        <f t="shared" si="149"/>
        <v>0</v>
      </c>
      <c r="V244" s="160">
        <f t="shared" si="149"/>
        <v>0</v>
      </c>
      <c r="W244" s="160">
        <f t="shared" si="149"/>
        <v>0</v>
      </c>
      <c r="X244" s="160">
        <f t="shared" si="149"/>
        <v>0</v>
      </c>
      <c r="Y244" s="160">
        <f t="shared" si="149"/>
        <v>0</v>
      </c>
      <c r="Z244" s="160">
        <f t="shared" si="149"/>
        <v>0</v>
      </c>
      <c r="AA244" s="160">
        <f t="shared" si="149"/>
        <v>0</v>
      </c>
      <c r="AB244" s="160">
        <f t="shared" si="149"/>
        <v>0</v>
      </c>
      <c r="AC244" s="160">
        <f t="shared" si="149"/>
        <v>0</v>
      </c>
      <c r="AD244" s="160">
        <f t="shared" si="149"/>
        <v>0</v>
      </c>
      <c r="AE244" s="160">
        <f t="shared" si="149"/>
        <v>0</v>
      </c>
      <c r="AF244" s="161">
        <f t="shared" si="149"/>
        <v>0</v>
      </c>
      <c r="AG244" s="162">
        <f t="shared" si="149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150">AF246</f>
        <v>0.3</v>
      </c>
      <c r="C246" s="165">
        <v>0.3</v>
      </c>
      <c r="D246" s="165">
        <f t="shared" ref="D246:S251" si="151">C246</f>
        <v>0.3</v>
      </c>
      <c r="E246" s="165">
        <f t="shared" si="151"/>
        <v>0.3</v>
      </c>
      <c r="F246" s="165">
        <f t="shared" si="151"/>
        <v>0.3</v>
      </c>
      <c r="G246" s="165">
        <f t="shared" si="151"/>
        <v>0.3</v>
      </c>
      <c r="H246" s="165">
        <f t="shared" si="151"/>
        <v>0.3</v>
      </c>
      <c r="I246" s="165">
        <f t="shared" si="151"/>
        <v>0.3</v>
      </c>
      <c r="J246" s="165">
        <f t="shared" si="151"/>
        <v>0.3</v>
      </c>
      <c r="K246" s="165">
        <f t="shared" si="151"/>
        <v>0.3</v>
      </c>
      <c r="L246" s="165">
        <f t="shared" si="151"/>
        <v>0.3</v>
      </c>
      <c r="M246" s="165">
        <f t="shared" si="151"/>
        <v>0.3</v>
      </c>
      <c r="N246" s="165">
        <f t="shared" si="151"/>
        <v>0.3</v>
      </c>
      <c r="O246" s="165">
        <f t="shared" si="151"/>
        <v>0.3</v>
      </c>
      <c r="P246" s="165">
        <f t="shared" si="151"/>
        <v>0.3</v>
      </c>
      <c r="Q246" s="165">
        <f t="shared" si="151"/>
        <v>0.3</v>
      </c>
      <c r="R246" s="165">
        <f t="shared" si="151"/>
        <v>0.3</v>
      </c>
      <c r="S246" s="165">
        <f t="shared" si="151"/>
        <v>0.3</v>
      </c>
      <c r="T246" s="165">
        <f t="shared" ref="T246:AF251" si="152">S246</f>
        <v>0.3</v>
      </c>
      <c r="U246" s="165">
        <f t="shared" si="152"/>
        <v>0.3</v>
      </c>
      <c r="V246" s="165">
        <f t="shared" si="152"/>
        <v>0.3</v>
      </c>
      <c r="W246" s="165">
        <f t="shared" si="152"/>
        <v>0.3</v>
      </c>
      <c r="X246" s="165">
        <f t="shared" si="152"/>
        <v>0.3</v>
      </c>
      <c r="Y246" s="165">
        <f t="shared" si="152"/>
        <v>0.3</v>
      </c>
      <c r="Z246" s="165">
        <f t="shared" si="152"/>
        <v>0.3</v>
      </c>
      <c r="AA246" s="165">
        <f t="shared" si="152"/>
        <v>0.3</v>
      </c>
      <c r="AB246" s="165">
        <f t="shared" si="152"/>
        <v>0.3</v>
      </c>
      <c r="AC246" s="165">
        <f t="shared" si="152"/>
        <v>0.3</v>
      </c>
      <c r="AD246" s="165">
        <f t="shared" si="152"/>
        <v>0.3</v>
      </c>
      <c r="AE246" s="165">
        <f t="shared" si="152"/>
        <v>0.3</v>
      </c>
      <c r="AF246" s="165">
        <f t="shared" si="152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150"/>
        <v>0.4</v>
      </c>
      <c r="C247" s="151">
        <v>0.4</v>
      </c>
      <c r="D247" s="151">
        <f t="shared" si="151"/>
        <v>0.4</v>
      </c>
      <c r="E247" s="151">
        <f t="shared" si="151"/>
        <v>0.4</v>
      </c>
      <c r="F247" s="151">
        <f t="shared" si="151"/>
        <v>0.4</v>
      </c>
      <c r="G247" s="151">
        <f t="shared" si="151"/>
        <v>0.4</v>
      </c>
      <c r="H247" s="151">
        <f t="shared" si="151"/>
        <v>0.4</v>
      </c>
      <c r="I247" s="151">
        <f t="shared" si="151"/>
        <v>0.4</v>
      </c>
      <c r="J247" s="151">
        <f t="shared" si="151"/>
        <v>0.4</v>
      </c>
      <c r="K247" s="151">
        <f t="shared" si="151"/>
        <v>0.4</v>
      </c>
      <c r="L247" s="151">
        <f t="shared" si="151"/>
        <v>0.4</v>
      </c>
      <c r="M247" s="151">
        <f t="shared" si="151"/>
        <v>0.4</v>
      </c>
      <c r="N247" s="151">
        <f t="shared" si="151"/>
        <v>0.4</v>
      </c>
      <c r="O247" s="151">
        <f t="shared" si="151"/>
        <v>0.4</v>
      </c>
      <c r="P247" s="151">
        <f t="shared" si="151"/>
        <v>0.4</v>
      </c>
      <c r="Q247" s="151">
        <f t="shared" si="151"/>
        <v>0.4</v>
      </c>
      <c r="R247" s="151">
        <f t="shared" si="151"/>
        <v>0.4</v>
      </c>
      <c r="S247" s="151">
        <f t="shared" si="151"/>
        <v>0.4</v>
      </c>
      <c r="T247" s="151">
        <f t="shared" si="152"/>
        <v>0.4</v>
      </c>
      <c r="U247" s="151">
        <f t="shared" si="152"/>
        <v>0.4</v>
      </c>
      <c r="V247" s="151">
        <f t="shared" si="152"/>
        <v>0.4</v>
      </c>
      <c r="W247" s="151">
        <f t="shared" si="152"/>
        <v>0.4</v>
      </c>
      <c r="X247" s="151">
        <f t="shared" si="152"/>
        <v>0.4</v>
      </c>
      <c r="Y247" s="151">
        <f t="shared" si="152"/>
        <v>0.4</v>
      </c>
      <c r="Z247" s="151">
        <f t="shared" si="152"/>
        <v>0.4</v>
      </c>
      <c r="AA247" s="151">
        <f t="shared" si="152"/>
        <v>0.4</v>
      </c>
      <c r="AB247" s="151">
        <f t="shared" si="152"/>
        <v>0.4</v>
      </c>
      <c r="AC247" s="151">
        <f t="shared" si="152"/>
        <v>0.4</v>
      </c>
      <c r="AD247" s="151">
        <f t="shared" si="152"/>
        <v>0.4</v>
      </c>
      <c r="AE247" s="151">
        <f t="shared" si="152"/>
        <v>0.4</v>
      </c>
      <c r="AF247" s="151">
        <f t="shared" si="152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150"/>
        <v>1.5</v>
      </c>
      <c r="C248" s="151">
        <v>1.5</v>
      </c>
      <c r="D248" s="151">
        <f t="shared" si="151"/>
        <v>1.5</v>
      </c>
      <c r="E248" s="151">
        <f t="shared" si="151"/>
        <v>1.5</v>
      </c>
      <c r="F248" s="151">
        <f t="shared" si="151"/>
        <v>1.5</v>
      </c>
      <c r="G248" s="151">
        <f t="shared" si="151"/>
        <v>1.5</v>
      </c>
      <c r="H248" s="151">
        <f t="shared" si="151"/>
        <v>1.5</v>
      </c>
      <c r="I248" s="151">
        <f t="shared" si="151"/>
        <v>1.5</v>
      </c>
      <c r="J248" s="151">
        <f t="shared" si="151"/>
        <v>1.5</v>
      </c>
      <c r="K248" s="151">
        <f t="shared" si="151"/>
        <v>1.5</v>
      </c>
      <c r="L248" s="151">
        <f t="shared" si="151"/>
        <v>1.5</v>
      </c>
      <c r="M248" s="151">
        <f t="shared" si="151"/>
        <v>1.5</v>
      </c>
      <c r="N248" s="151">
        <f t="shared" si="151"/>
        <v>1.5</v>
      </c>
      <c r="O248" s="151">
        <f t="shared" si="151"/>
        <v>1.5</v>
      </c>
      <c r="P248" s="151">
        <f t="shared" si="151"/>
        <v>1.5</v>
      </c>
      <c r="Q248" s="151">
        <f t="shared" si="151"/>
        <v>1.5</v>
      </c>
      <c r="R248" s="151">
        <f t="shared" si="151"/>
        <v>1.5</v>
      </c>
      <c r="S248" s="151">
        <f t="shared" si="151"/>
        <v>1.5</v>
      </c>
      <c r="T248" s="151">
        <f t="shared" si="152"/>
        <v>1.5</v>
      </c>
      <c r="U248" s="151">
        <f t="shared" si="152"/>
        <v>1.5</v>
      </c>
      <c r="V248" s="151">
        <f t="shared" si="152"/>
        <v>1.5</v>
      </c>
      <c r="W248" s="151">
        <f t="shared" si="152"/>
        <v>1.5</v>
      </c>
      <c r="X248" s="151">
        <f t="shared" si="152"/>
        <v>1.5</v>
      </c>
      <c r="Y248" s="151">
        <f t="shared" si="152"/>
        <v>1.5</v>
      </c>
      <c r="Z248" s="151">
        <f t="shared" si="152"/>
        <v>1.5</v>
      </c>
      <c r="AA248" s="151">
        <f t="shared" si="152"/>
        <v>1.5</v>
      </c>
      <c r="AB248" s="151">
        <f t="shared" si="152"/>
        <v>1.5</v>
      </c>
      <c r="AC248" s="151">
        <f t="shared" si="152"/>
        <v>1.5</v>
      </c>
      <c r="AD248" s="151">
        <f t="shared" si="152"/>
        <v>1.5</v>
      </c>
      <c r="AE248" s="151">
        <f t="shared" si="152"/>
        <v>1.5</v>
      </c>
      <c r="AF248" s="151">
        <f t="shared" si="152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150"/>
        <v>0.3</v>
      </c>
      <c r="C249" s="151">
        <v>0.3</v>
      </c>
      <c r="D249" s="151">
        <f t="shared" si="151"/>
        <v>0.3</v>
      </c>
      <c r="E249" s="151">
        <f t="shared" si="151"/>
        <v>0.3</v>
      </c>
      <c r="F249" s="151">
        <f t="shared" si="151"/>
        <v>0.3</v>
      </c>
      <c r="G249" s="151">
        <f t="shared" si="151"/>
        <v>0.3</v>
      </c>
      <c r="H249" s="151">
        <f t="shared" si="151"/>
        <v>0.3</v>
      </c>
      <c r="I249" s="151">
        <f t="shared" si="151"/>
        <v>0.3</v>
      </c>
      <c r="J249" s="151">
        <f t="shared" si="151"/>
        <v>0.3</v>
      </c>
      <c r="K249" s="151">
        <f t="shared" si="151"/>
        <v>0.3</v>
      </c>
      <c r="L249" s="151">
        <f t="shared" si="151"/>
        <v>0.3</v>
      </c>
      <c r="M249" s="151">
        <f t="shared" si="151"/>
        <v>0.3</v>
      </c>
      <c r="N249" s="151">
        <f t="shared" si="151"/>
        <v>0.3</v>
      </c>
      <c r="O249" s="151">
        <f t="shared" si="151"/>
        <v>0.3</v>
      </c>
      <c r="P249" s="151">
        <f t="shared" si="151"/>
        <v>0.3</v>
      </c>
      <c r="Q249" s="151">
        <f t="shared" si="151"/>
        <v>0.3</v>
      </c>
      <c r="R249" s="151">
        <f t="shared" si="151"/>
        <v>0.3</v>
      </c>
      <c r="S249" s="151">
        <f t="shared" si="151"/>
        <v>0.3</v>
      </c>
      <c r="T249" s="151">
        <f t="shared" si="152"/>
        <v>0.3</v>
      </c>
      <c r="U249" s="151">
        <f t="shared" si="152"/>
        <v>0.3</v>
      </c>
      <c r="V249" s="151">
        <f t="shared" si="152"/>
        <v>0.3</v>
      </c>
      <c r="W249" s="151">
        <f t="shared" si="152"/>
        <v>0.3</v>
      </c>
      <c r="X249" s="151">
        <f t="shared" si="152"/>
        <v>0.3</v>
      </c>
      <c r="Y249" s="151">
        <f t="shared" si="152"/>
        <v>0.3</v>
      </c>
      <c r="Z249" s="151">
        <f t="shared" si="152"/>
        <v>0.3</v>
      </c>
      <c r="AA249" s="151">
        <f t="shared" si="152"/>
        <v>0.3</v>
      </c>
      <c r="AB249" s="151">
        <f t="shared" si="152"/>
        <v>0.3</v>
      </c>
      <c r="AC249" s="151">
        <f t="shared" si="152"/>
        <v>0.3</v>
      </c>
      <c r="AD249" s="151">
        <f t="shared" si="152"/>
        <v>0.3</v>
      </c>
      <c r="AE249" s="151">
        <f t="shared" si="152"/>
        <v>0.3</v>
      </c>
      <c r="AF249" s="151">
        <f t="shared" si="152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150"/>
        <v>0.4</v>
      </c>
      <c r="C250" s="151">
        <v>0.4</v>
      </c>
      <c r="D250" s="151">
        <f t="shared" si="151"/>
        <v>0.4</v>
      </c>
      <c r="E250" s="151">
        <f t="shared" si="151"/>
        <v>0.4</v>
      </c>
      <c r="F250" s="151">
        <f t="shared" si="151"/>
        <v>0.4</v>
      </c>
      <c r="G250" s="151">
        <f t="shared" si="151"/>
        <v>0.4</v>
      </c>
      <c r="H250" s="151">
        <f t="shared" si="151"/>
        <v>0.4</v>
      </c>
      <c r="I250" s="151">
        <f t="shared" si="151"/>
        <v>0.4</v>
      </c>
      <c r="J250" s="151">
        <f t="shared" si="151"/>
        <v>0.4</v>
      </c>
      <c r="K250" s="151">
        <f t="shared" si="151"/>
        <v>0.4</v>
      </c>
      <c r="L250" s="151">
        <f t="shared" si="151"/>
        <v>0.4</v>
      </c>
      <c r="M250" s="151">
        <f t="shared" si="151"/>
        <v>0.4</v>
      </c>
      <c r="N250" s="151">
        <f t="shared" si="151"/>
        <v>0.4</v>
      </c>
      <c r="O250" s="151">
        <f t="shared" si="151"/>
        <v>0.4</v>
      </c>
      <c r="P250" s="151">
        <f t="shared" si="151"/>
        <v>0.4</v>
      </c>
      <c r="Q250" s="151">
        <f t="shared" si="151"/>
        <v>0.4</v>
      </c>
      <c r="R250" s="151">
        <f t="shared" si="151"/>
        <v>0.4</v>
      </c>
      <c r="S250" s="151">
        <f t="shared" si="151"/>
        <v>0.4</v>
      </c>
      <c r="T250" s="151">
        <f t="shared" si="152"/>
        <v>0.4</v>
      </c>
      <c r="U250" s="151">
        <f t="shared" si="152"/>
        <v>0.4</v>
      </c>
      <c r="V250" s="151">
        <f t="shared" si="152"/>
        <v>0.4</v>
      </c>
      <c r="W250" s="151">
        <f t="shared" si="152"/>
        <v>0.4</v>
      </c>
      <c r="X250" s="151">
        <f t="shared" si="152"/>
        <v>0.4</v>
      </c>
      <c r="Y250" s="151">
        <f t="shared" si="152"/>
        <v>0.4</v>
      </c>
      <c r="Z250" s="151">
        <f t="shared" si="152"/>
        <v>0.4</v>
      </c>
      <c r="AA250" s="151">
        <f t="shared" si="152"/>
        <v>0.4</v>
      </c>
      <c r="AB250" s="151">
        <f t="shared" si="152"/>
        <v>0.4</v>
      </c>
      <c r="AC250" s="151">
        <f t="shared" si="152"/>
        <v>0.4</v>
      </c>
      <c r="AD250" s="151">
        <f t="shared" si="152"/>
        <v>0.4</v>
      </c>
      <c r="AE250" s="151">
        <f t="shared" si="152"/>
        <v>0.4</v>
      </c>
      <c r="AF250" s="151">
        <f t="shared" si="152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150"/>
        <v>0.64</v>
      </c>
      <c r="C251" s="156">
        <v>0.64</v>
      </c>
      <c r="D251" s="156">
        <f t="shared" si="151"/>
        <v>0.64</v>
      </c>
      <c r="E251" s="156">
        <f t="shared" si="151"/>
        <v>0.64</v>
      </c>
      <c r="F251" s="156">
        <f t="shared" si="151"/>
        <v>0.64</v>
      </c>
      <c r="G251" s="156">
        <f t="shared" si="151"/>
        <v>0.64</v>
      </c>
      <c r="H251" s="156">
        <f t="shared" si="151"/>
        <v>0.64</v>
      </c>
      <c r="I251" s="156">
        <f t="shared" si="151"/>
        <v>0.64</v>
      </c>
      <c r="J251" s="156">
        <f t="shared" si="151"/>
        <v>0.64</v>
      </c>
      <c r="K251" s="156">
        <f t="shared" si="151"/>
        <v>0.64</v>
      </c>
      <c r="L251" s="156">
        <f t="shared" si="151"/>
        <v>0.64</v>
      </c>
      <c r="M251" s="156">
        <f t="shared" si="151"/>
        <v>0.64</v>
      </c>
      <c r="N251" s="156">
        <f t="shared" si="151"/>
        <v>0.64</v>
      </c>
      <c r="O251" s="156">
        <f t="shared" si="151"/>
        <v>0.64</v>
      </c>
      <c r="P251" s="156">
        <f t="shared" si="151"/>
        <v>0.64</v>
      </c>
      <c r="Q251" s="156">
        <f t="shared" si="151"/>
        <v>0.64</v>
      </c>
      <c r="R251" s="156">
        <f t="shared" si="151"/>
        <v>0.64</v>
      </c>
      <c r="S251" s="156">
        <f t="shared" si="151"/>
        <v>0.64</v>
      </c>
      <c r="T251" s="156">
        <f t="shared" si="152"/>
        <v>0.64</v>
      </c>
      <c r="U251" s="156">
        <f t="shared" si="152"/>
        <v>0.64</v>
      </c>
      <c r="V251" s="156">
        <f t="shared" si="152"/>
        <v>0.64</v>
      </c>
      <c r="W251" s="156">
        <f t="shared" si="152"/>
        <v>0.64</v>
      </c>
      <c r="X251" s="156">
        <f t="shared" si="152"/>
        <v>0.64</v>
      </c>
      <c r="Y251" s="156">
        <f t="shared" si="152"/>
        <v>0.64</v>
      </c>
      <c r="Z251" s="156">
        <f t="shared" si="152"/>
        <v>0.64</v>
      </c>
      <c r="AA251" s="156">
        <f t="shared" si="152"/>
        <v>0.64</v>
      </c>
      <c r="AB251" s="156">
        <f t="shared" si="152"/>
        <v>0.64</v>
      </c>
      <c r="AC251" s="156">
        <f t="shared" si="152"/>
        <v>0.64</v>
      </c>
      <c r="AD251" s="156">
        <f t="shared" si="152"/>
        <v>0.64</v>
      </c>
      <c r="AE251" s="156">
        <f t="shared" si="152"/>
        <v>0.64</v>
      </c>
      <c r="AF251" s="156">
        <f t="shared" si="152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153">SUM(B246:B251)</f>
        <v>3.54</v>
      </c>
      <c r="C252" s="160">
        <f t="shared" si="153"/>
        <v>3.54</v>
      </c>
      <c r="D252" s="160">
        <f t="shared" si="153"/>
        <v>3.54</v>
      </c>
      <c r="E252" s="160">
        <f t="shared" si="153"/>
        <v>3.54</v>
      </c>
      <c r="F252" s="160">
        <f t="shared" si="153"/>
        <v>3.54</v>
      </c>
      <c r="G252" s="160">
        <f t="shared" si="153"/>
        <v>3.54</v>
      </c>
      <c r="H252" s="160">
        <f t="shared" si="153"/>
        <v>3.54</v>
      </c>
      <c r="I252" s="160">
        <f t="shared" si="153"/>
        <v>3.54</v>
      </c>
      <c r="J252" s="160">
        <f t="shared" si="153"/>
        <v>3.54</v>
      </c>
      <c r="K252" s="160">
        <f t="shared" si="153"/>
        <v>3.54</v>
      </c>
      <c r="L252" s="160">
        <f t="shared" si="153"/>
        <v>3.54</v>
      </c>
      <c r="M252" s="160">
        <f t="shared" si="153"/>
        <v>3.54</v>
      </c>
      <c r="N252" s="160">
        <f t="shared" si="153"/>
        <v>3.54</v>
      </c>
      <c r="O252" s="160">
        <f t="shared" si="153"/>
        <v>3.54</v>
      </c>
      <c r="P252" s="160">
        <f t="shared" si="153"/>
        <v>3.54</v>
      </c>
      <c r="Q252" s="160">
        <f t="shared" si="153"/>
        <v>3.54</v>
      </c>
      <c r="R252" s="160">
        <f t="shared" si="153"/>
        <v>3.54</v>
      </c>
      <c r="S252" s="160">
        <f t="shared" si="153"/>
        <v>3.54</v>
      </c>
      <c r="T252" s="160">
        <f t="shared" si="153"/>
        <v>3.54</v>
      </c>
      <c r="U252" s="160">
        <f t="shared" si="153"/>
        <v>3.54</v>
      </c>
      <c r="V252" s="160">
        <f t="shared" si="153"/>
        <v>3.54</v>
      </c>
      <c r="W252" s="160">
        <f t="shared" si="153"/>
        <v>3.54</v>
      </c>
      <c r="X252" s="160">
        <f t="shared" si="153"/>
        <v>3.54</v>
      </c>
      <c r="Y252" s="160">
        <f t="shared" si="153"/>
        <v>3.54</v>
      </c>
      <c r="Z252" s="160">
        <f t="shared" si="153"/>
        <v>3.54</v>
      </c>
      <c r="AA252" s="160">
        <f t="shared" si="153"/>
        <v>3.54</v>
      </c>
      <c r="AB252" s="160">
        <f t="shared" si="153"/>
        <v>3.54</v>
      </c>
      <c r="AC252" s="160">
        <f t="shared" si="153"/>
        <v>3.54</v>
      </c>
      <c r="AD252" s="160">
        <f t="shared" si="153"/>
        <v>3.54</v>
      </c>
      <c r="AE252" s="160">
        <f t="shared" si="153"/>
        <v>3.54</v>
      </c>
      <c r="AF252" s="160">
        <f t="shared" si="153"/>
        <v>3.54</v>
      </c>
      <c r="AG252" s="170">
        <f t="shared" si="153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1456.0900000000001</v>
      </c>
      <c r="C256" s="173">
        <f>INDEX(G9:N9,1,MATCH(MAX(G99:N99),G99:N99,0))</f>
        <v>0.33333333333333331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2080/10/14)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2273" priority="90">
      <formula>$AH11=0</formula>
    </cfRule>
  </conditionalFormatting>
  <conditionalFormatting sqref="A132:A253">
    <cfRule type="expression" dxfId="2272" priority="91">
      <formula>$AH132=0</formula>
    </cfRule>
  </conditionalFormatting>
  <conditionalFormatting sqref="B8">
    <cfRule type="expression" dxfId="2271" priority="151">
      <formula>C$9&lt;8/24</formula>
    </cfRule>
    <cfRule type="expression" dxfId="2270" priority="150">
      <formula>AND(C$9&gt;=8/24,C$9&lt;14/24)</formula>
    </cfRule>
    <cfRule type="expression" dxfId="2269" priority="149">
      <formula>AND(C$9&gt;=14/24,C$9&lt;20/24)</formula>
    </cfRule>
    <cfRule type="expression" dxfId="2268" priority="152">
      <formula>C$9&gt;=20/24</formula>
    </cfRule>
  </conditionalFormatting>
  <conditionalFormatting sqref="B11:L15 M13:M15 N13:AF52 B16:M52 D59:G61 D59:D68 B59:C74 H60:L61 D63:L74 D69:AF74 B77:AF99 B9:AF10 B101:AF117 B119:AF137 B244:AF244 B246:B252">
    <cfRule type="expression" dxfId="2267" priority="41">
      <formula>B$9&gt;=20/24</formula>
    </cfRule>
  </conditionalFormatting>
  <conditionalFormatting sqref="B9:AF10 B11:L15 M13:M15 N13:AF52 B16:M52 D59:G61 D59:D68 B59:C74 H60:L61 D63:L74 D69:AF74 B77:AF99 B101:AF117 B119:AF137 B244:AF244 B246:B252">
    <cfRule type="expression" dxfId="2266" priority="42">
      <formula>AND(B$9&gt;=14/24,B$9&lt;20/24)</formula>
    </cfRule>
    <cfRule type="expression" dxfId="2265" priority="43">
      <formula>AND(B$9&gt;=8/24,B$9&lt;14/24)</formula>
    </cfRule>
    <cfRule type="expression" dxfId="2264" priority="44">
      <formula>B$9&lt;8/24</formula>
    </cfRule>
  </conditionalFormatting>
  <conditionalFormatting sqref="B53:AF57">
    <cfRule type="expression" dxfId="2263" priority="53">
      <formula>B$9&lt;8/24</formula>
    </cfRule>
  </conditionalFormatting>
  <conditionalFormatting sqref="D246:AF252">
    <cfRule type="expression" dxfId="2262" priority="137">
      <formula>D$9&lt;8/24</formula>
    </cfRule>
    <cfRule type="expression" dxfId="2261" priority="135">
      <formula>AND(D$9&gt;=14/24,D$9&lt;20/24)</formula>
    </cfRule>
    <cfRule type="expression" dxfId="2260" priority="136">
      <formula>AND(D$9&gt;=8/24,D$9&lt;14/24)</formula>
    </cfRule>
    <cfRule type="expression" dxfId="2259" priority="134">
      <formula>D$9&gt;=20/24</formula>
    </cfRule>
  </conditionalFormatting>
  <conditionalFormatting sqref="E68:L68">
    <cfRule type="expression" dxfId="2258" priority="49">
      <formula>E$9&gt;=20/24</formula>
    </cfRule>
    <cfRule type="expression" dxfId="2257" priority="50">
      <formula>AND(E$9&gt;=14/24,E$9&lt;20/24)</formula>
    </cfRule>
    <cfRule type="expression" dxfId="2256" priority="51">
      <formula>AND(E$9&gt;=8/24,E$9&lt;14/24)</formula>
    </cfRule>
    <cfRule type="expression" dxfId="2255" priority="52">
      <formula>E$9&lt;8/24</formula>
    </cfRule>
  </conditionalFormatting>
  <conditionalFormatting sqref="E63:AA67">
    <cfRule type="expression" dxfId="2254" priority="54">
      <formula>E$9&gt;=20/24</formula>
    </cfRule>
    <cfRule type="expression" dxfId="2253" priority="55">
      <formula>AND(E$9&gt;=14/24,E$9&lt;20/24)</formula>
    </cfRule>
    <cfRule type="expression" dxfId="2252" priority="56">
      <formula>AND(E$9&gt;=8/24,E$9&lt;14/24)</formula>
    </cfRule>
    <cfRule type="expression" dxfId="2251" priority="57">
      <formula>E$9&lt;8/24</formula>
    </cfRule>
  </conditionalFormatting>
  <conditionalFormatting sqref="E59:AF62">
    <cfRule type="expression" dxfId="2250" priority="68">
      <formula>E$9&gt;=20/24</formula>
    </cfRule>
    <cfRule type="expression" dxfId="2249" priority="69">
      <formula>AND(E$9&gt;=14/24,E$9&lt;20/24)</formula>
    </cfRule>
    <cfRule type="expression" dxfId="2248" priority="70">
      <formula>AND(E$9&gt;=8/24,E$9&lt;14/24)</formula>
    </cfRule>
    <cfRule type="expression" dxfId="2247" priority="71">
      <formula>E$9&lt;8/24</formula>
    </cfRule>
  </conditionalFormatting>
  <conditionalFormatting sqref="F63:L65">
    <cfRule type="expression" dxfId="2246" priority="85">
      <formula>F$9&lt;8/24</formula>
    </cfRule>
    <cfRule type="expression" dxfId="2245" priority="84">
      <formula>AND(F$9&gt;=8/24,F$9&lt;14/24)</formula>
    </cfRule>
    <cfRule type="expression" dxfId="2244" priority="83">
      <formula>AND(F$9&gt;=14/24,F$9&lt;20/24)</formula>
    </cfRule>
    <cfRule type="expression" dxfId="2243" priority="82">
      <formula>F$9&gt;=20/24</formula>
    </cfRule>
  </conditionalFormatting>
  <conditionalFormatting sqref="L68:AB68">
    <cfRule type="expression" dxfId="2242" priority="80">
      <formula>AND(L$9&gt;=8/24,L$9&lt;14/24)</formula>
    </cfRule>
    <cfRule type="expression" dxfId="2241" priority="81">
      <formula>L$9&lt;8/24</formula>
    </cfRule>
    <cfRule type="expression" dxfId="2240" priority="78">
      <formula>L$9&gt;=20/24</formula>
    </cfRule>
    <cfRule type="expression" dxfId="2239" priority="79">
      <formula>AND(L$9&gt;=14/24,L$9&lt;20/24)</formula>
    </cfRule>
  </conditionalFormatting>
  <conditionalFormatting sqref="M8 S8 AB8">
    <cfRule type="expression" dxfId="2238" priority="143">
      <formula>N$9&lt;8/24</formula>
    </cfRule>
    <cfRule type="expression" dxfId="2237" priority="142">
      <formula>AND(N$9&gt;=8/24,N$9&lt;14/24)</formula>
    </cfRule>
    <cfRule type="expression" dxfId="2236" priority="141">
      <formula>AND(N$9&gt;=14/24,N$9&lt;20/24)</formula>
    </cfRule>
  </conditionalFormatting>
  <conditionalFormatting sqref="M11:AF12">
    <cfRule type="expression" dxfId="2235" priority="58">
      <formula>M11&gt;$AG11</formula>
    </cfRule>
    <cfRule type="expression" dxfId="2234" priority="62">
      <formula>M$9&lt;8/24</formula>
    </cfRule>
    <cfRule type="expression" dxfId="2233" priority="61">
      <formula>AND(M$9&gt;=8/24,M$9&lt;14/24)</formula>
    </cfRule>
    <cfRule type="expression" dxfId="2232" priority="59">
      <formula>M$9&gt;=20/24</formula>
    </cfRule>
    <cfRule type="expression" dxfId="2231" priority="60">
      <formula>AND(M$9&gt;=14/24,M$9&lt;20/24)</formula>
    </cfRule>
  </conditionalFormatting>
  <conditionalFormatting sqref="N13:AF56 D17:M57 B17:C80 B11:L15 M13:M15 B16:M16 N57:R57 AB57:AF61 S57:AA80 D58:R80 AB62:AG62 AB63:AF80 AG80">
    <cfRule type="expression" dxfId="2230" priority="40">
      <formula>B11&gt;$AG11</formula>
    </cfRule>
  </conditionalFormatting>
  <conditionalFormatting sqref="N53:AF55 B53:M57">
    <cfRule type="expression" dxfId="2229" priority="37">
      <formula>B$9&gt;=20/24</formula>
    </cfRule>
    <cfRule type="expression" dxfId="2228" priority="38">
      <formula>AND(B$9&gt;=14/24,B$9&lt;20/24)</formula>
    </cfRule>
    <cfRule type="expression" dxfId="2227" priority="39">
      <formula>AND(B$9&gt;=8/24,B$9&lt;14/24)</formula>
    </cfRule>
  </conditionalFormatting>
  <conditionalFormatting sqref="N56:AF57">
    <cfRule type="expression" dxfId="2226" priority="48">
      <formula>AND(N$9&gt;=8/24,N$9&lt;14/24)</formula>
    </cfRule>
    <cfRule type="expression" dxfId="2225" priority="46">
      <formula>N$9&gt;=20/24</formula>
    </cfRule>
    <cfRule type="expression" dxfId="2224" priority="47">
      <formula>AND(N$9&gt;=14/24,N$9&lt;20/24)</formula>
    </cfRule>
  </conditionalFormatting>
  <conditionalFormatting sqref="O3:P3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223" priority="140">
      <formula>N$9&gt;=20/24</formula>
    </cfRule>
  </conditionalFormatting>
  <conditionalFormatting sqref="S8">
    <cfRule type="expression" dxfId="2222" priority="130">
      <formula>U$9&lt;8/24</formula>
    </cfRule>
    <cfRule type="expression" dxfId="2221" priority="129">
      <formula>AND(U$9&gt;=8/24,U$9&lt;14/24)</formula>
    </cfRule>
    <cfRule type="expression" dxfId="2220" priority="128">
      <formula>AND(U$9&gt;=14/24,U$9&lt;20/24)</formula>
    </cfRule>
    <cfRule type="expression" dxfId="2219" priority="127">
      <formula>U$9&gt;=20/24</formula>
    </cfRule>
  </conditionalFormatting>
  <conditionalFormatting sqref="V3 AB3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218" priority="126">
      <formula>AD$9&lt;8/24</formula>
    </cfRule>
    <cfRule type="expression" dxfId="2217" priority="125">
      <formula>AND(AD$9&gt;=8/24,AD$9&lt;14/24)</formula>
    </cfRule>
    <cfRule type="expression" dxfId="2216" priority="124">
      <formula>AND(AD$9&gt;=14/24,AD$9&lt;20/24)</formula>
    </cfRule>
    <cfRule type="expression" dxfId="2215" priority="123">
      <formula>AD$9&gt;=20/24</formula>
    </cfRule>
  </conditionalFormatting>
  <conditionalFormatting sqref="AB66:AB67">
    <cfRule type="expression" dxfId="2214" priority="86">
      <formula>AB$9&gt;=20/24</formula>
    </cfRule>
    <cfRule type="expression" dxfId="2213" priority="87">
      <formula>AND(AB$9&gt;=14/24,AB$9&lt;20/24)</formula>
    </cfRule>
    <cfRule type="expression" dxfId="2212" priority="88">
      <formula>AND(AB$9&gt;=8/24,AB$9&lt;14/24)</formula>
    </cfRule>
    <cfRule type="expression" dxfId="2211" priority="89">
      <formula>AB$9&lt;8/24</formula>
    </cfRule>
  </conditionalFormatting>
  <conditionalFormatting sqref="AB63:AF68">
    <cfRule type="expression" dxfId="2210" priority="73">
      <formula>AND(AB$9&gt;=14/24,AB$9&lt;20/24)</formula>
    </cfRule>
    <cfRule type="expression" dxfId="2209" priority="72">
      <formula>AB$9&gt;=20/24</formula>
    </cfRule>
    <cfRule type="expression" dxfId="2208" priority="75">
      <formula>AB$9&lt;8/24</formula>
    </cfRule>
    <cfRule type="expression" dxfId="2207" priority="74">
      <formula>AND(AB$9&gt;=8/24,AB$9&lt;14/24)</formula>
    </cfRule>
  </conditionalFormatting>
  <conditionalFormatting sqref="AG58">
    <cfRule type="expression" dxfId="2206" priority="118">
      <formula>AG58&gt;$AG58</formula>
    </cfRule>
  </conditionalFormatting>
  <conditionalFormatting sqref="AG62">
    <cfRule type="expression" dxfId="2205" priority="101">
      <formula>AG$9&gt;=20/24</formula>
    </cfRule>
    <cfRule type="expression" dxfId="2204" priority="104">
      <formula>AG$9&lt;8/24</formula>
    </cfRule>
    <cfRule type="expression" dxfId="2203" priority="103">
      <formula>AND(AG$9&gt;=8/24,AG$9&lt;14/24)</formula>
    </cfRule>
    <cfRule type="expression" dxfId="2202" priority="102">
      <formula>AND(AG$9&gt;=14/24,AG$9&lt;20/24)</formula>
    </cfRule>
  </conditionalFormatting>
  <conditionalFormatting sqref="AG75:AG76">
    <cfRule type="expression" dxfId="2201" priority="96">
      <formula>AG75&gt;$AG75</formula>
    </cfRule>
  </conditionalFormatting>
  <conditionalFormatting sqref="AG80">
    <cfRule type="expression" dxfId="2200" priority="100">
      <formula>AG$9&lt;8/24</formula>
    </cfRule>
    <cfRule type="expression" dxfId="2199" priority="97">
      <formula>AG$9&gt;=20/24</formula>
    </cfRule>
    <cfRule type="expression" dxfId="2198" priority="98">
      <formula>AND(AG$9&gt;=14/24,AG$9&lt;20/24)</formula>
    </cfRule>
    <cfRule type="expression" dxfId="2197" priority="99">
      <formula>AND(AG$9&gt;=8/24,AG$9&lt;14/24)</formula>
    </cfRule>
  </conditionalFormatting>
  <conditionalFormatting sqref="AG97">
    <cfRule type="expression" dxfId="2196" priority="122">
      <formula>AG$9&lt;8/24</formula>
    </cfRule>
    <cfRule type="expression" dxfId="2195" priority="119">
      <formula>AG$9&gt;=20/24</formula>
    </cfRule>
    <cfRule type="expression" dxfId="2194" priority="120">
      <formula>AND(AG$9&gt;=14/24,AG$9&lt;20/24)</formula>
    </cfRule>
    <cfRule type="expression" dxfId="2193" priority="121">
      <formula>AND(AG$9&gt;=8/24,AG$9&lt;14/24)</formula>
    </cfRule>
  </conditionalFormatting>
  <conditionalFormatting sqref="AL4:AL6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192" priority="147">
      <formula>AJ$9&lt;8/24</formula>
    </cfRule>
    <cfRule type="expression" dxfId="2191" priority="146">
      <formula>AND(AJ$9&gt;=8/24,AJ$9&lt;14/24)</formula>
    </cfRule>
    <cfRule type="expression" dxfId="2190" priority="144">
      <formula>AJ$9&gt;=20/24</formula>
    </cfRule>
    <cfRule type="expression" dxfId="2189" priority="145">
      <formula>AND(AJ$9&gt;=14/24,AJ$9&lt;20/24)</formula>
    </cfRule>
  </conditionalFormatting>
  <conditionalFormatting sqref="AL88:AN88 AL94:AN94">
    <cfRule type="expression" dxfId="2188" priority="113">
      <formula>AND(AL$9&gt;=8/24,AL$9&lt;14/24)</formula>
    </cfRule>
    <cfRule type="expression" dxfId="2187" priority="114">
      <formula>AL$9&lt;8/24</formula>
    </cfRule>
    <cfRule type="expression" dxfId="2186" priority="111">
      <formula>AL$9&gt;=20/24</formula>
    </cfRule>
    <cfRule type="expression" dxfId="2185" priority="112">
      <formula>AND(AL$9&gt;=14/24,AL$9&lt;20/24)</formula>
    </cfRule>
  </conditionalFormatting>
  <conditionalFormatting sqref="AM15:AM21 AN16:AR21">
    <cfRule type="expression" dxfId="2184" priority="13">
      <formula>AX$9&gt;=20/24</formula>
    </cfRule>
    <cfRule type="expression" dxfId="2183" priority="14">
      <formula>AND(AX$9&gt;=14/24,AX$9&lt;20/24)</formula>
    </cfRule>
    <cfRule type="expression" dxfId="2182" priority="16">
      <formula>AX$9&lt;8/24</formula>
    </cfRule>
    <cfRule type="expression" dxfId="2181" priority="15">
      <formula>AND(AX$9&gt;=8/24,AX$9&lt;14/24)</formula>
    </cfRule>
  </conditionalFormatting>
  <conditionalFormatting sqref="AN89:AN92">
    <cfRule type="expression" dxfId="2180" priority="107">
      <formula>AN$9&gt;=20/24</formula>
    </cfRule>
    <cfRule type="expression" dxfId="2179" priority="110">
      <formula>AN$9&lt;8/24</formula>
    </cfRule>
    <cfRule type="expression" dxfId="2178" priority="109">
      <formula>AND(AN$9&gt;=8/24,AN$9&lt;14/24)</formula>
    </cfRule>
    <cfRule type="expression" dxfId="2177" priority="108">
      <formula>AND(AN$9&gt;=14/24,AN$9&lt;20/24)</formula>
    </cfRule>
  </conditionalFormatting>
  <conditionalFormatting sqref="AN15:AR15">
    <cfRule type="expression" dxfId="2176" priority="2">
      <formula>AND(U$9&gt;=14/24,U$9&lt;20/24)</formula>
    </cfRule>
    <cfRule type="expression" dxfId="2175" priority="3">
      <formula>AND(U$9&gt;=8/24,U$9&lt;14/24)</formula>
    </cfRule>
    <cfRule type="expression" dxfId="2174" priority="4">
      <formula>U$9&lt;8/24</formula>
    </cfRule>
    <cfRule type="expression" dxfId="2173" priority="1">
      <formula>U$9&gt;=20/24</formula>
    </cfRule>
  </conditionalFormatting>
  <conditionalFormatting sqref="AS15">
    <cfRule type="expression" dxfId="2172" priority="10">
      <formula>AND(AA$9&gt;=14/24,AA$9&lt;20/24)</formula>
    </cfRule>
    <cfRule type="expression" dxfId="2171" priority="9">
      <formula>AA$9&gt;=20/24</formula>
    </cfRule>
    <cfRule type="expression" dxfId="2170" priority="11">
      <formula>AND(AA$9&gt;=8/24,AA$9&lt;14/24)</formula>
    </cfRule>
    <cfRule type="expression" dxfId="2169" priority="12">
      <formula>AA$9&lt;8/24</formula>
    </cfRule>
  </conditionalFormatting>
  <conditionalFormatting sqref="AS16:AS21">
    <cfRule type="expression" dxfId="2168" priority="17">
      <formula>BE$9&gt;=20/24</formula>
    </cfRule>
    <cfRule type="expression" dxfId="2167" priority="20">
      <formula>BE$9&lt;8/24</formula>
    </cfRule>
    <cfRule type="expression" dxfId="2166" priority="18">
      <formula>AND(BE$9&gt;=14/24,BE$9&lt;20/24)</formula>
    </cfRule>
    <cfRule type="expression" dxfId="2165" priority="19">
      <formula>AND(BE$9&gt;=8/24,BE$9&lt;14/24)</formula>
    </cfRule>
  </conditionalFormatting>
  <conditionalFormatting sqref="AT15 AX15">
    <cfRule type="expression" dxfId="2164" priority="22">
      <formula>AND(AC$9&gt;=14/24,AC$9&lt;20/24)</formula>
    </cfRule>
    <cfRule type="expression" dxfId="2163" priority="21">
      <formula>AC$9&gt;=20/24</formula>
    </cfRule>
    <cfRule type="expression" dxfId="2162" priority="24">
      <formula>AC$9&lt;8/24</formula>
    </cfRule>
    <cfRule type="expression" dxfId="2161" priority="23">
      <formula>AND(AC$9&gt;=8/24,AC$9&lt;14/24)</formula>
    </cfRule>
  </conditionalFormatting>
  <conditionalFormatting sqref="AT16:AT21">
    <cfRule type="expression" dxfId="2160" priority="28">
      <formula>BG$9&lt;8/24</formula>
    </cfRule>
    <cfRule type="expression" dxfId="2159" priority="25">
      <formula>BG$9&gt;=20/24</formula>
    </cfRule>
    <cfRule type="expression" dxfId="2158" priority="26">
      <formula>AND(BG$9&gt;=14/24,BG$9&lt;20/24)</formula>
    </cfRule>
    <cfRule type="expression" dxfId="2157" priority="27">
      <formula>AND(BG$9&gt;=8/24,BG$9&lt;14/24)</formula>
    </cfRule>
  </conditionalFormatting>
  <conditionalFormatting sqref="AU15:AV15">
    <cfRule type="expression" dxfId="2156" priority="32">
      <formula>AE$9&lt;8/24</formula>
    </cfRule>
    <cfRule type="expression" dxfId="2155" priority="31">
      <formula>AND(AE$9&gt;=8/24,AE$9&lt;14/24)</formula>
    </cfRule>
    <cfRule type="expression" dxfId="2154" priority="30">
      <formula>AND(AE$9&gt;=14/24,AE$9&lt;20/24)</formula>
    </cfRule>
    <cfRule type="expression" dxfId="2153" priority="29">
      <formula>AE$9&gt;=20/24</formula>
    </cfRule>
  </conditionalFormatting>
  <conditionalFormatting sqref="AU16:AX21">
    <cfRule type="expression" dxfId="2152" priority="36">
      <formula>BI$9&lt;8/24</formula>
    </cfRule>
    <cfRule type="expression" dxfId="2151" priority="35">
      <formula>AND(BI$9&gt;=8/24,BI$9&lt;14/24)</formula>
    </cfRule>
    <cfRule type="expression" dxfId="2150" priority="33">
      <formula>BI$9&gt;=20/24</formula>
    </cfRule>
    <cfRule type="expression" dxfId="2149" priority="34">
      <formula>AND(BI$9&gt;=14/24,BI$9&lt;20/24)</formula>
    </cfRule>
  </conditionalFormatting>
  <conditionalFormatting sqref="AW15">
    <cfRule type="expression" dxfId="2148" priority="5">
      <formula>B$9&gt;=20/24</formula>
    </cfRule>
    <cfRule type="expression" dxfId="2147" priority="6">
      <formula>AND(B$9&gt;=14/24,B$9&lt;20/24)</formula>
    </cfRule>
    <cfRule type="expression" dxfId="2146" priority="7">
      <formula>AND(B$9&gt;=8/24,B$9&lt;14/24)</formula>
    </cfRule>
    <cfRule type="expression" dxfId="2145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F2F26-FFCF-44EB-A782-E7FE5C44A349}">
  <sheetPr codeName="Sheet16"/>
  <dimension ref="A1:CJ294"/>
  <sheetViews>
    <sheetView zoomScale="106" workbookViewId="0">
      <pane xSplit="1" ySplit="10" topLeftCell="B73" activePane="bottomRight" state="frozen"/>
      <selection activeCell="Z63" sqref="Z63"/>
      <selection pane="topRight" activeCell="Z63" sqref="Z63"/>
      <selection pane="bottomLeft" activeCell="Z63" sqref="Z63"/>
      <selection pane="bottomRight" activeCell="AF9" sqref="AF9:AF10"/>
    </sheetView>
  </sheetViews>
  <sheetFormatPr defaultColWidth="9.140625" defaultRowHeight="15" x14ac:dyDescent="0.25"/>
  <cols>
    <col min="1" max="1" width="35.28515625" style="1" bestFit="1" customWidth="1"/>
    <col min="2" max="2" width="7.42578125" style="1" bestFit="1" customWidth="1"/>
    <col min="3" max="3" width="7.85546875" style="1" customWidth="1"/>
    <col min="4" max="4" width="7" style="1" customWidth="1"/>
    <col min="5" max="7" width="7.42578125" style="1" bestFit="1" customWidth="1"/>
    <col min="8" max="8" width="6.42578125" style="1" bestFit="1" customWidth="1"/>
    <col min="9" max="9" width="7.42578125" style="1" bestFit="1" customWidth="1"/>
    <col min="10" max="10" width="6.28515625" style="1" bestFit="1" customWidth="1"/>
    <col min="11" max="11" width="7.42578125" style="1" bestFit="1" customWidth="1"/>
    <col min="12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2080/10/15</v>
      </c>
      <c r="C4" s="214"/>
      <c r="D4" s="214"/>
      <c r="E4" s="215" t="str">
        <f ca="1">"2080/"&amp;"10/"&amp;INT(MID(CELL("filename",G6),FIND("]",CELL("filename",G6))+1,200))</f>
        <v>2080/10/15</v>
      </c>
      <c r="F4" s="215"/>
      <c r="G4" s="215"/>
      <c r="H4" s="215" t="str">
        <f ca="1">TEXT(E4,"dddd")</f>
        <v>Tuesday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475.9</v>
      </c>
      <c r="C5" s="30">
        <f t="shared" ref="C5:AE5" si="0">D92</f>
        <v>524.9</v>
      </c>
      <c r="D5" s="30">
        <f t="shared" si="0"/>
        <v>553.79999999999995</v>
      </c>
      <c r="E5" s="30">
        <f t="shared" si="0"/>
        <v>544.70000000000005</v>
      </c>
      <c r="F5" s="30">
        <f t="shared" si="0"/>
        <v>564.1</v>
      </c>
      <c r="G5" s="30">
        <f t="shared" si="0"/>
        <v>560.9</v>
      </c>
      <c r="H5" s="30">
        <f t="shared" si="0"/>
        <v>531.5</v>
      </c>
      <c r="I5" s="30">
        <f t="shared" si="0"/>
        <v>533.1</v>
      </c>
      <c r="J5" s="30">
        <f t="shared" si="0"/>
        <v>416.8</v>
      </c>
      <c r="K5" s="30">
        <f t="shared" si="0"/>
        <v>436.6</v>
      </c>
      <c r="L5" s="30">
        <f t="shared" si="0"/>
        <v>378.7</v>
      </c>
      <c r="M5" s="30">
        <f t="shared" si="0"/>
        <v>422.40000000000003</v>
      </c>
      <c r="N5" s="30">
        <f t="shared" si="0"/>
        <v>569.4</v>
      </c>
      <c r="O5" s="30">
        <f t="shared" si="0"/>
        <v>616.29999999999995</v>
      </c>
      <c r="P5" s="30">
        <f t="shared" si="0"/>
        <v>621.1</v>
      </c>
      <c r="Q5" s="30">
        <f t="shared" si="0"/>
        <v>635.5</v>
      </c>
      <c r="R5" s="30">
        <f t="shared" si="0"/>
        <v>644.4</v>
      </c>
      <c r="S5" s="30">
        <f t="shared" si="0"/>
        <v>646.5</v>
      </c>
      <c r="T5" s="30">
        <f t="shared" si="0"/>
        <v>664.9</v>
      </c>
      <c r="U5" s="30">
        <f t="shared" si="0"/>
        <v>615.29999999999995</v>
      </c>
      <c r="V5" s="30">
        <f t="shared" si="0"/>
        <v>636.6</v>
      </c>
      <c r="W5" s="30">
        <f t="shared" si="0"/>
        <v>488.09999999999997</v>
      </c>
      <c r="X5" s="30">
        <f t="shared" si="0"/>
        <v>462.2</v>
      </c>
      <c r="Y5" s="30">
        <f t="shared" si="0"/>
        <v>313</v>
      </c>
      <c r="Z5" s="30">
        <f t="shared" si="0"/>
        <v>336.3</v>
      </c>
      <c r="AA5" s="30">
        <f t="shared" si="0"/>
        <v>305.2</v>
      </c>
      <c r="AB5" s="30">
        <f t="shared" si="0"/>
        <v>412.4</v>
      </c>
      <c r="AC5" s="30">
        <f t="shared" si="0"/>
        <v>492</v>
      </c>
      <c r="AD5" s="30">
        <f t="shared" si="0"/>
        <v>457</v>
      </c>
      <c r="AE5" s="30">
        <f t="shared" si="0"/>
        <v>442.1</v>
      </c>
      <c r="AF5" s="30">
        <f>B92</f>
        <v>433.8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1436MW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Load=1125</v>
      </c>
      <c r="B7" s="35">
        <f>B100</f>
        <v>1211.49</v>
      </c>
      <c r="C7" s="35">
        <f t="shared" ref="C7:AF7" si="1">C100</f>
        <v>1179.5899999999999</v>
      </c>
      <c r="D7" s="35">
        <f t="shared" si="1"/>
        <v>1125.3899999999999</v>
      </c>
      <c r="E7" s="35">
        <f t="shared" si="1"/>
        <v>1154.29</v>
      </c>
      <c r="F7" s="35">
        <f t="shared" si="1"/>
        <v>1145.19</v>
      </c>
      <c r="G7" s="35">
        <f t="shared" si="1"/>
        <v>1174.5900000000001</v>
      </c>
      <c r="H7" s="35">
        <f t="shared" si="1"/>
        <v>1240.29</v>
      </c>
      <c r="I7" s="35">
        <f t="shared" si="1"/>
        <v>1261.5900000000001</v>
      </c>
      <c r="J7" s="35">
        <f t="shared" si="1"/>
        <v>1320.9900000000002</v>
      </c>
      <c r="K7" s="35">
        <f t="shared" si="1"/>
        <v>1402.79</v>
      </c>
      <c r="L7" s="35">
        <f t="shared" si="1"/>
        <v>1348.49</v>
      </c>
      <c r="M7" s="35">
        <f t="shared" si="1"/>
        <v>1435.99</v>
      </c>
      <c r="N7" s="35">
        <f t="shared" si="1"/>
        <v>1380.69</v>
      </c>
      <c r="O7" s="35">
        <f t="shared" si="1"/>
        <v>1318.29</v>
      </c>
      <c r="P7" s="35">
        <f t="shared" si="1"/>
        <v>1365.8899999999999</v>
      </c>
      <c r="Q7" s="35">
        <f t="shared" si="1"/>
        <v>1325.69</v>
      </c>
      <c r="R7" s="35">
        <f t="shared" si="1"/>
        <v>1325.49</v>
      </c>
      <c r="S7" s="35">
        <f t="shared" si="1"/>
        <v>1337.29</v>
      </c>
      <c r="T7" s="35">
        <f t="shared" si="1"/>
        <v>1397.3899999999999</v>
      </c>
      <c r="U7" s="35">
        <f t="shared" si="1"/>
        <v>1459.4899999999998</v>
      </c>
      <c r="V7" s="35">
        <f t="shared" si="1"/>
        <v>1383.29</v>
      </c>
      <c r="W7" s="35">
        <f t="shared" si="1"/>
        <v>1413.99</v>
      </c>
      <c r="X7" s="35">
        <f t="shared" si="1"/>
        <v>1307.79</v>
      </c>
      <c r="Y7" s="35">
        <f t="shared" si="1"/>
        <v>1383.19</v>
      </c>
      <c r="Z7" s="35">
        <f t="shared" si="1"/>
        <v>1711.45</v>
      </c>
      <c r="AA7" s="35">
        <f t="shared" si="1"/>
        <v>1636.7900000000002</v>
      </c>
      <c r="AB7" s="35">
        <f t="shared" si="1"/>
        <v>1559.89</v>
      </c>
      <c r="AC7" s="35">
        <f t="shared" si="1"/>
        <v>1534.0300000000002</v>
      </c>
      <c r="AD7" s="35">
        <f t="shared" si="1"/>
        <v>1514.5900000000001</v>
      </c>
      <c r="AE7" s="35">
        <f t="shared" si="1"/>
        <v>1339.59</v>
      </c>
      <c r="AF7" s="35">
        <f t="shared" si="1"/>
        <v>1241.8899999999999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1435.99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1435.99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26.7</v>
      </c>
      <c r="C11" s="46">
        <v>26.7</v>
      </c>
      <c r="D11" s="46">
        <v>26.7</v>
      </c>
      <c r="E11" s="46">
        <v>26.7</v>
      </c>
      <c r="F11" s="46">
        <v>26.7</v>
      </c>
      <c r="G11" s="46">
        <v>26.7</v>
      </c>
      <c r="H11" s="46">
        <v>26.7</v>
      </c>
      <c r="I11" s="46">
        <v>26.7</v>
      </c>
      <c r="J11" s="46">
        <v>26.7</v>
      </c>
      <c r="K11" s="46">
        <v>28.9</v>
      </c>
      <c r="L11" s="46">
        <v>28.9</v>
      </c>
      <c r="M11" s="46">
        <v>28.3</v>
      </c>
      <c r="N11" s="46">
        <v>28.4</v>
      </c>
      <c r="O11" s="46">
        <v>28.4</v>
      </c>
      <c r="P11" s="46">
        <v>28.4</v>
      </c>
      <c r="Q11" s="46">
        <v>28.4</v>
      </c>
      <c r="R11" s="46">
        <v>27.3</v>
      </c>
      <c r="S11" s="46">
        <v>27.3</v>
      </c>
      <c r="T11" s="46">
        <v>27.3</v>
      </c>
      <c r="U11" s="46">
        <v>27.3</v>
      </c>
      <c r="V11" s="46">
        <v>27.3</v>
      </c>
      <c r="W11" s="46">
        <v>27.3</v>
      </c>
      <c r="X11" s="46">
        <v>27.3</v>
      </c>
      <c r="Y11" s="46">
        <v>27.3</v>
      </c>
      <c r="Z11" s="46">
        <v>27.3</v>
      </c>
      <c r="AA11" s="46">
        <v>27.3</v>
      </c>
      <c r="AB11" s="46">
        <v>27.6</v>
      </c>
      <c r="AC11" s="46">
        <v>27.6</v>
      </c>
      <c r="AD11" s="46">
        <v>27.6</v>
      </c>
      <c r="AE11" s="46">
        <v>27.6</v>
      </c>
      <c r="AF11" s="46">
        <v>27.6</v>
      </c>
      <c r="AG11" s="47">
        <v>86</v>
      </c>
      <c r="AH11" s="48">
        <f t="shared" ref="AH11:AH16" si="2">MAX(B11:AF11)</f>
        <v>28.9</v>
      </c>
      <c r="AI11" s="49">
        <f t="shared" ref="AI11:AI16" si="3">MIN(B11:AF11)</f>
        <v>26.7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10</v>
      </c>
      <c r="C12" s="46">
        <v>10</v>
      </c>
      <c r="D12" s="46">
        <v>10</v>
      </c>
      <c r="E12" s="46">
        <v>10</v>
      </c>
      <c r="F12" s="46">
        <v>10</v>
      </c>
      <c r="G12" s="46">
        <v>10</v>
      </c>
      <c r="H12" s="46">
        <v>10</v>
      </c>
      <c r="I12" s="46">
        <v>10</v>
      </c>
      <c r="J12" s="46">
        <v>10</v>
      </c>
      <c r="K12" s="46">
        <v>10</v>
      </c>
      <c r="L12" s="46">
        <v>10</v>
      </c>
      <c r="M12" s="46">
        <v>10</v>
      </c>
      <c r="N12" s="46">
        <v>10</v>
      </c>
      <c r="O12" s="46">
        <v>10</v>
      </c>
      <c r="P12" s="46">
        <v>10</v>
      </c>
      <c r="Q12" s="46">
        <v>10</v>
      </c>
      <c r="R12" s="46">
        <v>10</v>
      </c>
      <c r="S12" s="46">
        <v>10</v>
      </c>
      <c r="T12" s="46">
        <v>10</v>
      </c>
      <c r="U12" s="46">
        <v>10</v>
      </c>
      <c r="V12" s="46">
        <v>10</v>
      </c>
      <c r="W12" s="46">
        <v>10</v>
      </c>
      <c r="X12" s="46">
        <v>10</v>
      </c>
      <c r="Y12" s="46">
        <v>10</v>
      </c>
      <c r="Z12" s="46">
        <v>10</v>
      </c>
      <c r="AA12" s="46">
        <v>10</v>
      </c>
      <c r="AB12" s="46">
        <v>10</v>
      </c>
      <c r="AC12" s="46">
        <v>10</v>
      </c>
      <c r="AD12" s="46">
        <v>10</v>
      </c>
      <c r="AE12" s="46">
        <v>10</v>
      </c>
      <c r="AF12" s="46">
        <v>10</v>
      </c>
      <c r="AG12" s="50">
        <v>54</v>
      </c>
      <c r="AH12" s="48">
        <f t="shared" si="2"/>
        <v>10</v>
      </c>
      <c r="AI12" s="49">
        <f t="shared" si="3"/>
        <v>10</v>
      </c>
      <c r="AK12" s="51"/>
      <c r="AL12" s="52" t="str">
        <f ca="1">MID(CELL("filename",C7),FIND("]",CELL("filename",C7))+1,600)</f>
        <v>15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10.199999999999999</v>
      </c>
      <c r="C13" s="46">
        <v>10.199999999999999</v>
      </c>
      <c r="D13" s="46">
        <v>10.199999999999999</v>
      </c>
      <c r="E13" s="46">
        <v>10.199999999999999</v>
      </c>
      <c r="F13" s="46">
        <v>10.199999999999999</v>
      </c>
      <c r="G13" s="46">
        <v>10.199999999999999</v>
      </c>
      <c r="H13" s="46">
        <v>10.199999999999999</v>
      </c>
      <c r="I13" s="46">
        <v>10.199999999999999</v>
      </c>
      <c r="J13" s="46">
        <v>10.199999999999999</v>
      </c>
      <c r="K13" s="46">
        <v>10.199999999999999</v>
      </c>
      <c r="L13" s="46">
        <v>10.199999999999999</v>
      </c>
      <c r="M13" s="46">
        <v>10</v>
      </c>
      <c r="N13" s="46">
        <v>10</v>
      </c>
      <c r="O13" s="46">
        <v>10</v>
      </c>
      <c r="P13" s="46">
        <v>10</v>
      </c>
      <c r="Q13" s="46">
        <v>10</v>
      </c>
      <c r="R13" s="46">
        <v>10</v>
      </c>
      <c r="S13" s="46">
        <v>10</v>
      </c>
      <c r="T13" s="46">
        <v>10</v>
      </c>
      <c r="U13" s="46">
        <v>10</v>
      </c>
      <c r="V13" s="46">
        <v>10</v>
      </c>
      <c r="W13" s="46">
        <v>10</v>
      </c>
      <c r="X13" s="46">
        <v>10</v>
      </c>
      <c r="Y13" s="46">
        <v>10</v>
      </c>
      <c r="Z13" s="46">
        <v>10</v>
      </c>
      <c r="AA13" s="46">
        <v>10</v>
      </c>
      <c r="AB13" s="46">
        <v>12.9</v>
      </c>
      <c r="AC13" s="46">
        <v>12.9</v>
      </c>
      <c r="AD13" s="46">
        <v>12.9</v>
      </c>
      <c r="AE13" s="46">
        <v>12.9</v>
      </c>
      <c r="AF13" s="46">
        <v>12.9</v>
      </c>
      <c r="AG13" s="50">
        <v>54</v>
      </c>
      <c r="AH13" s="48">
        <f t="shared" si="2"/>
        <v>12.9</v>
      </c>
      <c r="AI13" s="49">
        <f t="shared" si="3"/>
        <v>10</v>
      </c>
      <c r="AK13" s="51"/>
      <c r="AL13" s="52" t="str">
        <f ca="1">"Daily Load Curve(Excluding of Export) of Nepal ("&amp;A4&amp;" "&amp;B4&amp;")"</f>
        <v>Daily Load Curve(Excluding of Export) of Nepal (Nepali Date: 2080/10/15)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14.4</v>
      </c>
      <c r="C14" s="46">
        <v>14.4</v>
      </c>
      <c r="D14" s="46">
        <v>14.4</v>
      </c>
      <c r="E14" s="46">
        <v>14.4</v>
      </c>
      <c r="F14" s="46">
        <v>14.4</v>
      </c>
      <c r="G14" s="46">
        <v>14.4</v>
      </c>
      <c r="H14" s="46">
        <v>14.4</v>
      </c>
      <c r="I14" s="46">
        <v>14.4</v>
      </c>
      <c r="J14" s="46">
        <v>14.4</v>
      </c>
      <c r="K14" s="46">
        <v>17.600000000000001</v>
      </c>
      <c r="L14" s="46">
        <v>17.600000000000001</v>
      </c>
      <c r="M14" s="46">
        <v>17.5</v>
      </c>
      <c r="N14" s="46">
        <v>17.5</v>
      </c>
      <c r="O14" s="46">
        <v>17.5</v>
      </c>
      <c r="P14" s="46">
        <v>17.5</v>
      </c>
      <c r="Q14" s="46">
        <v>17.5</v>
      </c>
      <c r="R14" s="46">
        <v>17.5</v>
      </c>
      <c r="S14" s="46">
        <v>17.5</v>
      </c>
      <c r="T14" s="46">
        <v>17.5</v>
      </c>
      <c r="U14" s="46">
        <v>17.5</v>
      </c>
      <c r="V14" s="46">
        <v>17.5</v>
      </c>
      <c r="W14" s="46">
        <v>17.5</v>
      </c>
      <c r="X14" s="46">
        <v>17.5</v>
      </c>
      <c r="Y14" s="46">
        <v>17.5</v>
      </c>
      <c r="Z14" s="46">
        <v>17.5</v>
      </c>
      <c r="AA14" s="46">
        <v>17.5</v>
      </c>
      <c r="AB14" s="46">
        <v>14.8</v>
      </c>
      <c r="AC14" s="46">
        <v>14.8</v>
      </c>
      <c r="AD14" s="46">
        <v>14.8</v>
      </c>
      <c r="AE14" s="46">
        <v>14.8</v>
      </c>
      <c r="AF14" s="46">
        <v>14.8</v>
      </c>
      <c r="AG14" s="47">
        <v>52.4</v>
      </c>
      <c r="AH14" s="48">
        <f t="shared" si="2"/>
        <v>17.600000000000001</v>
      </c>
      <c r="AI14" s="49">
        <f t="shared" si="3"/>
        <v>14.4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28.5</v>
      </c>
      <c r="C15" s="46">
        <v>28.5</v>
      </c>
      <c r="D15" s="46">
        <v>28.5</v>
      </c>
      <c r="E15" s="46">
        <v>28.5</v>
      </c>
      <c r="F15" s="46">
        <v>28.5</v>
      </c>
      <c r="G15" s="46">
        <v>28.5</v>
      </c>
      <c r="H15" s="46">
        <v>28.5</v>
      </c>
      <c r="I15" s="46">
        <v>29.9</v>
      </c>
      <c r="J15" s="46">
        <v>29.9</v>
      </c>
      <c r="K15" s="46">
        <v>29.9</v>
      </c>
      <c r="L15" s="46">
        <v>29.9</v>
      </c>
      <c r="M15" s="46">
        <v>29.8</v>
      </c>
      <c r="N15" s="46">
        <v>29.8</v>
      </c>
      <c r="O15" s="46">
        <v>29.8</v>
      </c>
      <c r="P15" s="46">
        <v>29.8</v>
      </c>
      <c r="Q15" s="46">
        <v>29.8</v>
      </c>
      <c r="R15" s="46">
        <v>29.8</v>
      </c>
      <c r="S15" s="46">
        <v>29.8</v>
      </c>
      <c r="T15" s="46">
        <v>29.8</v>
      </c>
      <c r="U15" s="46">
        <v>29.8</v>
      </c>
      <c r="V15" s="46">
        <v>29.8</v>
      </c>
      <c r="W15" s="46">
        <v>29.8</v>
      </c>
      <c r="X15" s="46">
        <v>29.8</v>
      </c>
      <c r="Y15" s="46">
        <v>29.8</v>
      </c>
      <c r="Z15" s="46">
        <v>29.8</v>
      </c>
      <c r="AA15" s="46">
        <v>29.8</v>
      </c>
      <c r="AB15" s="53">
        <v>29.9</v>
      </c>
      <c r="AC15" s="53">
        <v>29.9</v>
      </c>
      <c r="AD15" s="53">
        <v>29.9</v>
      </c>
      <c r="AE15" s="53">
        <v>29.9</v>
      </c>
      <c r="AF15" s="53">
        <v>29.9</v>
      </c>
      <c r="AG15" s="50">
        <v>50</v>
      </c>
      <c r="AH15" s="48">
        <f t="shared" si="2"/>
        <v>29.9</v>
      </c>
      <c r="AI15" s="49">
        <f t="shared" si="3"/>
        <v>28.5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21.3</v>
      </c>
      <c r="C16" s="46">
        <v>21.3</v>
      </c>
      <c r="D16" s="46">
        <v>21.3</v>
      </c>
      <c r="E16" s="46">
        <v>21.3</v>
      </c>
      <c r="F16" s="46">
        <v>21.3</v>
      </c>
      <c r="G16" s="46">
        <v>21.3</v>
      </c>
      <c r="H16" s="46">
        <v>21.3</v>
      </c>
      <c r="I16" s="46">
        <v>21.3</v>
      </c>
      <c r="J16" s="46">
        <v>21.3</v>
      </c>
      <c r="K16" s="46">
        <v>21.3</v>
      </c>
      <c r="L16" s="46">
        <v>21.3</v>
      </c>
      <c r="M16" s="46">
        <v>15.5</v>
      </c>
      <c r="N16" s="46">
        <v>15.5</v>
      </c>
      <c r="O16" s="46">
        <v>15.5</v>
      </c>
      <c r="P16" s="46">
        <v>15.5</v>
      </c>
      <c r="Q16" s="46">
        <v>15.5</v>
      </c>
      <c r="R16" s="46">
        <v>15.5</v>
      </c>
      <c r="S16" s="46">
        <v>15.5</v>
      </c>
      <c r="T16" s="46">
        <v>15.5</v>
      </c>
      <c r="U16" s="46">
        <v>15.5</v>
      </c>
      <c r="V16" s="46">
        <v>15.5</v>
      </c>
      <c r="W16" s="46">
        <v>15.5</v>
      </c>
      <c r="X16" s="46">
        <v>15.5</v>
      </c>
      <c r="Y16" s="46">
        <v>15.5</v>
      </c>
      <c r="Z16" s="46">
        <v>15.5</v>
      </c>
      <c r="AA16" s="46">
        <v>15.5</v>
      </c>
      <c r="AB16" s="46">
        <v>15.9</v>
      </c>
      <c r="AC16" s="46">
        <v>15.9</v>
      </c>
      <c r="AD16" s="46">
        <v>15.9</v>
      </c>
      <c r="AE16" s="46">
        <v>15.9</v>
      </c>
      <c r="AF16" s="46">
        <v>15.9</v>
      </c>
      <c r="AG16" s="50">
        <v>45</v>
      </c>
      <c r="AH16" s="48">
        <f t="shared" si="2"/>
        <v>21.3</v>
      </c>
      <c r="AI16" s="49">
        <f t="shared" si="3"/>
        <v>15.5</v>
      </c>
      <c r="AK16" s="51"/>
      <c r="AL16" s="54" t="s">
        <v>7</v>
      </c>
      <c r="AM16" s="59">
        <f>B58</f>
        <v>483.55</v>
      </c>
      <c r="AN16" s="59">
        <f t="shared" ref="AN16:AR16" si="4">C58</f>
        <v>483.55</v>
      </c>
      <c r="AO16" s="59">
        <f t="shared" si="4"/>
        <v>483.55</v>
      </c>
      <c r="AP16" s="59">
        <f t="shared" si="4"/>
        <v>483.55</v>
      </c>
      <c r="AQ16" s="59">
        <f t="shared" si="4"/>
        <v>483.55</v>
      </c>
      <c r="AR16" s="59">
        <f t="shared" si="4"/>
        <v>483.55</v>
      </c>
      <c r="AS16" s="59">
        <f>I58</f>
        <v>484.95</v>
      </c>
      <c r="AT16" s="59">
        <f>K58</f>
        <v>490.35</v>
      </c>
      <c r="AU16" s="59">
        <f t="shared" ref="AU16:AX16" si="5">M58</f>
        <v>478.55</v>
      </c>
      <c r="AV16" s="59">
        <f t="shared" si="5"/>
        <v>478.65</v>
      </c>
      <c r="AW16" s="59">
        <f t="shared" si="5"/>
        <v>478.65</v>
      </c>
      <c r="AX16" s="59">
        <f t="shared" si="5"/>
        <v>478.65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12</v>
      </c>
      <c r="C17" s="46">
        <v>12</v>
      </c>
      <c r="D17" s="46">
        <v>12</v>
      </c>
      <c r="E17" s="46">
        <v>12</v>
      </c>
      <c r="F17" s="46">
        <v>12</v>
      </c>
      <c r="G17" s="46">
        <v>12</v>
      </c>
      <c r="H17" s="46">
        <v>12</v>
      </c>
      <c r="I17" s="46">
        <v>12</v>
      </c>
      <c r="J17" s="46">
        <v>12</v>
      </c>
      <c r="K17" s="46">
        <v>12</v>
      </c>
      <c r="L17" s="46">
        <v>12</v>
      </c>
      <c r="M17" s="46">
        <v>12</v>
      </c>
      <c r="N17" s="46">
        <v>12</v>
      </c>
      <c r="O17" s="46">
        <v>12</v>
      </c>
      <c r="P17" s="46">
        <v>12</v>
      </c>
      <c r="Q17" s="46">
        <v>12</v>
      </c>
      <c r="R17" s="46">
        <v>12</v>
      </c>
      <c r="S17" s="46">
        <v>12</v>
      </c>
      <c r="T17" s="46">
        <v>12</v>
      </c>
      <c r="U17" s="46">
        <v>12</v>
      </c>
      <c r="V17" s="46">
        <v>12</v>
      </c>
      <c r="W17" s="46">
        <v>12</v>
      </c>
      <c r="X17" s="46">
        <v>12</v>
      </c>
      <c r="Y17" s="46">
        <v>12</v>
      </c>
      <c r="Z17" s="46">
        <v>12</v>
      </c>
      <c r="AA17" s="46">
        <v>12</v>
      </c>
      <c r="AB17" s="46">
        <v>14</v>
      </c>
      <c r="AC17" s="46">
        <v>14</v>
      </c>
      <c r="AD17" s="46">
        <v>14</v>
      </c>
      <c r="AE17" s="46">
        <v>14</v>
      </c>
      <c r="AF17" s="46">
        <v>14</v>
      </c>
      <c r="AG17" s="50">
        <v>44</v>
      </c>
      <c r="AH17" s="48">
        <f>MAX(B17:AG17)</f>
        <v>44</v>
      </c>
      <c r="AI17" s="49">
        <f>MIN(B17:AG17)</f>
        <v>12</v>
      </c>
      <c r="AK17" s="51"/>
      <c r="AL17" s="54" t="s">
        <v>27</v>
      </c>
      <c r="AM17" s="59">
        <f>B62</f>
        <v>50.6</v>
      </c>
      <c r="AN17" s="59">
        <f t="shared" ref="AN17:AR17" si="6">C62</f>
        <v>77.5</v>
      </c>
      <c r="AO17" s="59">
        <f t="shared" si="6"/>
        <v>37.299999999999997</v>
      </c>
      <c r="AP17" s="59">
        <f t="shared" si="6"/>
        <v>37.299999999999997</v>
      </c>
      <c r="AQ17" s="59">
        <f t="shared" si="6"/>
        <v>37.299999999999997</v>
      </c>
      <c r="AR17" s="59">
        <f t="shared" si="6"/>
        <v>37.299999999999997</v>
      </c>
      <c r="AS17" s="59">
        <f>I62</f>
        <v>87.3</v>
      </c>
      <c r="AT17" s="59">
        <f>K62</f>
        <v>107.3</v>
      </c>
      <c r="AU17" s="59">
        <f t="shared" ref="AU17:AX17" si="7">M62</f>
        <v>186.4</v>
      </c>
      <c r="AV17" s="59">
        <f t="shared" si="7"/>
        <v>125.6</v>
      </c>
      <c r="AW17" s="59">
        <f t="shared" si="7"/>
        <v>50.8</v>
      </c>
      <c r="AX17" s="59">
        <f t="shared" si="7"/>
        <v>35.700000000000003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7.7</v>
      </c>
      <c r="C18" s="46">
        <v>7.7</v>
      </c>
      <c r="D18" s="46">
        <v>7.7</v>
      </c>
      <c r="E18" s="46">
        <v>7.7</v>
      </c>
      <c r="F18" s="46">
        <v>7.7</v>
      </c>
      <c r="G18" s="46">
        <v>7.7</v>
      </c>
      <c r="H18" s="46">
        <v>7.7</v>
      </c>
      <c r="I18" s="46">
        <v>7.7</v>
      </c>
      <c r="J18" s="46">
        <v>7.7</v>
      </c>
      <c r="K18" s="46">
        <v>7.7</v>
      </c>
      <c r="L18" s="46">
        <v>7.7</v>
      </c>
      <c r="M18" s="46">
        <v>8</v>
      </c>
      <c r="N18" s="46">
        <v>8</v>
      </c>
      <c r="O18" s="46">
        <v>8</v>
      </c>
      <c r="P18" s="46">
        <v>8</v>
      </c>
      <c r="Q18" s="46">
        <v>8</v>
      </c>
      <c r="R18" s="46">
        <v>8</v>
      </c>
      <c r="S18" s="46">
        <v>8</v>
      </c>
      <c r="T18" s="46">
        <v>8</v>
      </c>
      <c r="U18" s="46">
        <v>8</v>
      </c>
      <c r="V18" s="46">
        <v>8</v>
      </c>
      <c r="W18" s="46">
        <v>8</v>
      </c>
      <c r="X18" s="46">
        <v>8</v>
      </c>
      <c r="Y18" s="46">
        <v>8</v>
      </c>
      <c r="Z18" s="46">
        <v>8</v>
      </c>
      <c r="AA18" s="46">
        <v>8</v>
      </c>
      <c r="AB18" s="46">
        <v>10.6</v>
      </c>
      <c r="AC18" s="46">
        <v>10.6</v>
      </c>
      <c r="AD18" s="46">
        <v>10.6</v>
      </c>
      <c r="AE18" s="46">
        <v>10.6</v>
      </c>
      <c r="AF18" s="46">
        <v>10.6</v>
      </c>
      <c r="AG18" s="50">
        <v>42</v>
      </c>
      <c r="AH18" s="48">
        <f t="shared" ref="AH18:AH81" si="8">MAX(B18:AF18)</f>
        <v>10.6</v>
      </c>
      <c r="AI18" s="49">
        <f t="shared" ref="AI18:AI81" si="9">MIN(B18:AF18)</f>
        <v>7.7</v>
      </c>
      <c r="AK18" s="51"/>
      <c r="AL18" s="54" t="s">
        <v>29</v>
      </c>
      <c r="AM18" s="59">
        <f>B76</f>
        <v>165.44</v>
      </c>
      <c r="AN18" s="59">
        <f t="shared" ref="AN18:AR18" si="10">C76</f>
        <v>142.63999999999999</v>
      </c>
      <c r="AO18" s="59">
        <f t="shared" si="10"/>
        <v>79.64</v>
      </c>
      <c r="AP18" s="59">
        <f t="shared" si="10"/>
        <v>79.64</v>
      </c>
      <c r="AQ18" s="59">
        <f t="shared" si="10"/>
        <v>79.64</v>
      </c>
      <c r="AR18" s="59">
        <f t="shared" si="10"/>
        <v>89.64</v>
      </c>
      <c r="AS18" s="59">
        <f>I76</f>
        <v>157.84</v>
      </c>
      <c r="AT18" s="59">
        <f>K76</f>
        <v>238.34000000000003</v>
      </c>
      <c r="AU18" s="59">
        <f t="shared" ref="AU18:AX18" si="11">M76</f>
        <v>252.33999999999997</v>
      </c>
      <c r="AV18" s="59">
        <f t="shared" si="11"/>
        <v>254.04</v>
      </c>
      <c r="AW18" s="59">
        <f t="shared" si="11"/>
        <v>219.44000000000003</v>
      </c>
      <c r="AX18" s="59">
        <f t="shared" si="11"/>
        <v>235.24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15</v>
      </c>
      <c r="C19" s="46">
        <v>15</v>
      </c>
      <c r="D19" s="46">
        <v>15</v>
      </c>
      <c r="E19" s="46">
        <v>15</v>
      </c>
      <c r="F19" s="46">
        <v>15</v>
      </c>
      <c r="G19" s="46">
        <v>15</v>
      </c>
      <c r="H19" s="46">
        <v>15</v>
      </c>
      <c r="I19" s="46">
        <v>15</v>
      </c>
      <c r="J19" s="46">
        <v>15</v>
      </c>
      <c r="K19" s="46">
        <v>15</v>
      </c>
      <c r="L19" s="46">
        <v>15</v>
      </c>
      <c r="M19" s="46">
        <v>15</v>
      </c>
      <c r="N19" s="46">
        <v>15</v>
      </c>
      <c r="O19" s="46">
        <v>15</v>
      </c>
      <c r="P19" s="46">
        <v>15</v>
      </c>
      <c r="Q19" s="46">
        <v>15</v>
      </c>
      <c r="R19" s="46">
        <v>15</v>
      </c>
      <c r="S19" s="46">
        <v>15</v>
      </c>
      <c r="T19" s="46">
        <v>15</v>
      </c>
      <c r="U19" s="46">
        <v>15</v>
      </c>
      <c r="V19" s="46">
        <v>15</v>
      </c>
      <c r="W19" s="46">
        <v>15</v>
      </c>
      <c r="X19" s="46">
        <v>15</v>
      </c>
      <c r="Y19" s="46">
        <v>15</v>
      </c>
      <c r="Z19" s="46">
        <v>15</v>
      </c>
      <c r="AA19" s="46">
        <v>15</v>
      </c>
      <c r="AB19" s="46">
        <v>15</v>
      </c>
      <c r="AC19" s="46">
        <v>15</v>
      </c>
      <c r="AD19" s="46">
        <v>15</v>
      </c>
      <c r="AE19" s="46">
        <v>15</v>
      </c>
      <c r="AF19" s="46">
        <v>15</v>
      </c>
      <c r="AG19" s="50">
        <v>38.46</v>
      </c>
      <c r="AH19" s="48">
        <f t="shared" si="8"/>
        <v>15</v>
      </c>
      <c r="AI19" s="49">
        <f t="shared" si="9"/>
        <v>15</v>
      </c>
      <c r="AK19" s="51"/>
      <c r="AL19" s="54" t="s">
        <v>31</v>
      </c>
      <c r="AM19" s="59">
        <f>B92</f>
        <v>433.8</v>
      </c>
      <c r="AN19" s="59">
        <f t="shared" ref="AN19:AR19" si="12">C92</f>
        <v>475.9</v>
      </c>
      <c r="AO19" s="59">
        <f t="shared" si="12"/>
        <v>524.9</v>
      </c>
      <c r="AP19" s="59">
        <f t="shared" si="12"/>
        <v>553.79999999999995</v>
      </c>
      <c r="AQ19" s="59">
        <f t="shared" si="12"/>
        <v>544.70000000000005</v>
      </c>
      <c r="AR19" s="59">
        <f t="shared" si="12"/>
        <v>564.1</v>
      </c>
      <c r="AS19" s="59">
        <f>I92</f>
        <v>531.5</v>
      </c>
      <c r="AT19" s="59">
        <f>K92</f>
        <v>416.8</v>
      </c>
      <c r="AU19" s="59">
        <f t="shared" ref="AU19:AX19" si="13">M92</f>
        <v>378.7</v>
      </c>
      <c r="AV19" s="59">
        <f t="shared" si="13"/>
        <v>422.40000000000003</v>
      </c>
      <c r="AW19" s="59">
        <f t="shared" si="13"/>
        <v>569.4</v>
      </c>
      <c r="AX19" s="59">
        <f t="shared" si="13"/>
        <v>616.29999999999995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7.8</v>
      </c>
      <c r="C20" s="46">
        <v>7.8</v>
      </c>
      <c r="D20" s="46">
        <v>7.8</v>
      </c>
      <c r="E20" s="46">
        <v>7.8</v>
      </c>
      <c r="F20" s="46">
        <v>7.8</v>
      </c>
      <c r="G20" s="46">
        <v>7.8</v>
      </c>
      <c r="H20" s="46">
        <v>7.8</v>
      </c>
      <c r="I20" s="46">
        <v>7.8</v>
      </c>
      <c r="J20" s="46">
        <v>7.8</v>
      </c>
      <c r="K20" s="46">
        <v>7.8</v>
      </c>
      <c r="L20" s="46">
        <v>7.8</v>
      </c>
      <c r="M20" s="46">
        <v>7.8</v>
      </c>
      <c r="N20" s="46">
        <v>7.8</v>
      </c>
      <c r="O20" s="46">
        <v>7.8</v>
      </c>
      <c r="P20" s="46">
        <v>7.8</v>
      </c>
      <c r="Q20" s="46">
        <v>7.8</v>
      </c>
      <c r="R20" s="46">
        <v>7.8</v>
      </c>
      <c r="S20" s="46">
        <v>7.8</v>
      </c>
      <c r="T20" s="46">
        <v>7.8</v>
      </c>
      <c r="U20" s="46">
        <v>7.8</v>
      </c>
      <c r="V20" s="46">
        <v>7.8</v>
      </c>
      <c r="W20" s="46">
        <v>7.8</v>
      </c>
      <c r="X20" s="46">
        <v>7.8</v>
      </c>
      <c r="Y20" s="46">
        <v>7.8</v>
      </c>
      <c r="Z20" s="46">
        <v>7.8</v>
      </c>
      <c r="AA20" s="46">
        <v>7.8</v>
      </c>
      <c r="AB20" s="46">
        <v>7.8</v>
      </c>
      <c r="AC20" s="46">
        <v>7.8</v>
      </c>
      <c r="AD20" s="46">
        <v>7.8</v>
      </c>
      <c r="AE20" s="46">
        <v>7.8</v>
      </c>
      <c r="AF20" s="46">
        <v>7.8</v>
      </c>
      <c r="AG20" s="50">
        <v>38.46</v>
      </c>
      <c r="AH20" s="48">
        <f t="shared" si="8"/>
        <v>7.8</v>
      </c>
      <c r="AI20" s="49">
        <f t="shared" si="9"/>
        <v>7.8</v>
      </c>
      <c r="AK20" s="51"/>
      <c r="AL20" s="54" t="s">
        <v>33</v>
      </c>
      <c r="AM20" s="59">
        <f>B80</f>
        <v>78.100000000000009</v>
      </c>
      <c r="AN20" s="59">
        <f t="shared" ref="AN20:AR20" si="14">C80</f>
        <v>0</v>
      </c>
      <c r="AO20" s="59">
        <f t="shared" si="14"/>
        <v>0</v>
      </c>
      <c r="AP20" s="59">
        <f t="shared" si="14"/>
        <v>0</v>
      </c>
      <c r="AQ20" s="59">
        <f t="shared" si="14"/>
        <v>0</v>
      </c>
      <c r="AR20" s="59">
        <f t="shared" si="14"/>
        <v>0</v>
      </c>
      <c r="AS20" s="59">
        <f>I80</f>
        <v>0</v>
      </c>
      <c r="AT20" s="59">
        <f>K80</f>
        <v>0</v>
      </c>
      <c r="AU20" s="59">
        <f t="shared" ref="AU20:AX20" si="15">M80</f>
        <v>0</v>
      </c>
      <c r="AV20" s="59">
        <f t="shared" si="15"/>
        <v>0</v>
      </c>
      <c r="AW20" s="59">
        <f t="shared" si="15"/>
        <v>0</v>
      </c>
      <c r="AX20" s="59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13</v>
      </c>
      <c r="C21" s="46">
        <v>13</v>
      </c>
      <c r="D21" s="46">
        <v>13</v>
      </c>
      <c r="E21" s="46">
        <v>13</v>
      </c>
      <c r="F21" s="46">
        <v>13</v>
      </c>
      <c r="G21" s="46">
        <v>13</v>
      </c>
      <c r="H21" s="46">
        <v>13</v>
      </c>
      <c r="I21" s="46">
        <v>13</v>
      </c>
      <c r="J21" s="46">
        <v>13</v>
      </c>
      <c r="K21" s="46">
        <v>13</v>
      </c>
      <c r="L21" s="46">
        <v>13</v>
      </c>
      <c r="M21" s="46">
        <v>13</v>
      </c>
      <c r="N21" s="46">
        <v>13</v>
      </c>
      <c r="O21" s="46">
        <v>13</v>
      </c>
      <c r="P21" s="46">
        <v>13</v>
      </c>
      <c r="Q21" s="46">
        <v>13</v>
      </c>
      <c r="R21" s="46">
        <v>13</v>
      </c>
      <c r="S21" s="46">
        <v>13</v>
      </c>
      <c r="T21" s="46">
        <v>13</v>
      </c>
      <c r="U21" s="46">
        <v>13</v>
      </c>
      <c r="V21" s="46">
        <v>13</v>
      </c>
      <c r="W21" s="46">
        <v>13</v>
      </c>
      <c r="X21" s="46">
        <v>13</v>
      </c>
      <c r="Y21" s="46">
        <v>13</v>
      </c>
      <c r="Z21" s="46">
        <v>13</v>
      </c>
      <c r="AA21" s="46">
        <v>13</v>
      </c>
      <c r="AB21" s="46">
        <v>13</v>
      </c>
      <c r="AC21" s="46">
        <v>13</v>
      </c>
      <c r="AD21" s="46">
        <v>13</v>
      </c>
      <c r="AE21" s="46">
        <v>13</v>
      </c>
      <c r="AF21" s="46">
        <v>13</v>
      </c>
      <c r="AG21" s="50">
        <v>36</v>
      </c>
      <c r="AH21" s="48">
        <f t="shared" si="8"/>
        <v>13</v>
      </c>
      <c r="AI21" s="49">
        <f t="shared" si="9"/>
        <v>13</v>
      </c>
      <c r="AK21" s="51"/>
      <c r="AL21" s="54" t="s">
        <v>35</v>
      </c>
      <c r="AM21" s="59">
        <f>B98</f>
        <v>0</v>
      </c>
      <c r="AN21" s="59">
        <f t="shared" ref="AN21:AR21" si="16">C98</f>
        <v>0</v>
      </c>
      <c r="AO21" s="59">
        <f t="shared" si="16"/>
        <v>0</v>
      </c>
      <c r="AP21" s="59">
        <f t="shared" si="16"/>
        <v>0</v>
      </c>
      <c r="AQ21" s="59">
        <f t="shared" si="16"/>
        <v>0</v>
      </c>
      <c r="AR21" s="59">
        <f t="shared" si="16"/>
        <v>0</v>
      </c>
      <c r="AS21" s="59">
        <f>I98</f>
        <v>0</v>
      </c>
      <c r="AT21" s="59">
        <f>K98</f>
        <v>150</v>
      </c>
      <c r="AU21" s="59">
        <f t="shared" ref="AU21:AX21" si="17">M98</f>
        <v>140</v>
      </c>
      <c r="AV21" s="59">
        <f t="shared" si="17"/>
        <v>100</v>
      </c>
      <c r="AW21" s="59">
        <f t="shared" si="17"/>
        <v>0</v>
      </c>
      <c r="AX21" s="59">
        <f t="shared" si="17"/>
        <v>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7.3</v>
      </c>
      <c r="C22" s="46">
        <v>7.3</v>
      </c>
      <c r="D22" s="46">
        <v>7.3</v>
      </c>
      <c r="E22" s="46">
        <v>7.3</v>
      </c>
      <c r="F22" s="46">
        <v>7.3</v>
      </c>
      <c r="G22" s="46">
        <v>7.3</v>
      </c>
      <c r="H22" s="46">
        <v>7.3</v>
      </c>
      <c r="I22" s="46">
        <v>7.3</v>
      </c>
      <c r="J22" s="46">
        <v>7.3</v>
      </c>
      <c r="K22" s="46">
        <v>7.3</v>
      </c>
      <c r="L22" s="46">
        <v>7.3</v>
      </c>
      <c r="M22" s="46">
        <v>6.7</v>
      </c>
      <c r="N22" s="46">
        <v>6.7</v>
      </c>
      <c r="O22" s="46">
        <v>6.7</v>
      </c>
      <c r="P22" s="46">
        <v>6.7</v>
      </c>
      <c r="Q22" s="46">
        <v>6.7</v>
      </c>
      <c r="R22" s="46">
        <v>6.7</v>
      </c>
      <c r="S22" s="46">
        <v>6.7</v>
      </c>
      <c r="T22" s="46">
        <v>6.7</v>
      </c>
      <c r="U22" s="46">
        <v>6.7</v>
      </c>
      <c r="V22" s="46">
        <v>6.7</v>
      </c>
      <c r="W22" s="46">
        <v>6.7</v>
      </c>
      <c r="X22" s="46">
        <v>6.7</v>
      </c>
      <c r="Y22" s="46">
        <v>6.7</v>
      </c>
      <c r="Z22" s="46">
        <v>6.7</v>
      </c>
      <c r="AA22" s="46">
        <v>6.7</v>
      </c>
      <c r="AB22" s="46">
        <v>6.3</v>
      </c>
      <c r="AC22" s="46">
        <v>6.3</v>
      </c>
      <c r="AD22" s="46">
        <v>6.3</v>
      </c>
      <c r="AE22" s="46">
        <v>6.3</v>
      </c>
      <c r="AF22" s="46">
        <v>6.3</v>
      </c>
      <c r="AG22" s="60">
        <v>30</v>
      </c>
      <c r="AH22" s="48">
        <f t="shared" si="8"/>
        <v>7.3</v>
      </c>
      <c r="AI22" s="49">
        <f t="shared" si="9"/>
        <v>6.3</v>
      </c>
      <c r="AK22" s="51"/>
      <c r="AL22" s="61" t="s">
        <v>37</v>
      </c>
      <c r="AM22" s="62">
        <f>SUM(AM16:AM21)</f>
        <v>1211.4899999999998</v>
      </c>
      <c r="AN22" s="62">
        <f t="shared" ref="AN22:AX22" si="18">SUM(AN16:AN21)</f>
        <v>1179.5899999999999</v>
      </c>
      <c r="AO22" s="62">
        <f t="shared" si="18"/>
        <v>1125.3899999999999</v>
      </c>
      <c r="AP22" s="62">
        <f t="shared" si="18"/>
        <v>1154.29</v>
      </c>
      <c r="AQ22" s="62">
        <f t="shared" si="18"/>
        <v>1145.19</v>
      </c>
      <c r="AR22" s="62">
        <f t="shared" si="18"/>
        <v>1174.5900000000001</v>
      </c>
      <c r="AS22" s="62">
        <f t="shared" si="18"/>
        <v>1261.5900000000001</v>
      </c>
      <c r="AT22" s="62">
        <f t="shared" si="18"/>
        <v>1402.79</v>
      </c>
      <c r="AU22" s="62">
        <f t="shared" si="18"/>
        <v>1435.99</v>
      </c>
      <c r="AV22" s="62">
        <f t="shared" si="18"/>
        <v>1380.69</v>
      </c>
      <c r="AW22" s="62">
        <f t="shared" si="18"/>
        <v>1318.29</v>
      </c>
      <c r="AX22" s="62">
        <f t="shared" si="18"/>
        <v>1365.8899999999999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6</v>
      </c>
      <c r="C23" s="46">
        <v>6</v>
      </c>
      <c r="D23" s="46">
        <v>6</v>
      </c>
      <c r="E23" s="46">
        <v>6</v>
      </c>
      <c r="F23" s="46">
        <v>6</v>
      </c>
      <c r="G23" s="46">
        <v>6</v>
      </c>
      <c r="H23" s="46">
        <v>6</v>
      </c>
      <c r="I23" s="46">
        <v>6</v>
      </c>
      <c r="J23" s="46">
        <v>6</v>
      </c>
      <c r="K23" s="46">
        <v>6</v>
      </c>
      <c r="L23" s="46">
        <v>6</v>
      </c>
      <c r="M23" s="46">
        <v>6</v>
      </c>
      <c r="N23" s="46">
        <v>6</v>
      </c>
      <c r="O23" s="46">
        <v>6</v>
      </c>
      <c r="P23" s="46">
        <v>6</v>
      </c>
      <c r="Q23" s="46">
        <v>6</v>
      </c>
      <c r="R23" s="46">
        <v>6</v>
      </c>
      <c r="S23" s="46">
        <v>6</v>
      </c>
      <c r="T23" s="46">
        <v>6</v>
      </c>
      <c r="U23" s="46">
        <v>6</v>
      </c>
      <c r="V23" s="46">
        <v>6</v>
      </c>
      <c r="W23" s="46">
        <v>6</v>
      </c>
      <c r="X23" s="46">
        <v>6</v>
      </c>
      <c r="Y23" s="46">
        <v>6</v>
      </c>
      <c r="Z23" s="46">
        <v>6</v>
      </c>
      <c r="AA23" s="46">
        <v>6</v>
      </c>
      <c r="AB23" s="46">
        <v>6</v>
      </c>
      <c r="AC23" s="46">
        <v>6</v>
      </c>
      <c r="AD23" s="46">
        <v>6</v>
      </c>
      <c r="AE23" s="46">
        <v>6</v>
      </c>
      <c r="AF23" s="46">
        <v>6</v>
      </c>
      <c r="AG23" s="50">
        <v>24.2</v>
      </c>
      <c r="AH23" s="48">
        <f t="shared" si="8"/>
        <v>6</v>
      </c>
      <c r="AI23" s="49">
        <f t="shared" si="9"/>
        <v>6</v>
      </c>
      <c r="AK23" s="51"/>
      <c r="AL23" s="61" t="s">
        <v>39</v>
      </c>
      <c r="AM23" s="62">
        <f>B107*-1</f>
        <v>0</v>
      </c>
      <c r="AN23" s="62">
        <f t="shared" ref="AN23:AR23" si="19">C107*-1</f>
        <v>0</v>
      </c>
      <c r="AO23" s="62">
        <f t="shared" si="19"/>
        <v>0</v>
      </c>
      <c r="AP23" s="62">
        <f t="shared" si="19"/>
        <v>0</v>
      </c>
      <c r="AQ23" s="62">
        <f t="shared" si="19"/>
        <v>0</v>
      </c>
      <c r="AR23" s="62">
        <f t="shared" si="19"/>
        <v>0</v>
      </c>
      <c r="AS23" s="62">
        <f>I107*-1</f>
        <v>0</v>
      </c>
      <c r="AT23" s="62">
        <f>K107*-1</f>
        <v>0</v>
      </c>
      <c r="AU23" s="62">
        <f t="shared" ref="AU23:AX23" si="20">M107*-1</f>
        <v>0</v>
      </c>
      <c r="AV23" s="62">
        <f t="shared" si="20"/>
        <v>0</v>
      </c>
      <c r="AW23" s="62">
        <f t="shared" si="20"/>
        <v>0</v>
      </c>
      <c r="AX23" s="62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8.8000000000000007</v>
      </c>
      <c r="C24" s="46">
        <v>8.8000000000000007</v>
      </c>
      <c r="D24" s="46">
        <v>8.8000000000000007</v>
      </c>
      <c r="E24" s="46">
        <v>8.8000000000000007</v>
      </c>
      <c r="F24" s="46">
        <v>8.8000000000000007</v>
      </c>
      <c r="G24" s="46">
        <v>8.8000000000000007</v>
      </c>
      <c r="H24" s="46">
        <v>8.8000000000000007</v>
      </c>
      <c r="I24" s="46">
        <v>8.8000000000000007</v>
      </c>
      <c r="J24" s="46">
        <v>8.8000000000000007</v>
      </c>
      <c r="K24" s="46">
        <v>8.8000000000000007</v>
      </c>
      <c r="L24" s="46">
        <v>8.8000000000000007</v>
      </c>
      <c r="M24" s="46">
        <v>8.6</v>
      </c>
      <c r="N24" s="46">
        <v>8.6</v>
      </c>
      <c r="O24" s="46">
        <v>8.6</v>
      </c>
      <c r="P24" s="46">
        <v>8.6</v>
      </c>
      <c r="Q24" s="46">
        <v>8.6</v>
      </c>
      <c r="R24" s="46">
        <v>8.6</v>
      </c>
      <c r="S24" s="46">
        <v>8.6</v>
      </c>
      <c r="T24" s="46">
        <v>8.6</v>
      </c>
      <c r="U24" s="46">
        <v>8.6</v>
      </c>
      <c r="V24" s="46">
        <v>8.6</v>
      </c>
      <c r="W24" s="46">
        <v>8.6</v>
      </c>
      <c r="X24" s="46">
        <v>8.6</v>
      </c>
      <c r="Y24" s="46">
        <v>8.6</v>
      </c>
      <c r="Z24" s="46">
        <v>8.6</v>
      </c>
      <c r="AA24" s="46">
        <v>8.6</v>
      </c>
      <c r="AB24" s="46">
        <v>8.6</v>
      </c>
      <c r="AC24" s="46">
        <v>8.6</v>
      </c>
      <c r="AD24" s="46">
        <v>8.6</v>
      </c>
      <c r="AE24" s="46">
        <v>8.6</v>
      </c>
      <c r="AF24" s="46">
        <v>8.6</v>
      </c>
      <c r="AG24" s="50">
        <v>28</v>
      </c>
      <c r="AH24" s="48">
        <f t="shared" si="8"/>
        <v>8.8000000000000007</v>
      </c>
      <c r="AI24" s="49">
        <f t="shared" si="9"/>
        <v>8.6</v>
      </c>
      <c r="AK24" s="51"/>
      <c r="AL24" s="61" t="s">
        <v>41</v>
      </c>
      <c r="AM24" s="62">
        <f>AM22+AM23</f>
        <v>1211.4899999999998</v>
      </c>
      <c r="AN24" s="62">
        <f t="shared" ref="AN24:AX24" si="21">AN22+AN23</f>
        <v>1179.5899999999999</v>
      </c>
      <c r="AO24" s="62">
        <f t="shared" si="21"/>
        <v>1125.3899999999999</v>
      </c>
      <c r="AP24" s="62">
        <f t="shared" si="21"/>
        <v>1154.29</v>
      </c>
      <c r="AQ24" s="62">
        <f t="shared" si="21"/>
        <v>1145.19</v>
      </c>
      <c r="AR24" s="62">
        <f t="shared" si="21"/>
        <v>1174.5900000000001</v>
      </c>
      <c r="AS24" s="62">
        <f t="shared" si="21"/>
        <v>1261.5900000000001</v>
      </c>
      <c r="AT24" s="62">
        <f t="shared" si="21"/>
        <v>1402.79</v>
      </c>
      <c r="AU24" s="62">
        <f t="shared" si="21"/>
        <v>1435.99</v>
      </c>
      <c r="AV24" s="62">
        <f t="shared" si="21"/>
        <v>1380.69</v>
      </c>
      <c r="AW24" s="62">
        <f t="shared" si="21"/>
        <v>1318.29</v>
      </c>
      <c r="AX24" s="62">
        <f t="shared" si="21"/>
        <v>1365.8899999999999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7.9</v>
      </c>
      <c r="C25" s="46">
        <v>7.9</v>
      </c>
      <c r="D25" s="46">
        <v>7.9</v>
      </c>
      <c r="E25" s="46">
        <v>7.9</v>
      </c>
      <c r="F25" s="46">
        <v>7.9</v>
      </c>
      <c r="G25" s="46">
        <v>7.9</v>
      </c>
      <c r="H25" s="46">
        <v>7.9</v>
      </c>
      <c r="I25" s="46">
        <v>7.9</v>
      </c>
      <c r="J25" s="46">
        <v>7.9</v>
      </c>
      <c r="K25" s="46">
        <v>7.9</v>
      </c>
      <c r="L25" s="46">
        <v>7.9</v>
      </c>
      <c r="M25" s="46">
        <v>5.8</v>
      </c>
      <c r="N25" s="46">
        <v>5.8</v>
      </c>
      <c r="O25" s="46">
        <v>5.8</v>
      </c>
      <c r="P25" s="46">
        <v>5.8</v>
      </c>
      <c r="Q25" s="46">
        <v>5.8</v>
      </c>
      <c r="R25" s="46">
        <v>5.8</v>
      </c>
      <c r="S25" s="46">
        <v>5.8</v>
      </c>
      <c r="T25" s="46">
        <v>5.8</v>
      </c>
      <c r="U25" s="46">
        <v>5.8</v>
      </c>
      <c r="V25" s="46">
        <v>5.8</v>
      </c>
      <c r="W25" s="46">
        <v>5.8</v>
      </c>
      <c r="X25" s="46">
        <v>5.8</v>
      </c>
      <c r="Y25" s="46">
        <v>5.8</v>
      </c>
      <c r="Z25" s="46">
        <v>5.8</v>
      </c>
      <c r="AA25" s="46">
        <v>5.8</v>
      </c>
      <c r="AB25" s="46">
        <v>5.8</v>
      </c>
      <c r="AC25" s="46">
        <v>5.8</v>
      </c>
      <c r="AD25" s="46">
        <v>5.8</v>
      </c>
      <c r="AE25" s="46">
        <v>5.8</v>
      </c>
      <c r="AF25" s="46">
        <v>5.8</v>
      </c>
      <c r="AG25" s="60">
        <v>30</v>
      </c>
      <c r="AH25" s="48">
        <f t="shared" si="8"/>
        <v>7.9</v>
      </c>
      <c r="AI25" s="49">
        <f t="shared" si="9"/>
        <v>5.8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13.5</v>
      </c>
      <c r="C26" s="46">
        <v>13.5</v>
      </c>
      <c r="D26" s="46">
        <v>13.5</v>
      </c>
      <c r="E26" s="46">
        <v>13.5</v>
      </c>
      <c r="F26" s="46">
        <v>13.5</v>
      </c>
      <c r="G26" s="46">
        <v>13.5</v>
      </c>
      <c r="H26" s="46">
        <v>13.5</v>
      </c>
      <c r="I26" s="46">
        <v>13.5</v>
      </c>
      <c r="J26" s="46">
        <v>13.5</v>
      </c>
      <c r="K26" s="46">
        <v>13.5</v>
      </c>
      <c r="L26" s="46">
        <v>13.5</v>
      </c>
      <c r="M26" s="46">
        <v>13.5</v>
      </c>
      <c r="N26" s="46">
        <v>13.5</v>
      </c>
      <c r="O26" s="46">
        <v>13.5</v>
      </c>
      <c r="P26" s="46">
        <v>13.5</v>
      </c>
      <c r="Q26" s="46">
        <v>13.5</v>
      </c>
      <c r="R26" s="46">
        <v>13.5</v>
      </c>
      <c r="S26" s="46">
        <v>13.5</v>
      </c>
      <c r="T26" s="46">
        <v>13.5</v>
      </c>
      <c r="U26" s="46">
        <v>13.5</v>
      </c>
      <c r="V26" s="46">
        <v>13.5</v>
      </c>
      <c r="W26" s="46">
        <v>13.5</v>
      </c>
      <c r="X26" s="46">
        <v>13.5</v>
      </c>
      <c r="Y26" s="46">
        <v>13.5</v>
      </c>
      <c r="Z26" s="46">
        <v>13.5</v>
      </c>
      <c r="AA26" s="46">
        <v>13.5</v>
      </c>
      <c r="AB26" s="46">
        <v>13.5</v>
      </c>
      <c r="AC26" s="46">
        <v>13.5</v>
      </c>
      <c r="AD26" s="46">
        <v>13.5</v>
      </c>
      <c r="AE26" s="46">
        <v>13.5</v>
      </c>
      <c r="AF26" s="46">
        <v>13.5</v>
      </c>
      <c r="AG26" s="50">
        <v>25</v>
      </c>
      <c r="AH26" s="48">
        <f t="shared" si="8"/>
        <v>13.5</v>
      </c>
      <c r="AI26" s="49">
        <f t="shared" si="9"/>
        <v>13.5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5</v>
      </c>
      <c r="N27" s="46">
        <v>5</v>
      </c>
      <c r="O27" s="46">
        <v>5</v>
      </c>
      <c r="P27" s="46">
        <v>5</v>
      </c>
      <c r="Q27" s="46">
        <v>5</v>
      </c>
      <c r="R27" s="46">
        <v>5</v>
      </c>
      <c r="S27" s="46">
        <v>5</v>
      </c>
      <c r="T27" s="46">
        <v>5</v>
      </c>
      <c r="U27" s="46">
        <v>5</v>
      </c>
      <c r="V27" s="46">
        <v>5</v>
      </c>
      <c r="W27" s="46">
        <v>5</v>
      </c>
      <c r="X27" s="46">
        <v>5</v>
      </c>
      <c r="Y27" s="46">
        <v>5</v>
      </c>
      <c r="Z27" s="46">
        <v>5</v>
      </c>
      <c r="AA27" s="46">
        <v>5</v>
      </c>
      <c r="AB27" s="46">
        <v>5</v>
      </c>
      <c r="AC27" s="46">
        <v>5</v>
      </c>
      <c r="AD27" s="46">
        <v>5</v>
      </c>
      <c r="AE27" s="46">
        <v>5</v>
      </c>
      <c r="AF27" s="46">
        <v>5</v>
      </c>
      <c r="AG27" s="50">
        <v>25</v>
      </c>
      <c r="AH27" s="48">
        <f t="shared" si="8"/>
        <v>5</v>
      </c>
      <c r="AI27" s="49">
        <f t="shared" si="9"/>
        <v>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6</v>
      </c>
      <c r="C28" s="46">
        <v>6</v>
      </c>
      <c r="D28" s="46">
        <v>6</v>
      </c>
      <c r="E28" s="46">
        <v>6</v>
      </c>
      <c r="F28" s="46">
        <v>6</v>
      </c>
      <c r="G28" s="46">
        <v>6</v>
      </c>
      <c r="H28" s="46">
        <v>6</v>
      </c>
      <c r="I28" s="46">
        <v>6</v>
      </c>
      <c r="J28" s="46">
        <v>6</v>
      </c>
      <c r="K28" s="46">
        <v>6</v>
      </c>
      <c r="L28" s="46">
        <v>6</v>
      </c>
      <c r="M28" s="46">
        <v>6</v>
      </c>
      <c r="N28" s="46">
        <v>6</v>
      </c>
      <c r="O28" s="46">
        <v>6</v>
      </c>
      <c r="P28" s="46">
        <v>6</v>
      </c>
      <c r="Q28" s="46">
        <v>6</v>
      </c>
      <c r="R28" s="46">
        <v>6</v>
      </c>
      <c r="S28" s="46">
        <v>6</v>
      </c>
      <c r="T28" s="46">
        <v>6</v>
      </c>
      <c r="U28" s="46">
        <v>6</v>
      </c>
      <c r="V28" s="46">
        <v>6</v>
      </c>
      <c r="W28" s="46">
        <v>6</v>
      </c>
      <c r="X28" s="46">
        <v>6</v>
      </c>
      <c r="Y28" s="46">
        <v>6</v>
      </c>
      <c r="Z28" s="46">
        <v>6</v>
      </c>
      <c r="AA28" s="46">
        <v>6</v>
      </c>
      <c r="AB28" s="46">
        <v>6</v>
      </c>
      <c r="AC28" s="46">
        <v>6</v>
      </c>
      <c r="AD28" s="46">
        <v>6</v>
      </c>
      <c r="AE28" s="46">
        <v>6</v>
      </c>
      <c r="AF28" s="46">
        <v>6</v>
      </c>
      <c r="AG28" s="50">
        <v>25</v>
      </c>
      <c r="AH28" s="48">
        <f t="shared" si="8"/>
        <v>6</v>
      </c>
      <c r="AI28" s="49">
        <f t="shared" si="9"/>
        <v>6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8</v>
      </c>
      <c r="C29" s="46">
        <v>8</v>
      </c>
      <c r="D29" s="46">
        <v>8</v>
      </c>
      <c r="E29" s="46">
        <v>8</v>
      </c>
      <c r="F29" s="46">
        <v>8</v>
      </c>
      <c r="G29" s="46">
        <v>8</v>
      </c>
      <c r="H29" s="46">
        <v>8</v>
      </c>
      <c r="I29" s="46">
        <v>8</v>
      </c>
      <c r="J29" s="46">
        <v>8</v>
      </c>
      <c r="K29" s="46">
        <v>8</v>
      </c>
      <c r="L29" s="46">
        <v>8</v>
      </c>
      <c r="M29" s="46">
        <v>7</v>
      </c>
      <c r="N29" s="46">
        <v>7</v>
      </c>
      <c r="O29" s="46">
        <v>7</v>
      </c>
      <c r="P29" s="46">
        <v>7</v>
      </c>
      <c r="Q29" s="46">
        <v>7</v>
      </c>
      <c r="R29" s="46">
        <v>7</v>
      </c>
      <c r="S29" s="46">
        <v>7</v>
      </c>
      <c r="T29" s="46">
        <v>7</v>
      </c>
      <c r="U29" s="46">
        <v>7</v>
      </c>
      <c r="V29" s="46">
        <v>7</v>
      </c>
      <c r="W29" s="46">
        <v>7</v>
      </c>
      <c r="X29" s="46">
        <v>7</v>
      </c>
      <c r="Y29" s="46">
        <v>7</v>
      </c>
      <c r="Z29" s="46">
        <v>7</v>
      </c>
      <c r="AA29" s="46">
        <v>7</v>
      </c>
      <c r="AB29" s="46">
        <v>7</v>
      </c>
      <c r="AC29" s="46">
        <v>7</v>
      </c>
      <c r="AD29" s="46">
        <v>7</v>
      </c>
      <c r="AE29" s="46">
        <v>7</v>
      </c>
      <c r="AF29" s="46">
        <v>7</v>
      </c>
      <c r="AG29" s="50">
        <v>25</v>
      </c>
      <c r="AH29" s="48">
        <f t="shared" si="8"/>
        <v>8</v>
      </c>
      <c r="AI29" s="49">
        <f t="shared" si="9"/>
        <v>7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7.7</v>
      </c>
      <c r="C30" s="46">
        <v>7.7</v>
      </c>
      <c r="D30" s="46">
        <v>7.7</v>
      </c>
      <c r="E30" s="46">
        <v>7.7</v>
      </c>
      <c r="F30" s="46">
        <v>7.7</v>
      </c>
      <c r="G30" s="46">
        <v>7.7</v>
      </c>
      <c r="H30" s="46">
        <v>7.7</v>
      </c>
      <c r="I30" s="46">
        <v>7.7</v>
      </c>
      <c r="J30" s="46">
        <v>7.7</v>
      </c>
      <c r="K30" s="46">
        <v>7.7</v>
      </c>
      <c r="L30" s="46">
        <v>7.7</v>
      </c>
      <c r="M30" s="46">
        <v>5.6</v>
      </c>
      <c r="N30" s="46">
        <v>5.6</v>
      </c>
      <c r="O30" s="46">
        <v>5.6</v>
      </c>
      <c r="P30" s="46">
        <v>5.6</v>
      </c>
      <c r="Q30" s="46">
        <v>5.6</v>
      </c>
      <c r="R30" s="46">
        <v>5.6</v>
      </c>
      <c r="S30" s="46">
        <v>5.6</v>
      </c>
      <c r="T30" s="46">
        <v>5.6</v>
      </c>
      <c r="U30" s="46">
        <v>5.6</v>
      </c>
      <c r="V30" s="46">
        <v>5.6</v>
      </c>
      <c r="W30" s="46">
        <v>5.6</v>
      </c>
      <c r="X30" s="46">
        <v>5.6</v>
      </c>
      <c r="Y30" s="46">
        <v>5.6</v>
      </c>
      <c r="Z30" s="46">
        <v>5.6</v>
      </c>
      <c r="AA30" s="46">
        <v>5.6</v>
      </c>
      <c r="AB30" s="46">
        <v>5.6</v>
      </c>
      <c r="AC30" s="46">
        <v>5.6</v>
      </c>
      <c r="AD30" s="46">
        <v>5.6</v>
      </c>
      <c r="AE30" s="46">
        <v>5.6</v>
      </c>
      <c r="AF30" s="46">
        <v>5.6</v>
      </c>
      <c r="AG30" s="50">
        <v>23.5</v>
      </c>
      <c r="AH30" s="48">
        <f t="shared" si="8"/>
        <v>7.7</v>
      </c>
      <c r="AI30" s="49">
        <f t="shared" si="9"/>
        <v>5.6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>
        <v>3</v>
      </c>
      <c r="V31" s="46">
        <v>3</v>
      </c>
      <c r="W31" s="46">
        <v>3</v>
      </c>
      <c r="X31" s="46">
        <v>3</v>
      </c>
      <c r="Y31" s="46">
        <v>3</v>
      </c>
      <c r="Z31" s="46">
        <v>3</v>
      </c>
      <c r="AA31" s="46">
        <v>3</v>
      </c>
      <c r="AB31" s="46">
        <v>3</v>
      </c>
      <c r="AC31" s="46">
        <v>3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8"/>
        <v>3</v>
      </c>
      <c r="AI31" s="49">
        <f t="shared" si="9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5.5</v>
      </c>
      <c r="Q32" s="46">
        <v>5.5</v>
      </c>
      <c r="R32" s="46">
        <v>5.5</v>
      </c>
      <c r="S32" s="46">
        <v>5.5</v>
      </c>
      <c r="T32" s="46">
        <v>5.5</v>
      </c>
      <c r="U32" s="46">
        <v>5.5</v>
      </c>
      <c r="V32" s="46">
        <v>5.5</v>
      </c>
      <c r="W32" s="46">
        <v>5.5</v>
      </c>
      <c r="X32" s="46">
        <v>5.5</v>
      </c>
      <c r="Y32" s="46">
        <v>5.5</v>
      </c>
      <c r="Z32" s="46">
        <v>5.5</v>
      </c>
      <c r="AA32" s="46">
        <v>5.5</v>
      </c>
      <c r="AB32" s="46">
        <v>5.5</v>
      </c>
      <c r="AC32" s="46">
        <v>5.5</v>
      </c>
      <c r="AD32" s="46">
        <v>5.5</v>
      </c>
      <c r="AE32" s="46">
        <v>5.5</v>
      </c>
      <c r="AF32" s="46">
        <v>5.5</v>
      </c>
      <c r="AG32" s="50">
        <v>22.1</v>
      </c>
      <c r="AH32" s="48">
        <f t="shared" si="8"/>
        <v>5.5</v>
      </c>
      <c r="AI32" s="49">
        <f t="shared" si="9"/>
        <v>5.5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6</v>
      </c>
      <c r="C33" s="46">
        <v>6</v>
      </c>
      <c r="D33" s="46">
        <v>6</v>
      </c>
      <c r="E33" s="46">
        <v>6</v>
      </c>
      <c r="F33" s="46">
        <v>6</v>
      </c>
      <c r="G33" s="46">
        <v>6</v>
      </c>
      <c r="H33" s="46">
        <v>6</v>
      </c>
      <c r="I33" s="46">
        <v>6</v>
      </c>
      <c r="J33" s="46">
        <v>6</v>
      </c>
      <c r="K33" s="46">
        <v>6</v>
      </c>
      <c r="L33" s="46">
        <v>6</v>
      </c>
      <c r="M33" s="46">
        <v>6</v>
      </c>
      <c r="N33" s="46">
        <v>6</v>
      </c>
      <c r="O33" s="46">
        <v>6</v>
      </c>
      <c r="P33" s="46">
        <v>6</v>
      </c>
      <c r="Q33" s="46">
        <v>0</v>
      </c>
      <c r="R33" s="46">
        <v>0</v>
      </c>
      <c r="S33" s="46">
        <v>0</v>
      </c>
      <c r="T33" s="46">
        <v>0</v>
      </c>
      <c r="U33" s="46">
        <v>0</v>
      </c>
      <c r="V33" s="46">
        <v>0</v>
      </c>
      <c r="W33" s="46">
        <v>0</v>
      </c>
      <c r="X33" s="46">
        <v>0</v>
      </c>
      <c r="Y33" s="46">
        <v>0</v>
      </c>
      <c r="Z33" s="46">
        <v>0</v>
      </c>
      <c r="AA33" s="46">
        <v>0</v>
      </c>
      <c r="AB33" s="46">
        <v>0</v>
      </c>
      <c r="AC33" s="46">
        <v>0</v>
      </c>
      <c r="AD33" s="46">
        <v>0</v>
      </c>
      <c r="AE33" s="46">
        <v>0</v>
      </c>
      <c r="AF33" s="46">
        <v>0</v>
      </c>
      <c r="AG33" s="50">
        <v>22</v>
      </c>
      <c r="AH33" s="48">
        <f t="shared" si="8"/>
        <v>6</v>
      </c>
      <c r="AI33" s="49">
        <f t="shared" si="9"/>
        <v>0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11.8</v>
      </c>
      <c r="C34" s="46">
        <v>11.8</v>
      </c>
      <c r="D34" s="46">
        <v>11.8</v>
      </c>
      <c r="E34" s="46">
        <v>11.8</v>
      </c>
      <c r="F34" s="46">
        <v>11.8</v>
      </c>
      <c r="G34" s="46">
        <v>11.8</v>
      </c>
      <c r="H34" s="46">
        <v>11.8</v>
      </c>
      <c r="I34" s="46">
        <v>11.8</v>
      </c>
      <c r="J34" s="46">
        <v>11.8</v>
      </c>
      <c r="K34" s="46">
        <v>11.8</v>
      </c>
      <c r="L34" s="46">
        <v>11.8</v>
      </c>
      <c r="M34" s="46">
        <v>12.5</v>
      </c>
      <c r="N34" s="46">
        <v>12.5</v>
      </c>
      <c r="O34" s="46">
        <v>12.5</v>
      </c>
      <c r="P34" s="46">
        <v>12.5</v>
      </c>
      <c r="Q34" s="46">
        <v>12.5</v>
      </c>
      <c r="R34" s="46">
        <v>12.5</v>
      </c>
      <c r="S34" s="46">
        <v>12.5</v>
      </c>
      <c r="T34" s="46">
        <v>12.5</v>
      </c>
      <c r="U34" s="46">
        <v>12.5</v>
      </c>
      <c r="V34" s="46">
        <v>12.5</v>
      </c>
      <c r="W34" s="46">
        <v>12.5</v>
      </c>
      <c r="X34" s="46">
        <v>12.5</v>
      </c>
      <c r="Y34" s="46">
        <v>12.5</v>
      </c>
      <c r="Z34" s="46">
        <v>12.5</v>
      </c>
      <c r="AA34" s="46">
        <v>12.5</v>
      </c>
      <c r="AB34" s="46">
        <v>12.5</v>
      </c>
      <c r="AC34" s="46">
        <v>12.5</v>
      </c>
      <c r="AD34" s="46">
        <v>12.5</v>
      </c>
      <c r="AE34" s="46">
        <v>12.5</v>
      </c>
      <c r="AF34" s="46">
        <v>12.5</v>
      </c>
      <c r="AG34" s="50">
        <v>22</v>
      </c>
      <c r="AH34" s="48">
        <f t="shared" si="8"/>
        <v>12.5</v>
      </c>
      <c r="AI34" s="49">
        <f t="shared" si="9"/>
        <v>11.8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8"/>
        <v>4</v>
      </c>
      <c r="AI35" s="49">
        <f t="shared" si="9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>
        <v>4</v>
      </c>
      <c r="V36" s="46">
        <v>4</v>
      </c>
      <c r="W36" s="46">
        <v>4</v>
      </c>
      <c r="X36" s="46">
        <v>4</v>
      </c>
      <c r="Y36" s="46">
        <v>4</v>
      </c>
      <c r="Z36" s="46">
        <v>4</v>
      </c>
      <c r="AA36" s="46">
        <v>4</v>
      </c>
      <c r="AB36" s="46">
        <v>4</v>
      </c>
      <c r="AC36" s="46">
        <v>4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8"/>
        <v>4</v>
      </c>
      <c r="AI36" s="49">
        <f t="shared" si="9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>
        <v>5.7</v>
      </c>
      <c r="V37" s="46">
        <v>5.7</v>
      </c>
      <c r="W37" s="46">
        <v>5.7</v>
      </c>
      <c r="X37" s="46">
        <v>5.7</v>
      </c>
      <c r="Y37" s="46">
        <v>5.7</v>
      </c>
      <c r="Z37" s="46">
        <v>5.7</v>
      </c>
      <c r="AA37" s="46">
        <v>5.7</v>
      </c>
      <c r="AB37" s="46">
        <v>5.7</v>
      </c>
      <c r="AC37" s="46">
        <v>5.7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8"/>
        <v>5.7</v>
      </c>
      <c r="AI37" s="49">
        <f t="shared" si="9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7.2</v>
      </c>
      <c r="Q38" s="46">
        <v>7.2</v>
      </c>
      <c r="R38" s="46">
        <v>7.2</v>
      </c>
      <c r="S38" s="46">
        <v>7.2</v>
      </c>
      <c r="T38" s="46">
        <v>7.2</v>
      </c>
      <c r="U38" s="46">
        <v>7.2</v>
      </c>
      <c r="V38" s="46">
        <v>7.2</v>
      </c>
      <c r="W38" s="46">
        <v>7.2</v>
      </c>
      <c r="X38" s="46">
        <v>7.2</v>
      </c>
      <c r="Y38" s="46">
        <v>7.2</v>
      </c>
      <c r="Z38" s="46">
        <v>7.2</v>
      </c>
      <c r="AA38" s="46">
        <v>7.2</v>
      </c>
      <c r="AB38" s="46">
        <v>7.2</v>
      </c>
      <c r="AC38" s="46">
        <v>7.2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8"/>
        <v>7.2</v>
      </c>
      <c r="AI38" s="49">
        <f t="shared" si="9"/>
        <v>7.2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0</v>
      </c>
      <c r="C40" s="46">
        <v>0</v>
      </c>
      <c r="D40" s="46">
        <v>0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46">
        <v>0</v>
      </c>
      <c r="P40" s="46">
        <v>0</v>
      </c>
      <c r="Q40" s="46">
        <v>0</v>
      </c>
      <c r="R40" s="46">
        <v>0</v>
      </c>
      <c r="S40" s="46">
        <v>0</v>
      </c>
      <c r="T40" s="46">
        <v>0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6">
        <v>0</v>
      </c>
      <c r="AD40" s="46">
        <v>0</v>
      </c>
      <c r="AE40" s="46">
        <v>0</v>
      </c>
      <c r="AF40" s="46">
        <v>0</v>
      </c>
      <c r="AG40" s="50">
        <v>14.9</v>
      </c>
      <c r="AH40" s="48">
        <f t="shared" si="8"/>
        <v>0</v>
      </c>
      <c r="AI40" s="49">
        <f t="shared" si="9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8"/>
        <v>4</v>
      </c>
      <c r="AI41" s="49">
        <f t="shared" si="9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>
        <v>1.8</v>
      </c>
      <c r="V42" s="46">
        <v>1.8</v>
      </c>
      <c r="W42" s="46">
        <v>1.8</v>
      </c>
      <c r="X42" s="46">
        <v>1.8</v>
      </c>
      <c r="Y42" s="46">
        <v>1.8</v>
      </c>
      <c r="Z42" s="46">
        <v>1.8</v>
      </c>
      <c r="AA42" s="46">
        <v>1.8</v>
      </c>
      <c r="AB42" s="46">
        <v>1.8</v>
      </c>
      <c r="AC42" s="46">
        <v>1.8</v>
      </c>
      <c r="AD42" s="46">
        <v>1.8</v>
      </c>
      <c r="AE42" s="46">
        <v>1.8</v>
      </c>
      <c r="AF42" s="46">
        <v>1.8</v>
      </c>
      <c r="AG42" s="50">
        <v>13.6</v>
      </c>
      <c r="AH42" s="48">
        <f t="shared" si="8"/>
        <v>1.8</v>
      </c>
      <c r="AI42" s="49">
        <f t="shared" si="9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>
        <v>3.8</v>
      </c>
      <c r="V43" s="46">
        <v>3.8</v>
      </c>
      <c r="W43" s="46">
        <v>3.8</v>
      </c>
      <c r="X43" s="46">
        <v>3.8</v>
      </c>
      <c r="Y43" s="46">
        <v>3.8</v>
      </c>
      <c r="Z43" s="46">
        <v>3.8</v>
      </c>
      <c r="AA43" s="46">
        <v>3.8</v>
      </c>
      <c r="AB43" s="46">
        <v>3.8</v>
      </c>
      <c r="AC43" s="46">
        <v>3.8</v>
      </c>
      <c r="AD43" s="46">
        <v>3.8</v>
      </c>
      <c r="AE43" s="46">
        <v>3.8</v>
      </c>
      <c r="AF43" s="46">
        <v>3.8</v>
      </c>
      <c r="AG43" s="50">
        <v>13</v>
      </c>
      <c r="AH43" s="48">
        <f t="shared" si="8"/>
        <v>3.8</v>
      </c>
      <c r="AI43" s="49">
        <f t="shared" si="9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2.5</v>
      </c>
      <c r="C44" s="46">
        <v>2.5</v>
      </c>
      <c r="D44" s="46">
        <v>2.5</v>
      </c>
      <c r="E44" s="46">
        <v>2.5</v>
      </c>
      <c r="F44" s="46">
        <v>2.5</v>
      </c>
      <c r="G44" s="46">
        <v>2.5</v>
      </c>
      <c r="H44" s="46">
        <v>2.5</v>
      </c>
      <c r="I44" s="46">
        <v>2.5</v>
      </c>
      <c r="J44" s="46">
        <v>2.5</v>
      </c>
      <c r="K44" s="46">
        <v>2.5</v>
      </c>
      <c r="L44" s="46">
        <v>2.5</v>
      </c>
      <c r="M44" s="46">
        <v>2.5</v>
      </c>
      <c r="N44" s="46">
        <v>2.5</v>
      </c>
      <c r="O44" s="46">
        <v>2.5</v>
      </c>
      <c r="P44" s="46">
        <v>2.5</v>
      </c>
      <c r="Q44" s="46">
        <v>2.5</v>
      </c>
      <c r="R44" s="46">
        <v>2.5</v>
      </c>
      <c r="S44" s="46">
        <v>2.5</v>
      </c>
      <c r="T44" s="46">
        <v>2.5</v>
      </c>
      <c r="U44" s="46">
        <v>2.5</v>
      </c>
      <c r="V44" s="46">
        <v>2.5</v>
      </c>
      <c r="W44" s="46">
        <v>2.5</v>
      </c>
      <c r="X44" s="46">
        <v>2.5</v>
      </c>
      <c r="Y44" s="46">
        <v>2.5</v>
      </c>
      <c r="Z44" s="46">
        <v>2.5</v>
      </c>
      <c r="AA44" s="46">
        <v>2.5</v>
      </c>
      <c r="AB44" s="46">
        <v>2.5</v>
      </c>
      <c r="AC44" s="46">
        <v>2.5</v>
      </c>
      <c r="AD44" s="46">
        <v>2.5</v>
      </c>
      <c r="AE44" s="46">
        <v>2.5</v>
      </c>
      <c r="AF44" s="46">
        <v>2.5</v>
      </c>
      <c r="AG44" s="50">
        <v>12</v>
      </c>
      <c r="AH44" s="48">
        <f t="shared" si="8"/>
        <v>2.5</v>
      </c>
      <c r="AI44" s="49">
        <f t="shared" si="9"/>
        <v>2.5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>
        <v>9</v>
      </c>
      <c r="V45" s="46">
        <v>9</v>
      </c>
      <c r="W45" s="46">
        <v>9</v>
      </c>
      <c r="X45" s="46">
        <v>9</v>
      </c>
      <c r="Y45" s="46">
        <v>9</v>
      </c>
      <c r="Z45" s="46">
        <v>9</v>
      </c>
      <c r="AA45" s="46">
        <v>9</v>
      </c>
      <c r="AB45" s="46">
        <v>9</v>
      </c>
      <c r="AC45" s="46">
        <v>9</v>
      </c>
      <c r="AD45" s="46">
        <v>9</v>
      </c>
      <c r="AE45" s="46">
        <v>9</v>
      </c>
      <c r="AF45" s="46">
        <v>9</v>
      </c>
      <c r="AG45" s="50">
        <v>12</v>
      </c>
      <c r="AH45" s="48">
        <f t="shared" si="8"/>
        <v>9</v>
      </c>
      <c r="AI45" s="49">
        <f t="shared" si="9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>
        <v>3.5</v>
      </c>
      <c r="V47" s="46">
        <v>3.5</v>
      </c>
      <c r="W47" s="46">
        <v>3.5</v>
      </c>
      <c r="X47" s="46">
        <v>3.5</v>
      </c>
      <c r="Y47" s="46">
        <v>3.5</v>
      </c>
      <c r="Z47" s="46">
        <v>3.5</v>
      </c>
      <c r="AA47" s="46">
        <v>3.5</v>
      </c>
      <c r="AB47" s="46">
        <v>3.5</v>
      </c>
      <c r="AC47" s="46">
        <v>3.5</v>
      </c>
      <c r="AD47" s="46">
        <v>3.5</v>
      </c>
      <c r="AE47" s="46">
        <v>3.5</v>
      </c>
      <c r="AF47" s="46">
        <v>3.5</v>
      </c>
      <c r="AG47" s="63">
        <v>22</v>
      </c>
      <c r="AH47" s="48">
        <f t="shared" si="8"/>
        <v>3.5</v>
      </c>
      <c r="AI47" s="49">
        <f t="shared" si="9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>
        <v>5</v>
      </c>
      <c r="V48" s="46">
        <v>5</v>
      </c>
      <c r="W48" s="46">
        <v>5</v>
      </c>
      <c r="X48" s="46">
        <v>5</v>
      </c>
      <c r="Y48" s="46">
        <v>5</v>
      </c>
      <c r="Z48" s="46">
        <v>5</v>
      </c>
      <c r="AA48" s="46">
        <v>5</v>
      </c>
      <c r="AB48" s="46">
        <v>5</v>
      </c>
      <c r="AC48" s="46">
        <v>5</v>
      </c>
      <c r="AD48" s="46">
        <v>5</v>
      </c>
      <c r="AE48" s="46">
        <v>5</v>
      </c>
      <c r="AF48" s="46">
        <v>5</v>
      </c>
      <c r="AG48" s="60">
        <v>11.88</v>
      </c>
      <c r="AH48" s="48">
        <f t="shared" si="8"/>
        <v>5</v>
      </c>
      <c r="AI48" s="49">
        <f t="shared" si="9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5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4" t="s">
        <v>67</v>
      </c>
      <c r="B50" s="46">
        <v>2.4500000000000002</v>
      </c>
      <c r="C50" s="46">
        <v>2.4500000000000002</v>
      </c>
      <c r="D50" s="46">
        <v>2.4500000000000002</v>
      </c>
      <c r="E50" s="46">
        <v>2.4500000000000002</v>
      </c>
      <c r="F50" s="46">
        <v>2.4500000000000002</v>
      </c>
      <c r="G50" s="46">
        <v>2.4500000000000002</v>
      </c>
      <c r="H50" s="46">
        <v>2.4500000000000002</v>
      </c>
      <c r="I50" s="46">
        <v>2.4500000000000002</v>
      </c>
      <c r="J50" s="46">
        <v>2.4500000000000002</v>
      </c>
      <c r="K50" s="46">
        <v>2.4500000000000002</v>
      </c>
      <c r="L50" s="46">
        <v>2.4500000000000002</v>
      </c>
      <c r="M50" s="46">
        <v>2.4500000000000002</v>
      </c>
      <c r="N50" s="46">
        <v>2.4500000000000002</v>
      </c>
      <c r="O50" s="46">
        <v>2.4500000000000002</v>
      </c>
      <c r="P50" s="46">
        <v>2.4500000000000002</v>
      </c>
      <c r="Q50" s="46">
        <v>2.4500000000000002</v>
      </c>
      <c r="R50" s="46">
        <v>2.4500000000000002</v>
      </c>
      <c r="S50" s="46">
        <v>2.4500000000000002</v>
      </c>
      <c r="T50" s="46">
        <v>2.4500000000000002</v>
      </c>
      <c r="U50" s="46">
        <v>2.4500000000000002</v>
      </c>
      <c r="V50" s="46">
        <v>2.4500000000000002</v>
      </c>
      <c r="W50" s="46">
        <v>2.4500000000000002</v>
      </c>
      <c r="X50" s="46">
        <v>2.4500000000000002</v>
      </c>
      <c r="Y50" s="46">
        <v>2.4500000000000002</v>
      </c>
      <c r="Z50" s="46">
        <v>2.4500000000000002</v>
      </c>
      <c r="AA50" s="46">
        <v>2.4500000000000002</v>
      </c>
      <c r="AB50" s="46">
        <v>2.4500000000000002</v>
      </c>
      <c r="AC50" s="46">
        <v>2.4500000000000002</v>
      </c>
      <c r="AD50" s="46">
        <v>2.4500000000000002</v>
      </c>
      <c r="AE50" s="46">
        <v>2.4500000000000002</v>
      </c>
      <c r="AF50" s="46">
        <v>2.4500000000000002</v>
      </c>
      <c r="AG50" s="65">
        <v>11</v>
      </c>
      <c r="AH50" s="48">
        <f t="shared" si="8"/>
        <v>2.4500000000000002</v>
      </c>
      <c r="AI50" s="49">
        <f t="shared" si="9"/>
        <v>2.4500000000000002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65">
        <v>11</v>
      </c>
      <c r="AH51" s="48">
        <f t="shared" si="8"/>
        <v>3</v>
      </c>
      <c r="AI51" s="49">
        <f t="shared" si="9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5">
        <v>10</v>
      </c>
      <c r="AH52" s="48">
        <f t="shared" si="8"/>
        <v>4</v>
      </c>
      <c r="AI52" s="49">
        <f t="shared" si="9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>
        <v>4.5</v>
      </c>
      <c r="V53" s="46">
        <v>4.5</v>
      </c>
      <c r="W53" s="46">
        <v>4.5</v>
      </c>
      <c r="X53" s="46">
        <v>4.5</v>
      </c>
      <c r="Y53" s="46">
        <v>4.5</v>
      </c>
      <c r="Z53" s="46">
        <v>4.5</v>
      </c>
      <c r="AA53" s="46">
        <v>4.5</v>
      </c>
      <c r="AB53" s="46">
        <v>4.5</v>
      </c>
      <c r="AC53" s="46">
        <v>4.5</v>
      </c>
      <c r="AD53" s="46">
        <v>4.5</v>
      </c>
      <c r="AE53" s="46">
        <v>4.5</v>
      </c>
      <c r="AF53" s="46">
        <v>4.5</v>
      </c>
      <c r="AG53" s="65">
        <v>10</v>
      </c>
      <c r="AH53" s="48">
        <f t="shared" si="8"/>
        <v>4.5</v>
      </c>
      <c r="AI53" s="49">
        <f t="shared" si="9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5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5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>
        <v>150</v>
      </c>
      <c r="W56" s="67">
        <v>150</v>
      </c>
      <c r="X56" s="67">
        <v>150</v>
      </c>
      <c r="Y56" s="67">
        <v>150</v>
      </c>
      <c r="Z56" s="67">
        <v>150</v>
      </c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8" t="s">
        <v>74</v>
      </c>
      <c r="B57" s="67">
        <v>64</v>
      </c>
      <c r="C57" s="67">
        <v>64</v>
      </c>
      <c r="D57" s="67">
        <v>64</v>
      </c>
      <c r="E57" s="67">
        <v>64</v>
      </c>
      <c r="F57" s="67">
        <v>76.599999999999994</v>
      </c>
      <c r="G57" s="67">
        <v>76.599999999999994</v>
      </c>
      <c r="H57" s="67">
        <v>66</v>
      </c>
      <c r="I57" s="67">
        <v>64.599999999999994</v>
      </c>
      <c r="J57" s="67">
        <v>64.599999999999994</v>
      </c>
      <c r="K57" s="67">
        <v>64.599999999999994</v>
      </c>
      <c r="L57" s="67">
        <v>64.599999999999994</v>
      </c>
      <c r="M57" s="67">
        <f>27.6+41.3</f>
        <v>68.900000000000006</v>
      </c>
      <c r="N57" s="53">
        <f>39.7+24.3</f>
        <v>64</v>
      </c>
      <c r="O57" s="53">
        <f>39.8+24.3</f>
        <v>64.099999999999994</v>
      </c>
      <c r="P57" s="53">
        <v>64</v>
      </c>
      <c r="Q57" s="53">
        <f>30.6+21.6</f>
        <v>52.2</v>
      </c>
      <c r="R57" s="53">
        <f>30.2+20.8</f>
        <v>51</v>
      </c>
      <c r="S57" s="53">
        <v>50</v>
      </c>
      <c r="T57" s="53">
        <v>48.8</v>
      </c>
      <c r="U57" s="53">
        <v>48.8</v>
      </c>
      <c r="V57" s="53">
        <v>48.8</v>
      </c>
      <c r="W57" s="53">
        <v>0</v>
      </c>
      <c r="X57" s="53">
        <f>19.2+29.9</f>
        <v>49.099999999999994</v>
      </c>
      <c r="Y57" s="53">
        <v>44</v>
      </c>
      <c r="Z57" s="53">
        <v>44</v>
      </c>
      <c r="AA57" s="53">
        <v>44</v>
      </c>
      <c r="AB57" s="67">
        <v>43.2</v>
      </c>
      <c r="AC57" s="67">
        <v>43.2</v>
      </c>
      <c r="AD57" s="67">
        <v>46.3</v>
      </c>
      <c r="AE57" s="67">
        <v>54</v>
      </c>
      <c r="AF57" s="67">
        <v>56.2</v>
      </c>
      <c r="AG57" s="65">
        <v>240</v>
      </c>
      <c r="AH57" s="48">
        <f t="shared" si="8"/>
        <v>76.599999999999994</v>
      </c>
      <c r="AI57" s="49">
        <f t="shared" si="9"/>
        <v>0</v>
      </c>
      <c r="AK57" s="51"/>
    </row>
    <row r="58" spans="1:88" ht="15.75" thickBot="1" x14ac:dyDescent="0.3">
      <c r="A58" s="69" t="s">
        <v>75</v>
      </c>
      <c r="B58" s="70">
        <f t="shared" ref="B58:AF58" si="22">SUM(B11:B56)</f>
        <v>483.55</v>
      </c>
      <c r="C58" s="70">
        <f t="shared" si="22"/>
        <v>483.55</v>
      </c>
      <c r="D58" s="70">
        <f t="shared" si="22"/>
        <v>483.55</v>
      </c>
      <c r="E58" s="70">
        <f t="shared" si="22"/>
        <v>483.55</v>
      </c>
      <c r="F58" s="70">
        <f t="shared" si="22"/>
        <v>483.55</v>
      </c>
      <c r="G58" s="70">
        <f t="shared" si="22"/>
        <v>483.55</v>
      </c>
      <c r="H58" s="70">
        <f t="shared" si="22"/>
        <v>483.55</v>
      </c>
      <c r="I58" s="70">
        <f t="shared" si="22"/>
        <v>484.95</v>
      </c>
      <c r="J58" s="70">
        <f t="shared" si="22"/>
        <v>484.95</v>
      </c>
      <c r="K58" s="70">
        <f t="shared" si="22"/>
        <v>490.35</v>
      </c>
      <c r="L58" s="70">
        <f t="shared" si="22"/>
        <v>490.35</v>
      </c>
      <c r="M58" s="70">
        <f t="shared" ref="M58" si="23">SUM(M11:M56)</f>
        <v>478.55</v>
      </c>
      <c r="N58" s="70">
        <f t="shared" si="22"/>
        <v>478.65</v>
      </c>
      <c r="O58" s="70">
        <f t="shared" si="22"/>
        <v>478.65</v>
      </c>
      <c r="P58" s="70">
        <f t="shared" si="22"/>
        <v>478.65</v>
      </c>
      <c r="Q58" s="70">
        <f t="shared" si="22"/>
        <v>472.65</v>
      </c>
      <c r="R58" s="70">
        <f t="shared" si="22"/>
        <v>471.55</v>
      </c>
      <c r="S58" s="70">
        <f t="shared" ref="S58:T58" si="24">SUM(S11:S56)</f>
        <v>471.55</v>
      </c>
      <c r="T58" s="70">
        <f t="shared" si="24"/>
        <v>471.55</v>
      </c>
      <c r="U58" s="70">
        <f t="shared" ref="U58:V58" si="25">SUM(U11:U56)</f>
        <v>471.55</v>
      </c>
      <c r="V58" s="70">
        <f t="shared" si="25"/>
        <v>471.55</v>
      </c>
      <c r="W58" s="70">
        <f t="shared" si="22"/>
        <v>471.55</v>
      </c>
      <c r="X58" s="70">
        <f t="shared" ref="X58:Y58" si="26">SUM(X11:X56)</f>
        <v>471.55</v>
      </c>
      <c r="Y58" s="70">
        <f t="shared" si="26"/>
        <v>471.55</v>
      </c>
      <c r="Z58" s="70">
        <f t="shared" si="22"/>
        <v>471.55</v>
      </c>
      <c r="AA58" s="70">
        <f t="shared" si="22"/>
        <v>471.55</v>
      </c>
      <c r="AB58" s="70">
        <f t="shared" si="22"/>
        <v>476.75</v>
      </c>
      <c r="AC58" s="70">
        <f t="shared" si="22"/>
        <v>476.75</v>
      </c>
      <c r="AD58" s="70">
        <f t="shared" si="22"/>
        <v>476.75</v>
      </c>
      <c r="AE58" s="70">
        <f t="shared" si="22"/>
        <v>476.75</v>
      </c>
      <c r="AF58" s="70">
        <f t="shared" si="22"/>
        <v>476.75</v>
      </c>
      <c r="AG58" s="71">
        <f>SUM(AG14:AG56)</f>
        <v>1042.4000000000001</v>
      </c>
      <c r="AH58" s="48">
        <f t="shared" si="8"/>
        <v>490.35</v>
      </c>
      <c r="AI58" s="49">
        <f t="shared" si="9"/>
        <v>471.55</v>
      </c>
      <c r="AK58" s="51"/>
    </row>
    <row r="59" spans="1:88" x14ac:dyDescent="0.25">
      <c r="A59" s="72" t="s">
        <v>76</v>
      </c>
      <c r="B59" s="46">
        <v>15</v>
      </c>
      <c r="C59" s="46">
        <v>40.200000000000003</v>
      </c>
      <c r="D59" s="46">
        <v>0</v>
      </c>
      <c r="E59" s="46">
        <v>0</v>
      </c>
      <c r="F59" s="46">
        <v>0</v>
      </c>
      <c r="G59" s="46">
        <v>0</v>
      </c>
      <c r="H59" s="46">
        <v>0</v>
      </c>
      <c r="I59" s="46">
        <v>50</v>
      </c>
      <c r="J59" s="46">
        <v>45.2</v>
      </c>
      <c r="K59" s="46">
        <v>70</v>
      </c>
      <c r="L59" s="46"/>
      <c r="M59" s="46">
        <v>150.80000000000001</v>
      </c>
      <c r="N59" s="73">
        <v>90</v>
      </c>
      <c r="O59" s="73">
        <v>15.1</v>
      </c>
      <c r="P59" s="73">
        <v>0</v>
      </c>
      <c r="Q59" s="73">
        <v>0</v>
      </c>
      <c r="R59" s="73">
        <v>0</v>
      </c>
      <c r="S59" s="73">
        <v>0</v>
      </c>
      <c r="T59" s="73">
        <v>45</v>
      </c>
      <c r="U59" s="73">
        <v>76.400000000000006</v>
      </c>
      <c r="V59" s="73">
        <v>50.2</v>
      </c>
      <c r="W59" s="46">
        <v>50.2</v>
      </c>
      <c r="X59" s="46">
        <v>72.599999999999994</v>
      </c>
      <c r="Y59" s="46">
        <v>112.6</v>
      </c>
      <c r="Z59" s="46">
        <v>310</v>
      </c>
      <c r="AA59" s="46">
        <v>281.5</v>
      </c>
      <c r="AB59" s="46">
        <v>291.60000000000002</v>
      </c>
      <c r="AC59" s="46">
        <v>189.2</v>
      </c>
      <c r="AD59" s="46">
        <v>100</v>
      </c>
      <c r="AE59" s="46">
        <v>25</v>
      </c>
      <c r="AF59" s="46">
        <v>15</v>
      </c>
      <c r="AG59" s="60">
        <v>456</v>
      </c>
      <c r="AH59" s="48">
        <f t="shared" si="8"/>
        <v>310</v>
      </c>
      <c r="AI59" s="49">
        <f t="shared" si="9"/>
        <v>0</v>
      </c>
      <c r="AK59" s="51"/>
    </row>
    <row r="60" spans="1:88" x14ac:dyDescent="0.25">
      <c r="A60" s="74" t="s">
        <v>77</v>
      </c>
      <c r="B60" s="75">
        <v>25</v>
      </c>
      <c r="C60" s="75">
        <v>25</v>
      </c>
      <c r="D60" s="75">
        <v>25</v>
      </c>
      <c r="E60" s="75">
        <v>25</v>
      </c>
      <c r="F60" s="75">
        <v>25</v>
      </c>
      <c r="G60" s="75">
        <v>25</v>
      </c>
      <c r="H60" s="75">
        <v>25</v>
      </c>
      <c r="I60" s="75">
        <v>25</v>
      </c>
      <c r="J60" s="75">
        <v>25</v>
      </c>
      <c r="K60" s="75">
        <v>25</v>
      </c>
      <c r="L60" s="75">
        <v>25</v>
      </c>
      <c r="M60" s="75">
        <v>25</v>
      </c>
      <c r="N60" s="75">
        <v>25</v>
      </c>
      <c r="O60" s="75">
        <v>25</v>
      </c>
      <c r="P60" s="75">
        <v>25</v>
      </c>
      <c r="Q60" s="75">
        <v>25</v>
      </c>
      <c r="R60" s="75">
        <v>25</v>
      </c>
      <c r="S60" s="75">
        <v>25</v>
      </c>
      <c r="T60" s="75">
        <v>25</v>
      </c>
      <c r="U60" s="75">
        <v>25</v>
      </c>
      <c r="V60" s="75">
        <v>25</v>
      </c>
      <c r="W60" s="75">
        <v>25</v>
      </c>
      <c r="X60" s="75">
        <v>25</v>
      </c>
      <c r="Y60" s="75">
        <v>25</v>
      </c>
      <c r="Z60" s="75">
        <v>25</v>
      </c>
      <c r="AA60" s="75">
        <v>25</v>
      </c>
      <c r="AB60" s="75">
        <v>25</v>
      </c>
      <c r="AC60" s="75">
        <v>25</v>
      </c>
      <c r="AD60" s="75">
        <v>25</v>
      </c>
      <c r="AE60" s="75">
        <v>25</v>
      </c>
      <c r="AF60" s="75">
        <v>25</v>
      </c>
      <c r="AG60" s="65">
        <v>60</v>
      </c>
      <c r="AH60" s="48">
        <f t="shared" si="8"/>
        <v>25</v>
      </c>
      <c r="AI60" s="49">
        <f t="shared" si="9"/>
        <v>25</v>
      </c>
      <c r="AK60" s="51"/>
    </row>
    <row r="61" spans="1:88" ht="15.75" thickBot="1" x14ac:dyDescent="0.3">
      <c r="A61" s="76" t="s">
        <v>78</v>
      </c>
      <c r="B61" s="77">
        <v>10.6</v>
      </c>
      <c r="C61" s="77">
        <v>12.3</v>
      </c>
      <c r="D61" s="77">
        <v>12.3</v>
      </c>
      <c r="E61" s="77">
        <v>12.3</v>
      </c>
      <c r="F61" s="77">
        <v>12.3</v>
      </c>
      <c r="G61" s="77">
        <v>12.3</v>
      </c>
      <c r="H61" s="77">
        <v>12.3</v>
      </c>
      <c r="I61" s="77">
        <v>12.3</v>
      </c>
      <c r="J61" s="77">
        <v>12.3</v>
      </c>
      <c r="K61" s="77">
        <v>12.3</v>
      </c>
      <c r="L61" s="77">
        <v>12.3</v>
      </c>
      <c r="M61" s="77">
        <v>10.6</v>
      </c>
      <c r="N61" s="77">
        <v>10.6</v>
      </c>
      <c r="O61" s="77">
        <v>10.7</v>
      </c>
      <c r="P61" s="77">
        <v>10.7</v>
      </c>
      <c r="Q61" s="77">
        <v>10.7</v>
      </c>
      <c r="R61" s="77">
        <v>10.6</v>
      </c>
      <c r="S61" s="77">
        <v>10.6</v>
      </c>
      <c r="T61" s="77">
        <v>10.6</v>
      </c>
      <c r="U61" s="77">
        <v>10.6</v>
      </c>
      <c r="V61" s="77">
        <v>10.6</v>
      </c>
      <c r="W61" s="77">
        <v>10.6</v>
      </c>
      <c r="X61" s="77">
        <v>10.6</v>
      </c>
      <c r="Y61" s="77">
        <v>10.6</v>
      </c>
      <c r="Z61" s="77">
        <v>10.6</v>
      </c>
      <c r="AA61" s="77">
        <v>10.6</v>
      </c>
      <c r="AB61" s="77">
        <v>12.3</v>
      </c>
      <c r="AC61" s="77">
        <v>12.4</v>
      </c>
      <c r="AD61" s="77">
        <v>12.4</v>
      </c>
      <c r="AE61" s="77">
        <v>12.4</v>
      </c>
      <c r="AF61" s="77">
        <v>12.4</v>
      </c>
      <c r="AG61" s="78">
        <v>22.1</v>
      </c>
      <c r="AH61" s="48">
        <f t="shared" si="8"/>
        <v>12.4</v>
      </c>
      <c r="AI61" s="49">
        <f t="shared" si="9"/>
        <v>10.6</v>
      </c>
      <c r="AK61" s="51"/>
    </row>
    <row r="62" spans="1:88" ht="15.75" thickBot="1" x14ac:dyDescent="0.3">
      <c r="A62" s="79" t="s">
        <v>79</v>
      </c>
      <c r="B62" s="70">
        <f t="shared" ref="B62:AG62" si="27">SUM(B59:B61)</f>
        <v>50.6</v>
      </c>
      <c r="C62" s="70">
        <f t="shared" si="27"/>
        <v>77.5</v>
      </c>
      <c r="D62" s="70">
        <f t="shared" si="27"/>
        <v>37.299999999999997</v>
      </c>
      <c r="E62" s="70">
        <f t="shared" si="27"/>
        <v>37.299999999999997</v>
      </c>
      <c r="F62" s="70">
        <f t="shared" si="27"/>
        <v>37.299999999999997</v>
      </c>
      <c r="G62" s="70">
        <f t="shared" si="27"/>
        <v>37.299999999999997</v>
      </c>
      <c r="H62" s="70">
        <f t="shared" si="27"/>
        <v>37.299999999999997</v>
      </c>
      <c r="I62" s="70">
        <f t="shared" si="27"/>
        <v>87.3</v>
      </c>
      <c r="J62" s="70">
        <f t="shared" si="27"/>
        <v>82.5</v>
      </c>
      <c r="K62" s="70">
        <f t="shared" si="27"/>
        <v>107.3</v>
      </c>
      <c r="L62" s="70">
        <f t="shared" si="27"/>
        <v>37.299999999999997</v>
      </c>
      <c r="M62" s="70">
        <f t="shared" ref="M62" si="28">SUM(M59:M61)</f>
        <v>186.4</v>
      </c>
      <c r="N62" s="70">
        <f t="shared" si="27"/>
        <v>125.6</v>
      </c>
      <c r="O62" s="70">
        <f t="shared" si="27"/>
        <v>50.8</v>
      </c>
      <c r="P62" s="70">
        <f t="shared" si="27"/>
        <v>35.700000000000003</v>
      </c>
      <c r="Q62" s="70">
        <f t="shared" si="27"/>
        <v>35.700000000000003</v>
      </c>
      <c r="R62" s="70">
        <f t="shared" si="27"/>
        <v>35.6</v>
      </c>
      <c r="S62" s="70">
        <f t="shared" ref="S62:T62" si="29">SUM(S59:S61)</f>
        <v>35.6</v>
      </c>
      <c r="T62" s="70">
        <f t="shared" si="29"/>
        <v>80.599999999999994</v>
      </c>
      <c r="U62" s="70">
        <f t="shared" ref="U62:V62" si="30">SUM(U59:U61)</f>
        <v>112</v>
      </c>
      <c r="V62" s="70">
        <f t="shared" si="30"/>
        <v>85.8</v>
      </c>
      <c r="W62" s="70">
        <f t="shared" si="27"/>
        <v>85.8</v>
      </c>
      <c r="X62" s="70">
        <f t="shared" ref="X62:Y62" si="31">SUM(X59:X61)</f>
        <v>108.19999999999999</v>
      </c>
      <c r="Y62" s="70">
        <f t="shared" si="31"/>
        <v>148.19999999999999</v>
      </c>
      <c r="Z62" s="70">
        <f t="shared" si="27"/>
        <v>345.6</v>
      </c>
      <c r="AA62" s="70">
        <f t="shared" si="27"/>
        <v>317.10000000000002</v>
      </c>
      <c r="AB62" s="70">
        <f t="shared" si="27"/>
        <v>328.90000000000003</v>
      </c>
      <c r="AC62" s="70">
        <f t="shared" si="27"/>
        <v>226.6</v>
      </c>
      <c r="AD62" s="70">
        <f t="shared" si="27"/>
        <v>137.4</v>
      </c>
      <c r="AE62" s="70">
        <f t="shared" si="27"/>
        <v>62.4</v>
      </c>
      <c r="AF62" s="70">
        <f t="shared" si="27"/>
        <v>52.4</v>
      </c>
      <c r="AG62" s="71">
        <f t="shared" si="27"/>
        <v>538.1</v>
      </c>
      <c r="AH62" s="48">
        <f t="shared" si="8"/>
        <v>345.6</v>
      </c>
      <c r="AI62" s="49">
        <f t="shared" si="9"/>
        <v>35.6</v>
      </c>
      <c r="AK62" s="51"/>
    </row>
    <row r="63" spans="1:88" x14ac:dyDescent="0.25">
      <c r="A63" s="45" t="s">
        <v>80</v>
      </c>
      <c r="B63" s="46">
        <v>70.8</v>
      </c>
      <c r="C63" s="46">
        <v>46.5</v>
      </c>
      <c r="D63" s="46">
        <v>0</v>
      </c>
      <c r="E63" s="46">
        <v>0</v>
      </c>
      <c r="F63" s="46">
        <v>0</v>
      </c>
      <c r="G63" s="46">
        <v>0</v>
      </c>
      <c r="H63" s="46">
        <v>25.6</v>
      </c>
      <c r="I63" s="46">
        <v>26.4</v>
      </c>
      <c r="J63" s="46">
        <v>27.6</v>
      </c>
      <c r="K63" s="46">
        <v>30.5</v>
      </c>
      <c r="L63" s="46">
        <v>31.5</v>
      </c>
      <c r="M63" s="46">
        <v>38.200000000000003</v>
      </c>
      <c r="N63" s="46">
        <v>38.299999999999997</v>
      </c>
      <c r="O63" s="46">
        <v>31.4</v>
      </c>
      <c r="P63" s="46">
        <v>30</v>
      </c>
      <c r="Q63" s="46">
        <v>30</v>
      </c>
      <c r="R63" s="46">
        <v>31</v>
      </c>
      <c r="S63" s="46">
        <v>31</v>
      </c>
      <c r="T63" s="46">
        <v>48.7</v>
      </c>
      <c r="U63" s="46">
        <v>48.7</v>
      </c>
      <c r="V63" s="46">
        <v>48.7</v>
      </c>
      <c r="W63" s="46">
        <v>61.2</v>
      </c>
      <c r="X63" s="46">
        <v>71</v>
      </c>
      <c r="Y63" s="46">
        <v>110.8</v>
      </c>
      <c r="Z63" s="46">
        <v>144.30000000000001</v>
      </c>
      <c r="AA63" s="46">
        <v>144.4</v>
      </c>
      <c r="AB63" s="46">
        <v>143.19999999999999</v>
      </c>
      <c r="AC63" s="46">
        <v>142.9</v>
      </c>
      <c r="AD63" s="46">
        <v>143</v>
      </c>
      <c r="AE63" s="46">
        <v>110</v>
      </c>
      <c r="AF63" s="46">
        <v>70.900000000000006</v>
      </c>
      <c r="AG63" s="60">
        <v>144</v>
      </c>
      <c r="AH63" s="48">
        <f t="shared" si="8"/>
        <v>144.4</v>
      </c>
      <c r="AI63" s="49">
        <f t="shared" si="9"/>
        <v>0</v>
      </c>
      <c r="AK63" s="51"/>
    </row>
    <row r="64" spans="1:88" x14ac:dyDescent="0.25">
      <c r="A64" s="64" t="s">
        <v>81</v>
      </c>
      <c r="B64" s="75">
        <v>0</v>
      </c>
      <c r="C64" s="75">
        <v>0</v>
      </c>
      <c r="D64" s="75">
        <v>0</v>
      </c>
      <c r="E64" s="75">
        <v>0</v>
      </c>
      <c r="F64" s="75">
        <v>0</v>
      </c>
      <c r="G64" s="75">
        <v>0</v>
      </c>
      <c r="H64" s="75">
        <v>0</v>
      </c>
      <c r="I64" s="75">
        <v>0</v>
      </c>
      <c r="J64" s="75">
        <v>25.2</v>
      </c>
      <c r="K64" s="75">
        <v>47.6</v>
      </c>
      <c r="L64" s="75">
        <v>49.5</v>
      </c>
      <c r="M64" s="75">
        <v>48.7</v>
      </c>
      <c r="N64" s="75">
        <v>48.7</v>
      </c>
      <c r="O64" s="75">
        <v>45.5</v>
      </c>
      <c r="P64" s="75">
        <v>60</v>
      </c>
      <c r="Q64" s="75">
        <v>34</v>
      </c>
      <c r="R64" s="75">
        <v>24</v>
      </c>
      <c r="S64" s="75">
        <v>25.2</v>
      </c>
      <c r="T64" s="75">
        <v>25.2</v>
      </c>
      <c r="U64" s="75">
        <v>34.5</v>
      </c>
      <c r="V64" s="75">
        <v>34.700000000000003</v>
      </c>
      <c r="W64" s="46">
        <v>34.5</v>
      </c>
      <c r="X64" s="46">
        <v>49.1</v>
      </c>
      <c r="Y64" s="46">
        <v>49.6</v>
      </c>
      <c r="Z64" s="46">
        <v>69.099999999999994</v>
      </c>
      <c r="AA64" s="46">
        <v>69.400000000000006</v>
      </c>
      <c r="AB64" s="46">
        <v>68.8</v>
      </c>
      <c r="AC64" s="46">
        <v>27.74</v>
      </c>
      <c r="AD64" s="46">
        <v>28.3</v>
      </c>
      <c r="AE64" s="46">
        <v>23.5</v>
      </c>
      <c r="AF64" s="46">
        <v>26.4</v>
      </c>
      <c r="AG64" s="65">
        <v>70</v>
      </c>
      <c r="AH64" s="48">
        <f t="shared" si="8"/>
        <v>69.400000000000006</v>
      </c>
      <c r="AI64" s="49">
        <f t="shared" si="9"/>
        <v>0</v>
      </c>
      <c r="AK64" s="51"/>
    </row>
    <row r="65" spans="1:75" x14ac:dyDescent="0.25">
      <c r="A65" s="64" t="s">
        <v>82</v>
      </c>
      <c r="B65" s="75">
        <v>16</v>
      </c>
      <c r="C65" s="75">
        <v>16.5</v>
      </c>
      <c r="D65" s="75">
        <v>0</v>
      </c>
      <c r="E65" s="75">
        <v>0</v>
      </c>
      <c r="F65" s="75">
        <v>0</v>
      </c>
      <c r="G65" s="75">
        <v>0</v>
      </c>
      <c r="H65" s="75">
        <v>41.3</v>
      </c>
      <c r="I65" s="75">
        <v>41.1</v>
      </c>
      <c r="J65" s="75">
        <v>63.7</v>
      </c>
      <c r="K65" s="75">
        <v>56.2</v>
      </c>
      <c r="L65" s="75">
        <v>59.8</v>
      </c>
      <c r="M65" s="75">
        <v>60.1</v>
      </c>
      <c r="N65" s="75">
        <v>60.1</v>
      </c>
      <c r="O65" s="75">
        <v>48.7</v>
      </c>
      <c r="P65" s="75">
        <v>48</v>
      </c>
      <c r="Q65" s="75">
        <v>34</v>
      </c>
      <c r="R65" s="75">
        <v>33.299999999999997</v>
      </c>
      <c r="S65" s="75">
        <v>33.6</v>
      </c>
      <c r="T65" s="75">
        <v>33.6</v>
      </c>
      <c r="U65" s="75">
        <v>33.799999999999997</v>
      </c>
      <c r="V65" s="75">
        <v>33.799999999999997</v>
      </c>
      <c r="W65" s="46">
        <v>32.6</v>
      </c>
      <c r="X65" s="46">
        <v>32.4</v>
      </c>
      <c r="Y65" s="46">
        <v>52</v>
      </c>
      <c r="Z65" s="46">
        <v>65.900000000000006</v>
      </c>
      <c r="AA65" s="46">
        <v>54.7</v>
      </c>
      <c r="AB65" s="46">
        <v>51.2</v>
      </c>
      <c r="AC65" s="46">
        <v>60.5</v>
      </c>
      <c r="AD65" s="46">
        <v>60</v>
      </c>
      <c r="AE65" s="46">
        <v>32.799999999999997</v>
      </c>
      <c r="AF65" s="46">
        <v>16.2</v>
      </c>
      <c r="AG65" s="65">
        <v>69</v>
      </c>
      <c r="AH65" s="48">
        <f t="shared" si="8"/>
        <v>65.900000000000006</v>
      </c>
      <c r="AI65" s="49">
        <f t="shared" si="9"/>
        <v>0</v>
      </c>
      <c r="AK65" s="51"/>
    </row>
    <row r="66" spans="1:75" x14ac:dyDescent="0.25">
      <c r="A66" s="64" t="s">
        <v>83</v>
      </c>
      <c r="B66" s="75">
        <v>36.299999999999997</v>
      </c>
      <c r="C66" s="75">
        <v>37.299999999999997</v>
      </c>
      <c r="D66" s="75">
        <v>37.299999999999997</v>
      </c>
      <c r="E66" s="75">
        <v>37.299999999999997</v>
      </c>
      <c r="F66" s="75">
        <v>37.299999999999997</v>
      </c>
      <c r="G66" s="75">
        <v>37.299999999999997</v>
      </c>
      <c r="H66" s="75">
        <v>39.299999999999997</v>
      </c>
      <c r="I66" s="75">
        <v>38</v>
      </c>
      <c r="J66" s="75">
        <v>38.299999999999997</v>
      </c>
      <c r="K66" s="67">
        <v>38.299999999999997</v>
      </c>
      <c r="L66" s="67">
        <v>38.299999999999997</v>
      </c>
      <c r="M66" s="67">
        <v>38.6</v>
      </c>
      <c r="N66" s="67">
        <v>38.6</v>
      </c>
      <c r="O66" s="67">
        <v>38.6</v>
      </c>
      <c r="P66" s="75">
        <v>36.299999999999997</v>
      </c>
      <c r="Q66" s="75">
        <v>36.299999999999997</v>
      </c>
      <c r="R66" s="75">
        <v>36</v>
      </c>
      <c r="S66" s="75">
        <v>36</v>
      </c>
      <c r="T66" s="75">
        <v>36</v>
      </c>
      <c r="U66" s="75">
        <v>36</v>
      </c>
      <c r="V66" s="75">
        <v>36</v>
      </c>
      <c r="W66" s="46">
        <v>35</v>
      </c>
      <c r="X66" s="46">
        <v>35</v>
      </c>
      <c r="Y66" s="46">
        <v>35</v>
      </c>
      <c r="Z66" s="46">
        <v>35</v>
      </c>
      <c r="AA66" s="46">
        <v>35.299999999999997</v>
      </c>
      <c r="AB66" s="46">
        <v>35.299999999999997</v>
      </c>
      <c r="AC66" s="46">
        <v>36.299999999999997</v>
      </c>
      <c r="AD66" s="46">
        <v>36.299999999999997</v>
      </c>
      <c r="AE66" s="46">
        <v>36.299999999999997</v>
      </c>
      <c r="AF66" s="46">
        <v>36.299999999999997</v>
      </c>
      <c r="AG66" s="65">
        <v>60</v>
      </c>
      <c r="AH66" s="48">
        <f t="shared" si="8"/>
        <v>39.299999999999997</v>
      </c>
      <c r="AI66" s="49">
        <f t="shared" si="9"/>
        <v>35</v>
      </c>
      <c r="AK66" s="51"/>
    </row>
    <row r="67" spans="1:75" x14ac:dyDescent="0.25">
      <c r="A67" s="64" t="s">
        <v>84</v>
      </c>
      <c r="B67" s="46">
        <v>0</v>
      </c>
      <c r="C67" s="46">
        <v>0</v>
      </c>
      <c r="D67" s="46">
        <v>0</v>
      </c>
      <c r="E67" s="46">
        <v>0</v>
      </c>
      <c r="F67" s="46">
        <v>0</v>
      </c>
      <c r="G67" s="46">
        <v>10</v>
      </c>
      <c r="H67" s="46">
        <v>10</v>
      </c>
      <c r="I67" s="75">
        <v>10</v>
      </c>
      <c r="J67" s="75">
        <v>23.3</v>
      </c>
      <c r="K67" s="75">
        <v>23.4</v>
      </c>
      <c r="L67" s="67">
        <v>22.8</v>
      </c>
      <c r="M67" s="67">
        <v>23.1</v>
      </c>
      <c r="N67" s="67">
        <v>23.1</v>
      </c>
      <c r="O67" s="67">
        <v>10</v>
      </c>
      <c r="P67" s="67">
        <v>10</v>
      </c>
      <c r="Q67" s="67">
        <v>10</v>
      </c>
      <c r="R67" s="75">
        <v>10</v>
      </c>
      <c r="S67" s="75">
        <v>14.3</v>
      </c>
      <c r="T67" s="75">
        <v>10.4</v>
      </c>
      <c r="U67" s="75">
        <v>14.3</v>
      </c>
      <c r="V67" s="75">
        <v>14.3</v>
      </c>
      <c r="W67" s="46">
        <v>14.2</v>
      </c>
      <c r="X67" s="46">
        <v>10.5</v>
      </c>
      <c r="Y67" s="46">
        <v>11.9</v>
      </c>
      <c r="Z67" s="46">
        <v>10.199999999999999</v>
      </c>
      <c r="AA67" s="46">
        <v>10.3</v>
      </c>
      <c r="AB67" s="46">
        <v>9.6999999999999993</v>
      </c>
      <c r="AC67" s="46">
        <v>10</v>
      </c>
      <c r="AD67" s="46">
        <v>0</v>
      </c>
      <c r="AE67" s="46">
        <v>0</v>
      </c>
      <c r="AF67" s="46">
        <v>0</v>
      </c>
      <c r="AG67" s="65">
        <v>30</v>
      </c>
      <c r="AH67" s="48">
        <f t="shared" si="8"/>
        <v>23.4</v>
      </c>
      <c r="AI67" s="49">
        <f t="shared" si="9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</row>
    <row r="68" spans="1:75" x14ac:dyDescent="0.25">
      <c r="A68" s="64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  <c r="M68" s="46">
        <v>1.7</v>
      </c>
      <c r="N68" s="46">
        <v>3.3</v>
      </c>
      <c r="O68" s="46">
        <v>3.3</v>
      </c>
      <c r="P68" s="46">
        <v>9</v>
      </c>
      <c r="Q68" s="46">
        <v>10</v>
      </c>
      <c r="R68" s="75">
        <v>6.6</v>
      </c>
      <c r="S68" s="75">
        <v>3.7</v>
      </c>
      <c r="T68" s="75">
        <v>2.9</v>
      </c>
      <c r="U68" s="75">
        <v>1.8</v>
      </c>
      <c r="V68" s="75">
        <v>1.2</v>
      </c>
      <c r="W68" s="46">
        <v>0.6</v>
      </c>
      <c r="X68" s="46">
        <v>0</v>
      </c>
      <c r="Y68" s="46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5">
        <v>25</v>
      </c>
      <c r="AH68" s="48">
        <f t="shared" si="8"/>
        <v>10</v>
      </c>
      <c r="AI68" s="49">
        <f t="shared" si="9"/>
        <v>0</v>
      </c>
      <c r="AK68" s="51"/>
      <c r="AY68" s="1" t="s">
        <v>86</v>
      </c>
      <c r="AZ68" s="81">
        <f>ROUND(C81,0)</f>
        <v>36</v>
      </c>
      <c r="BA68" s="80">
        <f t="shared" ref="BA68:BD72" si="32">D81</f>
        <v>39.700000000000003</v>
      </c>
      <c r="BB68" s="80">
        <f t="shared" si="32"/>
        <v>38</v>
      </c>
      <c r="BC68" s="80">
        <f t="shared" si="32"/>
        <v>34.299999999999997</v>
      </c>
      <c r="BD68" s="80">
        <f t="shared" si="32"/>
        <v>24.2</v>
      </c>
      <c r="BE68" s="81">
        <f>I81</f>
        <v>17.3</v>
      </c>
      <c r="BF68" s="81">
        <f>K81</f>
        <v>47</v>
      </c>
      <c r="BG68" s="81">
        <f t="shared" ref="BG68:BP72" si="33">M81</f>
        <v>40.1</v>
      </c>
      <c r="BH68" s="81">
        <f t="shared" si="33"/>
        <v>40</v>
      </c>
      <c r="BI68" s="81">
        <f t="shared" si="33"/>
        <v>51</v>
      </c>
      <c r="BJ68" s="81">
        <f t="shared" si="33"/>
        <v>48</v>
      </c>
      <c r="BK68" s="81">
        <f t="shared" si="33"/>
        <v>46</v>
      </c>
      <c r="BL68" s="81">
        <f t="shared" si="33"/>
        <v>51.4</v>
      </c>
      <c r="BM68" s="81">
        <f t="shared" si="33"/>
        <v>51.2</v>
      </c>
      <c r="BN68" s="81">
        <f t="shared" si="33"/>
        <v>61.3</v>
      </c>
      <c r="BO68" s="81">
        <f t="shared" si="33"/>
        <v>66.3</v>
      </c>
      <c r="BP68" s="81">
        <f t="shared" si="33"/>
        <v>69.2</v>
      </c>
      <c r="BQ68" s="81">
        <f>X81</f>
        <v>56.4</v>
      </c>
      <c r="BR68" s="81">
        <f>Z81</f>
        <v>42</v>
      </c>
      <c r="BS68" s="80">
        <f>AB81</f>
        <v>48.5</v>
      </c>
      <c r="BT68" s="80">
        <f>AD81</f>
        <v>51</v>
      </c>
      <c r="BU68" s="80">
        <f>AE81</f>
        <v>41</v>
      </c>
      <c r="BV68" s="80">
        <f>AF81</f>
        <v>39.799999999999997</v>
      </c>
      <c r="BW68" s="80">
        <f>B81</f>
        <v>41.3</v>
      </c>
    </row>
    <row r="69" spans="1:75" x14ac:dyDescent="0.25">
      <c r="A69" s="64" t="s">
        <v>87</v>
      </c>
      <c r="B69" s="75">
        <v>15</v>
      </c>
      <c r="C69" s="75">
        <v>15</v>
      </c>
      <c r="D69" s="75">
        <v>15</v>
      </c>
      <c r="E69" s="75">
        <v>15</v>
      </c>
      <c r="F69" s="75">
        <v>15</v>
      </c>
      <c r="G69" s="75">
        <v>15</v>
      </c>
      <c r="H69" s="75">
        <v>15</v>
      </c>
      <c r="I69" s="75">
        <v>15</v>
      </c>
      <c r="J69" s="75">
        <v>15</v>
      </c>
      <c r="K69" s="75">
        <v>15</v>
      </c>
      <c r="L69" s="75">
        <v>15</v>
      </c>
      <c r="M69" s="75">
        <v>15</v>
      </c>
      <c r="N69" s="75">
        <v>15</v>
      </c>
      <c r="O69" s="75">
        <v>15</v>
      </c>
      <c r="P69" s="75">
        <v>15</v>
      </c>
      <c r="Q69" s="75">
        <v>15</v>
      </c>
      <c r="R69" s="75">
        <v>15</v>
      </c>
      <c r="S69" s="75">
        <v>15</v>
      </c>
      <c r="T69" s="75">
        <v>15</v>
      </c>
      <c r="U69" s="75">
        <v>15</v>
      </c>
      <c r="V69" s="75">
        <v>15</v>
      </c>
      <c r="W69" s="75">
        <v>15</v>
      </c>
      <c r="X69" s="75">
        <v>15</v>
      </c>
      <c r="Y69" s="75">
        <v>15</v>
      </c>
      <c r="Z69" s="75">
        <v>15</v>
      </c>
      <c r="AA69" s="75">
        <v>15</v>
      </c>
      <c r="AB69" s="75">
        <v>15</v>
      </c>
      <c r="AC69" s="75">
        <v>15</v>
      </c>
      <c r="AD69" s="75">
        <v>15</v>
      </c>
      <c r="AE69" s="75">
        <v>15</v>
      </c>
      <c r="AF69" s="75">
        <v>15</v>
      </c>
      <c r="AG69" s="65">
        <v>24</v>
      </c>
      <c r="AH69" s="48">
        <f t="shared" si="8"/>
        <v>15</v>
      </c>
      <c r="AI69" s="49">
        <f t="shared" si="9"/>
        <v>15</v>
      </c>
      <c r="AK69" s="51"/>
      <c r="AY69" s="1" t="s">
        <v>88</v>
      </c>
      <c r="AZ69" s="81">
        <f>ROUND(C82,0)</f>
        <v>0</v>
      </c>
      <c r="BA69" s="80">
        <f t="shared" si="32"/>
        <v>0</v>
      </c>
      <c r="BB69" s="80">
        <f t="shared" si="32"/>
        <v>0</v>
      </c>
      <c r="BC69" s="80">
        <f t="shared" si="32"/>
        <v>0</v>
      </c>
      <c r="BD69" s="80">
        <f t="shared" si="32"/>
        <v>0</v>
      </c>
      <c r="BE69" s="81">
        <f t="shared" ref="BE69:BE72" si="34">I82</f>
        <v>0</v>
      </c>
      <c r="BF69" s="81">
        <f t="shared" ref="BF69:BF72" si="35">K82</f>
        <v>0</v>
      </c>
      <c r="BG69" s="81">
        <f t="shared" si="33"/>
        <v>0</v>
      </c>
      <c r="BH69" s="81">
        <f t="shared" si="33"/>
        <v>0</v>
      </c>
      <c r="BI69" s="81">
        <f t="shared" si="33"/>
        <v>0</v>
      </c>
      <c r="BJ69" s="81">
        <f t="shared" si="33"/>
        <v>0</v>
      </c>
      <c r="BK69" s="81">
        <f t="shared" si="33"/>
        <v>0</v>
      </c>
      <c r="BL69" s="81">
        <f t="shared" si="33"/>
        <v>0</v>
      </c>
      <c r="BM69" s="81">
        <f t="shared" si="33"/>
        <v>0</v>
      </c>
      <c r="BN69" s="81">
        <f t="shared" si="33"/>
        <v>0</v>
      </c>
      <c r="BO69" s="81">
        <f t="shared" si="33"/>
        <v>0</v>
      </c>
      <c r="BP69" s="81">
        <f t="shared" si="33"/>
        <v>0</v>
      </c>
      <c r="BQ69" s="81">
        <f t="shared" ref="BQ69:BQ72" si="36">X82</f>
        <v>0</v>
      </c>
      <c r="BR69" s="81">
        <f t="shared" ref="BR69:BR72" si="37">Z82</f>
        <v>0</v>
      </c>
      <c r="BS69" s="80">
        <f t="shared" ref="BS69:BS72" si="38">AB82</f>
        <v>0</v>
      </c>
      <c r="BT69" s="80">
        <f t="shared" ref="BT69:BV72" si="39">AD82</f>
        <v>0</v>
      </c>
      <c r="BU69" s="80">
        <f t="shared" si="39"/>
        <v>0</v>
      </c>
      <c r="BV69" s="80">
        <f t="shared" si="39"/>
        <v>0</v>
      </c>
      <c r="BW69" s="80">
        <f t="shared" ref="BW69:BW72" si="40">B82</f>
        <v>0</v>
      </c>
    </row>
    <row r="70" spans="1:75" x14ac:dyDescent="0.25">
      <c r="A70" s="64" t="s">
        <v>89</v>
      </c>
      <c r="B70" s="75">
        <v>0</v>
      </c>
      <c r="C70" s="75">
        <v>0</v>
      </c>
      <c r="D70" s="75">
        <v>0</v>
      </c>
      <c r="E70" s="75">
        <v>0</v>
      </c>
      <c r="F70" s="75">
        <v>0</v>
      </c>
      <c r="G70" s="75">
        <v>0</v>
      </c>
      <c r="H70" s="75">
        <v>0</v>
      </c>
      <c r="I70" s="75">
        <v>0</v>
      </c>
      <c r="J70" s="75">
        <v>0</v>
      </c>
      <c r="K70" s="75">
        <v>0</v>
      </c>
      <c r="L70" s="75">
        <v>0</v>
      </c>
      <c r="M70" s="75">
        <v>0</v>
      </c>
      <c r="N70" s="75">
        <v>0</v>
      </c>
      <c r="O70" s="75">
        <v>0</v>
      </c>
      <c r="P70" s="75">
        <v>0</v>
      </c>
      <c r="Q70" s="75">
        <v>0</v>
      </c>
      <c r="R70" s="75">
        <v>0</v>
      </c>
      <c r="S70" s="75">
        <v>0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5">
        <v>0</v>
      </c>
      <c r="Z70" s="75">
        <v>0</v>
      </c>
      <c r="AA70" s="75">
        <v>0</v>
      </c>
      <c r="AB70" s="75">
        <v>0</v>
      </c>
      <c r="AC70" s="75">
        <v>0</v>
      </c>
      <c r="AD70" s="75">
        <v>0</v>
      </c>
      <c r="AE70" s="75">
        <v>0</v>
      </c>
      <c r="AF70" s="75">
        <v>0</v>
      </c>
      <c r="AG70" s="65">
        <v>15</v>
      </c>
      <c r="AH70" s="48">
        <f t="shared" si="8"/>
        <v>0</v>
      </c>
      <c r="AI70" s="49">
        <f t="shared" si="9"/>
        <v>0</v>
      </c>
      <c r="AK70" s="51"/>
      <c r="AL70" s="82"/>
      <c r="AO70" s="82"/>
      <c r="AY70" s="1" t="s">
        <v>90</v>
      </c>
      <c r="AZ70" s="81">
        <f>ROUND(C83,0)</f>
        <v>209</v>
      </c>
      <c r="BA70" s="80">
        <f t="shared" si="32"/>
        <v>285.5</v>
      </c>
      <c r="BB70" s="80">
        <f t="shared" si="32"/>
        <v>303</v>
      </c>
      <c r="BC70" s="80">
        <f t="shared" si="32"/>
        <v>286.3</v>
      </c>
      <c r="BD70" s="80">
        <f t="shared" si="32"/>
        <v>330</v>
      </c>
      <c r="BE70" s="81">
        <f t="shared" si="34"/>
        <v>298.7</v>
      </c>
      <c r="BF70" s="81">
        <f t="shared" si="35"/>
        <v>194</v>
      </c>
      <c r="BG70" s="81">
        <f t="shared" si="33"/>
        <v>160</v>
      </c>
      <c r="BH70" s="81">
        <f t="shared" si="33"/>
        <v>198</v>
      </c>
      <c r="BI70" s="81">
        <f t="shared" si="33"/>
        <v>301</v>
      </c>
      <c r="BJ70" s="81">
        <f t="shared" si="33"/>
        <v>348</v>
      </c>
      <c r="BK70" s="81">
        <f t="shared" si="33"/>
        <v>356</v>
      </c>
      <c r="BL70" s="81">
        <f t="shared" si="33"/>
        <v>349</v>
      </c>
      <c r="BM70" s="81">
        <f t="shared" si="33"/>
        <v>349.6</v>
      </c>
      <c r="BN70" s="81">
        <f t="shared" si="33"/>
        <v>348.2</v>
      </c>
      <c r="BO70" s="81">
        <f t="shared" si="33"/>
        <v>378.8</v>
      </c>
      <c r="BP70" s="81">
        <f t="shared" si="33"/>
        <v>339.7</v>
      </c>
      <c r="BQ70" s="81">
        <f t="shared" si="36"/>
        <v>357.5</v>
      </c>
      <c r="BR70" s="81">
        <f t="shared" si="37"/>
        <v>190</v>
      </c>
      <c r="BS70" s="80">
        <f t="shared" si="38"/>
        <v>187</v>
      </c>
      <c r="BT70" s="80">
        <f t="shared" si="39"/>
        <v>358</v>
      </c>
      <c r="BU70" s="80">
        <f t="shared" si="39"/>
        <v>333</v>
      </c>
      <c r="BV70" s="80">
        <f t="shared" si="39"/>
        <v>325</v>
      </c>
      <c r="BW70" s="80">
        <f t="shared" si="40"/>
        <v>232</v>
      </c>
    </row>
    <row r="71" spans="1:75" s="82" customFormat="1" x14ac:dyDescent="0.25">
      <c r="A71" s="64" t="s">
        <v>91</v>
      </c>
      <c r="B71" s="75">
        <v>10.5</v>
      </c>
      <c r="C71" s="75">
        <v>10.5</v>
      </c>
      <c r="D71" s="75">
        <v>10.5</v>
      </c>
      <c r="E71" s="75">
        <v>10.5</v>
      </c>
      <c r="F71" s="75">
        <v>10.5</v>
      </c>
      <c r="G71" s="75">
        <v>10.5</v>
      </c>
      <c r="H71" s="75">
        <v>10.5</v>
      </c>
      <c r="I71" s="75">
        <v>10.5</v>
      </c>
      <c r="J71" s="75">
        <v>10.5</v>
      </c>
      <c r="K71" s="75">
        <v>10.5</v>
      </c>
      <c r="L71" s="75">
        <v>10.5</v>
      </c>
      <c r="M71" s="75">
        <v>10</v>
      </c>
      <c r="N71" s="75">
        <v>10</v>
      </c>
      <c r="O71" s="75">
        <v>10</v>
      </c>
      <c r="P71" s="75">
        <v>10</v>
      </c>
      <c r="Q71" s="75">
        <v>10</v>
      </c>
      <c r="R71" s="75">
        <v>10</v>
      </c>
      <c r="S71" s="75">
        <v>10</v>
      </c>
      <c r="T71" s="75">
        <v>10</v>
      </c>
      <c r="U71" s="75">
        <v>10</v>
      </c>
      <c r="V71" s="75">
        <v>10</v>
      </c>
      <c r="W71" s="75">
        <v>10</v>
      </c>
      <c r="X71" s="75">
        <v>10</v>
      </c>
      <c r="Y71" s="75">
        <v>10</v>
      </c>
      <c r="Z71" s="75">
        <v>9.1</v>
      </c>
      <c r="AA71" s="75">
        <v>8.6</v>
      </c>
      <c r="AB71" s="75">
        <v>8.6</v>
      </c>
      <c r="AC71" s="75">
        <v>8.6</v>
      </c>
      <c r="AD71" s="75">
        <v>8.6</v>
      </c>
      <c r="AE71" s="75">
        <v>8.6</v>
      </c>
      <c r="AF71" s="75">
        <v>8.6</v>
      </c>
      <c r="AG71" s="65">
        <v>14.1</v>
      </c>
      <c r="AH71" s="48">
        <f t="shared" si="8"/>
        <v>10.5</v>
      </c>
      <c r="AI71" s="49">
        <f t="shared" si="9"/>
        <v>8.6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62</v>
      </c>
      <c r="BA71" s="80">
        <f t="shared" si="32"/>
        <v>49.8</v>
      </c>
      <c r="BB71" s="80">
        <f t="shared" si="32"/>
        <v>49.8</v>
      </c>
      <c r="BC71" s="80">
        <f t="shared" si="32"/>
        <v>49.9</v>
      </c>
      <c r="BD71" s="80">
        <f t="shared" si="32"/>
        <v>45</v>
      </c>
      <c r="BE71" s="81">
        <f t="shared" si="34"/>
        <v>46.6</v>
      </c>
      <c r="BF71" s="81">
        <f t="shared" si="35"/>
        <v>40</v>
      </c>
      <c r="BG71" s="81">
        <f t="shared" si="33"/>
        <v>31.5</v>
      </c>
      <c r="BH71" s="81">
        <f t="shared" si="33"/>
        <v>34.200000000000003</v>
      </c>
      <c r="BI71" s="81">
        <f t="shared" si="33"/>
        <v>38.299999999999997</v>
      </c>
      <c r="BJ71" s="81">
        <f t="shared" si="33"/>
        <v>36.299999999999997</v>
      </c>
      <c r="BK71" s="81">
        <f t="shared" si="33"/>
        <v>50.1</v>
      </c>
      <c r="BL71" s="81">
        <f t="shared" si="33"/>
        <v>49.8</v>
      </c>
      <c r="BM71" s="81">
        <f t="shared" si="33"/>
        <v>54.5</v>
      </c>
      <c r="BN71" s="81">
        <f t="shared" si="33"/>
        <v>45.8</v>
      </c>
      <c r="BO71" s="81">
        <f t="shared" si="33"/>
        <v>42.8</v>
      </c>
      <c r="BP71" s="81">
        <f t="shared" si="33"/>
        <v>41.8</v>
      </c>
      <c r="BQ71" s="81">
        <f t="shared" si="36"/>
        <v>0</v>
      </c>
      <c r="BR71" s="81">
        <f t="shared" si="37"/>
        <v>0</v>
      </c>
      <c r="BS71" s="80">
        <f t="shared" si="38"/>
        <v>0</v>
      </c>
      <c r="BT71" s="80">
        <f t="shared" si="39"/>
        <v>0</v>
      </c>
      <c r="BU71" s="80">
        <f t="shared" si="39"/>
        <v>0</v>
      </c>
      <c r="BV71" s="80">
        <f t="shared" si="39"/>
        <v>0</v>
      </c>
      <c r="BW71" s="80">
        <f t="shared" si="40"/>
        <v>49</v>
      </c>
    </row>
    <row r="72" spans="1:75" x14ac:dyDescent="0.25">
      <c r="A72" s="83" t="s">
        <v>93</v>
      </c>
      <c r="B72" s="75">
        <v>4.8</v>
      </c>
      <c r="C72" s="75">
        <v>4.8</v>
      </c>
      <c r="D72" s="75">
        <v>4.8</v>
      </c>
      <c r="E72" s="75">
        <v>4.8</v>
      </c>
      <c r="F72" s="75">
        <v>4.8</v>
      </c>
      <c r="G72" s="75">
        <v>4.8</v>
      </c>
      <c r="H72" s="75">
        <v>4.8</v>
      </c>
      <c r="I72" s="75">
        <v>4.8</v>
      </c>
      <c r="J72" s="75">
        <v>4.8</v>
      </c>
      <c r="K72" s="75">
        <v>4.8</v>
      </c>
      <c r="L72" s="75">
        <v>4.8</v>
      </c>
      <c r="M72" s="75">
        <v>4.9000000000000004</v>
      </c>
      <c r="N72" s="75">
        <v>4.9000000000000004</v>
      </c>
      <c r="O72" s="75">
        <v>4.9000000000000004</v>
      </c>
      <c r="P72" s="75">
        <v>4.9000000000000004</v>
      </c>
      <c r="Q72" s="75">
        <v>4.9000000000000004</v>
      </c>
      <c r="R72" s="75">
        <v>4.9000000000000004</v>
      </c>
      <c r="S72" s="75">
        <v>4.9000000000000004</v>
      </c>
      <c r="T72" s="75">
        <v>4.9000000000000004</v>
      </c>
      <c r="U72" s="75">
        <v>4.9000000000000004</v>
      </c>
      <c r="V72" s="75">
        <v>4.9000000000000004</v>
      </c>
      <c r="W72" s="75">
        <v>4.9000000000000004</v>
      </c>
      <c r="X72" s="75">
        <v>4.9000000000000004</v>
      </c>
      <c r="Y72" s="75">
        <v>4.9000000000000004</v>
      </c>
      <c r="Z72" s="75">
        <v>5.2</v>
      </c>
      <c r="AA72" s="75">
        <v>5.2</v>
      </c>
      <c r="AB72" s="75">
        <v>5.2</v>
      </c>
      <c r="AC72" s="75">
        <v>5.2</v>
      </c>
      <c r="AD72" s="75">
        <v>5.2</v>
      </c>
      <c r="AE72" s="75">
        <v>5.2</v>
      </c>
      <c r="AF72" s="75">
        <v>5.2</v>
      </c>
      <c r="AG72" s="65">
        <v>14</v>
      </c>
      <c r="AH72" s="48">
        <f t="shared" si="8"/>
        <v>5.2</v>
      </c>
      <c r="AI72" s="49">
        <f t="shared" si="9"/>
        <v>4.8</v>
      </c>
      <c r="AK72" s="51"/>
      <c r="AY72" s="1" t="s">
        <v>94</v>
      </c>
      <c r="AZ72" s="81">
        <f>ROUND(C85,0)</f>
        <v>99</v>
      </c>
      <c r="BA72" s="80">
        <f t="shared" si="32"/>
        <v>90.8</v>
      </c>
      <c r="BB72" s="80">
        <f t="shared" si="32"/>
        <v>111</v>
      </c>
      <c r="BC72" s="80">
        <f t="shared" si="32"/>
        <v>115.8</v>
      </c>
      <c r="BD72" s="80">
        <f t="shared" si="32"/>
        <v>111.4</v>
      </c>
      <c r="BE72" s="81">
        <f t="shared" si="34"/>
        <v>113</v>
      </c>
      <c r="BF72" s="81">
        <f t="shared" si="35"/>
        <v>88</v>
      </c>
      <c r="BG72" s="81">
        <f t="shared" si="33"/>
        <v>97.9</v>
      </c>
      <c r="BH72" s="81">
        <f t="shared" si="33"/>
        <v>73.400000000000006</v>
      </c>
      <c r="BI72" s="81">
        <f t="shared" si="33"/>
        <v>103.3</v>
      </c>
      <c r="BJ72" s="81">
        <f t="shared" si="33"/>
        <v>108</v>
      </c>
      <c r="BK72" s="81">
        <f t="shared" si="33"/>
        <v>93</v>
      </c>
      <c r="BL72" s="81">
        <f t="shared" si="33"/>
        <v>111.4</v>
      </c>
      <c r="BM72" s="81">
        <f t="shared" si="33"/>
        <v>107.6</v>
      </c>
      <c r="BN72" s="81">
        <f t="shared" si="33"/>
        <v>106</v>
      </c>
      <c r="BO72" s="81">
        <f t="shared" si="33"/>
        <v>96.1</v>
      </c>
      <c r="BP72" s="81">
        <f t="shared" si="33"/>
        <v>94.2</v>
      </c>
      <c r="BQ72" s="81">
        <f t="shared" si="36"/>
        <v>0</v>
      </c>
      <c r="BR72" s="81">
        <f t="shared" si="37"/>
        <v>0</v>
      </c>
      <c r="BS72" s="80">
        <f t="shared" si="38"/>
        <v>0</v>
      </c>
      <c r="BT72" s="80">
        <f t="shared" si="39"/>
        <v>0</v>
      </c>
      <c r="BU72" s="80">
        <f t="shared" si="39"/>
        <v>0</v>
      </c>
      <c r="BV72" s="80">
        <f t="shared" si="39"/>
        <v>0</v>
      </c>
      <c r="BW72" s="80">
        <f t="shared" si="40"/>
        <v>111.5</v>
      </c>
    </row>
    <row r="73" spans="1:75" x14ac:dyDescent="0.25">
      <c r="A73" s="64" t="s">
        <v>95</v>
      </c>
      <c r="B73" s="75">
        <v>4.5</v>
      </c>
      <c r="C73" s="75">
        <v>4.5</v>
      </c>
      <c r="D73" s="75">
        <v>4.5</v>
      </c>
      <c r="E73" s="75">
        <v>4.5</v>
      </c>
      <c r="F73" s="75">
        <v>4.5</v>
      </c>
      <c r="G73" s="75">
        <v>4.5</v>
      </c>
      <c r="H73" s="75">
        <v>4.5</v>
      </c>
      <c r="I73" s="75">
        <v>4.5</v>
      </c>
      <c r="J73" s="75">
        <v>4.5</v>
      </c>
      <c r="K73" s="75">
        <v>4.5</v>
      </c>
      <c r="L73" s="75">
        <v>4.5</v>
      </c>
      <c r="M73" s="75">
        <v>4.5</v>
      </c>
      <c r="N73" s="75">
        <v>4.5</v>
      </c>
      <c r="O73" s="75">
        <v>4.5</v>
      </c>
      <c r="P73" s="75">
        <v>4.5</v>
      </c>
      <c r="Q73" s="75">
        <v>4.5</v>
      </c>
      <c r="R73" s="75">
        <v>4.5</v>
      </c>
      <c r="S73" s="75">
        <v>4.5</v>
      </c>
      <c r="T73" s="75">
        <v>4.5</v>
      </c>
      <c r="U73" s="75">
        <v>4.5</v>
      </c>
      <c r="V73" s="75">
        <v>4.5</v>
      </c>
      <c r="W73" s="75">
        <v>4.5</v>
      </c>
      <c r="X73" s="75">
        <v>4.5</v>
      </c>
      <c r="Y73" s="75">
        <v>4.5</v>
      </c>
      <c r="Z73" s="75">
        <v>4.5</v>
      </c>
      <c r="AA73" s="75">
        <v>4.5</v>
      </c>
      <c r="AB73" s="75">
        <v>4.5</v>
      </c>
      <c r="AC73" s="75">
        <v>4.5</v>
      </c>
      <c r="AD73" s="75">
        <v>4.5</v>
      </c>
      <c r="AE73" s="75">
        <v>4.5</v>
      </c>
      <c r="AF73" s="75">
        <v>4.5</v>
      </c>
      <c r="AG73" s="65">
        <v>10.050000000000001</v>
      </c>
      <c r="AH73" s="48">
        <f t="shared" si="8"/>
        <v>4.5</v>
      </c>
      <c r="AI73" s="49">
        <f t="shared" si="9"/>
        <v>4.5</v>
      </c>
      <c r="AK73" s="51"/>
      <c r="AY73" s="1" t="s">
        <v>96</v>
      </c>
      <c r="AZ73" s="81">
        <f>ROUND(C91,0)</f>
        <v>70</v>
      </c>
      <c r="BA73" s="81">
        <f>D91</f>
        <v>59.1</v>
      </c>
      <c r="BB73" s="81">
        <f>E91</f>
        <v>52</v>
      </c>
      <c r="BC73" s="81">
        <f>F91</f>
        <v>58.4</v>
      </c>
      <c r="BD73" s="81">
        <f>G91</f>
        <v>53.5</v>
      </c>
      <c r="BE73" s="81">
        <f>I91</f>
        <v>55.9</v>
      </c>
      <c r="BF73" s="81">
        <f>K91</f>
        <v>47.8</v>
      </c>
      <c r="BG73" s="81">
        <f t="shared" ref="BG73:BP73" si="41">M91</f>
        <v>49.2</v>
      </c>
      <c r="BH73" s="81">
        <f t="shared" si="41"/>
        <v>76.8</v>
      </c>
      <c r="BI73" s="81">
        <f t="shared" si="41"/>
        <v>75.8</v>
      </c>
      <c r="BJ73" s="81">
        <f t="shared" si="41"/>
        <v>76</v>
      </c>
      <c r="BK73" s="81">
        <f t="shared" si="41"/>
        <v>76</v>
      </c>
      <c r="BL73" s="81">
        <f t="shared" si="41"/>
        <v>73.900000000000006</v>
      </c>
      <c r="BM73" s="81">
        <f t="shared" si="41"/>
        <v>81.5</v>
      </c>
      <c r="BN73" s="81">
        <f t="shared" si="41"/>
        <v>85.2</v>
      </c>
      <c r="BO73" s="81">
        <f t="shared" si="41"/>
        <v>80.900000000000006</v>
      </c>
      <c r="BP73" s="81">
        <f t="shared" si="41"/>
        <v>70.400000000000006</v>
      </c>
      <c r="BQ73" s="81">
        <f>X91</f>
        <v>74.2</v>
      </c>
      <c r="BR73" s="81">
        <f>Z91</f>
        <v>81</v>
      </c>
      <c r="BS73" s="81">
        <f>AB91</f>
        <v>69.7</v>
      </c>
      <c r="BT73" s="81">
        <f>AD91</f>
        <v>83</v>
      </c>
      <c r="BU73" s="81">
        <f>AE91</f>
        <v>83</v>
      </c>
      <c r="BV73" s="81">
        <f>AF91</f>
        <v>77.3</v>
      </c>
      <c r="BW73" s="81">
        <f>B91</f>
        <v>0</v>
      </c>
    </row>
    <row r="74" spans="1:75" x14ac:dyDescent="0.25">
      <c r="A74" s="64" t="s">
        <v>97</v>
      </c>
      <c r="B74" s="75">
        <v>4</v>
      </c>
      <c r="C74" s="75">
        <v>4</v>
      </c>
      <c r="D74" s="75">
        <v>4</v>
      </c>
      <c r="E74" s="75">
        <v>4</v>
      </c>
      <c r="F74" s="75">
        <v>4</v>
      </c>
      <c r="G74" s="75">
        <v>4</v>
      </c>
      <c r="H74" s="75">
        <v>4</v>
      </c>
      <c r="I74" s="75">
        <v>4</v>
      </c>
      <c r="J74" s="75">
        <v>4</v>
      </c>
      <c r="K74" s="75">
        <v>4</v>
      </c>
      <c r="L74" s="75">
        <v>4</v>
      </c>
      <c r="M74" s="75">
        <v>4</v>
      </c>
      <c r="N74" s="75">
        <v>4</v>
      </c>
      <c r="O74" s="75">
        <v>4</v>
      </c>
      <c r="P74" s="75">
        <v>4</v>
      </c>
      <c r="Q74" s="75">
        <v>4</v>
      </c>
      <c r="R74" s="75">
        <v>4</v>
      </c>
      <c r="S74" s="75">
        <v>4</v>
      </c>
      <c r="T74" s="75">
        <v>4</v>
      </c>
      <c r="U74" s="75">
        <v>4</v>
      </c>
      <c r="V74" s="75">
        <v>4</v>
      </c>
      <c r="W74" s="75">
        <v>4</v>
      </c>
      <c r="X74" s="75">
        <v>4</v>
      </c>
      <c r="Y74" s="75">
        <v>4</v>
      </c>
      <c r="Z74" s="75">
        <v>4</v>
      </c>
      <c r="AA74" s="75">
        <v>4</v>
      </c>
      <c r="AB74" s="75">
        <v>4</v>
      </c>
      <c r="AC74" s="75">
        <v>4</v>
      </c>
      <c r="AD74" s="75">
        <v>4</v>
      </c>
      <c r="AE74" s="75">
        <v>4</v>
      </c>
      <c r="AF74" s="75">
        <v>4</v>
      </c>
      <c r="AG74" s="65">
        <v>6.2</v>
      </c>
      <c r="AH74" s="48">
        <f t="shared" si="8"/>
        <v>4</v>
      </c>
      <c r="AI74" s="49">
        <f t="shared" si="9"/>
        <v>4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</row>
    <row r="75" spans="1:75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>
        <v>3.54</v>
      </c>
      <c r="W75" s="84">
        <v>3.54</v>
      </c>
      <c r="X75" s="84">
        <v>3.54</v>
      </c>
      <c r="Y75" s="84">
        <v>3.54</v>
      </c>
      <c r="Z75" s="84">
        <v>5.5</v>
      </c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8"/>
        <v>5.5</v>
      </c>
      <c r="AI75" s="49">
        <f t="shared" si="9"/>
        <v>3.54</v>
      </c>
      <c r="AK75" s="51"/>
      <c r="AZ75" s="81">
        <f>VALUE(AZ68)</f>
        <v>36</v>
      </c>
      <c r="BA75" s="81">
        <f t="shared" ref="BA75:BW75" si="42">VALUE(BA68)</f>
        <v>39.700000000000003</v>
      </c>
      <c r="BB75" s="81">
        <f t="shared" si="42"/>
        <v>38</v>
      </c>
      <c r="BC75" s="81">
        <f t="shared" si="42"/>
        <v>34.299999999999997</v>
      </c>
      <c r="BD75" s="81">
        <f t="shared" si="42"/>
        <v>24.2</v>
      </c>
      <c r="BE75" s="81">
        <f t="shared" si="42"/>
        <v>17.3</v>
      </c>
      <c r="BF75" s="81">
        <f t="shared" si="42"/>
        <v>47</v>
      </c>
      <c r="BG75" s="81">
        <f t="shared" si="42"/>
        <v>40.1</v>
      </c>
      <c r="BH75" s="81">
        <f t="shared" si="42"/>
        <v>40</v>
      </c>
      <c r="BI75" s="81">
        <f t="shared" si="42"/>
        <v>51</v>
      </c>
      <c r="BJ75" s="81">
        <f t="shared" si="42"/>
        <v>48</v>
      </c>
      <c r="BK75" s="81">
        <f t="shared" si="42"/>
        <v>46</v>
      </c>
      <c r="BL75" s="81">
        <f t="shared" si="42"/>
        <v>51.4</v>
      </c>
      <c r="BM75" s="81">
        <f t="shared" si="42"/>
        <v>51.2</v>
      </c>
      <c r="BN75" s="81">
        <f t="shared" si="42"/>
        <v>61.3</v>
      </c>
      <c r="BO75" s="81">
        <f t="shared" si="42"/>
        <v>66.3</v>
      </c>
      <c r="BP75" s="81">
        <f t="shared" si="42"/>
        <v>69.2</v>
      </c>
      <c r="BQ75" s="81">
        <f t="shared" si="42"/>
        <v>56.4</v>
      </c>
      <c r="BR75" s="81">
        <f t="shared" si="42"/>
        <v>42</v>
      </c>
      <c r="BS75" s="81">
        <f t="shared" si="42"/>
        <v>48.5</v>
      </c>
      <c r="BT75" s="81">
        <f t="shared" si="42"/>
        <v>51</v>
      </c>
      <c r="BU75" s="81">
        <f t="shared" si="42"/>
        <v>41</v>
      </c>
      <c r="BV75" s="81">
        <f t="shared" si="42"/>
        <v>39.799999999999997</v>
      </c>
      <c r="BW75" s="81">
        <f t="shared" si="42"/>
        <v>41.3</v>
      </c>
    </row>
    <row r="76" spans="1:75" ht="15.75" thickBot="1" x14ac:dyDescent="0.3">
      <c r="A76" s="86" t="s">
        <v>99</v>
      </c>
      <c r="B76" s="70">
        <f t="shared" ref="B76:AG76" si="43">SUM(B63:B75)</f>
        <v>165.44</v>
      </c>
      <c r="C76" s="70">
        <f t="shared" si="43"/>
        <v>142.63999999999999</v>
      </c>
      <c r="D76" s="70">
        <f t="shared" si="43"/>
        <v>79.64</v>
      </c>
      <c r="E76" s="70">
        <f t="shared" si="43"/>
        <v>79.64</v>
      </c>
      <c r="F76" s="70">
        <f t="shared" si="43"/>
        <v>79.64</v>
      </c>
      <c r="G76" s="70">
        <f t="shared" si="43"/>
        <v>89.64</v>
      </c>
      <c r="H76" s="70">
        <f t="shared" si="43"/>
        <v>158.54</v>
      </c>
      <c r="I76" s="70">
        <f t="shared" si="43"/>
        <v>157.84</v>
      </c>
      <c r="J76" s="70">
        <f t="shared" si="43"/>
        <v>220.44000000000003</v>
      </c>
      <c r="K76" s="70">
        <f t="shared" si="43"/>
        <v>238.34000000000003</v>
      </c>
      <c r="L76" s="70">
        <f t="shared" si="43"/>
        <v>244.24000000000004</v>
      </c>
      <c r="M76" s="70">
        <f t="shared" ref="M76" si="44">SUM(M63:M75)</f>
        <v>252.33999999999997</v>
      </c>
      <c r="N76" s="70">
        <f t="shared" si="43"/>
        <v>254.04</v>
      </c>
      <c r="O76" s="70">
        <f t="shared" si="43"/>
        <v>219.44000000000003</v>
      </c>
      <c r="P76" s="70">
        <f t="shared" si="43"/>
        <v>235.24</v>
      </c>
      <c r="Q76" s="70">
        <f t="shared" si="43"/>
        <v>196.24</v>
      </c>
      <c r="R76" s="70">
        <f t="shared" si="43"/>
        <v>182.84</v>
      </c>
      <c r="S76" s="70">
        <f t="shared" ref="S76:T76" si="45">SUM(S63:S75)</f>
        <v>185.74</v>
      </c>
      <c r="T76" s="70">
        <f t="shared" si="45"/>
        <v>198.74</v>
      </c>
      <c r="U76" s="70">
        <f t="shared" ref="U76:V76" si="46">SUM(U63:U75)</f>
        <v>211.04000000000002</v>
      </c>
      <c r="V76" s="70">
        <f t="shared" si="46"/>
        <v>210.64</v>
      </c>
      <c r="W76" s="70">
        <f t="shared" si="43"/>
        <v>220.04</v>
      </c>
      <c r="X76" s="70">
        <f t="shared" ref="X76:Y76" si="47">SUM(X63:X75)</f>
        <v>239.94</v>
      </c>
      <c r="Y76" s="70">
        <f t="shared" si="47"/>
        <v>301.24</v>
      </c>
      <c r="Z76" s="70">
        <f>SUM(Z63:Z75)</f>
        <v>367.8</v>
      </c>
      <c r="AA76" s="70">
        <f t="shared" si="43"/>
        <v>354.94000000000005</v>
      </c>
      <c r="AB76" s="70">
        <f t="shared" si="43"/>
        <v>349.04</v>
      </c>
      <c r="AC76" s="70">
        <f t="shared" si="43"/>
        <v>318.28000000000003</v>
      </c>
      <c r="AD76" s="70">
        <f t="shared" si="43"/>
        <v>308.44000000000005</v>
      </c>
      <c r="AE76" s="70">
        <f t="shared" si="43"/>
        <v>243.44</v>
      </c>
      <c r="AF76" s="70">
        <f t="shared" si="43"/>
        <v>190.64</v>
      </c>
      <c r="AG76" s="71">
        <f t="shared" si="43"/>
        <v>489.91</v>
      </c>
      <c r="AH76" s="48">
        <f t="shared" si="8"/>
        <v>367.8</v>
      </c>
      <c r="AI76" s="49">
        <f t="shared" si="9"/>
        <v>79.64</v>
      </c>
      <c r="AK76" s="51"/>
      <c r="AZ76" s="81">
        <f t="shared" ref="AZ76:BW80" si="48">VALUE(AZ69)</f>
        <v>0</v>
      </c>
      <c r="BA76" s="81">
        <f t="shared" si="48"/>
        <v>0</v>
      </c>
      <c r="BB76" s="81">
        <f t="shared" si="48"/>
        <v>0</v>
      </c>
      <c r="BC76" s="81">
        <f t="shared" si="48"/>
        <v>0</v>
      </c>
      <c r="BD76" s="81">
        <f t="shared" si="48"/>
        <v>0</v>
      </c>
      <c r="BE76" s="81">
        <f t="shared" si="48"/>
        <v>0</v>
      </c>
      <c r="BF76" s="81">
        <f t="shared" si="48"/>
        <v>0</v>
      </c>
      <c r="BG76" s="81">
        <f t="shared" si="48"/>
        <v>0</v>
      </c>
      <c r="BH76" s="81">
        <f t="shared" si="48"/>
        <v>0</v>
      </c>
      <c r="BI76" s="81">
        <f t="shared" si="48"/>
        <v>0</v>
      </c>
      <c r="BJ76" s="81">
        <f t="shared" si="48"/>
        <v>0</v>
      </c>
      <c r="BK76" s="81">
        <f t="shared" si="48"/>
        <v>0</v>
      </c>
      <c r="BL76" s="81">
        <f t="shared" si="48"/>
        <v>0</v>
      </c>
      <c r="BM76" s="81">
        <f t="shared" si="48"/>
        <v>0</v>
      </c>
      <c r="BN76" s="81">
        <f t="shared" si="48"/>
        <v>0</v>
      </c>
      <c r="BO76" s="81">
        <f t="shared" si="48"/>
        <v>0</v>
      </c>
      <c r="BP76" s="81">
        <f t="shared" si="48"/>
        <v>0</v>
      </c>
      <c r="BQ76" s="81">
        <f t="shared" si="48"/>
        <v>0</v>
      </c>
      <c r="BR76" s="81">
        <f t="shared" si="48"/>
        <v>0</v>
      </c>
      <c r="BS76" s="81">
        <f t="shared" si="48"/>
        <v>0</v>
      </c>
      <c r="BT76" s="81">
        <f t="shared" si="48"/>
        <v>0</v>
      </c>
      <c r="BU76" s="81">
        <f t="shared" si="48"/>
        <v>0</v>
      </c>
      <c r="BV76" s="81">
        <f t="shared" si="48"/>
        <v>0</v>
      </c>
      <c r="BW76" s="81">
        <f t="shared" si="48"/>
        <v>0</v>
      </c>
    </row>
    <row r="77" spans="1:75" x14ac:dyDescent="0.25">
      <c r="A77" s="45" t="s">
        <v>100</v>
      </c>
      <c r="B77" s="46">
        <v>40</v>
      </c>
      <c r="C77" s="46">
        <v>0</v>
      </c>
      <c r="D77" s="46">
        <v>0</v>
      </c>
      <c r="E77" s="46">
        <v>0</v>
      </c>
      <c r="F77" s="46">
        <v>0</v>
      </c>
      <c r="G77" s="46">
        <v>0</v>
      </c>
      <c r="H77" s="46">
        <v>0</v>
      </c>
      <c r="I77" s="46">
        <v>0</v>
      </c>
      <c r="J77" s="46">
        <v>0</v>
      </c>
      <c r="K77" s="46">
        <v>0</v>
      </c>
      <c r="L77" s="46">
        <v>0</v>
      </c>
      <c r="M77" s="46">
        <v>0</v>
      </c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>
        <v>40</v>
      </c>
      <c r="AA77" s="46">
        <v>0</v>
      </c>
      <c r="AB77" s="46">
        <v>0</v>
      </c>
      <c r="AC77" s="46">
        <v>0</v>
      </c>
      <c r="AD77" s="46">
        <v>0</v>
      </c>
      <c r="AE77" s="46">
        <v>0</v>
      </c>
      <c r="AF77" s="46">
        <v>0</v>
      </c>
      <c r="AG77" s="60">
        <v>60</v>
      </c>
      <c r="AH77" s="48">
        <f t="shared" si="8"/>
        <v>40</v>
      </c>
      <c r="AI77" s="49">
        <f t="shared" si="9"/>
        <v>0</v>
      </c>
      <c r="AK77" s="51"/>
      <c r="AZ77" s="81">
        <f t="shared" si="48"/>
        <v>209</v>
      </c>
      <c r="BA77" s="81">
        <f t="shared" si="48"/>
        <v>285.5</v>
      </c>
      <c r="BB77" s="81">
        <f t="shared" si="48"/>
        <v>303</v>
      </c>
      <c r="BC77" s="81">
        <f t="shared" si="48"/>
        <v>286.3</v>
      </c>
      <c r="BD77" s="81">
        <f t="shared" si="48"/>
        <v>330</v>
      </c>
      <c r="BE77" s="81">
        <f t="shared" si="48"/>
        <v>298.7</v>
      </c>
      <c r="BF77" s="81">
        <f t="shared" si="48"/>
        <v>194</v>
      </c>
      <c r="BG77" s="81">
        <f t="shared" si="48"/>
        <v>160</v>
      </c>
      <c r="BH77" s="81">
        <f t="shared" si="48"/>
        <v>198</v>
      </c>
      <c r="BI77" s="81">
        <f t="shared" si="48"/>
        <v>301</v>
      </c>
      <c r="BJ77" s="81">
        <f t="shared" si="48"/>
        <v>348</v>
      </c>
      <c r="BK77" s="81">
        <f t="shared" si="48"/>
        <v>356</v>
      </c>
      <c r="BL77" s="81">
        <f t="shared" si="48"/>
        <v>349</v>
      </c>
      <c r="BM77" s="81">
        <f t="shared" si="48"/>
        <v>349.6</v>
      </c>
      <c r="BN77" s="81">
        <f t="shared" si="48"/>
        <v>348.2</v>
      </c>
      <c r="BO77" s="81">
        <f t="shared" si="48"/>
        <v>378.8</v>
      </c>
      <c r="BP77" s="81">
        <f t="shared" si="48"/>
        <v>339.7</v>
      </c>
      <c r="BQ77" s="81">
        <f t="shared" si="48"/>
        <v>357.5</v>
      </c>
      <c r="BR77" s="81">
        <f t="shared" si="48"/>
        <v>190</v>
      </c>
      <c r="BS77" s="81">
        <f t="shared" si="48"/>
        <v>187</v>
      </c>
      <c r="BT77" s="81">
        <f t="shared" si="48"/>
        <v>358</v>
      </c>
      <c r="BU77" s="81">
        <f t="shared" si="48"/>
        <v>333</v>
      </c>
      <c r="BV77" s="81">
        <f t="shared" si="48"/>
        <v>325</v>
      </c>
      <c r="BW77" s="81">
        <f t="shared" si="48"/>
        <v>232</v>
      </c>
    </row>
    <row r="78" spans="1:75" x14ac:dyDescent="0.25">
      <c r="A78" s="64" t="s">
        <v>101</v>
      </c>
      <c r="B78" s="75">
        <v>27.9</v>
      </c>
      <c r="C78" s="75">
        <v>0</v>
      </c>
      <c r="D78" s="75">
        <v>0</v>
      </c>
      <c r="E78" s="75">
        <v>0</v>
      </c>
      <c r="F78" s="75">
        <v>0</v>
      </c>
      <c r="G78" s="75">
        <v>0</v>
      </c>
      <c r="H78" s="75">
        <v>0</v>
      </c>
      <c r="I78" s="75">
        <v>0</v>
      </c>
      <c r="J78" s="75">
        <v>0</v>
      </c>
      <c r="K78" s="75">
        <v>0</v>
      </c>
      <c r="L78" s="75">
        <v>0</v>
      </c>
      <c r="M78" s="75">
        <v>0</v>
      </c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>
        <v>17.2</v>
      </c>
      <c r="AA78" s="75">
        <v>5.0999999999999996</v>
      </c>
      <c r="AB78" s="75">
        <v>0</v>
      </c>
      <c r="AC78" s="75">
        <v>0</v>
      </c>
      <c r="AD78" s="75">
        <v>0</v>
      </c>
      <c r="AE78" s="75">
        <v>0</v>
      </c>
      <c r="AF78" s="75">
        <v>0</v>
      </c>
      <c r="AG78" s="65">
        <v>32</v>
      </c>
      <c r="AH78" s="48">
        <f t="shared" si="8"/>
        <v>27.9</v>
      </c>
      <c r="AI78" s="49">
        <f t="shared" si="9"/>
        <v>0</v>
      </c>
      <c r="AK78" s="51"/>
      <c r="AZ78" s="81">
        <f t="shared" si="48"/>
        <v>62</v>
      </c>
      <c r="BA78" s="81">
        <f t="shared" si="48"/>
        <v>49.8</v>
      </c>
      <c r="BB78" s="81">
        <f t="shared" si="48"/>
        <v>49.8</v>
      </c>
      <c r="BC78" s="81">
        <f t="shared" si="48"/>
        <v>49.9</v>
      </c>
      <c r="BD78" s="81">
        <f t="shared" si="48"/>
        <v>45</v>
      </c>
      <c r="BE78" s="81">
        <f t="shared" si="48"/>
        <v>46.6</v>
      </c>
      <c r="BF78" s="81">
        <f t="shared" si="48"/>
        <v>40</v>
      </c>
      <c r="BG78" s="81">
        <f t="shared" si="48"/>
        <v>31.5</v>
      </c>
      <c r="BH78" s="81">
        <f t="shared" si="48"/>
        <v>34.200000000000003</v>
      </c>
      <c r="BI78" s="81">
        <f t="shared" si="48"/>
        <v>38.299999999999997</v>
      </c>
      <c r="BJ78" s="81">
        <f t="shared" si="48"/>
        <v>36.299999999999997</v>
      </c>
      <c r="BK78" s="81">
        <f t="shared" si="48"/>
        <v>50.1</v>
      </c>
      <c r="BL78" s="81">
        <f t="shared" si="48"/>
        <v>49.8</v>
      </c>
      <c r="BM78" s="81">
        <f t="shared" si="48"/>
        <v>54.5</v>
      </c>
      <c r="BN78" s="81">
        <f t="shared" si="48"/>
        <v>45.8</v>
      </c>
      <c r="BO78" s="81">
        <f t="shared" si="48"/>
        <v>42.8</v>
      </c>
      <c r="BP78" s="81">
        <f t="shared" si="48"/>
        <v>41.8</v>
      </c>
      <c r="BQ78" s="81">
        <f t="shared" si="48"/>
        <v>0</v>
      </c>
      <c r="BR78" s="81">
        <f t="shared" si="48"/>
        <v>0</v>
      </c>
      <c r="BS78" s="81">
        <f t="shared" si="48"/>
        <v>0</v>
      </c>
      <c r="BT78" s="81">
        <f t="shared" si="48"/>
        <v>0</v>
      </c>
      <c r="BU78" s="81">
        <f t="shared" si="48"/>
        <v>0</v>
      </c>
      <c r="BV78" s="81">
        <f t="shared" si="48"/>
        <v>0</v>
      </c>
      <c r="BW78" s="81">
        <f t="shared" si="48"/>
        <v>49</v>
      </c>
    </row>
    <row r="79" spans="1:75" ht="15.75" thickBot="1" x14ac:dyDescent="0.3">
      <c r="A79" s="83" t="s">
        <v>102</v>
      </c>
      <c r="B79" s="77">
        <v>10.199999999999999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>
        <v>6.3</v>
      </c>
      <c r="AA79" s="77">
        <v>1.8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8">
        <v>14</v>
      </c>
      <c r="AH79" s="48">
        <f t="shared" si="8"/>
        <v>10.199999999999999</v>
      </c>
      <c r="AI79" s="49">
        <f t="shared" si="9"/>
        <v>0</v>
      </c>
      <c r="AK79" s="51"/>
      <c r="AZ79" s="81">
        <f t="shared" si="48"/>
        <v>99</v>
      </c>
      <c r="BA79" s="81">
        <f t="shared" si="48"/>
        <v>90.8</v>
      </c>
      <c r="BB79" s="81">
        <f t="shared" si="48"/>
        <v>111</v>
      </c>
      <c r="BC79" s="81">
        <f t="shared" si="48"/>
        <v>115.8</v>
      </c>
      <c r="BD79" s="81">
        <f t="shared" si="48"/>
        <v>111.4</v>
      </c>
      <c r="BE79" s="81">
        <f t="shared" si="48"/>
        <v>113</v>
      </c>
      <c r="BF79" s="81">
        <f t="shared" si="48"/>
        <v>88</v>
      </c>
      <c r="BG79" s="81">
        <f t="shared" si="48"/>
        <v>97.9</v>
      </c>
      <c r="BH79" s="81">
        <f t="shared" si="48"/>
        <v>73.400000000000006</v>
      </c>
      <c r="BI79" s="81">
        <f t="shared" si="48"/>
        <v>103.3</v>
      </c>
      <c r="BJ79" s="81">
        <f t="shared" si="48"/>
        <v>108</v>
      </c>
      <c r="BK79" s="81">
        <f t="shared" si="48"/>
        <v>93</v>
      </c>
      <c r="BL79" s="81">
        <f t="shared" si="48"/>
        <v>111.4</v>
      </c>
      <c r="BM79" s="81">
        <f t="shared" si="48"/>
        <v>107.6</v>
      </c>
      <c r="BN79" s="81">
        <f t="shared" si="48"/>
        <v>106</v>
      </c>
      <c r="BO79" s="81">
        <f t="shared" si="48"/>
        <v>96.1</v>
      </c>
      <c r="BP79" s="81">
        <f t="shared" si="48"/>
        <v>94.2</v>
      </c>
      <c r="BQ79" s="81">
        <f t="shared" si="48"/>
        <v>0</v>
      </c>
      <c r="BR79" s="81">
        <f t="shared" si="48"/>
        <v>0</v>
      </c>
      <c r="BS79" s="81">
        <f t="shared" si="48"/>
        <v>0</v>
      </c>
      <c r="BT79" s="81">
        <f t="shared" si="48"/>
        <v>0</v>
      </c>
      <c r="BU79" s="81">
        <f t="shared" si="48"/>
        <v>0</v>
      </c>
      <c r="BV79" s="81">
        <f t="shared" si="48"/>
        <v>0</v>
      </c>
      <c r="BW79" s="81">
        <f t="shared" si="48"/>
        <v>111.5</v>
      </c>
    </row>
    <row r="80" spans="1:75" ht="15.75" thickBot="1" x14ac:dyDescent="0.3">
      <c r="A80" s="86" t="s">
        <v>103</v>
      </c>
      <c r="B80" s="70">
        <f t="shared" ref="B80:AF80" si="49">B77+B78+B79</f>
        <v>78.100000000000009</v>
      </c>
      <c r="C80" s="70">
        <f t="shared" si="49"/>
        <v>0</v>
      </c>
      <c r="D80" s="70">
        <f t="shared" si="49"/>
        <v>0</v>
      </c>
      <c r="E80" s="70">
        <f t="shared" si="49"/>
        <v>0</v>
      </c>
      <c r="F80" s="70">
        <f t="shared" si="49"/>
        <v>0</v>
      </c>
      <c r="G80" s="70">
        <f t="shared" si="49"/>
        <v>0</v>
      </c>
      <c r="H80" s="70">
        <f t="shared" si="49"/>
        <v>0</v>
      </c>
      <c r="I80" s="70">
        <f t="shared" si="49"/>
        <v>0</v>
      </c>
      <c r="J80" s="70">
        <f t="shared" si="49"/>
        <v>0</v>
      </c>
      <c r="K80" s="70">
        <f t="shared" si="49"/>
        <v>0</v>
      </c>
      <c r="L80" s="70">
        <f t="shared" si="49"/>
        <v>0</v>
      </c>
      <c r="M80" s="70">
        <f t="shared" ref="M80" si="50">M77+M78+M79</f>
        <v>0</v>
      </c>
      <c r="N80" s="70">
        <f t="shared" si="49"/>
        <v>0</v>
      </c>
      <c r="O80" s="70">
        <f t="shared" si="49"/>
        <v>0</v>
      </c>
      <c r="P80" s="70">
        <f t="shared" si="49"/>
        <v>0</v>
      </c>
      <c r="Q80" s="70">
        <f t="shared" si="49"/>
        <v>0</v>
      </c>
      <c r="R80" s="70">
        <f t="shared" si="49"/>
        <v>0</v>
      </c>
      <c r="S80" s="70">
        <f t="shared" ref="S80:T80" si="51">S77+S78+S79</f>
        <v>0</v>
      </c>
      <c r="T80" s="70">
        <f t="shared" si="51"/>
        <v>0</v>
      </c>
      <c r="U80" s="70">
        <f t="shared" ref="U80:V80" si="52">U77+U78+U79</f>
        <v>0</v>
      </c>
      <c r="V80" s="70">
        <f t="shared" si="52"/>
        <v>0</v>
      </c>
      <c r="W80" s="70">
        <f t="shared" si="49"/>
        <v>0</v>
      </c>
      <c r="X80" s="70">
        <f t="shared" ref="X80:Y80" si="53">X77+X78+X79</f>
        <v>0</v>
      </c>
      <c r="Y80" s="70">
        <f t="shared" si="53"/>
        <v>0</v>
      </c>
      <c r="Z80" s="70">
        <f>Z77+Z78+Z79</f>
        <v>63.5</v>
      </c>
      <c r="AA80" s="70">
        <f t="shared" si="49"/>
        <v>6.8999999999999995</v>
      </c>
      <c r="AB80" s="70">
        <f t="shared" si="49"/>
        <v>0</v>
      </c>
      <c r="AC80" s="70">
        <f t="shared" si="49"/>
        <v>0</v>
      </c>
      <c r="AD80" s="70">
        <f t="shared" si="49"/>
        <v>0</v>
      </c>
      <c r="AE80" s="70">
        <f t="shared" si="49"/>
        <v>0</v>
      </c>
      <c r="AF80" s="70">
        <f t="shared" si="49"/>
        <v>0</v>
      </c>
      <c r="AG80" s="71">
        <f>SUM(AG77:AG79)</f>
        <v>106</v>
      </c>
      <c r="AH80" s="48">
        <f t="shared" si="8"/>
        <v>78.100000000000009</v>
      </c>
      <c r="AI80" s="49">
        <f t="shared" si="9"/>
        <v>0</v>
      </c>
      <c r="AK80" s="51"/>
      <c r="AZ80" s="81">
        <f t="shared" si="48"/>
        <v>70</v>
      </c>
      <c r="BA80" s="81">
        <f t="shared" si="48"/>
        <v>59.1</v>
      </c>
      <c r="BB80" s="81">
        <f t="shared" si="48"/>
        <v>52</v>
      </c>
      <c r="BC80" s="81">
        <f t="shared" si="48"/>
        <v>58.4</v>
      </c>
      <c r="BD80" s="81">
        <f t="shared" si="48"/>
        <v>53.5</v>
      </c>
      <c r="BE80" s="81">
        <f t="shared" si="48"/>
        <v>55.9</v>
      </c>
      <c r="BF80" s="81">
        <f t="shared" si="48"/>
        <v>47.8</v>
      </c>
      <c r="BG80" s="81">
        <f t="shared" si="48"/>
        <v>49.2</v>
      </c>
      <c r="BH80" s="81">
        <f t="shared" si="48"/>
        <v>76.8</v>
      </c>
      <c r="BI80" s="81">
        <f t="shared" si="48"/>
        <v>75.8</v>
      </c>
      <c r="BJ80" s="81">
        <f t="shared" si="48"/>
        <v>76</v>
      </c>
      <c r="BK80" s="81">
        <f t="shared" si="48"/>
        <v>76</v>
      </c>
      <c r="BL80" s="81">
        <f t="shared" si="48"/>
        <v>73.900000000000006</v>
      </c>
      <c r="BM80" s="81">
        <f t="shared" si="48"/>
        <v>81.5</v>
      </c>
      <c r="BN80" s="81">
        <f t="shared" si="48"/>
        <v>85.2</v>
      </c>
      <c r="BO80" s="81">
        <f t="shared" si="48"/>
        <v>80.900000000000006</v>
      </c>
      <c r="BP80" s="81">
        <f t="shared" si="48"/>
        <v>70.400000000000006</v>
      </c>
      <c r="BQ80" s="81">
        <f t="shared" si="48"/>
        <v>74.2</v>
      </c>
      <c r="BR80" s="81">
        <f t="shared" si="48"/>
        <v>81</v>
      </c>
      <c r="BS80" s="81">
        <f t="shared" si="48"/>
        <v>69.7</v>
      </c>
      <c r="BT80" s="81">
        <f t="shared" si="48"/>
        <v>83</v>
      </c>
      <c r="BU80" s="81">
        <f t="shared" si="48"/>
        <v>83</v>
      </c>
      <c r="BV80" s="81">
        <f t="shared" si="48"/>
        <v>77.3</v>
      </c>
      <c r="BW80" s="81">
        <f t="shared" si="48"/>
        <v>0</v>
      </c>
    </row>
    <row r="81" spans="1:64" x14ac:dyDescent="0.25">
      <c r="A81" s="45" t="s">
        <v>104</v>
      </c>
      <c r="B81" s="46">
        <v>41.3</v>
      </c>
      <c r="C81" s="46">
        <v>35.9</v>
      </c>
      <c r="D81" s="46">
        <v>39.700000000000003</v>
      </c>
      <c r="E81" s="46">
        <v>38</v>
      </c>
      <c r="F81" s="46">
        <v>34.299999999999997</v>
      </c>
      <c r="G81" s="46">
        <v>24.2</v>
      </c>
      <c r="H81" s="46">
        <v>27.3</v>
      </c>
      <c r="I81" s="46">
        <v>17.3</v>
      </c>
      <c r="J81" s="46">
        <v>34.6</v>
      </c>
      <c r="K81" s="46">
        <v>47</v>
      </c>
      <c r="L81" s="46">
        <v>42.9</v>
      </c>
      <c r="M81" s="46">
        <v>40.1</v>
      </c>
      <c r="N81" s="46">
        <v>40</v>
      </c>
      <c r="O81" s="46">
        <v>51</v>
      </c>
      <c r="P81" s="46">
        <v>48</v>
      </c>
      <c r="Q81" s="46">
        <v>46</v>
      </c>
      <c r="R81" s="46">
        <v>51.4</v>
      </c>
      <c r="S81" s="46">
        <v>51.2</v>
      </c>
      <c r="T81" s="46">
        <v>61.3</v>
      </c>
      <c r="U81" s="46">
        <v>66.3</v>
      </c>
      <c r="V81" s="46">
        <v>69.2</v>
      </c>
      <c r="W81" s="46">
        <v>57.8</v>
      </c>
      <c r="X81" s="46">
        <v>56.4</v>
      </c>
      <c r="Y81" s="46">
        <v>50</v>
      </c>
      <c r="Z81" s="46">
        <v>42</v>
      </c>
      <c r="AA81" s="46">
        <v>49</v>
      </c>
      <c r="AB81" s="46">
        <v>48.5</v>
      </c>
      <c r="AC81" s="46">
        <v>48.2</v>
      </c>
      <c r="AD81" s="46">
        <v>51</v>
      </c>
      <c r="AE81" s="46">
        <v>41</v>
      </c>
      <c r="AF81" s="46">
        <v>39.799999999999997</v>
      </c>
      <c r="AG81" s="60"/>
      <c r="AH81" s="48">
        <f t="shared" si="8"/>
        <v>69.2</v>
      </c>
      <c r="AI81" s="49">
        <f t="shared" si="9"/>
        <v>17.3</v>
      </c>
      <c r="AK81" s="51"/>
      <c r="AY81" s="81"/>
    </row>
    <row r="82" spans="1:64" x14ac:dyDescent="0.25">
      <c r="A82" s="64" t="s">
        <v>105</v>
      </c>
      <c r="B82" s="75">
        <v>0</v>
      </c>
      <c r="C82" s="75">
        <v>0</v>
      </c>
      <c r="D82" s="75">
        <v>0</v>
      </c>
      <c r="E82" s="75">
        <v>0</v>
      </c>
      <c r="F82" s="75">
        <v>0</v>
      </c>
      <c r="G82" s="75">
        <v>0</v>
      </c>
      <c r="H82" s="75">
        <v>0</v>
      </c>
      <c r="I82" s="75">
        <v>0</v>
      </c>
      <c r="J82" s="75">
        <v>0</v>
      </c>
      <c r="K82" s="75">
        <v>0</v>
      </c>
      <c r="L82" s="75">
        <v>0</v>
      </c>
      <c r="M82" s="75">
        <v>0</v>
      </c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>
        <v>0</v>
      </c>
      <c r="Z82" s="75">
        <v>0</v>
      </c>
      <c r="AA82" s="75">
        <v>0</v>
      </c>
      <c r="AB82" s="75"/>
      <c r="AC82" s="75"/>
      <c r="AD82" s="75"/>
      <c r="AE82" s="75"/>
      <c r="AF82" s="75"/>
      <c r="AG82" s="65"/>
      <c r="AH82" s="48">
        <f t="shared" ref="AH82:AH125" si="54">MAX(B82:AF82)</f>
        <v>0</v>
      </c>
      <c r="AI82" s="49">
        <f t="shared" ref="AI82:AI125" si="55">MIN(B82:AF82)</f>
        <v>0</v>
      </c>
      <c r="AK82" s="51"/>
      <c r="AY82" s="81"/>
      <c r="BF82" s="81"/>
      <c r="BG82" s="81"/>
      <c r="BH82" s="81"/>
      <c r="BI82" s="81"/>
      <c r="BJ82" s="81"/>
      <c r="BK82" s="81"/>
    </row>
    <row r="83" spans="1:64" x14ac:dyDescent="0.25">
      <c r="A83" s="64" t="s">
        <v>106</v>
      </c>
      <c r="B83" s="75">
        <v>232</v>
      </c>
      <c r="C83" s="75">
        <v>208.6</v>
      </c>
      <c r="D83" s="75">
        <v>285.5</v>
      </c>
      <c r="E83" s="75">
        <v>303</v>
      </c>
      <c r="F83" s="75">
        <v>286.3</v>
      </c>
      <c r="G83" s="75">
        <v>330</v>
      </c>
      <c r="H83" s="75">
        <v>306</v>
      </c>
      <c r="I83" s="75">
        <v>298.7</v>
      </c>
      <c r="J83" s="75">
        <v>314</v>
      </c>
      <c r="K83" s="75">
        <v>194</v>
      </c>
      <c r="L83" s="75">
        <v>198</v>
      </c>
      <c r="M83" s="75">
        <v>160</v>
      </c>
      <c r="N83" s="75">
        <v>198</v>
      </c>
      <c r="O83" s="75">
        <v>301</v>
      </c>
      <c r="P83" s="75">
        <v>348</v>
      </c>
      <c r="Q83" s="75">
        <v>356</v>
      </c>
      <c r="R83" s="75">
        <v>349</v>
      </c>
      <c r="S83" s="75">
        <v>349.6</v>
      </c>
      <c r="T83" s="75">
        <v>348.2</v>
      </c>
      <c r="U83" s="75">
        <v>378.8</v>
      </c>
      <c r="V83" s="75">
        <v>339.7</v>
      </c>
      <c r="W83" s="75">
        <v>355.1</v>
      </c>
      <c r="X83" s="75">
        <v>357.5</v>
      </c>
      <c r="Y83" s="75">
        <v>342.2</v>
      </c>
      <c r="Z83" s="75">
        <v>190</v>
      </c>
      <c r="AA83" s="75">
        <v>214</v>
      </c>
      <c r="AB83" s="75">
        <v>187</v>
      </c>
      <c r="AC83" s="75">
        <v>289</v>
      </c>
      <c r="AD83" s="75">
        <v>358</v>
      </c>
      <c r="AE83" s="75">
        <v>333</v>
      </c>
      <c r="AF83" s="75">
        <v>325</v>
      </c>
      <c r="AG83" s="87"/>
      <c r="AH83" s="48">
        <f t="shared" si="54"/>
        <v>378.8</v>
      </c>
      <c r="AI83" s="49">
        <f t="shared" si="55"/>
        <v>160</v>
      </c>
      <c r="AK83" s="51"/>
      <c r="AY83" s="81"/>
      <c r="BF83" s="80"/>
      <c r="BG83" s="80"/>
      <c r="BH83" s="80"/>
      <c r="BI83" s="80"/>
      <c r="BJ83" s="80"/>
      <c r="BK83" s="81"/>
    </row>
    <row r="84" spans="1:64" x14ac:dyDescent="0.25">
      <c r="A84" s="64" t="s">
        <v>107</v>
      </c>
      <c r="B84" s="75">
        <v>49</v>
      </c>
      <c r="C84" s="75">
        <v>62.1</v>
      </c>
      <c r="D84" s="75">
        <v>49.8</v>
      </c>
      <c r="E84" s="88">
        <v>49.8</v>
      </c>
      <c r="F84" s="88">
        <v>49.9</v>
      </c>
      <c r="G84" s="88">
        <v>45</v>
      </c>
      <c r="H84" s="88">
        <v>49.4</v>
      </c>
      <c r="I84" s="88">
        <v>46.6</v>
      </c>
      <c r="J84" s="88">
        <v>32</v>
      </c>
      <c r="K84" s="88">
        <v>40</v>
      </c>
      <c r="L84" s="88">
        <v>41.9</v>
      </c>
      <c r="M84" s="88">
        <v>31.5</v>
      </c>
      <c r="N84" s="88">
        <v>34.200000000000003</v>
      </c>
      <c r="O84" s="88">
        <v>38.299999999999997</v>
      </c>
      <c r="P84" s="88">
        <v>36.299999999999997</v>
      </c>
      <c r="Q84" s="88">
        <v>50.1</v>
      </c>
      <c r="R84" s="88">
        <v>49.8</v>
      </c>
      <c r="S84" s="88">
        <v>54.5</v>
      </c>
      <c r="T84" s="88">
        <v>45.8</v>
      </c>
      <c r="U84" s="88">
        <v>42.8</v>
      </c>
      <c r="V84" s="88">
        <v>41.8</v>
      </c>
      <c r="W84" s="88">
        <v>47.1</v>
      </c>
      <c r="X84" s="88">
        <v>0</v>
      </c>
      <c r="Y84" s="88">
        <v>0</v>
      </c>
      <c r="Z84" s="88">
        <v>0</v>
      </c>
      <c r="AA84" s="88">
        <v>0</v>
      </c>
      <c r="AB84" s="88">
        <v>0</v>
      </c>
      <c r="AC84" s="88">
        <v>0</v>
      </c>
      <c r="AD84" s="88">
        <v>0</v>
      </c>
      <c r="AE84" s="88">
        <v>0</v>
      </c>
      <c r="AF84" s="88">
        <v>0</v>
      </c>
      <c r="AG84" s="87"/>
      <c r="AH84" s="48">
        <f t="shared" si="54"/>
        <v>62.1</v>
      </c>
      <c r="AI84" s="49">
        <f t="shared" si="55"/>
        <v>0</v>
      </c>
      <c r="AK84" s="51"/>
      <c r="AY84" s="81"/>
      <c r="BF84" s="80"/>
      <c r="BG84" s="81">
        <f t="array" ref="BG84:BL107">TRANSPOSE(AZ68:BW73)</f>
        <v>36</v>
      </c>
      <c r="BH84" s="81">
        <v>0</v>
      </c>
      <c r="BI84" s="81">
        <v>209</v>
      </c>
      <c r="BJ84" s="81">
        <v>62</v>
      </c>
      <c r="BK84" s="81">
        <v>99</v>
      </c>
      <c r="BL84" s="81">
        <v>70</v>
      </c>
    </row>
    <row r="85" spans="1:64" x14ac:dyDescent="0.25">
      <c r="A85" s="64" t="s">
        <v>108</v>
      </c>
      <c r="B85" s="46">
        <v>111.5</v>
      </c>
      <c r="C85" s="46">
        <v>99.2</v>
      </c>
      <c r="D85" s="46">
        <v>90.8</v>
      </c>
      <c r="E85" s="46">
        <v>111</v>
      </c>
      <c r="F85" s="46">
        <v>115.8</v>
      </c>
      <c r="G85" s="46">
        <v>111.4</v>
      </c>
      <c r="H85" s="46">
        <v>119</v>
      </c>
      <c r="I85" s="46">
        <v>113</v>
      </c>
      <c r="J85" s="46">
        <v>105</v>
      </c>
      <c r="K85" s="46">
        <v>88</v>
      </c>
      <c r="L85" s="46">
        <v>98.4</v>
      </c>
      <c r="M85" s="46">
        <v>97.9</v>
      </c>
      <c r="N85" s="46">
        <v>73.400000000000006</v>
      </c>
      <c r="O85" s="46">
        <v>103.3</v>
      </c>
      <c r="P85" s="46">
        <v>108</v>
      </c>
      <c r="Q85" s="46">
        <v>93</v>
      </c>
      <c r="R85" s="46">
        <v>111.4</v>
      </c>
      <c r="S85" s="46">
        <v>107.6</v>
      </c>
      <c r="T85" s="46">
        <v>106</v>
      </c>
      <c r="U85" s="46">
        <v>96.1</v>
      </c>
      <c r="V85" s="46">
        <v>94.2</v>
      </c>
      <c r="W85" s="46">
        <v>95.1</v>
      </c>
      <c r="X85" s="46">
        <v>0</v>
      </c>
      <c r="Y85" s="46">
        <v>0</v>
      </c>
      <c r="Z85" s="46">
        <v>0</v>
      </c>
      <c r="AA85" s="46">
        <v>0</v>
      </c>
      <c r="AB85" s="46">
        <v>0</v>
      </c>
      <c r="AC85" s="46">
        <v>0</v>
      </c>
      <c r="AD85" s="46">
        <v>0</v>
      </c>
      <c r="AE85" s="46">
        <v>0</v>
      </c>
      <c r="AF85" s="46">
        <v>0</v>
      </c>
      <c r="AG85" s="87"/>
      <c r="AH85" s="48">
        <f t="shared" si="54"/>
        <v>119</v>
      </c>
      <c r="AI85" s="49">
        <f t="shared" si="55"/>
        <v>0</v>
      </c>
      <c r="AK85" s="51"/>
      <c r="AY85" s="81"/>
      <c r="BF85" s="80"/>
      <c r="BG85" s="81">
        <v>39.700000000000003</v>
      </c>
      <c r="BH85" s="81">
        <v>0</v>
      </c>
      <c r="BI85" s="81">
        <v>285.5</v>
      </c>
      <c r="BJ85" s="81">
        <v>49.8</v>
      </c>
      <c r="BK85" s="81">
        <v>90.8</v>
      </c>
      <c r="BL85" s="81">
        <v>59.1</v>
      </c>
    </row>
    <row r="86" spans="1:64" x14ac:dyDescent="0.25">
      <c r="A86" s="64" t="s">
        <v>109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7"/>
      <c r="AH86" s="48">
        <f t="shared" si="54"/>
        <v>0</v>
      </c>
      <c r="AI86" s="49">
        <f t="shared" si="55"/>
        <v>0</v>
      </c>
      <c r="AK86" s="51"/>
      <c r="AY86" s="81"/>
      <c r="BF86" s="80"/>
      <c r="BG86" s="81">
        <v>38</v>
      </c>
      <c r="BH86" s="81">
        <v>0</v>
      </c>
      <c r="BI86" s="81">
        <v>303</v>
      </c>
      <c r="BJ86" s="81">
        <v>49.8</v>
      </c>
      <c r="BK86" s="81">
        <v>111</v>
      </c>
      <c r="BL86" s="81">
        <v>52</v>
      </c>
    </row>
    <row r="87" spans="1:64" ht="15.75" thickBot="1" x14ac:dyDescent="0.3">
      <c r="A87" s="64" t="s">
        <v>110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7"/>
      <c r="AH87" s="48">
        <f t="shared" si="54"/>
        <v>0</v>
      </c>
      <c r="AI87" s="49">
        <f t="shared" si="55"/>
        <v>0</v>
      </c>
      <c r="AK87" s="51"/>
      <c r="AL87" s="90" t="s">
        <v>111</v>
      </c>
      <c r="AM87" s="90"/>
      <c r="AY87" s="81"/>
      <c r="BF87" s="81"/>
      <c r="BG87" s="81">
        <v>34.299999999999997</v>
      </c>
      <c r="BH87" s="81">
        <v>0</v>
      </c>
      <c r="BI87" s="81">
        <v>286.3</v>
      </c>
      <c r="BJ87" s="81">
        <v>49.9</v>
      </c>
      <c r="BK87" s="81">
        <v>115.8</v>
      </c>
      <c r="BL87" s="81">
        <v>58.4</v>
      </c>
    </row>
    <row r="88" spans="1:64" x14ac:dyDescent="0.25">
      <c r="A88" s="64" t="s">
        <v>112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7"/>
      <c r="AH88" s="48">
        <f t="shared" si="54"/>
        <v>0</v>
      </c>
      <c r="AI88" s="49">
        <f t="shared" si="55"/>
        <v>0</v>
      </c>
      <c r="AK88" s="91"/>
      <c r="AL88" s="92"/>
      <c r="AM88" s="92"/>
      <c r="AN88" s="93"/>
      <c r="AY88" s="81"/>
      <c r="BF88" s="81"/>
      <c r="BG88" s="81">
        <v>24.2</v>
      </c>
      <c r="BH88" s="81">
        <v>0</v>
      </c>
      <c r="BI88" s="81">
        <v>330</v>
      </c>
      <c r="BJ88" s="81">
        <v>45</v>
      </c>
      <c r="BK88" s="81">
        <v>111.4</v>
      </c>
      <c r="BL88" s="81">
        <v>53.5</v>
      </c>
    </row>
    <row r="89" spans="1:64" x14ac:dyDescent="0.25">
      <c r="A89" s="64" t="s">
        <v>113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7"/>
      <c r="AH89" s="48">
        <f t="shared" si="54"/>
        <v>0</v>
      </c>
      <c r="AI89" s="49">
        <f t="shared" si="55"/>
        <v>0</v>
      </c>
      <c r="AK89" s="94" t="s">
        <v>114</v>
      </c>
      <c r="AL89" s="75"/>
      <c r="AM89" s="88"/>
      <c r="AN89" s="95"/>
      <c r="AY89" s="81"/>
      <c r="BF89" s="81"/>
      <c r="BG89" s="81">
        <v>17.3</v>
      </c>
      <c r="BH89" s="81">
        <v>0</v>
      </c>
      <c r="BI89" s="81">
        <v>298.7</v>
      </c>
      <c r="BJ89" s="81">
        <v>46.6</v>
      </c>
      <c r="BK89" s="81">
        <v>113</v>
      </c>
      <c r="BL89" s="81">
        <v>55.9</v>
      </c>
    </row>
    <row r="90" spans="1:64" x14ac:dyDescent="0.25">
      <c r="A90" s="96" t="s">
        <v>115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97"/>
      <c r="AH90" s="48">
        <f t="shared" si="54"/>
        <v>0</v>
      </c>
      <c r="AI90" s="49">
        <f t="shared" si="55"/>
        <v>0</v>
      </c>
      <c r="AK90" s="94" t="s">
        <v>116</v>
      </c>
      <c r="AL90" s="88"/>
      <c r="AM90" s="88"/>
      <c r="AN90" s="95"/>
      <c r="AY90" s="81"/>
      <c r="BF90" s="81"/>
      <c r="BG90" s="81">
        <v>47</v>
      </c>
      <c r="BH90" s="81">
        <v>0</v>
      </c>
      <c r="BI90" s="81">
        <v>194</v>
      </c>
      <c r="BJ90" s="81">
        <v>40</v>
      </c>
      <c r="BK90" s="81">
        <v>88</v>
      </c>
      <c r="BL90" s="81">
        <v>47.8</v>
      </c>
    </row>
    <row r="91" spans="1:64" ht="15.75" thickBot="1" x14ac:dyDescent="0.3">
      <c r="A91" s="96" t="s">
        <v>117</v>
      </c>
      <c r="B91" s="89">
        <v>0</v>
      </c>
      <c r="C91" s="89">
        <v>70.099999999999994</v>
      </c>
      <c r="D91" s="89">
        <v>59.1</v>
      </c>
      <c r="E91" s="89">
        <v>52</v>
      </c>
      <c r="F91" s="89">
        <v>58.4</v>
      </c>
      <c r="G91" s="89">
        <v>53.5</v>
      </c>
      <c r="H91" s="89">
        <v>59.2</v>
      </c>
      <c r="I91" s="89">
        <v>55.9</v>
      </c>
      <c r="J91" s="89">
        <v>47.5</v>
      </c>
      <c r="K91" s="89">
        <v>47.8</v>
      </c>
      <c r="L91" s="89">
        <v>55.4</v>
      </c>
      <c r="M91" s="89">
        <v>49.2</v>
      </c>
      <c r="N91" s="89">
        <v>76.8</v>
      </c>
      <c r="O91" s="89">
        <v>75.8</v>
      </c>
      <c r="P91" s="89">
        <v>76</v>
      </c>
      <c r="Q91" s="89">
        <v>76</v>
      </c>
      <c r="R91" s="89">
        <v>73.900000000000006</v>
      </c>
      <c r="S91" s="89">
        <v>81.5</v>
      </c>
      <c r="T91" s="89">
        <v>85.2</v>
      </c>
      <c r="U91" s="89">
        <v>80.900000000000006</v>
      </c>
      <c r="V91" s="89">
        <v>70.400000000000006</v>
      </c>
      <c r="W91" s="89">
        <v>81.5</v>
      </c>
      <c r="X91" s="89">
        <v>74.2</v>
      </c>
      <c r="Y91" s="89">
        <v>70</v>
      </c>
      <c r="Z91" s="89">
        <v>81</v>
      </c>
      <c r="AA91" s="89">
        <v>73.3</v>
      </c>
      <c r="AB91" s="89">
        <v>69.7</v>
      </c>
      <c r="AC91" s="89">
        <v>75.2</v>
      </c>
      <c r="AD91" s="89">
        <v>83</v>
      </c>
      <c r="AE91" s="89">
        <v>83</v>
      </c>
      <c r="AF91" s="89">
        <v>77.3</v>
      </c>
      <c r="AG91" s="97"/>
      <c r="AH91" s="48">
        <f t="shared" si="54"/>
        <v>85.2</v>
      </c>
      <c r="AI91" s="49">
        <f t="shared" si="55"/>
        <v>0</v>
      </c>
      <c r="AK91" s="98"/>
      <c r="AL91" s="46"/>
      <c r="AM91" s="46"/>
      <c r="AN91" s="99"/>
      <c r="AY91" s="81"/>
      <c r="BF91" s="81"/>
      <c r="BG91" s="81">
        <v>40.1</v>
      </c>
      <c r="BH91" s="81">
        <v>0</v>
      </c>
      <c r="BI91" s="81">
        <v>160</v>
      </c>
      <c r="BJ91" s="81">
        <v>31.5</v>
      </c>
      <c r="BK91" s="81">
        <v>97.9</v>
      </c>
      <c r="BL91" s="81">
        <v>49.2</v>
      </c>
    </row>
    <row r="92" spans="1:64" ht="15.75" thickBot="1" x14ac:dyDescent="0.3">
      <c r="A92" s="86" t="s">
        <v>118</v>
      </c>
      <c r="B92" s="70">
        <f t="shared" ref="B92:AF92" si="56">SUMIF(B81:B91,"&gt;0")</f>
        <v>433.8</v>
      </c>
      <c r="C92" s="70">
        <f t="shared" si="56"/>
        <v>475.9</v>
      </c>
      <c r="D92" s="70">
        <f t="shared" si="56"/>
        <v>524.9</v>
      </c>
      <c r="E92" s="70">
        <f t="shared" si="56"/>
        <v>553.79999999999995</v>
      </c>
      <c r="F92" s="70">
        <f t="shared" si="56"/>
        <v>544.70000000000005</v>
      </c>
      <c r="G92" s="70">
        <f t="shared" si="56"/>
        <v>564.1</v>
      </c>
      <c r="H92" s="70">
        <f t="shared" si="56"/>
        <v>560.9</v>
      </c>
      <c r="I92" s="70">
        <f t="shared" si="56"/>
        <v>531.5</v>
      </c>
      <c r="J92" s="70">
        <f t="shared" si="56"/>
        <v>533.1</v>
      </c>
      <c r="K92" s="70">
        <f t="shared" si="56"/>
        <v>416.8</v>
      </c>
      <c r="L92" s="70">
        <f t="shared" si="56"/>
        <v>436.6</v>
      </c>
      <c r="M92" s="70">
        <f t="shared" ref="M92" si="57">SUMIF(M81:M91,"&gt;0")</f>
        <v>378.7</v>
      </c>
      <c r="N92" s="70">
        <f t="shared" si="56"/>
        <v>422.40000000000003</v>
      </c>
      <c r="O92" s="70">
        <f t="shared" si="56"/>
        <v>569.4</v>
      </c>
      <c r="P92" s="70">
        <f t="shared" si="56"/>
        <v>616.29999999999995</v>
      </c>
      <c r="Q92" s="70">
        <f t="shared" si="56"/>
        <v>621.1</v>
      </c>
      <c r="R92" s="70">
        <f t="shared" si="56"/>
        <v>635.5</v>
      </c>
      <c r="S92" s="70">
        <f t="shared" ref="S92:T92" si="58">SUMIF(S81:S91,"&gt;0")</f>
        <v>644.4</v>
      </c>
      <c r="T92" s="70">
        <f t="shared" si="58"/>
        <v>646.5</v>
      </c>
      <c r="U92" s="70">
        <f t="shared" ref="U92:V92" si="59">SUMIF(U81:U91,"&gt;0")</f>
        <v>664.9</v>
      </c>
      <c r="V92" s="70">
        <f t="shared" si="59"/>
        <v>615.29999999999995</v>
      </c>
      <c r="W92" s="70">
        <f t="shared" si="56"/>
        <v>636.6</v>
      </c>
      <c r="X92" s="70">
        <f t="shared" ref="X92:Y92" si="60">SUMIF(X81:X91,"&gt;0")</f>
        <v>488.09999999999997</v>
      </c>
      <c r="Y92" s="70">
        <f t="shared" si="60"/>
        <v>462.2</v>
      </c>
      <c r="Z92" s="70">
        <f>SUMIF(Z81:Z91,"&gt;0")</f>
        <v>313</v>
      </c>
      <c r="AA92" s="70">
        <f t="shared" si="56"/>
        <v>336.3</v>
      </c>
      <c r="AB92" s="70">
        <f t="shared" si="56"/>
        <v>305.2</v>
      </c>
      <c r="AC92" s="70">
        <f t="shared" si="56"/>
        <v>412.4</v>
      </c>
      <c r="AD92" s="70">
        <f t="shared" si="56"/>
        <v>492</v>
      </c>
      <c r="AE92" s="70">
        <f t="shared" si="56"/>
        <v>457</v>
      </c>
      <c r="AF92" s="70">
        <f t="shared" si="56"/>
        <v>442.1</v>
      </c>
      <c r="AG92" s="100">
        <f>SUM(AG81:AG91)</f>
        <v>0</v>
      </c>
      <c r="AH92" s="48">
        <f t="shared" si="54"/>
        <v>664.9</v>
      </c>
      <c r="AI92" s="49">
        <f t="shared" si="55"/>
        <v>305.2</v>
      </c>
      <c r="AK92" s="98"/>
      <c r="AL92" s="89"/>
      <c r="AM92" s="101"/>
      <c r="AN92" s="202"/>
      <c r="AY92" s="81"/>
      <c r="BF92" s="81"/>
      <c r="BG92" s="81">
        <v>40</v>
      </c>
      <c r="BH92" s="81">
        <v>0</v>
      </c>
      <c r="BI92" s="81">
        <v>198</v>
      </c>
      <c r="BJ92" s="81">
        <v>34.200000000000003</v>
      </c>
      <c r="BK92" s="81">
        <v>73.400000000000006</v>
      </c>
      <c r="BL92" s="81">
        <v>76.8</v>
      </c>
    </row>
    <row r="93" spans="1:64" x14ac:dyDescent="0.25">
      <c r="A93" s="45" t="s">
        <v>119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54"/>
        <v>0</v>
      </c>
      <c r="AI93" s="49">
        <f t="shared" si="55"/>
        <v>0</v>
      </c>
      <c r="AK93" s="98"/>
      <c r="AL93" s="89"/>
      <c r="AM93" s="89"/>
      <c r="AN93" s="203"/>
      <c r="BF93" s="81"/>
      <c r="BG93" s="81">
        <v>51</v>
      </c>
      <c r="BH93" s="81">
        <v>0</v>
      </c>
      <c r="BI93" s="81">
        <v>301</v>
      </c>
      <c r="BJ93" s="81">
        <v>38.299999999999997</v>
      </c>
      <c r="BK93" s="81">
        <v>103.3</v>
      </c>
      <c r="BL93" s="81">
        <v>75.8</v>
      </c>
    </row>
    <row r="94" spans="1:64" ht="15.75" thickBot="1" x14ac:dyDescent="0.3">
      <c r="A94" s="64" t="s">
        <v>120</v>
      </c>
      <c r="B94" s="89">
        <v>0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54"/>
        <v>0</v>
      </c>
      <c r="AI94" s="49">
        <f t="shared" si="55"/>
        <v>0</v>
      </c>
      <c r="AK94" s="103"/>
      <c r="AL94" s="104"/>
      <c r="AM94" s="104"/>
      <c r="AN94" s="105"/>
      <c r="BF94" s="81"/>
      <c r="BG94" s="81">
        <v>48</v>
      </c>
      <c r="BH94" s="81">
        <v>0</v>
      </c>
      <c r="BI94" s="81">
        <v>348</v>
      </c>
      <c r="BJ94" s="81">
        <v>36.299999999999997</v>
      </c>
      <c r="BK94" s="81">
        <v>108</v>
      </c>
      <c r="BL94" s="81">
        <v>76</v>
      </c>
    </row>
    <row r="95" spans="1:64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0</v>
      </c>
      <c r="Y95" s="106">
        <v>0</v>
      </c>
      <c r="Z95" s="106">
        <v>0</v>
      </c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54"/>
        <v>0</v>
      </c>
      <c r="AI95" s="49">
        <f t="shared" si="55"/>
        <v>0</v>
      </c>
      <c r="BF95" s="81"/>
      <c r="BG95" s="81">
        <v>46</v>
      </c>
      <c r="BH95" s="81">
        <v>0</v>
      </c>
      <c r="BI95" s="81">
        <v>356</v>
      </c>
      <c r="BJ95" s="81">
        <v>50.1</v>
      </c>
      <c r="BK95" s="81">
        <v>93</v>
      </c>
      <c r="BL95" s="81">
        <v>76</v>
      </c>
    </row>
    <row r="96" spans="1:64" ht="15.75" thickBot="1" x14ac:dyDescent="0.3">
      <c r="A96" s="86" t="s">
        <v>122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100">
        <f>SUM(AG93:AG95)</f>
        <v>55.4</v>
      </c>
      <c r="AH96" s="48">
        <f t="shared" si="54"/>
        <v>0</v>
      </c>
      <c r="AI96" s="49">
        <f t="shared" si="55"/>
        <v>0</v>
      </c>
      <c r="BF96" s="81"/>
      <c r="BG96" s="81">
        <v>51.4</v>
      </c>
      <c r="BH96" s="81">
        <v>0</v>
      </c>
      <c r="BI96" s="81">
        <v>349</v>
      </c>
      <c r="BJ96" s="81">
        <v>49.8</v>
      </c>
      <c r="BK96" s="81">
        <v>111.4</v>
      </c>
      <c r="BL96" s="81">
        <v>73.900000000000006</v>
      </c>
    </row>
    <row r="97" spans="1:64" ht="15.75" thickBot="1" x14ac:dyDescent="0.3">
      <c r="A97" s="86" t="s">
        <v>123</v>
      </c>
      <c r="B97" s="107">
        <f t="shared" ref="B97:AG97" si="61">B58+B62+B80+B76+B92+B96</f>
        <v>1211.49</v>
      </c>
      <c r="C97" s="107">
        <f t="shared" si="61"/>
        <v>1179.5899999999999</v>
      </c>
      <c r="D97" s="107">
        <f t="shared" si="61"/>
        <v>1125.3899999999999</v>
      </c>
      <c r="E97" s="107">
        <f t="shared" si="61"/>
        <v>1154.29</v>
      </c>
      <c r="F97" s="107">
        <f t="shared" si="61"/>
        <v>1145.19</v>
      </c>
      <c r="G97" s="107">
        <f t="shared" si="61"/>
        <v>1174.5900000000001</v>
      </c>
      <c r="H97" s="107">
        <f t="shared" si="61"/>
        <v>1240.29</v>
      </c>
      <c r="I97" s="107">
        <f t="shared" si="61"/>
        <v>1261.5900000000001</v>
      </c>
      <c r="J97" s="107">
        <f t="shared" si="61"/>
        <v>1320.9900000000002</v>
      </c>
      <c r="K97" s="107">
        <f t="shared" si="61"/>
        <v>1252.79</v>
      </c>
      <c r="L97" s="107">
        <f t="shared" si="61"/>
        <v>1208.49</v>
      </c>
      <c r="M97" s="107">
        <f t="shared" ref="M97" si="62">M58+M62+M80+M76+M92+M96</f>
        <v>1295.99</v>
      </c>
      <c r="N97" s="107">
        <f t="shared" si="61"/>
        <v>1280.69</v>
      </c>
      <c r="O97" s="107">
        <f t="shared" si="61"/>
        <v>1318.29</v>
      </c>
      <c r="P97" s="107">
        <f t="shared" si="61"/>
        <v>1365.8899999999999</v>
      </c>
      <c r="Q97" s="107">
        <f t="shared" si="61"/>
        <v>1325.69</v>
      </c>
      <c r="R97" s="107">
        <f t="shared" si="61"/>
        <v>1325.49</v>
      </c>
      <c r="S97" s="107">
        <f t="shared" ref="S97:T97" si="63">S58+S62+S80+S76+S92+S96</f>
        <v>1337.29</v>
      </c>
      <c r="T97" s="107">
        <f t="shared" si="63"/>
        <v>1397.3899999999999</v>
      </c>
      <c r="U97" s="107">
        <f t="shared" ref="U97:V97" si="64">U58+U62+U80+U76+U92+U96</f>
        <v>1459.4899999999998</v>
      </c>
      <c r="V97" s="107">
        <f t="shared" si="64"/>
        <v>1383.29</v>
      </c>
      <c r="W97" s="107">
        <f t="shared" si="61"/>
        <v>1413.99</v>
      </c>
      <c r="X97" s="107">
        <f t="shared" ref="X97:Y97" si="65">X58+X62+X80+X76+X92+X96</f>
        <v>1307.79</v>
      </c>
      <c r="Y97" s="107">
        <f t="shared" si="65"/>
        <v>1383.19</v>
      </c>
      <c r="Z97" s="107">
        <f>Z58+Z62+Z80+Z76+Z92+Z96</f>
        <v>1561.45</v>
      </c>
      <c r="AA97" s="107">
        <f t="shared" si="61"/>
        <v>1486.7900000000002</v>
      </c>
      <c r="AB97" s="107">
        <f t="shared" si="61"/>
        <v>1459.89</v>
      </c>
      <c r="AC97" s="107">
        <f t="shared" si="61"/>
        <v>1434.0300000000002</v>
      </c>
      <c r="AD97" s="107">
        <f t="shared" si="61"/>
        <v>1414.5900000000001</v>
      </c>
      <c r="AE97" s="107">
        <f t="shared" si="61"/>
        <v>1239.5899999999999</v>
      </c>
      <c r="AF97" s="107">
        <f t="shared" si="61"/>
        <v>1161.8899999999999</v>
      </c>
      <c r="AG97" s="71">
        <f t="shared" si="61"/>
        <v>2231.81</v>
      </c>
      <c r="AH97" s="48">
        <f t="shared" si="54"/>
        <v>1561.45</v>
      </c>
      <c r="AI97" s="49">
        <f t="shared" si="55"/>
        <v>1125.3899999999999</v>
      </c>
      <c r="BF97" s="81"/>
      <c r="BG97" s="81">
        <v>51.2</v>
      </c>
      <c r="BH97" s="81">
        <v>0</v>
      </c>
      <c r="BI97" s="81">
        <v>349.6</v>
      </c>
      <c r="BJ97" s="81">
        <v>54.5</v>
      </c>
      <c r="BK97" s="81">
        <v>107.6</v>
      </c>
      <c r="BL97" s="81">
        <v>81.5</v>
      </c>
    </row>
    <row r="98" spans="1:64" ht="15.75" thickBot="1" x14ac:dyDescent="0.3">
      <c r="A98" s="108" t="s">
        <v>124</v>
      </c>
      <c r="B98" s="109"/>
      <c r="C98" s="109"/>
      <c r="D98" s="109"/>
      <c r="E98" s="109"/>
      <c r="F98" s="109"/>
      <c r="G98" s="109"/>
      <c r="H98" s="109"/>
      <c r="I98" s="109"/>
      <c r="J98" s="109"/>
      <c r="K98" s="109">
        <v>150</v>
      </c>
      <c r="L98" s="109">
        <v>140</v>
      </c>
      <c r="M98" s="109">
        <v>140</v>
      </c>
      <c r="N98" s="109">
        <v>100</v>
      </c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>
        <v>150</v>
      </c>
      <c r="AA98" s="109">
        <v>150</v>
      </c>
      <c r="AB98" s="109">
        <v>100</v>
      </c>
      <c r="AC98" s="109">
        <v>100</v>
      </c>
      <c r="AD98" s="109">
        <v>100</v>
      </c>
      <c r="AE98" s="109">
        <v>100</v>
      </c>
      <c r="AF98" s="109">
        <v>80</v>
      </c>
      <c r="AG98" s="100"/>
      <c r="AH98" s="48">
        <f t="shared" si="54"/>
        <v>150</v>
      </c>
      <c r="AI98" s="49">
        <f t="shared" si="55"/>
        <v>80</v>
      </c>
      <c r="BF98" s="81"/>
      <c r="BG98" s="81">
        <v>61.3</v>
      </c>
      <c r="BH98" s="81">
        <v>0</v>
      </c>
      <c r="BI98" s="81">
        <v>348.2</v>
      </c>
      <c r="BJ98" s="81">
        <v>45.8</v>
      </c>
      <c r="BK98" s="81">
        <v>106</v>
      </c>
      <c r="BL98" s="81">
        <v>85.2</v>
      </c>
    </row>
    <row r="99" spans="1:64" ht="15.75" thickBot="1" x14ac:dyDescent="0.3">
      <c r="A99" s="86" t="s">
        <v>125</v>
      </c>
      <c r="B99" s="107">
        <f t="shared" ref="B99:AE99" si="66">B97+B98</f>
        <v>1211.49</v>
      </c>
      <c r="C99" s="107">
        <f t="shared" si="66"/>
        <v>1179.5899999999999</v>
      </c>
      <c r="D99" s="107">
        <f t="shared" si="66"/>
        <v>1125.3899999999999</v>
      </c>
      <c r="E99" s="107">
        <f t="shared" si="66"/>
        <v>1154.29</v>
      </c>
      <c r="F99" s="107">
        <f t="shared" si="66"/>
        <v>1145.19</v>
      </c>
      <c r="G99" s="107">
        <f t="shared" si="66"/>
        <v>1174.5900000000001</v>
      </c>
      <c r="H99" s="107">
        <f t="shared" si="66"/>
        <v>1240.29</v>
      </c>
      <c r="I99" s="107">
        <f t="shared" si="66"/>
        <v>1261.5900000000001</v>
      </c>
      <c r="J99" s="107">
        <f t="shared" si="66"/>
        <v>1320.9900000000002</v>
      </c>
      <c r="K99" s="107">
        <f t="shared" si="66"/>
        <v>1402.79</v>
      </c>
      <c r="L99" s="107">
        <f t="shared" si="66"/>
        <v>1348.49</v>
      </c>
      <c r="M99" s="107">
        <f t="shared" si="66"/>
        <v>1435.99</v>
      </c>
      <c r="N99" s="107">
        <f t="shared" si="66"/>
        <v>1380.69</v>
      </c>
      <c r="O99" s="107">
        <f t="shared" si="66"/>
        <v>1318.29</v>
      </c>
      <c r="P99" s="107">
        <f t="shared" si="66"/>
        <v>1365.8899999999999</v>
      </c>
      <c r="Q99" s="107">
        <f t="shared" si="66"/>
        <v>1325.69</v>
      </c>
      <c r="R99" s="107">
        <f t="shared" si="66"/>
        <v>1325.49</v>
      </c>
      <c r="S99" s="107">
        <f t="shared" ref="S99:T99" si="67">S97+S98</f>
        <v>1337.29</v>
      </c>
      <c r="T99" s="107">
        <f t="shared" si="67"/>
        <v>1397.3899999999999</v>
      </c>
      <c r="U99" s="107">
        <f t="shared" ref="U99:V99" si="68">U97+U98</f>
        <v>1459.4899999999998</v>
      </c>
      <c r="V99" s="107">
        <f t="shared" si="68"/>
        <v>1383.29</v>
      </c>
      <c r="W99" s="107">
        <f t="shared" si="66"/>
        <v>1413.99</v>
      </c>
      <c r="X99" s="107">
        <f t="shared" ref="X99:Y99" si="69">X97+X98</f>
        <v>1307.79</v>
      </c>
      <c r="Y99" s="107">
        <f t="shared" si="69"/>
        <v>1383.19</v>
      </c>
      <c r="Z99" s="107">
        <f>Z97+Z98</f>
        <v>1711.45</v>
      </c>
      <c r="AA99" s="107">
        <f t="shared" si="66"/>
        <v>1636.7900000000002</v>
      </c>
      <c r="AB99" s="107">
        <f t="shared" si="66"/>
        <v>1559.89</v>
      </c>
      <c r="AC99" s="107">
        <f t="shared" si="66"/>
        <v>1534.0300000000002</v>
      </c>
      <c r="AD99" s="107">
        <f t="shared" si="66"/>
        <v>1514.5900000000001</v>
      </c>
      <c r="AE99" s="107">
        <f t="shared" si="66"/>
        <v>1339.59</v>
      </c>
      <c r="AF99" s="107">
        <f>AF97+AF98</f>
        <v>1241.8899999999999</v>
      </c>
      <c r="AG99" s="100">
        <f>AG96+AG92+AG80+AG76+AG58+AG98</f>
        <v>1693.71</v>
      </c>
      <c r="AH99" s="48">
        <f t="shared" si="54"/>
        <v>1711.45</v>
      </c>
      <c r="AI99" s="49">
        <f t="shared" si="55"/>
        <v>1125.3899999999999</v>
      </c>
      <c r="BF99" s="81"/>
      <c r="BG99" s="81">
        <v>66.3</v>
      </c>
      <c r="BH99" s="81">
        <v>0</v>
      </c>
      <c r="BI99" s="81">
        <v>378.8</v>
      </c>
      <c r="BJ99" s="81">
        <v>42.8</v>
      </c>
      <c r="BK99" s="81">
        <v>96.1</v>
      </c>
      <c r="BL99" s="81">
        <v>80.900000000000006</v>
      </c>
    </row>
    <row r="100" spans="1:64" ht="15.75" thickBot="1" x14ac:dyDescent="0.3">
      <c r="A100" s="86" t="s">
        <v>126</v>
      </c>
      <c r="B100" s="107">
        <f t="shared" ref="B100:M100" si="70">B99-(B107)</f>
        <v>1211.49</v>
      </c>
      <c r="C100" s="107">
        <f t="shared" si="70"/>
        <v>1179.5899999999999</v>
      </c>
      <c r="D100" s="107">
        <f t="shared" si="70"/>
        <v>1125.3899999999999</v>
      </c>
      <c r="E100" s="107">
        <f t="shared" si="70"/>
        <v>1154.29</v>
      </c>
      <c r="F100" s="107">
        <f t="shared" si="70"/>
        <v>1145.19</v>
      </c>
      <c r="G100" s="107">
        <f t="shared" si="70"/>
        <v>1174.5900000000001</v>
      </c>
      <c r="H100" s="107">
        <f t="shared" si="70"/>
        <v>1240.29</v>
      </c>
      <c r="I100" s="107">
        <f t="shared" si="70"/>
        <v>1261.5900000000001</v>
      </c>
      <c r="J100" s="107">
        <f t="shared" si="70"/>
        <v>1320.9900000000002</v>
      </c>
      <c r="K100" s="107">
        <f t="shared" si="70"/>
        <v>1402.79</v>
      </c>
      <c r="L100" s="107">
        <f t="shared" si="70"/>
        <v>1348.49</v>
      </c>
      <c r="M100" s="107">
        <f t="shared" si="70"/>
        <v>1435.99</v>
      </c>
      <c r="N100" s="107">
        <f>N99-(N107)</f>
        <v>1380.69</v>
      </c>
      <c r="O100" s="107">
        <f t="shared" ref="O100:AF100" si="71">O99-(O107)</f>
        <v>1318.29</v>
      </c>
      <c r="P100" s="107">
        <f t="shared" si="71"/>
        <v>1365.8899999999999</v>
      </c>
      <c r="Q100" s="107">
        <f t="shared" si="71"/>
        <v>1325.69</v>
      </c>
      <c r="R100" s="107">
        <f t="shared" si="71"/>
        <v>1325.49</v>
      </c>
      <c r="S100" s="107">
        <f t="shared" ref="S100:T100" si="72">S99-(S107)</f>
        <v>1337.29</v>
      </c>
      <c r="T100" s="107">
        <f t="shared" si="72"/>
        <v>1397.3899999999999</v>
      </c>
      <c r="U100" s="107">
        <f t="shared" ref="U100:V100" si="73">U99-(U107)</f>
        <v>1459.4899999999998</v>
      </c>
      <c r="V100" s="107">
        <f t="shared" si="73"/>
        <v>1383.29</v>
      </c>
      <c r="W100" s="107">
        <f t="shared" si="71"/>
        <v>1413.99</v>
      </c>
      <c r="X100" s="107">
        <f t="shared" ref="X100:Y100" si="74">X99-(X107)</f>
        <v>1307.79</v>
      </c>
      <c r="Y100" s="107">
        <f t="shared" si="74"/>
        <v>1383.19</v>
      </c>
      <c r="Z100" s="107">
        <f t="shared" si="71"/>
        <v>1711.45</v>
      </c>
      <c r="AA100" s="107">
        <f t="shared" si="71"/>
        <v>1636.7900000000002</v>
      </c>
      <c r="AB100" s="107">
        <f t="shared" si="71"/>
        <v>1559.89</v>
      </c>
      <c r="AC100" s="107">
        <f t="shared" si="71"/>
        <v>1534.0300000000002</v>
      </c>
      <c r="AD100" s="107">
        <f t="shared" si="71"/>
        <v>1514.5900000000001</v>
      </c>
      <c r="AE100" s="107">
        <f t="shared" si="71"/>
        <v>1339.59</v>
      </c>
      <c r="AF100" s="107">
        <f t="shared" si="71"/>
        <v>1241.8899999999999</v>
      </c>
      <c r="AG100" s="100"/>
      <c r="AH100" s="48">
        <f t="shared" si="54"/>
        <v>1711.45</v>
      </c>
      <c r="AI100" s="49">
        <f t="shared" si="55"/>
        <v>1125.3899999999999</v>
      </c>
      <c r="BF100" s="81"/>
      <c r="BG100" s="81">
        <v>69.2</v>
      </c>
      <c r="BH100" s="81">
        <v>0</v>
      </c>
      <c r="BI100" s="81">
        <v>339.7</v>
      </c>
      <c r="BJ100" s="81">
        <v>41.8</v>
      </c>
      <c r="BK100" s="81">
        <v>94.2</v>
      </c>
      <c r="BL100" s="81">
        <v>70.400000000000006</v>
      </c>
    </row>
    <row r="101" spans="1:64" x14ac:dyDescent="0.25">
      <c r="A101" s="45" t="s">
        <v>107</v>
      </c>
      <c r="B101" s="88">
        <f t="shared" ref="B101:AF101" si="75">IF(B84&lt;0,B84*-1,0)</f>
        <v>0</v>
      </c>
      <c r="C101" s="88">
        <f t="shared" si="75"/>
        <v>0</v>
      </c>
      <c r="D101" s="88">
        <f t="shared" si="75"/>
        <v>0</v>
      </c>
      <c r="E101" s="88">
        <f t="shared" si="75"/>
        <v>0</v>
      </c>
      <c r="F101" s="88">
        <f t="shared" si="75"/>
        <v>0</v>
      </c>
      <c r="G101" s="88">
        <f t="shared" si="75"/>
        <v>0</v>
      </c>
      <c r="H101" s="88">
        <f t="shared" si="75"/>
        <v>0</v>
      </c>
      <c r="I101" s="88">
        <f t="shared" si="75"/>
        <v>0</v>
      </c>
      <c r="J101" s="88">
        <f t="shared" si="75"/>
        <v>0</v>
      </c>
      <c r="K101" s="88">
        <f t="shared" si="75"/>
        <v>0</v>
      </c>
      <c r="L101" s="88">
        <f t="shared" si="75"/>
        <v>0</v>
      </c>
      <c r="M101" s="88">
        <f t="shared" si="75"/>
        <v>0</v>
      </c>
      <c r="N101" s="88">
        <f t="shared" si="75"/>
        <v>0</v>
      </c>
      <c r="O101" s="88">
        <f t="shared" si="75"/>
        <v>0</v>
      </c>
      <c r="P101" s="88">
        <f t="shared" si="75"/>
        <v>0</v>
      </c>
      <c r="Q101" s="88">
        <f t="shared" si="75"/>
        <v>0</v>
      </c>
      <c r="R101" s="88">
        <f t="shared" si="75"/>
        <v>0</v>
      </c>
      <c r="S101" s="88">
        <f t="shared" ref="S101:T101" si="76">IF(S84&lt;0,S84*-1,0)</f>
        <v>0</v>
      </c>
      <c r="T101" s="88">
        <f t="shared" si="76"/>
        <v>0</v>
      </c>
      <c r="U101" s="88">
        <f t="shared" ref="U101:V101" si="77">IF(U84&lt;0,U84*-1,0)</f>
        <v>0</v>
      </c>
      <c r="V101" s="88">
        <f t="shared" si="77"/>
        <v>0</v>
      </c>
      <c r="W101" s="88">
        <f t="shared" si="75"/>
        <v>0</v>
      </c>
      <c r="X101" s="88">
        <f t="shared" ref="X101:Y101" si="78">IF(X84&lt;0,X84*-1,0)</f>
        <v>0</v>
      </c>
      <c r="Y101" s="88">
        <f t="shared" si="78"/>
        <v>0</v>
      </c>
      <c r="Z101" s="88">
        <f t="shared" si="75"/>
        <v>0</v>
      </c>
      <c r="AA101" s="88">
        <f t="shared" si="75"/>
        <v>0</v>
      </c>
      <c r="AB101" s="88">
        <f t="shared" si="75"/>
        <v>0</v>
      </c>
      <c r="AC101" s="88">
        <f t="shared" si="75"/>
        <v>0</v>
      </c>
      <c r="AD101" s="88">
        <f t="shared" si="75"/>
        <v>0</v>
      </c>
      <c r="AE101" s="88">
        <f t="shared" si="75"/>
        <v>0</v>
      </c>
      <c r="AF101" s="88">
        <f t="shared" si="75"/>
        <v>0</v>
      </c>
      <c r="AG101" s="60"/>
      <c r="AH101" s="48">
        <f t="shared" si="54"/>
        <v>0</v>
      </c>
      <c r="AI101" s="49">
        <f t="shared" si="55"/>
        <v>0</v>
      </c>
      <c r="BF101" s="80"/>
      <c r="BG101" s="81">
        <v>56.4</v>
      </c>
      <c r="BH101" s="81">
        <v>0</v>
      </c>
      <c r="BI101" s="81">
        <v>357.5</v>
      </c>
      <c r="BJ101" s="81">
        <v>0</v>
      </c>
      <c r="BK101" s="81">
        <v>0</v>
      </c>
      <c r="BL101" s="81">
        <v>74.2</v>
      </c>
    </row>
    <row r="102" spans="1:64" x14ac:dyDescent="0.25">
      <c r="A102" s="64" t="s">
        <v>105</v>
      </c>
      <c r="B102" s="88">
        <f t="shared" ref="B102:AF102" si="79">IF(B82&lt;0,B82*-1,0)</f>
        <v>0</v>
      </c>
      <c r="C102" s="88">
        <f t="shared" si="79"/>
        <v>0</v>
      </c>
      <c r="D102" s="88">
        <f t="shared" si="79"/>
        <v>0</v>
      </c>
      <c r="E102" s="88">
        <f t="shared" si="79"/>
        <v>0</v>
      </c>
      <c r="F102" s="88">
        <f t="shared" si="79"/>
        <v>0</v>
      </c>
      <c r="G102" s="88">
        <f t="shared" si="79"/>
        <v>0</v>
      </c>
      <c r="H102" s="88">
        <f t="shared" si="79"/>
        <v>0</v>
      </c>
      <c r="I102" s="88">
        <f t="shared" si="79"/>
        <v>0</v>
      </c>
      <c r="J102" s="88">
        <f t="shared" si="79"/>
        <v>0</v>
      </c>
      <c r="K102" s="88">
        <f t="shared" si="79"/>
        <v>0</v>
      </c>
      <c r="L102" s="88">
        <f t="shared" si="79"/>
        <v>0</v>
      </c>
      <c r="M102" s="88">
        <f t="shared" si="79"/>
        <v>0</v>
      </c>
      <c r="N102" s="88">
        <f t="shared" si="79"/>
        <v>0</v>
      </c>
      <c r="O102" s="88">
        <f t="shared" si="79"/>
        <v>0</v>
      </c>
      <c r="P102" s="88">
        <f t="shared" si="79"/>
        <v>0</v>
      </c>
      <c r="Q102" s="88">
        <f t="shared" si="79"/>
        <v>0</v>
      </c>
      <c r="R102" s="88">
        <f t="shared" si="79"/>
        <v>0</v>
      </c>
      <c r="S102" s="88">
        <f t="shared" ref="S102:T102" si="80">IF(S82&lt;0,S82*-1,0)</f>
        <v>0</v>
      </c>
      <c r="T102" s="88">
        <f t="shared" si="80"/>
        <v>0</v>
      </c>
      <c r="U102" s="88">
        <f t="shared" ref="U102:V102" si="81">IF(U82&lt;0,U82*-1,0)</f>
        <v>0</v>
      </c>
      <c r="V102" s="88">
        <f t="shared" si="81"/>
        <v>0</v>
      </c>
      <c r="W102" s="88">
        <f t="shared" si="79"/>
        <v>0</v>
      </c>
      <c r="X102" s="88">
        <f t="shared" ref="X102:Y102" si="82">IF(X82&lt;0,X82*-1,0)</f>
        <v>0</v>
      </c>
      <c r="Y102" s="88">
        <f t="shared" si="82"/>
        <v>0</v>
      </c>
      <c r="Z102" s="88">
        <f t="shared" si="79"/>
        <v>0</v>
      </c>
      <c r="AA102" s="88">
        <f t="shared" si="79"/>
        <v>0</v>
      </c>
      <c r="AB102" s="88">
        <f t="shared" si="79"/>
        <v>0</v>
      </c>
      <c r="AC102" s="88">
        <f t="shared" si="79"/>
        <v>0</v>
      </c>
      <c r="AD102" s="88">
        <f t="shared" si="79"/>
        <v>0</v>
      </c>
      <c r="AE102" s="88">
        <f t="shared" si="79"/>
        <v>0</v>
      </c>
      <c r="AF102" s="88">
        <f t="shared" si="79"/>
        <v>0</v>
      </c>
      <c r="AG102" s="65"/>
      <c r="AH102" s="48">
        <f t="shared" si="54"/>
        <v>0</v>
      </c>
      <c r="AI102" s="49">
        <f t="shared" si="55"/>
        <v>0</v>
      </c>
      <c r="BF102" s="80"/>
      <c r="BG102" s="81">
        <v>42</v>
      </c>
      <c r="BH102" s="81">
        <v>0</v>
      </c>
      <c r="BI102" s="81">
        <v>190</v>
      </c>
      <c r="BJ102" s="81">
        <v>0</v>
      </c>
      <c r="BK102" s="81">
        <v>0</v>
      </c>
      <c r="BL102" s="81">
        <v>81</v>
      </c>
    </row>
    <row r="103" spans="1:64" x14ac:dyDescent="0.25">
      <c r="A103" s="96" t="s">
        <v>127</v>
      </c>
      <c r="B103" s="88">
        <f t="shared" ref="B103:AF103" si="83">IF(B85&lt;0,B85*-1,0)</f>
        <v>0</v>
      </c>
      <c r="C103" s="88">
        <f t="shared" si="83"/>
        <v>0</v>
      </c>
      <c r="D103" s="88">
        <f t="shared" si="83"/>
        <v>0</v>
      </c>
      <c r="E103" s="88">
        <f t="shared" si="83"/>
        <v>0</v>
      </c>
      <c r="F103" s="88">
        <f t="shared" si="83"/>
        <v>0</v>
      </c>
      <c r="G103" s="88">
        <f t="shared" si="83"/>
        <v>0</v>
      </c>
      <c r="H103" s="88">
        <f t="shared" si="83"/>
        <v>0</v>
      </c>
      <c r="I103" s="88">
        <f t="shared" si="83"/>
        <v>0</v>
      </c>
      <c r="J103" s="88">
        <f t="shared" si="83"/>
        <v>0</v>
      </c>
      <c r="K103" s="88">
        <f t="shared" si="83"/>
        <v>0</v>
      </c>
      <c r="L103" s="88">
        <f t="shared" si="83"/>
        <v>0</v>
      </c>
      <c r="M103" s="88">
        <f t="shared" si="83"/>
        <v>0</v>
      </c>
      <c r="N103" s="88">
        <f t="shared" si="83"/>
        <v>0</v>
      </c>
      <c r="O103" s="88">
        <f t="shared" si="83"/>
        <v>0</v>
      </c>
      <c r="P103" s="88">
        <f t="shared" si="83"/>
        <v>0</v>
      </c>
      <c r="Q103" s="88">
        <f t="shared" si="83"/>
        <v>0</v>
      </c>
      <c r="R103" s="88">
        <f t="shared" si="83"/>
        <v>0</v>
      </c>
      <c r="S103" s="88">
        <f t="shared" ref="S103:T103" si="84">IF(S85&lt;0,S85*-1,0)</f>
        <v>0</v>
      </c>
      <c r="T103" s="88">
        <f t="shared" si="84"/>
        <v>0</v>
      </c>
      <c r="U103" s="88">
        <f t="shared" ref="U103:V103" si="85">IF(U85&lt;0,U85*-1,0)</f>
        <v>0</v>
      </c>
      <c r="V103" s="88">
        <f t="shared" si="85"/>
        <v>0</v>
      </c>
      <c r="W103" s="88">
        <f t="shared" si="83"/>
        <v>0</v>
      </c>
      <c r="X103" s="88">
        <f t="shared" ref="X103:Y103" si="86">IF(X85&lt;0,X85*-1,0)</f>
        <v>0</v>
      </c>
      <c r="Y103" s="88">
        <f t="shared" si="86"/>
        <v>0</v>
      </c>
      <c r="Z103" s="88">
        <f t="shared" si="83"/>
        <v>0</v>
      </c>
      <c r="AA103" s="88">
        <f t="shared" si="83"/>
        <v>0</v>
      </c>
      <c r="AB103" s="88">
        <f t="shared" si="83"/>
        <v>0</v>
      </c>
      <c r="AC103" s="88">
        <f t="shared" si="83"/>
        <v>0</v>
      </c>
      <c r="AD103" s="88">
        <f t="shared" si="83"/>
        <v>0</v>
      </c>
      <c r="AE103" s="88">
        <f t="shared" si="83"/>
        <v>0</v>
      </c>
      <c r="AF103" s="88">
        <f t="shared" si="83"/>
        <v>0</v>
      </c>
      <c r="AG103" s="110"/>
      <c r="AH103" s="48">
        <f t="shared" si="54"/>
        <v>0</v>
      </c>
      <c r="AI103" s="49">
        <f t="shared" si="55"/>
        <v>0</v>
      </c>
      <c r="BF103" s="80"/>
      <c r="BG103" s="81">
        <v>48.5</v>
      </c>
      <c r="BH103" s="81">
        <v>0</v>
      </c>
      <c r="BI103" s="81">
        <v>187</v>
      </c>
      <c r="BJ103" s="81">
        <v>0</v>
      </c>
      <c r="BK103" s="81">
        <v>0</v>
      </c>
      <c r="BL103" s="81">
        <v>69.7</v>
      </c>
    </row>
    <row r="104" spans="1:64" x14ac:dyDescent="0.25">
      <c r="A104" s="96" t="s">
        <v>128</v>
      </c>
      <c r="B104" s="88">
        <f t="shared" ref="B104:AF104" si="87">IF(B83&lt;0,B83*-1,0)</f>
        <v>0</v>
      </c>
      <c r="C104" s="88">
        <f t="shared" si="87"/>
        <v>0</v>
      </c>
      <c r="D104" s="88">
        <f t="shared" si="87"/>
        <v>0</v>
      </c>
      <c r="E104" s="88">
        <f t="shared" si="87"/>
        <v>0</v>
      </c>
      <c r="F104" s="88">
        <f t="shared" si="87"/>
        <v>0</v>
      </c>
      <c r="G104" s="88">
        <f t="shared" si="87"/>
        <v>0</v>
      </c>
      <c r="H104" s="88">
        <f t="shared" si="87"/>
        <v>0</v>
      </c>
      <c r="I104" s="88">
        <f t="shared" si="87"/>
        <v>0</v>
      </c>
      <c r="J104" s="88">
        <f t="shared" si="87"/>
        <v>0</v>
      </c>
      <c r="K104" s="88">
        <f t="shared" si="87"/>
        <v>0</v>
      </c>
      <c r="L104" s="88">
        <f t="shared" si="87"/>
        <v>0</v>
      </c>
      <c r="M104" s="88">
        <f t="shared" si="87"/>
        <v>0</v>
      </c>
      <c r="N104" s="88">
        <f t="shared" si="87"/>
        <v>0</v>
      </c>
      <c r="O104" s="88">
        <f t="shared" si="87"/>
        <v>0</v>
      </c>
      <c r="P104" s="88">
        <f t="shared" si="87"/>
        <v>0</v>
      </c>
      <c r="Q104" s="88">
        <f t="shared" si="87"/>
        <v>0</v>
      </c>
      <c r="R104" s="88">
        <f t="shared" si="87"/>
        <v>0</v>
      </c>
      <c r="S104" s="88">
        <f t="shared" ref="S104:T104" si="88">IF(S83&lt;0,S83*-1,0)</f>
        <v>0</v>
      </c>
      <c r="T104" s="88">
        <f t="shared" si="88"/>
        <v>0</v>
      </c>
      <c r="U104" s="88">
        <f t="shared" ref="U104:V104" si="89">IF(U83&lt;0,U83*-1,0)</f>
        <v>0</v>
      </c>
      <c r="V104" s="88">
        <f t="shared" si="89"/>
        <v>0</v>
      </c>
      <c r="W104" s="88">
        <f t="shared" si="87"/>
        <v>0</v>
      </c>
      <c r="X104" s="88">
        <f t="shared" ref="X104:Y104" si="90">IF(X83&lt;0,X83*-1,0)</f>
        <v>0</v>
      </c>
      <c r="Y104" s="88">
        <f t="shared" si="90"/>
        <v>0</v>
      </c>
      <c r="Z104" s="88">
        <f t="shared" si="87"/>
        <v>0</v>
      </c>
      <c r="AA104" s="88">
        <f t="shared" si="87"/>
        <v>0</v>
      </c>
      <c r="AB104" s="88">
        <f t="shared" si="87"/>
        <v>0</v>
      </c>
      <c r="AC104" s="88">
        <f t="shared" si="87"/>
        <v>0</v>
      </c>
      <c r="AD104" s="88">
        <f t="shared" si="87"/>
        <v>0</v>
      </c>
      <c r="AE104" s="88">
        <f t="shared" si="87"/>
        <v>0</v>
      </c>
      <c r="AF104" s="88">
        <f t="shared" si="87"/>
        <v>0</v>
      </c>
      <c r="AG104" s="110"/>
      <c r="AH104" s="48">
        <f t="shared" si="54"/>
        <v>0</v>
      </c>
      <c r="AI104" s="49">
        <f t="shared" si="55"/>
        <v>0</v>
      </c>
      <c r="BF104" s="80"/>
      <c r="BG104" s="81">
        <v>51</v>
      </c>
      <c r="BH104" s="81">
        <v>0</v>
      </c>
      <c r="BI104" s="81">
        <v>358</v>
      </c>
      <c r="BJ104" s="81">
        <v>0</v>
      </c>
      <c r="BK104" s="81">
        <v>0</v>
      </c>
      <c r="BL104" s="81">
        <v>83</v>
      </c>
    </row>
    <row r="105" spans="1:64" x14ac:dyDescent="0.25">
      <c r="A105" s="96" t="s">
        <v>104</v>
      </c>
      <c r="B105" s="88">
        <f t="shared" ref="B105:AF105" si="91">IF(B81&lt;0,B81*-1,0)</f>
        <v>0</v>
      </c>
      <c r="C105" s="88">
        <f t="shared" si="91"/>
        <v>0</v>
      </c>
      <c r="D105" s="88">
        <f t="shared" si="91"/>
        <v>0</v>
      </c>
      <c r="E105" s="88">
        <f t="shared" si="91"/>
        <v>0</v>
      </c>
      <c r="F105" s="88">
        <f t="shared" si="91"/>
        <v>0</v>
      </c>
      <c r="G105" s="88">
        <f t="shared" si="91"/>
        <v>0</v>
      </c>
      <c r="H105" s="88">
        <f t="shared" si="91"/>
        <v>0</v>
      </c>
      <c r="I105" s="88">
        <f t="shared" si="91"/>
        <v>0</v>
      </c>
      <c r="J105" s="88">
        <f t="shared" si="91"/>
        <v>0</v>
      </c>
      <c r="K105" s="88">
        <f t="shared" si="91"/>
        <v>0</v>
      </c>
      <c r="L105" s="88">
        <f t="shared" si="91"/>
        <v>0</v>
      </c>
      <c r="M105" s="88">
        <f t="shared" si="91"/>
        <v>0</v>
      </c>
      <c r="N105" s="88">
        <f t="shared" si="91"/>
        <v>0</v>
      </c>
      <c r="O105" s="88">
        <f t="shared" si="91"/>
        <v>0</v>
      </c>
      <c r="P105" s="88">
        <f t="shared" si="91"/>
        <v>0</v>
      </c>
      <c r="Q105" s="88">
        <f t="shared" si="91"/>
        <v>0</v>
      </c>
      <c r="R105" s="88">
        <f t="shared" si="91"/>
        <v>0</v>
      </c>
      <c r="S105" s="88">
        <f t="shared" ref="S105:T105" si="92">IF(S81&lt;0,S81*-1,0)</f>
        <v>0</v>
      </c>
      <c r="T105" s="88">
        <f t="shared" si="92"/>
        <v>0</v>
      </c>
      <c r="U105" s="88">
        <f t="shared" ref="U105:V105" si="93">IF(U81&lt;0,U81*-1,0)</f>
        <v>0</v>
      </c>
      <c r="V105" s="88">
        <f t="shared" si="93"/>
        <v>0</v>
      </c>
      <c r="W105" s="88">
        <f t="shared" si="91"/>
        <v>0</v>
      </c>
      <c r="X105" s="88">
        <f t="shared" ref="X105:Y105" si="94">IF(X81&lt;0,X81*-1,0)</f>
        <v>0</v>
      </c>
      <c r="Y105" s="88">
        <f t="shared" si="94"/>
        <v>0</v>
      </c>
      <c r="Z105" s="88">
        <f t="shared" si="91"/>
        <v>0</v>
      </c>
      <c r="AA105" s="88">
        <f t="shared" si="91"/>
        <v>0</v>
      </c>
      <c r="AB105" s="88">
        <f t="shared" si="91"/>
        <v>0</v>
      </c>
      <c r="AC105" s="88">
        <f t="shared" si="91"/>
        <v>0</v>
      </c>
      <c r="AD105" s="88">
        <f t="shared" si="91"/>
        <v>0</v>
      </c>
      <c r="AE105" s="88">
        <f t="shared" si="91"/>
        <v>0</v>
      </c>
      <c r="AF105" s="88">
        <f t="shared" si="91"/>
        <v>0</v>
      </c>
      <c r="AG105" s="110"/>
      <c r="AH105" s="48">
        <f t="shared" si="54"/>
        <v>0</v>
      </c>
      <c r="AI105" s="49">
        <f t="shared" si="55"/>
        <v>0</v>
      </c>
      <c r="BF105" s="80"/>
      <c r="BG105" s="81">
        <v>41</v>
      </c>
      <c r="BH105" s="81">
        <v>0</v>
      </c>
      <c r="BI105" s="81">
        <v>333</v>
      </c>
      <c r="BJ105" s="81">
        <v>0</v>
      </c>
      <c r="BK105" s="81">
        <v>0</v>
      </c>
      <c r="BL105" s="81">
        <v>83</v>
      </c>
    </row>
    <row r="106" spans="1:64" ht="15.75" thickBot="1" x14ac:dyDescent="0.3">
      <c r="A106" s="96" t="s">
        <v>129</v>
      </c>
      <c r="B106" s="106">
        <v>0</v>
      </c>
      <c r="C106" s="106">
        <v>0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0</v>
      </c>
      <c r="Y106" s="106">
        <v>0</v>
      </c>
      <c r="Z106" s="106">
        <v>0</v>
      </c>
      <c r="AA106" s="106">
        <v>0</v>
      </c>
      <c r="AB106" s="106">
        <v>0</v>
      </c>
      <c r="AC106" s="106">
        <v>0</v>
      </c>
      <c r="AD106" s="106">
        <v>0</v>
      </c>
      <c r="AE106" s="106">
        <v>0</v>
      </c>
      <c r="AF106" s="106">
        <v>0</v>
      </c>
      <c r="AG106" s="97"/>
      <c r="AH106" s="48">
        <f t="shared" si="54"/>
        <v>0</v>
      </c>
      <c r="AI106" s="49">
        <f t="shared" si="55"/>
        <v>0</v>
      </c>
      <c r="BG106" s="81">
        <v>39.799999999999997</v>
      </c>
      <c r="BH106" s="81">
        <v>0</v>
      </c>
      <c r="BI106" s="81">
        <v>325</v>
      </c>
      <c r="BJ106" s="81">
        <v>0</v>
      </c>
      <c r="BK106" s="81">
        <v>0</v>
      </c>
      <c r="BL106" s="81">
        <v>77.3</v>
      </c>
    </row>
    <row r="107" spans="1:64" ht="15.75" thickBot="1" x14ac:dyDescent="0.3">
      <c r="A107" s="111" t="s">
        <v>130</v>
      </c>
      <c r="B107" s="70">
        <f t="shared" ref="B107:C107" si="95">SUM(B101:B106)</f>
        <v>0</v>
      </c>
      <c r="C107" s="70">
        <f t="shared" si="95"/>
        <v>0</v>
      </c>
      <c r="D107" s="70">
        <f t="shared" ref="D107:AF107" si="96">SUM(D101:D106)</f>
        <v>0</v>
      </c>
      <c r="E107" s="70">
        <f t="shared" si="96"/>
        <v>0</v>
      </c>
      <c r="F107" s="70">
        <f t="shared" si="96"/>
        <v>0</v>
      </c>
      <c r="G107" s="70">
        <f t="shared" si="96"/>
        <v>0</v>
      </c>
      <c r="H107" s="70">
        <f t="shared" si="96"/>
        <v>0</v>
      </c>
      <c r="I107" s="70">
        <f t="shared" si="96"/>
        <v>0</v>
      </c>
      <c r="J107" s="70">
        <f t="shared" si="96"/>
        <v>0</v>
      </c>
      <c r="K107" s="70">
        <f t="shared" si="96"/>
        <v>0</v>
      </c>
      <c r="L107" s="70">
        <f t="shared" si="96"/>
        <v>0</v>
      </c>
      <c r="M107" s="70">
        <f t="shared" si="96"/>
        <v>0</v>
      </c>
      <c r="N107" s="70">
        <f t="shared" si="96"/>
        <v>0</v>
      </c>
      <c r="O107" s="70">
        <f t="shared" si="96"/>
        <v>0</v>
      </c>
      <c r="P107" s="70">
        <f t="shared" si="96"/>
        <v>0</v>
      </c>
      <c r="Q107" s="70">
        <f t="shared" si="96"/>
        <v>0</v>
      </c>
      <c r="R107" s="70">
        <f t="shared" si="96"/>
        <v>0</v>
      </c>
      <c r="S107" s="70">
        <f t="shared" ref="S107:T107" si="97">SUM(S101:S106)</f>
        <v>0</v>
      </c>
      <c r="T107" s="70">
        <f t="shared" si="97"/>
        <v>0</v>
      </c>
      <c r="U107" s="70">
        <f t="shared" ref="U107:V107" si="98">SUM(U101:U106)</f>
        <v>0</v>
      </c>
      <c r="V107" s="70">
        <f t="shared" si="98"/>
        <v>0</v>
      </c>
      <c r="W107" s="70">
        <f t="shared" si="96"/>
        <v>0</v>
      </c>
      <c r="X107" s="70">
        <f t="shared" ref="X107:Y107" si="99">SUM(X101:X106)</f>
        <v>0</v>
      </c>
      <c r="Y107" s="70">
        <f t="shared" si="99"/>
        <v>0</v>
      </c>
      <c r="Z107" s="70">
        <f t="shared" si="96"/>
        <v>0</v>
      </c>
      <c r="AA107" s="70">
        <f t="shared" si="96"/>
        <v>0</v>
      </c>
      <c r="AB107" s="70">
        <f t="shared" si="96"/>
        <v>0</v>
      </c>
      <c r="AC107" s="70">
        <f t="shared" si="96"/>
        <v>0</v>
      </c>
      <c r="AD107" s="70">
        <f t="shared" si="96"/>
        <v>0</v>
      </c>
      <c r="AE107" s="70">
        <f t="shared" si="96"/>
        <v>0</v>
      </c>
      <c r="AF107" s="70">
        <f t="shared" si="96"/>
        <v>0</v>
      </c>
      <c r="AG107" s="100"/>
      <c r="AH107" s="48">
        <f t="shared" si="54"/>
        <v>0</v>
      </c>
      <c r="AI107" s="49">
        <f t="shared" si="55"/>
        <v>0</v>
      </c>
      <c r="AK107" s="51"/>
      <c r="BG107" s="81">
        <v>41.3</v>
      </c>
      <c r="BH107" s="81">
        <v>0</v>
      </c>
      <c r="BI107" s="81">
        <v>232</v>
      </c>
      <c r="BJ107" s="81">
        <v>49</v>
      </c>
      <c r="BK107" s="81">
        <v>111.5</v>
      </c>
      <c r="BL107" s="81">
        <v>0</v>
      </c>
    </row>
    <row r="108" spans="1:64" ht="15.75" thickBot="1" x14ac:dyDescent="0.3">
      <c r="A108" s="86" t="s">
        <v>131</v>
      </c>
      <c r="B108" s="70">
        <f t="shared" ref="B108:AF108" si="100">B92-B107</f>
        <v>433.8</v>
      </c>
      <c r="C108" s="70">
        <f t="shared" si="100"/>
        <v>475.9</v>
      </c>
      <c r="D108" s="70">
        <f t="shared" si="100"/>
        <v>524.9</v>
      </c>
      <c r="E108" s="70">
        <f t="shared" si="100"/>
        <v>553.79999999999995</v>
      </c>
      <c r="F108" s="70">
        <f t="shared" si="100"/>
        <v>544.70000000000005</v>
      </c>
      <c r="G108" s="70">
        <f t="shared" si="100"/>
        <v>564.1</v>
      </c>
      <c r="H108" s="70">
        <f t="shared" si="100"/>
        <v>560.9</v>
      </c>
      <c r="I108" s="70">
        <f t="shared" si="100"/>
        <v>531.5</v>
      </c>
      <c r="J108" s="70">
        <f t="shared" si="100"/>
        <v>533.1</v>
      </c>
      <c r="K108" s="70">
        <f t="shared" si="100"/>
        <v>416.8</v>
      </c>
      <c r="L108" s="70">
        <f t="shared" si="100"/>
        <v>436.6</v>
      </c>
      <c r="M108" s="70">
        <f t="shared" si="100"/>
        <v>378.7</v>
      </c>
      <c r="N108" s="70">
        <f t="shared" si="100"/>
        <v>422.40000000000003</v>
      </c>
      <c r="O108" s="70">
        <f t="shared" si="100"/>
        <v>569.4</v>
      </c>
      <c r="P108" s="70">
        <f t="shared" si="100"/>
        <v>616.29999999999995</v>
      </c>
      <c r="Q108" s="70">
        <f t="shared" si="100"/>
        <v>621.1</v>
      </c>
      <c r="R108" s="70">
        <f t="shared" si="100"/>
        <v>635.5</v>
      </c>
      <c r="S108" s="70">
        <f t="shared" ref="S108:T108" si="101">S92-S107</f>
        <v>644.4</v>
      </c>
      <c r="T108" s="70">
        <f t="shared" si="101"/>
        <v>646.5</v>
      </c>
      <c r="U108" s="70">
        <f t="shared" ref="U108:V108" si="102">U92-U107</f>
        <v>664.9</v>
      </c>
      <c r="V108" s="70">
        <f t="shared" si="102"/>
        <v>615.29999999999995</v>
      </c>
      <c r="W108" s="70">
        <f t="shared" si="100"/>
        <v>636.6</v>
      </c>
      <c r="X108" s="70">
        <f t="shared" ref="X108:Y108" si="103">X92-X107</f>
        <v>488.09999999999997</v>
      </c>
      <c r="Y108" s="70">
        <f t="shared" si="103"/>
        <v>462.2</v>
      </c>
      <c r="Z108" s="70">
        <f>Z92-Z107</f>
        <v>313</v>
      </c>
      <c r="AA108" s="70">
        <f t="shared" si="100"/>
        <v>336.3</v>
      </c>
      <c r="AB108" s="70">
        <f t="shared" si="100"/>
        <v>305.2</v>
      </c>
      <c r="AC108" s="70">
        <f t="shared" si="100"/>
        <v>412.4</v>
      </c>
      <c r="AD108" s="70">
        <f t="shared" si="100"/>
        <v>492</v>
      </c>
      <c r="AE108" s="70">
        <f t="shared" si="100"/>
        <v>457</v>
      </c>
      <c r="AF108" s="70">
        <f t="shared" si="100"/>
        <v>442.1</v>
      </c>
      <c r="AG108" s="100"/>
      <c r="AH108" s="48">
        <f t="shared" si="54"/>
        <v>664.9</v>
      </c>
      <c r="AI108" s="49">
        <f t="shared" si="55"/>
        <v>305.2</v>
      </c>
    </row>
    <row r="109" spans="1:64" x14ac:dyDescent="0.25">
      <c r="A109" s="112" t="s">
        <v>132</v>
      </c>
      <c r="B109" s="113">
        <v>49.97</v>
      </c>
      <c r="C109" s="113">
        <v>49.951000000000001</v>
      </c>
      <c r="D109" s="113">
        <v>49.965000000000003</v>
      </c>
      <c r="E109" s="113">
        <v>49.984999999999999</v>
      </c>
      <c r="F109" s="113">
        <v>50</v>
      </c>
      <c r="G109" s="113">
        <v>50.031999999999996</v>
      </c>
      <c r="H109" s="113">
        <v>49.975999999999999</v>
      </c>
      <c r="I109" s="113">
        <v>49.942</v>
      </c>
      <c r="J109" s="113">
        <v>50.031999999999996</v>
      </c>
      <c r="K109" s="113">
        <v>50</v>
      </c>
      <c r="L109" s="113">
        <v>50.09</v>
      </c>
      <c r="M109" s="113">
        <v>50.1</v>
      </c>
      <c r="N109" s="113">
        <v>49.965000000000003</v>
      </c>
      <c r="O109" s="113">
        <v>49.953000000000003</v>
      </c>
      <c r="P109" s="113">
        <v>49.95</v>
      </c>
      <c r="Q109" s="113">
        <v>49.95</v>
      </c>
      <c r="R109" s="113">
        <v>49.927</v>
      </c>
      <c r="S109" s="113">
        <v>50.02</v>
      </c>
      <c r="T109" s="113">
        <v>49.88</v>
      </c>
      <c r="U109" s="113">
        <v>50.05</v>
      </c>
      <c r="V109" s="113">
        <v>50.05</v>
      </c>
      <c r="W109" s="113">
        <v>50.029000000000003</v>
      </c>
      <c r="X109" s="113">
        <v>50.97</v>
      </c>
      <c r="Y109" s="113">
        <v>50</v>
      </c>
      <c r="Z109" s="113">
        <v>50.017000000000003</v>
      </c>
      <c r="AA109" s="113">
        <v>49.872</v>
      </c>
      <c r="AB109" s="113">
        <v>50.021000000000001</v>
      </c>
      <c r="AC109" s="113">
        <v>49.968000000000004</v>
      </c>
      <c r="AD109" s="113">
        <v>50</v>
      </c>
      <c r="AE109" s="113">
        <v>50</v>
      </c>
      <c r="AF109" s="113">
        <v>49.75</v>
      </c>
      <c r="AG109" s="114"/>
      <c r="AH109" s="48">
        <f t="shared" si="54"/>
        <v>50.97</v>
      </c>
      <c r="AI109" s="49">
        <f t="shared" si="55"/>
        <v>49.75</v>
      </c>
    </row>
    <row r="110" spans="1:64" x14ac:dyDescent="0.25">
      <c r="A110" s="115" t="s">
        <v>133</v>
      </c>
      <c r="B110" s="75">
        <v>132.9</v>
      </c>
      <c r="C110" s="75">
        <v>132.30000000000001</v>
      </c>
      <c r="D110" s="75">
        <v>131.19999999999999</v>
      </c>
      <c r="E110" s="75">
        <v>131.19999999999999</v>
      </c>
      <c r="F110" s="75">
        <v>130</v>
      </c>
      <c r="G110" s="75">
        <v>130</v>
      </c>
      <c r="H110" s="75">
        <v>130</v>
      </c>
      <c r="I110" s="75">
        <v>130</v>
      </c>
      <c r="J110" s="75">
        <v>130</v>
      </c>
      <c r="K110" s="75">
        <v>130</v>
      </c>
      <c r="L110" s="75">
        <v>128.69999999999999</v>
      </c>
      <c r="M110" s="75">
        <v>128.19999999999999</v>
      </c>
      <c r="N110" s="75">
        <v>128.5</v>
      </c>
      <c r="O110" s="75">
        <v>126</v>
      </c>
      <c r="P110" s="75">
        <v>125.9</v>
      </c>
      <c r="Q110" s="75">
        <v>126</v>
      </c>
      <c r="R110" s="75">
        <v>125.6</v>
      </c>
      <c r="S110" s="75">
        <v>126</v>
      </c>
      <c r="T110" s="75">
        <v>124.6</v>
      </c>
      <c r="U110" s="75">
        <v>123.7</v>
      </c>
      <c r="V110" s="75">
        <v>126.8</v>
      </c>
      <c r="W110" s="75">
        <v>126</v>
      </c>
      <c r="X110" s="75">
        <v>127.1</v>
      </c>
      <c r="Y110" s="75">
        <v>127.1</v>
      </c>
      <c r="Z110" s="75">
        <v>125.2</v>
      </c>
      <c r="AA110" s="75">
        <v>124.4</v>
      </c>
      <c r="AB110" s="75">
        <v>124.3</v>
      </c>
      <c r="AC110" s="75">
        <v>124.6</v>
      </c>
      <c r="AD110" s="75">
        <v>125</v>
      </c>
      <c r="AE110" s="75">
        <v>128.5</v>
      </c>
      <c r="AF110" s="75">
        <v>128.5</v>
      </c>
      <c r="AG110" s="116"/>
      <c r="AH110" s="48">
        <f t="shared" si="54"/>
        <v>132.9</v>
      </c>
      <c r="AI110" s="49">
        <f t="shared" si="55"/>
        <v>123.7</v>
      </c>
    </row>
    <row r="111" spans="1:64" x14ac:dyDescent="0.25">
      <c r="A111" s="115" t="s">
        <v>134</v>
      </c>
      <c r="B111" s="75">
        <v>135.6</v>
      </c>
      <c r="C111" s="75">
        <v>134.69999999999999</v>
      </c>
      <c r="D111" s="75">
        <v>134.1</v>
      </c>
      <c r="E111" s="75">
        <v>134.1</v>
      </c>
      <c r="F111" s="75">
        <v>133</v>
      </c>
      <c r="G111" s="75">
        <v>133</v>
      </c>
      <c r="H111" s="75">
        <v>132.9</v>
      </c>
      <c r="I111" s="75">
        <v>132.9</v>
      </c>
      <c r="J111" s="75">
        <v>132.9</v>
      </c>
      <c r="K111" s="75">
        <v>132.9</v>
      </c>
      <c r="L111" s="75">
        <v>129.69999999999999</v>
      </c>
      <c r="M111" s="75">
        <v>129.5</v>
      </c>
      <c r="N111" s="75">
        <v>129.9</v>
      </c>
      <c r="O111" s="75">
        <v>128</v>
      </c>
      <c r="P111" s="75">
        <v>128.1</v>
      </c>
      <c r="Q111" s="75">
        <v>128.1</v>
      </c>
      <c r="R111" s="75">
        <v>128.19999999999999</v>
      </c>
      <c r="S111" s="75">
        <v>128.30000000000001</v>
      </c>
      <c r="T111" s="75">
        <v>127.3</v>
      </c>
      <c r="U111" s="75">
        <v>126.4</v>
      </c>
      <c r="V111" s="75">
        <v>129.30000000000001</v>
      </c>
      <c r="W111" s="75">
        <v>128.6</v>
      </c>
      <c r="X111" s="75">
        <v>129.80000000000001</v>
      </c>
      <c r="Y111" s="75">
        <v>129.80000000000001</v>
      </c>
      <c r="Z111" s="75">
        <v>127.7</v>
      </c>
      <c r="AA111" s="75">
        <v>127.1</v>
      </c>
      <c r="AB111" s="75">
        <v>127.8</v>
      </c>
      <c r="AC111" s="75">
        <v>128.5</v>
      </c>
      <c r="AD111" s="75">
        <v>129.6</v>
      </c>
      <c r="AE111" s="75">
        <v>132</v>
      </c>
      <c r="AF111" s="75">
        <v>132</v>
      </c>
      <c r="AG111" s="116"/>
      <c r="AH111" s="48">
        <f t="shared" si="54"/>
        <v>135.6</v>
      </c>
      <c r="AI111" s="49">
        <f t="shared" si="55"/>
        <v>126.4</v>
      </c>
    </row>
    <row r="112" spans="1:64" x14ac:dyDescent="0.25">
      <c r="A112" s="115" t="s">
        <v>135</v>
      </c>
      <c r="B112" s="75">
        <v>131.80000000000001</v>
      </c>
      <c r="C112" s="75">
        <v>130.19999999999999</v>
      </c>
      <c r="D112" s="75">
        <v>132.1</v>
      </c>
      <c r="E112" s="75">
        <v>132.1</v>
      </c>
      <c r="F112" s="75">
        <v>131.6</v>
      </c>
      <c r="G112" s="75">
        <v>131.6</v>
      </c>
      <c r="H112" s="75">
        <v>131</v>
      </c>
      <c r="I112" s="75">
        <v>131</v>
      </c>
      <c r="J112" s="75">
        <v>131</v>
      </c>
      <c r="K112" s="75">
        <v>131</v>
      </c>
      <c r="L112" s="75">
        <v>128.19999999999999</v>
      </c>
      <c r="M112" s="75">
        <v>128.80000000000001</v>
      </c>
      <c r="N112" s="75">
        <v>128.19999999999999</v>
      </c>
      <c r="O112" s="75">
        <v>127.9</v>
      </c>
      <c r="P112" s="75">
        <v>129.69999999999999</v>
      </c>
      <c r="Q112" s="75">
        <v>128</v>
      </c>
      <c r="R112" s="75">
        <v>129.1</v>
      </c>
      <c r="S112" s="75">
        <v>129.4</v>
      </c>
      <c r="T112" s="75">
        <v>129.4</v>
      </c>
      <c r="U112" s="75">
        <v>127</v>
      </c>
      <c r="V112" s="75">
        <v>130.6</v>
      </c>
      <c r="W112" s="75">
        <v>128.5</v>
      </c>
      <c r="X112" s="75">
        <v>129.19999999999999</v>
      </c>
      <c r="Y112" s="75">
        <v>129.19999999999999</v>
      </c>
      <c r="Z112" s="75">
        <v>129.30000000000001</v>
      </c>
      <c r="AA112" s="75">
        <v>132</v>
      </c>
      <c r="AB112" s="75">
        <v>128.69999999999999</v>
      </c>
      <c r="AC112" s="75">
        <v>129.4</v>
      </c>
      <c r="AD112" s="75">
        <v>130</v>
      </c>
      <c r="AE112" s="75">
        <v>130.5</v>
      </c>
      <c r="AF112" s="75">
        <v>130.5</v>
      </c>
      <c r="AG112" s="116"/>
      <c r="AH112" s="48">
        <f t="shared" si="54"/>
        <v>132.1</v>
      </c>
      <c r="AI112" s="49">
        <f t="shared" si="55"/>
        <v>127</v>
      </c>
    </row>
    <row r="113" spans="1:35" x14ac:dyDescent="0.25">
      <c r="A113" s="117" t="s">
        <v>136</v>
      </c>
      <c r="B113" s="75">
        <v>132.30000000000001</v>
      </c>
      <c r="C113" s="75">
        <v>131.1</v>
      </c>
      <c r="D113" s="75">
        <v>132.9</v>
      </c>
      <c r="E113" s="75">
        <v>132.9</v>
      </c>
      <c r="F113" s="75">
        <v>132.69999999999999</v>
      </c>
      <c r="G113" s="75">
        <v>132.69999999999999</v>
      </c>
      <c r="H113" s="75">
        <v>130.69999999999999</v>
      </c>
      <c r="I113" s="75">
        <v>130.69999999999999</v>
      </c>
      <c r="J113" s="75">
        <v>130.69999999999999</v>
      </c>
      <c r="K113" s="75">
        <v>130.69999999999999</v>
      </c>
      <c r="L113" s="75">
        <v>127.2</v>
      </c>
      <c r="M113" s="75">
        <v>129.19999999999999</v>
      </c>
      <c r="N113" s="75">
        <v>128.6</v>
      </c>
      <c r="O113" s="75">
        <v>128</v>
      </c>
      <c r="P113" s="75">
        <v>129</v>
      </c>
      <c r="Q113" s="75">
        <v>130.9</v>
      </c>
      <c r="R113" s="75">
        <v>129.69999999999999</v>
      </c>
      <c r="S113" s="75">
        <v>129.9</v>
      </c>
      <c r="T113" s="75">
        <v>129.69999999999999</v>
      </c>
      <c r="U113" s="75">
        <v>122.9</v>
      </c>
      <c r="V113" s="75">
        <v>131.6</v>
      </c>
      <c r="W113" s="75">
        <v>129.9</v>
      </c>
      <c r="X113" s="75">
        <v>128.80000000000001</v>
      </c>
      <c r="Y113" s="75">
        <v>128.80000000000001</v>
      </c>
      <c r="Z113" s="75">
        <v>129.19999999999999</v>
      </c>
      <c r="AA113" s="75">
        <v>132</v>
      </c>
      <c r="AB113" s="75">
        <v>131.4</v>
      </c>
      <c r="AC113" s="75">
        <v>131.9</v>
      </c>
      <c r="AD113" s="75">
        <v>133</v>
      </c>
      <c r="AE113" s="75">
        <v>132.80000000000001</v>
      </c>
      <c r="AF113" s="75">
        <v>132.80000000000001</v>
      </c>
      <c r="AG113" s="116"/>
      <c r="AH113" s="48">
        <f t="shared" si="54"/>
        <v>133</v>
      </c>
      <c r="AI113" s="49">
        <f t="shared" si="55"/>
        <v>122.9</v>
      </c>
    </row>
    <row r="114" spans="1:35" x14ac:dyDescent="0.25">
      <c r="A114" s="117" t="s">
        <v>137</v>
      </c>
      <c r="B114" s="118">
        <v>135.30000000000001</v>
      </c>
      <c r="C114" s="118">
        <v>136.1</v>
      </c>
      <c r="D114" s="118">
        <v>132.19999999999999</v>
      </c>
      <c r="E114" s="118">
        <v>132.19999999999999</v>
      </c>
      <c r="F114" s="118">
        <v>131.4</v>
      </c>
      <c r="G114" s="118">
        <v>131.4</v>
      </c>
      <c r="H114" s="118">
        <v>132</v>
      </c>
      <c r="I114" s="118">
        <v>132</v>
      </c>
      <c r="J114" s="118">
        <v>132</v>
      </c>
      <c r="K114" s="118">
        <v>132</v>
      </c>
      <c r="L114" s="118">
        <v>132.80000000000001</v>
      </c>
      <c r="M114" s="118">
        <v>132.9</v>
      </c>
      <c r="N114" s="118">
        <v>134.4</v>
      </c>
      <c r="O114" s="118">
        <v>133.5</v>
      </c>
      <c r="P114" s="118">
        <v>132.4</v>
      </c>
      <c r="Q114" s="118">
        <v>133</v>
      </c>
      <c r="R114" s="118">
        <v>133.19999999999999</v>
      </c>
      <c r="S114" s="118">
        <v>132.4</v>
      </c>
      <c r="T114" s="118">
        <v>131.4</v>
      </c>
      <c r="U114" s="118">
        <v>132.80000000000001</v>
      </c>
      <c r="V114" s="118">
        <v>135</v>
      </c>
      <c r="W114" s="118">
        <v>134.80000000000001</v>
      </c>
      <c r="X114" s="118">
        <v>135.5</v>
      </c>
      <c r="Y114" s="118">
        <v>135.5</v>
      </c>
      <c r="Z114" s="118">
        <v>136.30000000000001</v>
      </c>
      <c r="AA114" s="118">
        <v>132.6</v>
      </c>
      <c r="AB114" s="118">
        <v>133.80000000000001</v>
      </c>
      <c r="AC114" s="118">
        <v>134.19999999999999</v>
      </c>
      <c r="AD114" s="118">
        <v>134</v>
      </c>
      <c r="AE114" s="118">
        <v>136</v>
      </c>
      <c r="AF114" s="118">
        <v>136</v>
      </c>
      <c r="AG114" s="119"/>
      <c r="AH114" s="48">
        <f t="shared" si="54"/>
        <v>136.30000000000001</v>
      </c>
      <c r="AI114" s="49">
        <f t="shared" si="55"/>
        <v>131.4</v>
      </c>
    </row>
    <row r="115" spans="1:35" x14ac:dyDescent="0.25">
      <c r="A115" s="115" t="s">
        <v>138</v>
      </c>
      <c r="B115" s="75">
        <v>133.69999999999999</v>
      </c>
      <c r="C115" s="75">
        <v>130.80000000000001</v>
      </c>
      <c r="D115" s="75">
        <v>130.6</v>
      </c>
      <c r="E115" s="75">
        <v>130.6</v>
      </c>
      <c r="F115" s="75">
        <v>132</v>
      </c>
      <c r="G115" s="75">
        <v>132</v>
      </c>
      <c r="H115" s="75">
        <v>134</v>
      </c>
      <c r="I115" s="75">
        <v>134</v>
      </c>
      <c r="J115" s="75">
        <v>134</v>
      </c>
      <c r="K115" s="75">
        <v>134</v>
      </c>
      <c r="L115" s="75">
        <v>132.6</v>
      </c>
      <c r="M115" s="75">
        <v>132</v>
      </c>
      <c r="N115" s="75">
        <v>126.2</v>
      </c>
      <c r="O115" s="75">
        <v>126.4</v>
      </c>
      <c r="P115" s="75">
        <v>128</v>
      </c>
      <c r="Q115" s="75">
        <v>129</v>
      </c>
      <c r="R115" s="75">
        <v>125.9</v>
      </c>
      <c r="S115" s="75">
        <v>128.6</v>
      </c>
      <c r="T115" s="75">
        <v>128.6</v>
      </c>
      <c r="U115" s="75">
        <v>120.5</v>
      </c>
      <c r="V115" s="75">
        <v>122</v>
      </c>
      <c r="W115" s="75">
        <v>128.80000000000001</v>
      </c>
      <c r="X115" s="75">
        <v>132.6</v>
      </c>
      <c r="Y115" s="75">
        <v>132.6</v>
      </c>
      <c r="Z115" s="75">
        <v>130.19999999999999</v>
      </c>
      <c r="AA115" s="75">
        <v>128.80000000000001</v>
      </c>
      <c r="AB115" s="75">
        <v>131.69999999999999</v>
      </c>
      <c r="AC115" s="75">
        <v>129.1</v>
      </c>
      <c r="AD115" s="75">
        <v>132</v>
      </c>
      <c r="AE115" s="75">
        <v>129</v>
      </c>
      <c r="AF115" s="75">
        <v>129</v>
      </c>
      <c r="AG115" s="116"/>
      <c r="AH115" s="48">
        <f t="shared" si="54"/>
        <v>134</v>
      </c>
      <c r="AI115" s="49">
        <f t="shared" si="55"/>
        <v>120.5</v>
      </c>
    </row>
    <row r="116" spans="1:35" ht="15.75" thickBot="1" x14ac:dyDescent="0.3">
      <c r="A116" s="115" t="s">
        <v>139</v>
      </c>
      <c r="B116" s="104">
        <v>68.2</v>
      </c>
      <c r="C116" s="104">
        <v>67.900000000000006</v>
      </c>
      <c r="D116" s="104">
        <v>67.5</v>
      </c>
      <c r="E116" s="104">
        <v>67.5</v>
      </c>
      <c r="F116" s="104">
        <v>67</v>
      </c>
      <c r="G116" s="104">
        <v>66.400000000000006</v>
      </c>
      <c r="H116" s="104">
        <v>66.599999999999994</v>
      </c>
      <c r="I116" s="104">
        <v>66</v>
      </c>
      <c r="J116" s="104">
        <v>65.5</v>
      </c>
      <c r="K116" s="104">
        <v>65.5</v>
      </c>
      <c r="L116" s="104">
        <v>65.2</v>
      </c>
      <c r="M116" s="104">
        <v>64.900000000000006</v>
      </c>
      <c r="N116" s="104">
        <v>64.900000000000006</v>
      </c>
      <c r="O116" s="104">
        <v>64.3</v>
      </c>
      <c r="P116" s="104">
        <v>65</v>
      </c>
      <c r="Q116" s="104">
        <v>64.599999999999994</v>
      </c>
      <c r="R116" s="104">
        <v>64.5</v>
      </c>
      <c r="S116" s="104">
        <v>64.5</v>
      </c>
      <c r="T116" s="104">
        <v>64.099999999999994</v>
      </c>
      <c r="U116" s="104">
        <v>63.6</v>
      </c>
      <c r="V116" s="104">
        <v>65.099999999999994</v>
      </c>
      <c r="W116" s="104">
        <v>64.8</v>
      </c>
      <c r="X116" s="104">
        <v>65.599999999999994</v>
      </c>
      <c r="Y116" s="104">
        <v>65.599999999999994</v>
      </c>
      <c r="Z116" s="104">
        <v>64.400000000000006</v>
      </c>
      <c r="AA116" s="104">
        <v>63.9</v>
      </c>
      <c r="AB116" s="104">
        <v>64.5</v>
      </c>
      <c r="AC116" s="104">
        <v>64.900000000000006</v>
      </c>
      <c r="AD116" s="104">
        <v>65.5</v>
      </c>
      <c r="AE116" s="104">
        <v>66.5</v>
      </c>
      <c r="AF116" s="104">
        <v>66.5</v>
      </c>
      <c r="AG116" s="120"/>
      <c r="AH116" s="48">
        <f t="shared" si="54"/>
        <v>68.2</v>
      </c>
      <c r="AI116" s="49">
        <f t="shared" si="55"/>
        <v>63.6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54"/>
        <v>0</v>
      </c>
      <c r="AI117" s="49">
        <f t="shared" si="55"/>
        <v>0</v>
      </c>
    </row>
    <row r="118" spans="1:35" ht="15.75" thickBot="1" x14ac:dyDescent="0.3">
      <c r="A118" s="122" t="s">
        <v>141</v>
      </c>
      <c r="B118" s="123">
        <f>SUM(B22,B28,B31:B32,B66,B68:B69,B71,B73,B119:B123,B155,B161,B167,B176,B178,B190,B197,B200:B201,B208,B210,B212,B216:B218,B220:B222,B227,B233:B234,B236:B238,B246,B251)</f>
        <v>97.839999999999975</v>
      </c>
      <c r="C118" s="123">
        <f>SUM(C22,C28,C31:C32,C66,C68:C69,C71,C73,C119:C123,C155,C161,C167,C176,C178,C190,C197,C200:C201,C208,C210,C212,C216:C218,C220:C222,C227,C233:C234,C236:C238,C246,C251)</f>
        <v>122.84</v>
      </c>
      <c r="D118" s="123">
        <f t="shared" ref="D118:O118" si="104">SUM(D22,D28,D31:D32,D66,D68:D69,D71,D73,D119:D123,D155,D161,D167,D176,D178,D190,D197,D200:D201,D208,D210,D212,D216:D218,D220:D222,D227,D233:D234,D236:D238,D246,D251)</f>
        <v>120.53999999999999</v>
      </c>
      <c r="E118" s="123">
        <f t="shared" si="104"/>
        <v>115.74</v>
      </c>
      <c r="F118" s="123">
        <f t="shared" si="104"/>
        <v>116.24</v>
      </c>
      <c r="G118" s="123">
        <f t="shared" si="104"/>
        <v>138.94</v>
      </c>
      <c r="H118" s="123">
        <f t="shared" si="104"/>
        <v>171.54</v>
      </c>
      <c r="I118" s="123">
        <f t="shared" si="104"/>
        <v>209.64</v>
      </c>
      <c r="J118" s="123">
        <f t="shared" si="104"/>
        <v>244.14</v>
      </c>
      <c r="K118" s="123">
        <f t="shared" si="104"/>
        <v>290.54000000000002</v>
      </c>
      <c r="L118" s="123">
        <f t="shared" si="104"/>
        <v>314.83999999999997</v>
      </c>
      <c r="M118" s="123">
        <f t="shared" si="104"/>
        <v>322.54000000000002</v>
      </c>
      <c r="N118" s="123">
        <f t="shared" si="104"/>
        <v>311.04000000000002</v>
      </c>
      <c r="O118" s="123">
        <f t="shared" si="104"/>
        <v>318.54000000000002</v>
      </c>
      <c r="P118" s="123">
        <v>42</v>
      </c>
      <c r="Q118" s="123">
        <f t="shared" ref="Q118:AF118" si="105">SUM(Q22,Q28,Q31:Q32,Q66,Q68:Q69,Q71,Q73,Q119:Q123,Q155,Q161,Q167,Q176,Q178,Q190,Q197,Q200:Q201,Q208,Q210,Q212,Q216:Q218,Q220:Q222,Q227,Q233:Q234,Q236:Q238,Q246,Q251)</f>
        <v>287.94</v>
      </c>
      <c r="R118" s="123">
        <f t="shared" si="105"/>
        <v>279.54000000000002</v>
      </c>
      <c r="S118" s="123">
        <f t="shared" ref="S118:T118" si="106">SUM(S22,S28,S31:S32,S66,S68:S69,S71,S73,S119:S123,S155,S161,S167,S176,S178,S190,S197,S200:S201,S208,S210,S212,S216:S218,S220:S222,S227,S233:S234,S236:S238,S246,S251)</f>
        <v>278.54000000000002</v>
      </c>
      <c r="T118" s="123">
        <f t="shared" si="106"/>
        <v>290.73999999999995</v>
      </c>
      <c r="U118" s="123">
        <f t="shared" ref="U118:V118" si="107">SUM(U22,U28,U31:U32,U66,U68:U69,U71,U73,U119:U123,U155,U161,U167,U176,U178,U190,U197,U200:U201,U208,U210,U212,U216:U218,U220:U222,U227,U233:U234,U236:U238,U246,U251)</f>
        <v>294.44</v>
      </c>
      <c r="V118" s="123">
        <f t="shared" si="107"/>
        <v>289.24</v>
      </c>
      <c r="W118" s="123">
        <f t="shared" si="105"/>
        <v>289.94</v>
      </c>
      <c r="X118" s="123">
        <f t="shared" ref="X118:Y118" si="108">SUM(X22,X28,X31:X32,X66,X68:X69,X71,X73,X119:X123,X155,X161,X167,X176,X178,X190,X197,X200:X201,X208,X210,X212,X216:X218,X220:X222,X227,X233:X234,X236:X238,X246,X251)</f>
        <v>298.94</v>
      </c>
      <c r="Y118" s="123">
        <f t="shared" si="108"/>
        <v>358.54</v>
      </c>
      <c r="Z118" s="123">
        <f t="shared" ref="Z118" si="109">SUM(Z20,Z26,Z37:Z38,Z66,Z68:Z69,Z71,Z73,Z119:Z123,Z148,Z154,Z160,Z169,Z171,Z183,Z190,Z193:Z194,Z201,Z203,Z205,Z209:Z211,Z213:Z215,Z220,Z226:Z227,Z229:Z231,Z239,Z244)</f>
        <v>367</v>
      </c>
      <c r="AA118" s="123">
        <f t="shared" si="105"/>
        <v>341.64000000000004</v>
      </c>
      <c r="AB118" s="123">
        <f t="shared" si="105"/>
        <v>309.94</v>
      </c>
      <c r="AC118" s="123">
        <f t="shared" si="105"/>
        <v>279.94</v>
      </c>
      <c r="AD118" s="123">
        <f t="shared" si="105"/>
        <v>251.94</v>
      </c>
      <c r="AE118" s="123">
        <f t="shared" si="105"/>
        <v>183.83999999999997</v>
      </c>
      <c r="AF118" s="123">
        <f t="shared" si="105"/>
        <v>143.24</v>
      </c>
      <c r="AG118" s="124"/>
      <c r="AH118" s="48">
        <f t="shared" si="54"/>
        <v>367</v>
      </c>
      <c r="AI118" s="49">
        <f t="shared" si="55"/>
        <v>42</v>
      </c>
    </row>
    <row r="119" spans="1:35" x14ac:dyDescent="0.25">
      <c r="A119" s="125" t="s">
        <v>142</v>
      </c>
      <c r="B119" s="126">
        <v>-12.4</v>
      </c>
      <c r="C119" s="126">
        <v>-1.7</v>
      </c>
      <c r="D119" s="126">
        <v>-18.399999999999999</v>
      </c>
      <c r="E119" s="126">
        <v>-18</v>
      </c>
      <c r="F119" s="126">
        <v>-18.600000000000001</v>
      </c>
      <c r="G119" s="126">
        <v>-22.7</v>
      </c>
      <c r="H119" s="126">
        <v>-7.1</v>
      </c>
      <c r="I119" s="126">
        <v>-4.7</v>
      </c>
      <c r="J119" s="126">
        <v>8</v>
      </c>
      <c r="K119" s="126">
        <v>26.4</v>
      </c>
      <c r="L119" s="126">
        <v>28.4</v>
      </c>
      <c r="M119" s="126">
        <v>26.5</v>
      </c>
      <c r="N119" s="126">
        <v>38.700000000000003</v>
      </c>
      <c r="O119" s="126">
        <v>27.7</v>
      </c>
      <c r="P119" s="126">
        <v>27.7</v>
      </c>
      <c r="Q119" s="126">
        <v>13</v>
      </c>
      <c r="R119" s="126">
        <v>14.8</v>
      </c>
      <c r="S119" s="126">
        <v>11.4</v>
      </c>
      <c r="T119" s="126">
        <v>10.1</v>
      </c>
      <c r="U119" s="126">
        <v>12.2</v>
      </c>
      <c r="V119" s="126">
        <v>9.9</v>
      </c>
      <c r="W119" s="126">
        <v>9.1</v>
      </c>
      <c r="X119" s="126">
        <v>9.3000000000000007</v>
      </c>
      <c r="Y119" s="126">
        <v>28.3</v>
      </c>
      <c r="Z119" s="126">
        <v>34.5</v>
      </c>
      <c r="AA119" s="126">
        <v>38.700000000000003</v>
      </c>
      <c r="AB119" s="126">
        <v>39.299999999999997</v>
      </c>
      <c r="AC119" s="126">
        <v>31.9</v>
      </c>
      <c r="AD119" s="126">
        <v>32.700000000000003</v>
      </c>
      <c r="AE119" s="126">
        <v>9.5</v>
      </c>
      <c r="AF119" s="126">
        <v>1.4</v>
      </c>
      <c r="AG119" s="127">
        <v>75</v>
      </c>
      <c r="AH119" s="48">
        <f t="shared" si="54"/>
        <v>39.299999999999997</v>
      </c>
      <c r="AI119" s="49">
        <f t="shared" si="55"/>
        <v>-22.7</v>
      </c>
    </row>
    <row r="120" spans="1:35" x14ac:dyDescent="0.25">
      <c r="A120" s="128" t="s">
        <v>143</v>
      </c>
      <c r="B120" s="129">
        <v>-23.5</v>
      </c>
      <c r="C120" s="129">
        <v>-6.8</v>
      </c>
      <c r="D120" s="129">
        <v>-30.1</v>
      </c>
      <c r="E120" s="129">
        <v>-29.3</v>
      </c>
      <c r="F120" s="129">
        <v>-28.7</v>
      </c>
      <c r="G120" s="129">
        <v>-35.6</v>
      </c>
      <c r="H120" s="129">
        <v>-15.9</v>
      </c>
      <c r="I120" s="129">
        <v>-12.3</v>
      </c>
      <c r="J120" s="129">
        <v>3.1</v>
      </c>
      <c r="K120" s="129">
        <v>29</v>
      </c>
      <c r="L120" s="129">
        <v>31</v>
      </c>
      <c r="M120" s="129">
        <v>31.8</v>
      </c>
      <c r="N120" s="129">
        <v>47.7</v>
      </c>
      <c r="O120" s="129">
        <v>33.200000000000003</v>
      </c>
      <c r="P120" s="129">
        <v>33.200000000000003</v>
      </c>
      <c r="Q120" s="129">
        <v>11.8</v>
      </c>
      <c r="R120" s="129">
        <v>13.1</v>
      </c>
      <c r="S120" s="129">
        <v>10.3</v>
      </c>
      <c r="T120" s="129">
        <v>10.7</v>
      </c>
      <c r="U120" s="129">
        <v>10.9</v>
      </c>
      <c r="V120" s="129">
        <v>15.3</v>
      </c>
      <c r="W120" s="129">
        <v>14.2</v>
      </c>
      <c r="X120" s="129">
        <v>15.6</v>
      </c>
      <c r="Y120" s="129">
        <v>41.1</v>
      </c>
      <c r="Z120" s="129">
        <v>50.3</v>
      </c>
      <c r="AA120" s="129">
        <v>56.4</v>
      </c>
      <c r="AB120" s="129">
        <v>58.3</v>
      </c>
      <c r="AC120" s="129">
        <v>45.8</v>
      </c>
      <c r="AD120" s="129">
        <v>44.7</v>
      </c>
      <c r="AE120" s="129">
        <v>15.7</v>
      </c>
      <c r="AF120" s="129">
        <v>6.7</v>
      </c>
      <c r="AG120" s="127">
        <v>240</v>
      </c>
      <c r="AH120" s="48">
        <f t="shared" si="54"/>
        <v>58.3</v>
      </c>
      <c r="AI120" s="49">
        <f t="shared" si="55"/>
        <v>-35.6</v>
      </c>
    </row>
    <row r="121" spans="1:35" x14ac:dyDescent="0.25">
      <c r="A121" s="128" t="s">
        <v>144</v>
      </c>
      <c r="B121" s="129">
        <v>-34</v>
      </c>
      <c r="C121" s="129">
        <v>-20</v>
      </c>
      <c r="D121" s="129">
        <v>-6.4</v>
      </c>
      <c r="E121" s="129">
        <v>-9.1999999999999993</v>
      </c>
      <c r="F121" s="129">
        <v>-8.6</v>
      </c>
      <c r="G121" s="129">
        <v>0.9</v>
      </c>
      <c r="H121" s="129">
        <v>0</v>
      </c>
      <c r="I121" s="129">
        <v>11.4</v>
      </c>
      <c r="J121" s="129">
        <v>16.399999999999999</v>
      </c>
      <c r="K121" s="129">
        <v>24.2</v>
      </c>
      <c r="L121" s="129">
        <v>34</v>
      </c>
      <c r="M121" s="129">
        <f>16.4+19</f>
        <v>35.4</v>
      </c>
      <c r="N121" s="129">
        <f>11+12.8</f>
        <v>23.8</v>
      </c>
      <c r="O121" s="129">
        <f>16+17</f>
        <v>33</v>
      </c>
      <c r="P121" s="129">
        <f>16+17</f>
        <v>33</v>
      </c>
      <c r="Q121" s="129">
        <f>13.8+15.6</f>
        <v>29.4</v>
      </c>
      <c r="R121" s="129">
        <f>12.6+14.9</f>
        <v>27.5</v>
      </c>
      <c r="S121" s="129">
        <v>29</v>
      </c>
      <c r="T121" s="129">
        <v>33</v>
      </c>
      <c r="U121" s="129">
        <v>30.5</v>
      </c>
      <c r="V121" s="129">
        <v>30</v>
      </c>
      <c r="W121" s="129">
        <v>31.3</v>
      </c>
      <c r="X121" s="129">
        <v>21.5</v>
      </c>
      <c r="Y121" s="129">
        <v>31</v>
      </c>
      <c r="Z121" s="129">
        <v>-5</v>
      </c>
      <c r="AA121" s="129">
        <v>-0.2</v>
      </c>
      <c r="AB121" s="129">
        <v>-12.6</v>
      </c>
      <c r="AC121" s="129">
        <v>-14.8</v>
      </c>
      <c r="AD121" s="129">
        <v>-25</v>
      </c>
      <c r="AE121" s="129">
        <v>-25</v>
      </c>
      <c r="AF121" s="129">
        <v>-37.799999999999997</v>
      </c>
      <c r="AG121" s="127">
        <v>240</v>
      </c>
      <c r="AH121" s="48">
        <f t="shared" si="54"/>
        <v>35.4</v>
      </c>
      <c r="AI121" s="49">
        <f t="shared" si="55"/>
        <v>-37.799999999999997</v>
      </c>
    </row>
    <row r="122" spans="1:35" ht="15.75" thickBot="1" x14ac:dyDescent="0.3">
      <c r="A122" s="128" t="s">
        <v>145</v>
      </c>
      <c r="B122" s="129">
        <v>13.9</v>
      </c>
      <c r="C122" s="129">
        <v>-10.4</v>
      </c>
      <c r="D122" s="129">
        <v>-2.5</v>
      </c>
      <c r="E122" s="129">
        <v>-9.5</v>
      </c>
      <c r="F122" s="129">
        <v>-10.199999999999999</v>
      </c>
      <c r="G122" s="129">
        <v>-6.9</v>
      </c>
      <c r="H122" s="129">
        <v>-2</v>
      </c>
      <c r="I122" s="129">
        <v>4.7</v>
      </c>
      <c r="J122" s="129">
        <v>5.3</v>
      </c>
      <c r="K122" s="129">
        <v>16.899999999999999</v>
      </c>
      <c r="L122" s="129">
        <v>19.2</v>
      </c>
      <c r="M122" s="129">
        <v>19.899999999999999</v>
      </c>
      <c r="N122" s="129">
        <v>16.399999999999999</v>
      </c>
      <c r="O122" s="129">
        <v>9.5</v>
      </c>
      <c r="P122" s="129">
        <v>9.5</v>
      </c>
      <c r="Q122" s="129">
        <v>5.7</v>
      </c>
      <c r="R122" s="129">
        <v>5.8</v>
      </c>
      <c r="S122" s="129">
        <v>9</v>
      </c>
      <c r="T122" s="129">
        <v>9.3000000000000007</v>
      </c>
      <c r="U122" s="129">
        <v>4.3</v>
      </c>
      <c r="V122" s="129">
        <v>12.2</v>
      </c>
      <c r="W122" s="129">
        <v>10.199999999999999</v>
      </c>
      <c r="X122" s="129">
        <v>38.5</v>
      </c>
      <c r="Y122" s="129">
        <v>49.2</v>
      </c>
      <c r="Z122" s="129">
        <v>40.6</v>
      </c>
      <c r="AA122" s="129">
        <v>20.3</v>
      </c>
      <c r="AB122" s="129">
        <v>7.9</v>
      </c>
      <c r="AC122" s="129">
        <v>1.8</v>
      </c>
      <c r="AD122" s="129">
        <v>2.2000000000000002</v>
      </c>
      <c r="AE122" s="129">
        <v>-1.3</v>
      </c>
      <c r="AF122" s="129">
        <v>-9.4</v>
      </c>
      <c r="AG122" s="127">
        <v>60</v>
      </c>
      <c r="AH122" s="48">
        <f t="shared" si="54"/>
        <v>49.2</v>
      </c>
      <c r="AI122" s="49">
        <f t="shared" si="55"/>
        <v>-10.4</v>
      </c>
    </row>
    <row r="123" spans="1:35" x14ac:dyDescent="0.25">
      <c r="A123" s="125" t="s">
        <v>146</v>
      </c>
      <c r="B123" s="130">
        <v>64.8</v>
      </c>
      <c r="C123" s="130">
        <v>71.7</v>
      </c>
      <c r="D123" s="130">
        <v>87.9</v>
      </c>
      <c r="E123" s="130">
        <v>91.7</v>
      </c>
      <c r="F123" s="130">
        <v>92.3</v>
      </c>
      <c r="G123" s="130">
        <v>113.2</v>
      </c>
      <c r="H123" s="130">
        <v>104.5</v>
      </c>
      <c r="I123" s="130">
        <v>119.8</v>
      </c>
      <c r="J123" s="130">
        <v>120.3</v>
      </c>
      <c r="K123" s="130">
        <v>103</v>
      </c>
      <c r="L123" s="130">
        <v>111.2</v>
      </c>
      <c r="M123" s="130">
        <v>117</v>
      </c>
      <c r="N123" s="130">
        <v>90.9</v>
      </c>
      <c r="O123" s="130">
        <v>121.6</v>
      </c>
      <c r="P123" s="130">
        <v>122</v>
      </c>
      <c r="Q123" s="130">
        <v>130.1</v>
      </c>
      <c r="R123" s="130">
        <v>124.1</v>
      </c>
      <c r="S123" s="130">
        <v>127.5</v>
      </c>
      <c r="T123" s="130">
        <v>137.1</v>
      </c>
      <c r="U123" s="130">
        <v>147.1</v>
      </c>
      <c r="V123" s="130">
        <v>133</v>
      </c>
      <c r="W123" s="130">
        <f>137.9</f>
        <v>137.9</v>
      </c>
      <c r="X123" s="130">
        <v>127.4</v>
      </c>
      <c r="Y123" s="130">
        <v>122.3</v>
      </c>
      <c r="Z123" s="130">
        <v>148.80000000000001</v>
      </c>
      <c r="AA123" s="130">
        <v>140.9</v>
      </c>
      <c r="AB123" s="130">
        <v>131.9</v>
      </c>
      <c r="AC123" s="130">
        <v>129.1</v>
      </c>
      <c r="AD123" s="130">
        <v>111.2</v>
      </c>
      <c r="AE123" s="130">
        <v>98.8</v>
      </c>
      <c r="AF123" s="130">
        <v>96.2</v>
      </c>
      <c r="AG123" s="131">
        <v>120</v>
      </c>
      <c r="AH123" s="48">
        <f t="shared" si="54"/>
        <v>148.80000000000001</v>
      </c>
      <c r="AI123" s="49">
        <f t="shared" si="55"/>
        <v>64.8</v>
      </c>
    </row>
    <row r="124" spans="1:35" x14ac:dyDescent="0.25">
      <c r="A124" s="128" t="s">
        <v>147</v>
      </c>
      <c r="B124" s="130">
        <v>56.9</v>
      </c>
      <c r="C124" s="130">
        <v>60.3</v>
      </c>
      <c r="D124" s="130">
        <v>68.099999999999994</v>
      </c>
      <c r="E124" s="130">
        <v>69.900000000000006</v>
      </c>
      <c r="F124" s="130">
        <v>70.5</v>
      </c>
      <c r="G124" s="130">
        <v>79.7</v>
      </c>
      <c r="H124" s="130">
        <v>75.099999999999994</v>
      </c>
      <c r="I124" s="130">
        <v>82</v>
      </c>
      <c r="J124" s="130">
        <v>83.5</v>
      </c>
      <c r="K124" s="130">
        <v>74.099999999999994</v>
      </c>
      <c r="L124" s="130">
        <v>78.900000000000006</v>
      </c>
      <c r="M124" s="130">
        <v>80.099999999999994</v>
      </c>
      <c r="N124" s="130">
        <v>67.5</v>
      </c>
      <c r="O124" s="130">
        <v>82.5</v>
      </c>
      <c r="P124" s="130">
        <v>84</v>
      </c>
      <c r="Q124" s="130">
        <v>86.5</v>
      </c>
      <c r="R124" s="130">
        <v>85.4</v>
      </c>
      <c r="S124" s="130">
        <v>79.900000000000006</v>
      </c>
      <c r="T124" s="130">
        <v>83.6</v>
      </c>
      <c r="U124" s="130">
        <v>88.7</v>
      </c>
      <c r="V124" s="130">
        <v>82.2</v>
      </c>
      <c r="W124" s="130">
        <v>90</v>
      </c>
      <c r="X124" s="130">
        <v>79.900000000000006</v>
      </c>
      <c r="Y124" s="130">
        <v>76.599999999999994</v>
      </c>
      <c r="Z124" s="130">
        <v>93.2</v>
      </c>
      <c r="AA124" s="130">
        <v>90.1</v>
      </c>
      <c r="AB124" s="130">
        <v>87.6</v>
      </c>
      <c r="AC124" s="130">
        <v>86.7</v>
      </c>
      <c r="AD124" s="130">
        <v>78.099999999999994</v>
      </c>
      <c r="AE124" s="130">
        <v>74.2</v>
      </c>
      <c r="AF124" s="130">
        <v>73.8</v>
      </c>
      <c r="AG124" s="131"/>
      <c r="AH124" s="48">
        <f t="shared" si="54"/>
        <v>93.2</v>
      </c>
      <c r="AI124" s="49">
        <f t="shared" si="55"/>
        <v>56.9</v>
      </c>
    </row>
    <row r="125" spans="1:35" x14ac:dyDescent="0.25">
      <c r="A125" s="128" t="s">
        <v>148</v>
      </c>
      <c r="B125" s="130">
        <v>40</v>
      </c>
      <c r="C125" s="130">
        <v>43.6</v>
      </c>
      <c r="D125" s="130">
        <v>63.1</v>
      </c>
      <c r="E125" s="130">
        <v>66.5</v>
      </c>
      <c r="F125" s="130">
        <v>66.7</v>
      </c>
      <c r="G125" s="130">
        <v>70.599999999999994</v>
      </c>
      <c r="H125" s="130">
        <v>48.1</v>
      </c>
      <c r="I125" s="130">
        <v>40.5</v>
      </c>
      <c r="J125" s="130">
        <v>21.2</v>
      </c>
      <c r="K125" s="130">
        <v>-15.2</v>
      </c>
      <c r="L125" s="130">
        <v>-22.8</v>
      </c>
      <c r="M125" s="130">
        <v>-19.399999999999999</v>
      </c>
      <c r="N125" s="130">
        <v>-31.5</v>
      </c>
      <c r="O125" s="130">
        <v>-8.1</v>
      </c>
      <c r="P125" s="130">
        <v>15</v>
      </c>
      <c r="Q125" s="130">
        <v>22.5</v>
      </c>
      <c r="R125" s="130">
        <v>20.100000000000001</v>
      </c>
      <c r="S125" s="130">
        <v>22</v>
      </c>
      <c r="T125" s="130">
        <v>17.600000000000001</v>
      </c>
      <c r="U125" s="130">
        <v>21.4</v>
      </c>
      <c r="V125" s="130">
        <v>9.1999999999999993</v>
      </c>
      <c r="W125" s="130">
        <v>9.6999999999999993</v>
      </c>
      <c r="X125" s="130">
        <v>5.3</v>
      </c>
      <c r="Y125" s="130">
        <v>-31.4</v>
      </c>
      <c r="Z125" s="130">
        <v>-25.7</v>
      </c>
      <c r="AA125" s="130">
        <v>-25.6</v>
      </c>
      <c r="AB125" s="130">
        <v>-13.1</v>
      </c>
      <c r="AC125" s="130">
        <v>1.5</v>
      </c>
      <c r="AD125" s="130">
        <v>5.3</v>
      </c>
      <c r="AE125" s="130">
        <v>32.9</v>
      </c>
      <c r="AF125" s="130">
        <v>47.2</v>
      </c>
      <c r="AG125" s="131"/>
      <c r="AH125" s="48">
        <f t="shared" si="54"/>
        <v>70.599999999999994</v>
      </c>
      <c r="AI125" s="49">
        <f t="shared" si="55"/>
        <v>-31.5</v>
      </c>
    </row>
    <row r="126" spans="1:35" ht="15.75" thickBot="1" x14ac:dyDescent="0.3">
      <c r="A126" s="128" t="s">
        <v>149</v>
      </c>
      <c r="B126" s="130">
        <v>54.7</v>
      </c>
      <c r="C126" s="130">
        <v>61.2</v>
      </c>
      <c r="D126" s="130">
        <v>74.5</v>
      </c>
      <c r="E126" s="130">
        <v>73.900000000000006</v>
      </c>
      <c r="F126" s="130">
        <v>75.599999999999994</v>
      </c>
      <c r="G126" s="130">
        <v>91.2</v>
      </c>
      <c r="H126" s="130">
        <v>78.599999999999994</v>
      </c>
      <c r="I126" s="130">
        <v>86.9</v>
      </c>
      <c r="J126" s="130">
        <v>82.2</v>
      </c>
      <c r="K126" s="130">
        <v>66.099999999999994</v>
      </c>
      <c r="L126" s="130">
        <v>66.400000000000006</v>
      </c>
      <c r="M126" s="130">
        <v>68.5</v>
      </c>
      <c r="N126" s="130">
        <v>54.3</v>
      </c>
      <c r="O126" s="130">
        <v>81.599999999999994</v>
      </c>
      <c r="P126" s="130">
        <v>88</v>
      </c>
      <c r="Q126" s="130">
        <v>92.6</v>
      </c>
      <c r="R126" s="130">
        <v>87.4</v>
      </c>
      <c r="S126" s="130">
        <v>86</v>
      </c>
      <c r="T126" s="130">
        <v>89.5</v>
      </c>
      <c r="U126" s="130">
        <v>89.4</v>
      </c>
      <c r="V126" s="130">
        <v>82.9</v>
      </c>
      <c r="W126" s="130">
        <v>88.8</v>
      </c>
      <c r="X126" s="130">
        <v>89.2</v>
      </c>
      <c r="Y126" s="130">
        <v>80.599999999999994</v>
      </c>
      <c r="Z126" s="130">
        <v>93.3</v>
      </c>
      <c r="AA126" s="130">
        <v>87.8</v>
      </c>
      <c r="AB126" s="130">
        <v>93.5</v>
      </c>
      <c r="AC126" s="130">
        <v>98.2</v>
      </c>
      <c r="AD126" s="130">
        <v>93.1</v>
      </c>
      <c r="AE126" s="130">
        <v>89.3</v>
      </c>
      <c r="AF126" s="130">
        <v>93.1</v>
      </c>
      <c r="AG126" s="127"/>
      <c r="AH126" s="48">
        <f>MAX(B126:AF126)</f>
        <v>98.2</v>
      </c>
      <c r="AI126" s="49">
        <f>MIN(B126:AF126)</f>
        <v>54.3</v>
      </c>
    </row>
    <row r="127" spans="1:35" x14ac:dyDescent="0.25">
      <c r="A127" s="125" t="s">
        <v>305</v>
      </c>
      <c r="B127" s="130">
        <v>-11.8</v>
      </c>
      <c r="C127" s="130">
        <v>-19.8</v>
      </c>
      <c r="D127" s="130">
        <v>6.4</v>
      </c>
      <c r="E127" s="130">
        <v>7.4</v>
      </c>
      <c r="F127" s="130">
        <v>7.6</v>
      </c>
      <c r="G127" s="130">
        <v>17.2</v>
      </c>
      <c r="H127" s="130">
        <v>12.4</v>
      </c>
      <c r="I127" s="130">
        <v>-4.4000000000000004</v>
      </c>
      <c r="J127" s="130">
        <v>0</v>
      </c>
      <c r="K127" s="130">
        <v>-21.8</v>
      </c>
      <c r="L127" s="130">
        <v>-35.6</v>
      </c>
      <c r="M127" s="130">
        <v>-108</v>
      </c>
      <c r="N127" s="130">
        <v>-21.1</v>
      </c>
      <c r="O127" s="130">
        <v>17.3</v>
      </c>
      <c r="P127" s="130">
        <v>17.3</v>
      </c>
      <c r="Q127" s="130">
        <v>30.8</v>
      </c>
      <c r="R127" s="130">
        <v>26.8</v>
      </c>
      <c r="S127" s="130">
        <v>26.8</v>
      </c>
      <c r="T127" s="130">
        <v>12.1</v>
      </c>
      <c r="U127" s="130">
        <v>1.8</v>
      </c>
      <c r="V127" s="130">
        <v>4.5999999999999996</v>
      </c>
      <c r="W127" s="130">
        <f>17.6</f>
        <v>17.600000000000001</v>
      </c>
      <c r="X127" s="130">
        <v>0</v>
      </c>
      <c r="Y127" s="130">
        <v>-26.8</v>
      </c>
      <c r="Z127" s="130">
        <v>-114.7</v>
      </c>
      <c r="AA127" s="130">
        <v>-101.5</v>
      </c>
      <c r="AB127" s="130">
        <v>-89</v>
      </c>
      <c r="AC127" s="130">
        <v>-59.2</v>
      </c>
      <c r="AD127" s="130">
        <v>-17.7</v>
      </c>
      <c r="AE127" s="130">
        <v>6.7</v>
      </c>
      <c r="AF127" s="130">
        <v>3</v>
      </c>
      <c r="AG127" s="127"/>
      <c r="AH127" s="48">
        <f>MAX(B127:AF127)</f>
        <v>30.8</v>
      </c>
      <c r="AI127" s="49">
        <f>MIN(B127:AF127)</f>
        <v>-114.7</v>
      </c>
    </row>
    <row r="128" spans="1:35" x14ac:dyDescent="0.25">
      <c r="A128" s="128" t="s">
        <v>151</v>
      </c>
      <c r="B128" s="118">
        <v>42.4</v>
      </c>
      <c r="C128" s="118">
        <v>36.4</v>
      </c>
      <c r="D128" s="118">
        <v>30.4</v>
      </c>
      <c r="E128" s="118">
        <v>34.4</v>
      </c>
      <c r="F128" s="118">
        <v>45.3</v>
      </c>
      <c r="G128" s="118">
        <v>37.799999999999997</v>
      </c>
      <c r="H128" s="118">
        <v>24.6</v>
      </c>
      <c r="I128" s="118">
        <v>16.600000000000001</v>
      </c>
      <c r="J128" s="118">
        <v>13.2</v>
      </c>
      <c r="K128" s="118">
        <v>15.7</v>
      </c>
      <c r="L128" s="118">
        <v>8.9</v>
      </c>
      <c r="M128" s="118">
        <v>8</v>
      </c>
      <c r="N128" s="118">
        <v>7.4</v>
      </c>
      <c r="O128" s="118">
        <v>12.8</v>
      </c>
      <c r="P128" s="118">
        <v>13</v>
      </c>
      <c r="Q128" s="118">
        <v>4.7</v>
      </c>
      <c r="R128" s="118">
        <v>5.3</v>
      </c>
      <c r="S128" s="118">
        <v>29.4</v>
      </c>
      <c r="T128" s="118">
        <v>0.6</v>
      </c>
      <c r="U128" s="118">
        <v>-48.4</v>
      </c>
      <c r="V128" s="118">
        <v>-2.7</v>
      </c>
      <c r="W128" s="118">
        <v>-10.9</v>
      </c>
      <c r="X128" s="118">
        <v>-21.7</v>
      </c>
      <c r="Y128" s="118">
        <v>-25</v>
      </c>
      <c r="Z128" s="118">
        <v>-22.6</v>
      </c>
      <c r="AA128" s="118">
        <v>-18.7</v>
      </c>
      <c r="AB128" s="118">
        <v>-9.6999999999999993</v>
      </c>
      <c r="AC128" s="118">
        <v>-5.7</v>
      </c>
      <c r="AD128" s="118">
        <v>-0.3</v>
      </c>
      <c r="AE128" s="118">
        <v>14.7</v>
      </c>
      <c r="AF128" s="118">
        <v>20.3</v>
      </c>
      <c r="AG128" s="127"/>
      <c r="AH128" s="48">
        <f>MAX(B128:AF128)</f>
        <v>45.3</v>
      </c>
      <c r="AI128" s="49">
        <f>MIN(B128:AF128)</f>
        <v>-48.4</v>
      </c>
    </row>
    <row r="129" spans="1:37" x14ac:dyDescent="0.25">
      <c r="A129" s="128" t="s">
        <v>306</v>
      </c>
      <c r="B129" s="118">
        <v>51.4</v>
      </c>
      <c r="C129" s="118">
        <v>48.8</v>
      </c>
      <c r="D129" s="118">
        <v>45.4</v>
      </c>
      <c r="E129" s="118">
        <v>43.7</v>
      </c>
      <c r="F129" s="118">
        <v>39.9</v>
      </c>
      <c r="G129" s="118">
        <v>41.1</v>
      </c>
      <c r="H129" s="118">
        <v>54.4</v>
      </c>
      <c r="I129" s="118">
        <v>52.8</v>
      </c>
      <c r="J129" s="118">
        <v>55.1</v>
      </c>
      <c r="K129" s="118">
        <v>42</v>
      </c>
      <c r="L129" s="118">
        <v>53.1</v>
      </c>
      <c r="M129" s="118">
        <v>57.3</v>
      </c>
      <c r="N129" s="118">
        <v>58</v>
      </c>
      <c r="O129" s="118">
        <v>58.6</v>
      </c>
      <c r="P129" s="118">
        <v>58</v>
      </c>
      <c r="Q129" s="118">
        <v>53.3</v>
      </c>
      <c r="R129" s="118">
        <v>48</v>
      </c>
      <c r="S129" s="118">
        <v>49.2</v>
      </c>
      <c r="T129" s="118">
        <v>58</v>
      </c>
      <c r="U129" s="118">
        <v>86</v>
      </c>
      <c r="V129" s="118">
        <v>64.599999999999994</v>
      </c>
      <c r="W129" s="118">
        <v>70.3</v>
      </c>
      <c r="X129" s="118">
        <v>77.900000000000006</v>
      </c>
      <c r="Y129" s="118">
        <v>95</v>
      </c>
      <c r="Z129" s="118">
        <v>96.8</v>
      </c>
      <c r="AA129" s="118">
        <v>92.6</v>
      </c>
      <c r="AB129" s="118">
        <v>82.7</v>
      </c>
      <c r="AC129" s="118">
        <v>84</v>
      </c>
      <c r="AD129" s="118">
        <v>81.900000000000006</v>
      </c>
      <c r="AE129" s="118">
        <v>50.5</v>
      </c>
      <c r="AF129" s="118">
        <v>44.9</v>
      </c>
      <c r="AG129" s="127"/>
      <c r="AH129" s="48">
        <f>MAX(B129:AF129)</f>
        <v>96.8</v>
      </c>
      <c r="AI129" s="49">
        <f>MIN(B129:AF129)</f>
        <v>39.9</v>
      </c>
    </row>
    <row r="130" spans="1:37" ht="15.75" thickBot="1" x14ac:dyDescent="0.3">
      <c r="A130" s="128" t="s">
        <v>153</v>
      </c>
      <c r="B130" s="118">
        <v>57.4</v>
      </c>
      <c r="C130" s="118">
        <v>57.4</v>
      </c>
      <c r="D130" s="118">
        <v>53.7</v>
      </c>
      <c r="E130" s="118">
        <v>58.7</v>
      </c>
      <c r="F130" s="118">
        <v>49.8</v>
      </c>
      <c r="G130" s="118">
        <v>50.7</v>
      </c>
      <c r="H130" s="118">
        <v>60.4</v>
      </c>
      <c r="I130" s="118">
        <v>59.2</v>
      </c>
      <c r="J130" s="118">
        <v>65.900000000000006</v>
      </c>
      <c r="K130" s="118">
        <v>59.7</v>
      </c>
      <c r="L130" s="118">
        <v>70.900000000000006</v>
      </c>
      <c r="M130" s="118">
        <v>72.3</v>
      </c>
      <c r="N130" s="118">
        <v>77.400000000000006</v>
      </c>
      <c r="O130" s="118">
        <v>71.599999999999994</v>
      </c>
      <c r="P130" s="118">
        <v>72.599999999999994</v>
      </c>
      <c r="Q130" s="118">
        <v>69.5</v>
      </c>
      <c r="R130" s="118">
        <v>62.5</v>
      </c>
      <c r="S130" s="118">
        <v>66.400000000000006</v>
      </c>
      <c r="T130" s="118">
        <v>71</v>
      </c>
      <c r="U130" s="118">
        <v>100.2</v>
      </c>
      <c r="V130" s="118">
        <v>77.2</v>
      </c>
      <c r="W130" s="118">
        <v>80.8</v>
      </c>
      <c r="X130" s="118">
        <v>84.6</v>
      </c>
      <c r="Y130" s="118">
        <v>104.5</v>
      </c>
      <c r="Z130" s="118">
        <v>106.3</v>
      </c>
      <c r="AA130" s="118">
        <v>97.6</v>
      </c>
      <c r="AB130" s="118">
        <v>92.2</v>
      </c>
      <c r="AC130" s="118">
        <v>91.5</v>
      </c>
      <c r="AD130" s="118">
        <v>89.8</v>
      </c>
      <c r="AE130" s="118">
        <v>69.400000000000006</v>
      </c>
      <c r="AF130" s="118">
        <v>59.7</v>
      </c>
      <c r="AG130" s="127"/>
      <c r="AH130" s="48">
        <f>MAX(B130:AF130)</f>
        <v>106.3</v>
      </c>
      <c r="AI130" s="49">
        <f>MIN(B130:AF130)</f>
        <v>49.8</v>
      </c>
    </row>
    <row r="131" spans="1:37" x14ac:dyDescent="0.25">
      <c r="A131" s="132" t="s">
        <v>154</v>
      </c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0"/>
      <c r="N131" s="130"/>
      <c r="O131" s="130"/>
      <c r="P131" s="130"/>
      <c r="Q131" s="130"/>
      <c r="R131" s="130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4"/>
      <c r="AG131" s="44"/>
      <c r="AH131" s="48"/>
      <c r="AI131" s="49"/>
    </row>
    <row r="132" spans="1:37" ht="16.5" x14ac:dyDescent="0.25">
      <c r="A132" s="135" t="s">
        <v>155</v>
      </c>
      <c r="B132" s="193">
        <v>1982.7</v>
      </c>
      <c r="C132" s="193">
        <v>1982.9</v>
      </c>
      <c r="D132" s="193">
        <v>1983.1</v>
      </c>
      <c r="E132" s="193">
        <v>1983.4</v>
      </c>
      <c r="F132" s="193">
        <v>1983.65</v>
      </c>
      <c r="G132" s="193">
        <v>1983.9</v>
      </c>
      <c r="H132" s="193"/>
      <c r="I132" s="193">
        <v>1984.12</v>
      </c>
      <c r="J132" s="193"/>
      <c r="K132" s="193">
        <v>1984.15</v>
      </c>
      <c r="L132" s="193"/>
      <c r="M132" s="130">
        <v>1984.4</v>
      </c>
      <c r="N132" s="130">
        <v>1983.8</v>
      </c>
      <c r="O132" s="130">
        <v>1983.8</v>
      </c>
      <c r="P132" s="130">
        <v>1983.95</v>
      </c>
      <c r="Q132" s="130">
        <v>1984.2</v>
      </c>
      <c r="R132" s="130">
        <v>1984.37</v>
      </c>
      <c r="S132" s="136">
        <v>1984.58</v>
      </c>
      <c r="T132" s="136">
        <v>1984.7</v>
      </c>
      <c r="U132" s="136">
        <v>1984.79</v>
      </c>
      <c r="V132" s="136">
        <v>1984.75</v>
      </c>
      <c r="W132" s="136"/>
      <c r="X132" s="136">
        <v>1984.78</v>
      </c>
      <c r="Y132" s="136"/>
      <c r="Z132" s="136">
        <v>1984.6</v>
      </c>
      <c r="AA132" s="136"/>
      <c r="AB132" s="136">
        <v>1983.93</v>
      </c>
      <c r="AC132" s="136"/>
      <c r="AD132" s="136">
        <v>1983.42</v>
      </c>
      <c r="AE132" s="136">
        <v>1983.45</v>
      </c>
      <c r="AF132" s="137">
        <v>1983.66</v>
      </c>
      <c r="AG132" s="138"/>
      <c r="AH132" s="48"/>
      <c r="AI132" s="49"/>
    </row>
    <row r="133" spans="1:37" ht="16.5" x14ac:dyDescent="0.25">
      <c r="A133" s="135" t="s">
        <v>156</v>
      </c>
      <c r="B133" s="194">
        <v>518.79999999999995</v>
      </c>
      <c r="C133" s="194">
        <v>518.84</v>
      </c>
      <c r="D133" s="194">
        <v>519.17999999999995</v>
      </c>
      <c r="E133" s="194">
        <v>519.72</v>
      </c>
      <c r="F133" s="194">
        <v>520.20000000000005</v>
      </c>
      <c r="G133" s="194">
        <v>520.6</v>
      </c>
      <c r="H133" s="194"/>
      <c r="I133" s="194">
        <v>520.88</v>
      </c>
      <c r="J133" s="194"/>
      <c r="K133" s="194">
        <v>521.08000000000004</v>
      </c>
      <c r="L133" s="194"/>
      <c r="M133" s="130">
        <v>521.36</v>
      </c>
      <c r="N133" s="130">
        <v>521.4</v>
      </c>
      <c r="O133" s="130">
        <v>521.58000000000004</v>
      </c>
      <c r="P133" s="130">
        <v>521.75</v>
      </c>
      <c r="Q133" s="130">
        <v>521.87</v>
      </c>
      <c r="R133" s="130">
        <v>522.05999999999995</v>
      </c>
      <c r="S133" s="139">
        <v>522.24</v>
      </c>
      <c r="T133" s="139">
        <v>522.38</v>
      </c>
      <c r="U133" s="139">
        <v>522.48</v>
      </c>
      <c r="V133" s="139">
        <v>522.58000000000004</v>
      </c>
      <c r="W133" s="139"/>
      <c r="X133" s="139">
        <v>522.61</v>
      </c>
      <c r="Y133" s="139"/>
      <c r="Z133" s="139">
        <v>522.36</v>
      </c>
      <c r="AA133" s="139"/>
      <c r="AB133" s="139">
        <v>521.82000000000005</v>
      </c>
      <c r="AC133" s="139"/>
      <c r="AD133" s="139">
        <v>521.32000000000005</v>
      </c>
      <c r="AE133" s="139">
        <v>520.86</v>
      </c>
      <c r="AF133" s="140">
        <v>520.74</v>
      </c>
      <c r="AG133" s="138"/>
      <c r="AH133" s="48"/>
      <c r="AI133" s="49"/>
    </row>
    <row r="134" spans="1:37" ht="16.5" x14ac:dyDescent="0.25">
      <c r="A134" s="135" t="s">
        <v>158</v>
      </c>
      <c r="B134" s="194">
        <v>622.25</v>
      </c>
      <c r="C134" s="194">
        <v>622.74</v>
      </c>
      <c r="D134" s="194">
        <v>623.20000000000005</v>
      </c>
      <c r="E134" s="194">
        <v>623.41999999999996</v>
      </c>
      <c r="F134" s="194">
        <v>623.79</v>
      </c>
      <c r="G134" s="194">
        <v>624.11</v>
      </c>
      <c r="H134" s="194"/>
      <c r="I134" s="194">
        <v>624.4</v>
      </c>
      <c r="J134" s="194"/>
      <c r="K134" s="194">
        <v>624.41</v>
      </c>
      <c r="L134" s="194"/>
      <c r="M134" s="130">
        <v>624.16999999999996</v>
      </c>
      <c r="N134" s="130">
        <v>623.96</v>
      </c>
      <c r="O134" s="130">
        <v>623.74</v>
      </c>
      <c r="P134" s="130"/>
      <c r="Q134" s="130">
        <v>623.34</v>
      </c>
      <c r="R134" s="130">
        <v>623.44000000000005</v>
      </c>
      <c r="S134" s="139">
        <v>623.54</v>
      </c>
      <c r="T134" s="139">
        <v>623.59</v>
      </c>
      <c r="U134" s="139">
        <v>623.70000000000005</v>
      </c>
      <c r="V134" s="139">
        <v>623.66</v>
      </c>
      <c r="W134" s="139">
        <v>623.62</v>
      </c>
      <c r="X134" s="139">
        <v>623.54</v>
      </c>
      <c r="Y134" s="139"/>
      <c r="Z134" s="139">
        <v>623.21</v>
      </c>
      <c r="AA134" s="139"/>
      <c r="AB134" s="139">
        <v>622.39</v>
      </c>
      <c r="AC134" s="139"/>
      <c r="AD134" s="139">
        <v>622.25</v>
      </c>
      <c r="AE134" s="139">
        <v>622.35</v>
      </c>
      <c r="AF134" s="140">
        <v>622.42999999999995</v>
      </c>
      <c r="AG134" s="138"/>
      <c r="AH134" s="48"/>
      <c r="AI134" s="49"/>
    </row>
    <row r="135" spans="1:37" ht="16.5" x14ac:dyDescent="0.25">
      <c r="A135" s="135" t="s">
        <v>159</v>
      </c>
      <c r="B135" s="194">
        <v>335.38</v>
      </c>
      <c r="C135" s="194">
        <v>335.95</v>
      </c>
      <c r="D135" s="194">
        <v>336.1</v>
      </c>
      <c r="E135" s="194">
        <v>336.55</v>
      </c>
      <c r="F135" s="194">
        <v>336.82</v>
      </c>
      <c r="G135" s="194">
        <v>337.11</v>
      </c>
      <c r="H135" s="194"/>
      <c r="I135" s="194">
        <v>337.13</v>
      </c>
      <c r="J135" s="194"/>
      <c r="K135" s="194">
        <v>336.94</v>
      </c>
      <c r="L135" s="194"/>
      <c r="M135" s="130">
        <v>336.64</v>
      </c>
      <c r="N135" s="130">
        <v>336.4</v>
      </c>
      <c r="O135" s="130">
        <v>335.91</v>
      </c>
      <c r="P135" s="130">
        <v>335.58</v>
      </c>
      <c r="Q135" s="130">
        <v>335.28</v>
      </c>
      <c r="R135" s="130">
        <v>335.07</v>
      </c>
      <c r="S135" s="139">
        <v>335.16</v>
      </c>
      <c r="T135" s="139">
        <v>335.39</v>
      </c>
      <c r="U135" s="139">
        <v>335.57</v>
      </c>
      <c r="V135" s="139">
        <v>335.72</v>
      </c>
      <c r="W135" s="139"/>
      <c r="X135" s="139">
        <v>335.82</v>
      </c>
      <c r="Y135" s="139"/>
      <c r="Z135" s="139">
        <v>335.72</v>
      </c>
      <c r="AA135" s="139"/>
      <c r="AB135" s="139">
        <v>335.38</v>
      </c>
      <c r="AC135" s="139"/>
      <c r="AD135" s="139">
        <v>335.21</v>
      </c>
      <c r="AE135" s="139">
        <v>335.08</v>
      </c>
      <c r="AF135" s="140">
        <v>335.29</v>
      </c>
      <c r="AG135" s="138"/>
      <c r="AH135" s="48"/>
      <c r="AI135" s="49"/>
    </row>
    <row r="136" spans="1:37" ht="16.5" x14ac:dyDescent="0.25">
      <c r="A136" s="135" t="s">
        <v>160</v>
      </c>
      <c r="B136" s="194">
        <v>884.2</v>
      </c>
      <c r="C136" s="194">
        <v>885</v>
      </c>
      <c r="D136" s="194">
        <v>885.7</v>
      </c>
      <c r="E136" s="194">
        <v>886.4</v>
      </c>
      <c r="F136" s="194">
        <v>887</v>
      </c>
      <c r="G136" s="194">
        <v>886.9</v>
      </c>
      <c r="H136" s="194"/>
      <c r="I136" s="194">
        <v>887</v>
      </c>
      <c r="J136" s="194"/>
      <c r="K136" s="194">
        <v>886.4</v>
      </c>
      <c r="L136" s="194"/>
      <c r="M136" s="130">
        <v>884.8</v>
      </c>
      <c r="N136" s="130">
        <v>884.7</v>
      </c>
      <c r="O136" s="130">
        <v>884.1</v>
      </c>
      <c r="P136" s="130">
        <v>884.1</v>
      </c>
      <c r="Q136" s="130">
        <v>884.1</v>
      </c>
      <c r="R136" s="130">
        <v>884.1</v>
      </c>
      <c r="S136" s="139">
        <v>884</v>
      </c>
      <c r="T136" s="139">
        <v>883.7</v>
      </c>
      <c r="U136" s="139">
        <v>883.6</v>
      </c>
      <c r="V136" s="139">
        <v>883.3</v>
      </c>
      <c r="W136" s="139"/>
      <c r="X136" s="139">
        <v>882.9</v>
      </c>
      <c r="Y136" s="139"/>
      <c r="Z136" s="139">
        <v>882.7</v>
      </c>
      <c r="AA136" s="139"/>
      <c r="AB136" s="139">
        <v>882.5</v>
      </c>
      <c r="AC136" s="139"/>
      <c r="AD136" s="139">
        <v>882.9</v>
      </c>
      <c r="AE136" s="139">
        <v>883.6</v>
      </c>
      <c r="AF136" s="140">
        <v>884.5</v>
      </c>
      <c r="AG136" s="138"/>
      <c r="AH136" s="48"/>
      <c r="AI136" s="49"/>
    </row>
    <row r="137" spans="1:37" ht="17.25" thickBot="1" x14ac:dyDescent="0.3">
      <c r="A137" s="135" t="s">
        <v>161</v>
      </c>
      <c r="B137" s="195">
        <v>1519.72</v>
      </c>
      <c r="C137" s="195"/>
      <c r="D137" s="195">
        <v>1519.73</v>
      </c>
      <c r="E137" s="195">
        <v>1519.74</v>
      </c>
      <c r="F137" s="195"/>
      <c r="G137" s="195"/>
      <c r="H137" s="195"/>
      <c r="I137" s="195"/>
      <c r="J137" s="195"/>
      <c r="K137" s="195">
        <v>1519.75</v>
      </c>
      <c r="L137" s="195"/>
      <c r="M137" s="130"/>
      <c r="N137" s="130">
        <v>1519.75</v>
      </c>
      <c r="O137" s="130"/>
      <c r="P137" s="130"/>
      <c r="Q137" s="130"/>
      <c r="R137" s="130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  <c r="AF137" s="142">
        <v>1519.77</v>
      </c>
      <c r="AG137" s="138"/>
      <c r="AH137" s="48"/>
      <c r="AI137" s="49"/>
    </row>
    <row r="138" spans="1:37" ht="15.75" thickBot="1" x14ac:dyDescent="0.3">
      <c r="A138" s="143" t="s">
        <v>162</v>
      </c>
      <c r="B138" s="144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110">SUM(B139:B243)</f>
        <v>0</v>
      </c>
      <c r="C244" s="160">
        <f t="shared" si="110"/>
        <v>0</v>
      </c>
      <c r="D244" s="160">
        <f t="shared" si="110"/>
        <v>0</v>
      </c>
      <c r="E244" s="160">
        <f t="shared" si="110"/>
        <v>0</v>
      </c>
      <c r="F244" s="160">
        <f t="shared" si="110"/>
        <v>0</v>
      </c>
      <c r="G244" s="160">
        <f t="shared" si="110"/>
        <v>0</v>
      </c>
      <c r="H244" s="160">
        <f t="shared" si="110"/>
        <v>0</v>
      </c>
      <c r="I244" s="160">
        <f t="shared" si="110"/>
        <v>0</v>
      </c>
      <c r="J244" s="160">
        <f t="shared" si="110"/>
        <v>0</v>
      </c>
      <c r="K244" s="160">
        <f t="shared" si="110"/>
        <v>0</v>
      </c>
      <c r="L244" s="160">
        <f t="shared" si="110"/>
        <v>0</v>
      </c>
      <c r="M244" s="160">
        <f t="shared" si="110"/>
        <v>0</v>
      </c>
      <c r="N244" s="160">
        <f t="shared" si="110"/>
        <v>0</v>
      </c>
      <c r="O244" s="160">
        <f t="shared" si="110"/>
        <v>0</v>
      </c>
      <c r="P244" s="160">
        <f t="shared" si="110"/>
        <v>0</v>
      </c>
      <c r="Q244" s="160">
        <f t="shared" si="110"/>
        <v>0</v>
      </c>
      <c r="R244" s="160">
        <f t="shared" si="110"/>
        <v>0</v>
      </c>
      <c r="S244" s="160">
        <f t="shared" si="110"/>
        <v>0</v>
      </c>
      <c r="T244" s="160">
        <f t="shared" si="110"/>
        <v>0</v>
      </c>
      <c r="U244" s="160">
        <f t="shared" si="110"/>
        <v>0</v>
      </c>
      <c r="V244" s="160">
        <f t="shared" si="110"/>
        <v>0</v>
      </c>
      <c r="W244" s="160">
        <f t="shared" si="110"/>
        <v>0</v>
      </c>
      <c r="X244" s="160">
        <f t="shared" si="110"/>
        <v>0</v>
      </c>
      <c r="Y244" s="160">
        <f t="shared" si="110"/>
        <v>0</v>
      </c>
      <c r="Z244" s="160">
        <f t="shared" si="110"/>
        <v>0</v>
      </c>
      <c r="AA244" s="160">
        <f t="shared" si="110"/>
        <v>0</v>
      </c>
      <c r="AB244" s="160">
        <f t="shared" si="110"/>
        <v>0</v>
      </c>
      <c r="AC244" s="160">
        <f t="shared" si="110"/>
        <v>0</v>
      </c>
      <c r="AD244" s="160">
        <f t="shared" si="110"/>
        <v>0</v>
      </c>
      <c r="AE244" s="160">
        <f t="shared" si="110"/>
        <v>0</v>
      </c>
      <c r="AF244" s="161">
        <f t="shared" si="110"/>
        <v>0</v>
      </c>
      <c r="AG244" s="162">
        <f t="shared" si="110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111">AF246</f>
        <v>0.3</v>
      </c>
      <c r="C246" s="165">
        <v>0.3</v>
      </c>
      <c r="D246" s="165">
        <f t="shared" ref="D246:S251" si="112">C246</f>
        <v>0.3</v>
      </c>
      <c r="E246" s="165">
        <f t="shared" si="112"/>
        <v>0.3</v>
      </c>
      <c r="F246" s="165">
        <f t="shared" si="112"/>
        <v>0.3</v>
      </c>
      <c r="G246" s="165">
        <f t="shared" si="112"/>
        <v>0.3</v>
      </c>
      <c r="H246" s="165">
        <f t="shared" si="112"/>
        <v>0.3</v>
      </c>
      <c r="I246" s="165">
        <f t="shared" si="112"/>
        <v>0.3</v>
      </c>
      <c r="J246" s="165">
        <f t="shared" si="112"/>
        <v>0.3</v>
      </c>
      <c r="K246" s="165">
        <f t="shared" si="112"/>
        <v>0.3</v>
      </c>
      <c r="L246" s="165">
        <f t="shared" si="112"/>
        <v>0.3</v>
      </c>
      <c r="M246" s="165">
        <f t="shared" si="112"/>
        <v>0.3</v>
      </c>
      <c r="N246" s="165">
        <f t="shared" si="112"/>
        <v>0.3</v>
      </c>
      <c r="O246" s="165">
        <f t="shared" si="112"/>
        <v>0.3</v>
      </c>
      <c r="P246" s="165">
        <f t="shared" si="112"/>
        <v>0.3</v>
      </c>
      <c r="Q246" s="165">
        <f t="shared" si="112"/>
        <v>0.3</v>
      </c>
      <c r="R246" s="165">
        <f t="shared" si="112"/>
        <v>0.3</v>
      </c>
      <c r="S246" s="165">
        <f t="shared" si="112"/>
        <v>0.3</v>
      </c>
      <c r="T246" s="165">
        <f t="shared" ref="T246:AF251" si="113">S246</f>
        <v>0.3</v>
      </c>
      <c r="U246" s="165">
        <f t="shared" si="113"/>
        <v>0.3</v>
      </c>
      <c r="V246" s="165">
        <f t="shared" si="113"/>
        <v>0.3</v>
      </c>
      <c r="W246" s="165">
        <f t="shared" si="113"/>
        <v>0.3</v>
      </c>
      <c r="X246" s="165">
        <f t="shared" si="113"/>
        <v>0.3</v>
      </c>
      <c r="Y246" s="165">
        <f t="shared" si="113"/>
        <v>0.3</v>
      </c>
      <c r="Z246" s="165">
        <f t="shared" si="113"/>
        <v>0.3</v>
      </c>
      <c r="AA246" s="165">
        <f t="shared" si="113"/>
        <v>0.3</v>
      </c>
      <c r="AB246" s="165">
        <f t="shared" si="113"/>
        <v>0.3</v>
      </c>
      <c r="AC246" s="165">
        <f t="shared" si="113"/>
        <v>0.3</v>
      </c>
      <c r="AD246" s="165">
        <f t="shared" si="113"/>
        <v>0.3</v>
      </c>
      <c r="AE246" s="165">
        <f t="shared" si="113"/>
        <v>0.3</v>
      </c>
      <c r="AF246" s="165">
        <f t="shared" si="113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111"/>
        <v>0.4</v>
      </c>
      <c r="C247" s="151">
        <v>0.4</v>
      </c>
      <c r="D247" s="151">
        <f t="shared" si="112"/>
        <v>0.4</v>
      </c>
      <c r="E247" s="151">
        <f t="shared" si="112"/>
        <v>0.4</v>
      </c>
      <c r="F247" s="151">
        <f t="shared" si="112"/>
        <v>0.4</v>
      </c>
      <c r="G247" s="151">
        <f t="shared" si="112"/>
        <v>0.4</v>
      </c>
      <c r="H247" s="151">
        <f t="shared" si="112"/>
        <v>0.4</v>
      </c>
      <c r="I247" s="151">
        <f t="shared" si="112"/>
        <v>0.4</v>
      </c>
      <c r="J247" s="151">
        <f t="shared" si="112"/>
        <v>0.4</v>
      </c>
      <c r="K247" s="151">
        <f t="shared" si="112"/>
        <v>0.4</v>
      </c>
      <c r="L247" s="151">
        <f t="shared" si="112"/>
        <v>0.4</v>
      </c>
      <c r="M247" s="151">
        <f t="shared" si="112"/>
        <v>0.4</v>
      </c>
      <c r="N247" s="151">
        <f t="shared" si="112"/>
        <v>0.4</v>
      </c>
      <c r="O247" s="151">
        <f t="shared" si="112"/>
        <v>0.4</v>
      </c>
      <c r="P247" s="151">
        <f t="shared" si="112"/>
        <v>0.4</v>
      </c>
      <c r="Q247" s="151">
        <f t="shared" si="112"/>
        <v>0.4</v>
      </c>
      <c r="R247" s="151">
        <f t="shared" si="112"/>
        <v>0.4</v>
      </c>
      <c r="S247" s="151">
        <f t="shared" si="112"/>
        <v>0.4</v>
      </c>
      <c r="T247" s="151">
        <f t="shared" si="113"/>
        <v>0.4</v>
      </c>
      <c r="U247" s="151">
        <f t="shared" si="113"/>
        <v>0.4</v>
      </c>
      <c r="V247" s="151">
        <f t="shared" si="113"/>
        <v>0.4</v>
      </c>
      <c r="W247" s="151">
        <f t="shared" si="113"/>
        <v>0.4</v>
      </c>
      <c r="X247" s="151">
        <f t="shared" si="113"/>
        <v>0.4</v>
      </c>
      <c r="Y247" s="151">
        <f t="shared" si="113"/>
        <v>0.4</v>
      </c>
      <c r="Z247" s="151">
        <f t="shared" si="113"/>
        <v>0.4</v>
      </c>
      <c r="AA247" s="151">
        <f t="shared" si="113"/>
        <v>0.4</v>
      </c>
      <c r="AB247" s="151">
        <f t="shared" si="113"/>
        <v>0.4</v>
      </c>
      <c r="AC247" s="151">
        <f t="shared" si="113"/>
        <v>0.4</v>
      </c>
      <c r="AD247" s="151">
        <f t="shared" si="113"/>
        <v>0.4</v>
      </c>
      <c r="AE247" s="151">
        <f t="shared" si="113"/>
        <v>0.4</v>
      </c>
      <c r="AF247" s="151">
        <f t="shared" si="113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111"/>
        <v>1.5</v>
      </c>
      <c r="C248" s="151">
        <v>1.5</v>
      </c>
      <c r="D248" s="151">
        <f t="shared" si="112"/>
        <v>1.5</v>
      </c>
      <c r="E248" s="151">
        <f t="shared" si="112"/>
        <v>1.5</v>
      </c>
      <c r="F248" s="151">
        <f t="shared" si="112"/>
        <v>1.5</v>
      </c>
      <c r="G248" s="151">
        <f t="shared" si="112"/>
        <v>1.5</v>
      </c>
      <c r="H248" s="151">
        <f t="shared" si="112"/>
        <v>1.5</v>
      </c>
      <c r="I248" s="151">
        <f t="shared" si="112"/>
        <v>1.5</v>
      </c>
      <c r="J248" s="151">
        <f t="shared" si="112"/>
        <v>1.5</v>
      </c>
      <c r="K248" s="151">
        <f t="shared" si="112"/>
        <v>1.5</v>
      </c>
      <c r="L248" s="151">
        <f t="shared" si="112"/>
        <v>1.5</v>
      </c>
      <c r="M248" s="151">
        <f t="shared" si="112"/>
        <v>1.5</v>
      </c>
      <c r="N248" s="151">
        <f t="shared" si="112"/>
        <v>1.5</v>
      </c>
      <c r="O248" s="151">
        <f t="shared" si="112"/>
        <v>1.5</v>
      </c>
      <c r="P248" s="151">
        <f t="shared" si="112"/>
        <v>1.5</v>
      </c>
      <c r="Q248" s="151">
        <f t="shared" si="112"/>
        <v>1.5</v>
      </c>
      <c r="R248" s="151">
        <f t="shared" si="112"/>
        <v>1.5</v>
      </c>
      <c r="S248" s="151">
        <f t="shared" si="112"/>
        <v>1.5</v>
      </c>
      <c r="T248" s="151">
        <f t="shared" si="113"/>
        <v>1.5</v>
      </c>
      <c r="U248" s="151">
        <f t="shared" si="113"/>
        <v>1.5</v>
      </c>
      <c r="V248" s="151">
        <f t="shared" si="113"/>
        <v>1.5</v>
      </c>
      <c r="W248" s="151">
        <f t="shared" si="113"/>
        <v>1.5</v>
      </c>
      <c r="X248" s="151">
        <f t="shared" si="113"/>
        <v>1.5</v>
      </c>
      <c r="Y248" s="151">
        <f t="shared" si="113"/>
        <v>1.5</v>
      </c>
      <c r="Z248" s="151">
        <f t="shared" si="113"/>
        <v>1.5</v>
      </c>
      <c r="AA248" s="151">
        <f t="shared" si="113"/>
        <v>1.5</v>
      </c>
      <c r="AB248" s="151">
        <f t="shared" si="113"/>
        <v>1.5</v>
      </c>
      <c r="AC248" s="151">
        <f t="shared" si="113"/>
        <v>1.5</v>
      </c>
      <c r="AD248" s="151">
        <f t="shared" si="113"/>
        <v>1.5</v>
      </c>
      <c r="AE248" s="151">
        <f t="shared" si="113"/>
        <v>1.5</v>
      </c>
      <c r="AF248" s="151">
        <f t="shared" si="113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111"/>
        <v>0.3</v>
      </c>
      <c r="C249" s="151">
        <v>0.3</v>
      </c>
      <c r="D249" s="151">
        <f t="shared" si="112"/>
        <v>0.3</v>
      </c>
      <c r="E249" s="151">
        <f t="shared" si="112"/>
        <v>0.3</v>
      </c>
      <c r="F249" s="151">
        <f t="shared" si="112"/>
        <v>0.3</v>
      </c>
      <c r="G249" s="151">
        <f t="shared" si="112"/>
        <v>0.3</v>
      </c>
      <c r="H249" s="151">
        <f t="shared" si="112"/>
        <v>0.3</v>
      </c>
      <c r="I249" s="151">
        <f t="shared" si="112"/>
        <v>0.3</v>
      </c>
      <c r="J249" s="151">
        <f t="shared" si="112"/>
        <v>0.3</v>
      </c>
      <c r="K249" s="151">
        <f t="shared" si="112"/>
        <v>0.3</v>
      </c>
      <c r="L249" s="151">
        <f t="shared" si="112"/>
        <v>0.3</v>
      </c>
      <c r="M249" s="151">
        <f t="shared" si="112"/>
        <v>0.3</v>
      </c>
      <c r="N249" s="151">
        <f t="shared" si="112"/>
        <v>0.3</v>
      </c>
      <c r="O249" s="151">
        <f t="shared" si="112"/>
        <v>0.3</v>
      </c>
      <c r="P249" s="151">
        <f t="shared" si="112"/>
        <v>0.3</v>
      </c>
      <c r="Q249" s="151">
        <f t="shared" si="112"/>
        <v>0.3</v>
      </c>
      <c r="R249" s="151">
        <f t="shared" si="112"/>
        <v>0.3</v>
      </c>
      <c r="S249" s="151">
        <f t="shared" si="112"/>
        <v>0.3</v>
      </c>
      <c r="T249" s="151">
        <f t="shared" si="113"/>
        <v>0.3</v>
      </c>
      <c r="U249" s="151">
        <f t="shared" si="113"/>
        <v>0.3</v>
      </c>
      <c r="V249" s="151">
        <f t="shared" si="113"/>
        <v>0.3</v>
      </c>
      <c r="W249" s="151">
        <f t="shared" si="113"/>
        <v>0.3</v>
      </c>
      <c r="X249" s="151">
        <f t="shared" si="113"/>
        <v>0.3</v>
      </c>
      <c r="Y249" s="151">
        <f t="shared" si="113"/>
        <v>0.3</v>
      </c>
      <c r="Z249" s="151">
        <f t="shared" si="113"/>
        <v>0.3</v>
      </c>
      <c r="AA249" s="151">
        <f t="shared" si="113"/>
        <v>0.3</v>
      </c>
      <c r="AB249" s="151">
        <f t="shared" si="113"/>
        <v>0.3</v>
      </c>
      <c r="AC249" s="151">
        <f t="shared" si="113"/>
        <v>0.3</v>
      </c>
      <c r="AD249" s="151">
        <f t="shared" si="113"/>
        <v>0.3</v>
      </c>
      <c r="AE249" s="151">
        <f t="shared" si="113"/>
        <v>0.3</v>
      </c>
      <c r="AF249" s="151">
        <f t="shared" si="113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111"/>
        <v>0.4</v>
      </c>
      <c r="C250" s="151">
        <v>0.4</v>
      </c>
      <c r="D250" s="151">
        <f t="shared" si="112"/>
        <v>0.4</v>
      </c>
      <c r="E250" s="151">
        <f t="shared" si="112"/>
        <v>0.4</v>
      </c>
      <c r="F250" s="151">
        <f t="shared" si="112"/>
        <v>0.4</v>
      </c>
      <c r="G250" s="151">
        <f t="shared" si="112"/>
        <v>0.4</v>
      </c>
      <c r="H250" s="151">
        <f t="shared" si="112"/>
        <v>0.4</v>
      </c>
      <c r="I250" s="151">
        <f t="shared" si="112"/>
        <v>0.4</v>
      </c>
      <c r="J250" s="151">
        <f t="shared" si="112"/>
        <v>0.4</v>
      </c>
      <c r="K250" s="151">
        <f t="shared" si="112"/>
        <v>0.4</v>
      </c>
      <c r="L250" s="151">
        <f t="shared" si="112"/>
        <v>0.4</v>
      </c>
      <c r="M250" s="151">
        <f t="shared" si="112"/>
        <v>0.4</v>
      </c>
      <c r="N250" s="151">
        <f t="shared" si="112"/>
        <v>0.4</v>
      </c>
      <c r="O250" s="151">
        <f t="shared" si="112"/>
        <v>0.4</v>
      </c>
      <c r="P250" s="151">
        <f t="shared" si="112"/>
        <v>0.4</v>
      </c>
      <c r="Q250" s="151">
        <f t="shared" si="112"/>
        <v>0.4</v>
      </c>
      <c r="R250" s="151">
        <f t="shared" si="112"/>
        <v>0.4</v>
      </c>
      <c r="S250" s="151">
        <f t="shared" si="112"/>
        <v>0.4</v>
      </c>
      <c r="T250" s="151">
        <f t="shared" si="113"/>
        <v>0.4</v>
      </c>
      <c r="U250" s="151">
        <f t="shared" si="113"/>
        <v>0.4</v>
      </c>
      <c r="V250" s="151">
        <f t="shared" si="113"/>
        <v>0.4</v>
      </c>
      <c r="W250" s="151">
        <f t="shared" si="113"/>
        <v>0.4</v>
      </c>
      <c r="X250" s="151">
        <f t="shared" si="113"/>
        <v>0.4</v>
      </c>
      <c r="Y250" s="151">
        <f t="shared" si="113"/>
        <v>0.4</v>
      </c>
      <c r="Z250" s="151">
        <f t="shared" si="113"/>
        <v>0.4</v>
      </c>
      <c r="AA250" s="151">
        <f t="shared" si="113"/>
        <v>0.4</v>
      </c>
      <c r="AB250" s="151">
        <f t="shared" si="113"/>
        <v>0.4</v>
      </c>
      <c r="AC250" s="151">
        <f t="shared" si="113"/>
        <v>0.4</v>
      </c>
      <c r="AD250" s="151">
        <f t="shared" si="113"/>
        <v>0.4</v>
      </c>
      <c r="AE250" s="151">
        <f t="shared" si="113"/>
        <v>0.4</v>
      </c>
      <c r="AF250" s="151">
        <f t="shared" si="113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111"/>
        <v>0.64</v>
      </c>
      <c r="C251" s="156">
        <v>0.64</v>
      </c>
      <c r="D251" s="156">
        <f t="shared" si="112"/>
        <v>0.64</v>
      </c>
      <c r="E251" s="156">
        <f t="shared" si="112"/>
        <v>0.64</v>
      </c>
      <c r="F251" s="156">
        <f t="shared" si="112"/>
        <v>0.64</v>
      </c>
      <c r="G251" s="156">
        <f t="shared" si="112"/>
        <v>0.64</v>
      </c>
      <c r="H251" s="156">
        <f t="shared" si="112"/>
        <v>0.64</v>
      </c>
      <c r="I251" s="156">
        <f t="shared" si="112"/>
        <v>0.64</v>
      </c>
      <c r="J251" s="156">
        <f t="shared" si="112"/>
        <v>0.64</v>
      </c>
      <c r="K251" s="156">
        <f t="shared" si="112"/>
        <v>0.64</v>
      </c>
      <c r="L251" s="156">
        <f t="shared" si="112"/>
        <v>0.64</v>
      </c>
      <c r="M251" s="156">
        <f t="shared" si="112"/>
        <v>0.64</v>
      </c>
      <c r="N251" s="156">
        <f t="shared" si="112"/>
        <v>0.64</v>
      </c>
      <c r="O251" s="156">
        <f t="shared" si="112"/>
        <v>0.64</v>
      </c>
      <c r="P251" s="156">
        <f t="shared" si="112"/>
        <v>0.64</v>
      </c>
      <c r="Q251" s="156">
        <f t="shared" si="112"/>
        <v>0.64</v>
      </c>
      <c r="R251" s="156">
        <f t="shared" si="112"/>
        <v>0.64</v>
      </c>
      <c r="S251" s="156">
        <f t="shared" si="112"/>
        <v>0.64</v>
      </c>
      <c r="T251" s="156">
        <f t="shared" si="113"/>
        <v>0.64</v>
      </c>
      <c r="U251" s="156">
        <f t="shared" si="113"/>
        <v>0.64</v>
      </c>
      <c r="V251" s="156">
        <f t="shared" si="113"/>
        <v>0.64</v>
      </c>
      <c r="W251" s="156">
        <f t="shared" si="113"/>
        <v>0.64</v>
      </c>
      <c r="X251" s="156">
        <f t="shared" si="113"/>
        <v>0.64</v>
      </c>
      <c r="Y251" s="156">
        <f t="shared" si="113"/>
        <v>0.64</v>
      </c>
      <c r="Z251" s="156">
        <f t="shared" si="113"/>
        <v>0.64</v>
      </c>
      <c r="AA251" s="156">
        <f t="shared" si="113"/>
        <v>0.64</v>
      </c>
      <c r="AB251" s="156">
        <f t="shared" si="113"/>
        <v>0.64</v>
      </c>
      <c r="AC251" s="156">
        <f t="shared" si="113"/>
        <v>0.64</v>
      </c>
      <c r="AD251" s="156">
        <f t="shared" si="113"/>
        <v>0.64</v>
      </c>
      <c r="AE251" s="156">
        <f t="shared" si="113"/>
        <v>0.64</v>
      </c>
      <c r="AF251" s="156">
        <f t="shared" si="113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114">SUM(B246:B251)</f>
        <v>3.54</v>
      </c>
      <c r="C252" s="160">
        <f t="shared" si="114"/>
        <v>3.54</v>
      </c>
      <c r="D252" s="160">
        <f t="shared" si="114"/>
        <v>3.54</v>
      </c>
      <c r="E252" s="160">
        <f t="shared" si="114"/>
        <v>3.54</v>
      </c>
      <c r="F252" s="160">
        <f t="shared" si="114"/>
        <v>3.54</v>
      </c>
      <c r="G252" s="160">
        <f t="shared" si="114"/>
        <v>3.54</v>
      </c>
      <c r="H252" s="160">
        <f t="shared" si="114"/>
        <v>3.54</v>
      </c>
      <c r="I252" s="160">
        <f t="shared" si="114"/>
        <v>3.54</v>
      </c>
      <c r="J252" s="160">
        <f t="shared" si="114"/>
        <v>3.54</v>
      </c>
      <c r="K252" s="160">
        <f t="shared" si="114"/>
        <v>3.54</v>
      </c>
      <c r="L252" s="160">
        <f t="shared" si="114"/>
        <v>3.54</v>
      </c>
      <c r="M252" s="160">
        <f t="shared" si="114"/>
        <v>3.54</v>
      </c>
      <c r="N252" s="160">
        <f t="shared" si="114"/>
        <v>3.54</v>
      </c>
      <c r="O252" s="160">
        <f t="shared" si="114"/>
        <v>3.54</v>
      </c>
      <c r="P252" s="160">
        <f t="shared" si="114"/>
        <v>3.54</v>
      </c>
      <c r="Q252" s="160">
        <f t="shared" si="114"/>
        <v>3.54</v>
      </c>
      <c r="R252" s="160">
        <f t="shared" si="114"/>
        <v>3.54</v>
      </c>
      <c r="S252" s="160">
        <f t="shared" si="114"/>
        <v>3.54</v>
      </c>
      <c r="T252" s="160">
        <f t="shared" si="114"/>
        <v>3.54</v>
      </c>
      <c r="U252" s="160">
        <f t="shared" si="114"/>
        <v>3.54</v>
      </c>
      <c r="V252" s="160">
        <f t="shared" si="114"/>
        <v>3.54</v>
      </c>
      <c r="W252" s="160">
        <f t="shared" si="114"/>
        <v>3.54</v>
      </c>
      <c r="X252" s="160">
        <f t="shared" si="114"/>
        <v>3.54</v>
      </c>
      <c r="Y252" s="160">
        <f t="shared" si="114"/>
        <v>3.54</v>
      </c>
      <c r="Z252" s="160">
        <f t="shared" si="114"/>
        <v>3.54</v>
      </c>
      <c r="AA252" s="160">
        <f t="shared" si="114"/>
        <v>3.54</v>
      </c>
      <c r="AB252" s="160">
        <f t="shared" si="114"/>
        <v>3.54</v>
      </c>
      <c r="AC252" s="160">
        <f t="shared" si="114"/>
        <v>3.54</v>
      </c>
      <c r="AD252" s="160">
        <f t="shared" si="114"/>
        <v>3.54</v>
      </c>
      <c r="AE252" s="160">
        <f t="shared" si="114"/>
        <v>3.54</v>
      </c>
      <c r="AF252" s="160">
        <f t="shared" si="114"/>
        <v>3.54</v>
      </c>
      <c r="AG252" s="170">
        <f t="shared" si="114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1435.99</v>
      </c>
      <c r="C256" s="173">
        <f>INDEX(G9:N9,1,MATCH(MAX(G99:N99),G99:N99,0))</f>
        <v>0.33333333333333331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2080/10/15)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2144" priority="90">
      <formula>$AH11=0</formula>
    </cfRule>
  </conditionalFormatting>
  <conditionalFormatting sqref="A132:A253">
    <cfRule type="expression" dxfId="2143" priority="91">
      <formula>$AH132=0</formula>
    </cfRule>
  </conditionalFormatting>
  <conditionalFormatting sqref="B8">
    <cfRule type="expression" dxfId="2142" priority="151">
      <formula>C$9&lt;8/24</formula>
    </cfRule>
    <cfRule type="expression" dxfId="2141" priority="150">
      <formula>AND(C$9&gt;=8/24,C$9&lt;14/24)</formula>
    </cfRule>
    <cfRule type="expression" dxfId="2140" priority="149">
      <formula>AND(C$9&gt;=14/24,C$9&lt;20/24)</formula>
    </cfRule>
    <cfRule type="expression" dxfId="2139" priority="152">
      <formula>C$9&gt;=20/24</formula>
    </cfRule>
  </conditionalFormatting>
  <conditionalFormatting sqref="B9:AF10 N11:AF52 B11:M57 E59:I61 B59:D68 E63:G68 H63:H74 I68:Q74 B69:L74 N69:AF74 B77:AF99 B101:AF117 B119:AF137 B244:AF244 B246:B252">
    <cfRule type="expression" dxfId="2138" priority="44">
      <formula>B$9&lt;8/24</formula>
    </cfRule>
  </conditionalFormatting>
  <conditionalFormatting sqref="B9:AF52 E59:I61 B59:D68 E63:G68 H63:H74 I68:Q74 B69:L74 N69:AF74 B77:AF99 B101:AF117 B119:AF137 B244:AF244 B246:B252">
    <cfRule type="expression" dxfId="2137" priority="41">
      <formula>B$9&gt;=20/24</formula>
    </cfRule>
    <cfRule type="expression" dxfId="2136" priority="42">
      <formula>AND(B$9&gt;=14/24,B$9&lt;20/24)</formula>
    </cfRule>
    <cfRule type="expression" dxfId="2135" priority="43">
      <formula>AND(B$9&gt;=8/24,B$9&lt;14/24)</formula>
    </cfRule>
  </conditionalFormatting>
  <conditionalFormatting sqref="D246:AF252">
    <cfRule type="expression" dxfId="2134" priority="137">
      <formula>D$9&lt;8/24</formula>
    </cfRule>
    <cfRule type="expression" dxfId="2133" priority="135">
      <formula>AND(D$9&gt;=14/24,D$9&lt;20/24)</formula>
    </cfRule>
    <cfRule type="expression" dxfId="2132" priority="136">
      <formula>AND(D$9&gt;=8/24,D$9&lt;14/24)</formula>
    </cfRule>
    <cfRule type="expression" dxfId="2131" priority="134">
      <formula>D$9&gt;=20/24</formula>
    </cfRule>
  </conditionalFormatting>
  <conditionalFormatting sqref="E63:I67 J64:J67 K67">
    <cfRule type="expression" dxfId="2130" priority="54">
      <formula>E$9&gt;=20/24</formula>
    </cfRule>
    <cfRule type="expression" dxfId="2129" priority="55">
      <formula>AND(E$9&gt;=14/24,E$9&lt;20/24)</formula>
    </cfRule>
    <cfRule type="expression" dxfId="2128" priority="56">
      <formula>AND(E$9&gt;=8/24,E$9&lt;14/24)</formula>
    </cfRule>
    <cfRule type="expression" dxfId="2127" priority="57">
      <formula>E$9&lt;8/24</formula>
    </cfRule>
  </conditionalFormatting>
  <conditionalFormatting sqref="E68:Q68">
    <cfRule type="expression" dxfId="2126" priority="49">
      <formula>E$9&gt;=20/24</formula>
    </cfRule>
    <cfRule type="expression" dxfId="2125" priority="50">
      <formula>AND(E$9&gt;=14/24,E$9&lt;20/24)</formula>
    </cfRule>
    <cfRule type="expression" dxfId="2124" priority="51">
      <formula>AND(E$9&gt;=8/24,E$9&lt;14/24)</formula>
    </cfRule>
    <cfRule type="expression" dxfId="2123" priority="52">
      <formula>E$9&lt;8/24</formula>
    </cfRule>
  </conditionalFormatting>
  <conditionalFormatting sqref="E59:AF62">
    <cfRule type="expression" dxfId="2122" priority="68">
      <formula>E$9&gt;=20/24</formula>
    </cfRule>
    <cfRule type="expression" dxfId="2121" priority="69">
      <formula>AND(E$9&gt;=14/24,E$9&lt;20/24)</formula>
    </cfRule>
    <cfRule type="expression" dxfId="2120" priority="70">
      <formula>AND(E$9&gt;=8/24,E$9&lt;14/24)</formula>
    </cfRule>
    <cfRule type="expression" dxfId="2119" priority="71">
      <formula>E$9&lt;8/24</formula>
    </cfRule>
  </conditionalFormatting>
  <conditionalFormatting sqref="F63:M65 N64:N65">
    <cfRule type="expression" dxfId="2118" priority="85">
      <formula>F$9&lt;8/24</formula>
    </cfRule>
    <cfRule type="expression" dxfId="2117" priority="84">
      <formula>AND(F$9&gt;=8/24,F$9&lt;14/24)</formula>
    </cfRule>
    <cfRule type="expression" dxfId="2116" priority="83">
      <formula>AND(F$9&gt;=14/24,F$9&lt;20/24)</formula>
    </cfRule>
    <cfRule type="expression" dxfId="2115" priority="82">
      <formula>F$9&gt;=20/24</formula>
    </cfRule>
  </conditionalFormatting>
  <conditionalFormatting sqref="L68:V68">
    <cfRule type="expression" dxfId="2114" priority="80">
      <formula>AND(L$9&gt;=8/24,L$9&lt;14/24)</formula>
    </cfRule>
    <cfRule type="expression" dxfId="2113" priority="81">
      <formula>L$9&lt;8/24</formula>
    </cfRule>
    <cfRule type="expression" dxfId="2112" priority="78">
      <formula>L$9&gt;=20/24</formula>
    </cfRule>
    <cfRule type="expression" dxfId="2111" priority="79">
      <formula>AND(L$9&gt;=14/24,L$9&lt;20/24)</formula>
    </cfRule>
  </conditionalFormatting>
  <conditionalFormatting sqref="M8 S8 AB8">
    <cfRule type="expression" dxfId="2110" priority="143">
      <formula>N$9&lt;8/24</formula>
    </cfRule>
    <cfRule type="expression" dxfId="2109" priority="142">
      <formula>AND(N$9&gt;=8/24,N$9&lt;14/24)</formula>
    </cfRule>
    <cfRule type="expression" dxfId="2108" priority="141">
      <formula>AND(N$9&gt;=14/24,N$9&lt;20/24)</formula>
    </cfRule>
  </conditionalFormatting>
  <conditionalFormatting sqref="N63:V67">
    <cfRule type="expression" dxfId="2107" priority="86">
      <formula>N$9&gt;=20/24</formula>
    </cfRule>
    <cfRule type="expression" dxfId="2106" priority="87">
      <formula>AND(N$9&gt;=14/24,N$9&lt;20/24)</formula>
    </cfRule>
    <cfRule type="expression" dxfId="2105" priority="88">
      <formula>AND(N$9&gt;=8/24,N$9&lt;14/24)</formula>
    </cfRule>
    <cfRule type="expression" dxfId="2104" priority="89">
      <formula>N$9&lt;8/24</formula>
    </cfRule>
  </conditionalFormatting>
  <conditionalFormatting sqref="N11:AA56 AB11:AF57 B11:M80 AA57 Z57:Z61 N57:Y80 AA58:AF61 Z62:AG62 Z63:AF80 AG80">
    <cfRule type="expression" dxfId="2103" priority="40">
      <formula>B11&gt;$AG11</formula>
    </cfRule>
  </conditionalFormatting>
  <conditionalFormatting sqref="N53:AA56 AB53:AF57">
    <cfRule type="expression" dxfId="2102" priority="53">
      <formula>N$9&lt;8/24</formula>
    </cfRule>
  </conditionalFormatting>
  <conditionalFormatting sqref="N57:AA57">
    <cfRule type="expression" dxfId="2101" priority="67">
      <formula>N$9&lt;8/24</formula>
    </cfRule>
    <cfRule type="expression" dxfId="2100" priority="66">
      <formula>AND(N$9&gt;=8/24,N$9&lt;14/24)</formula>
    </cfRule>
    <cfRule type="expression" dxfId="2099" priority="64">
      <formula>N$9&gt;=20/24</formula>
    </cfRule>
    <cfRule type="expression" dxfId="2098" priority="65">
      <formula>AND(N$9&gt;=14/24,N$9&lt;20/24)</formula>
    </cfRule>
  </conditionalFormatting>
  <conditionalFormatting sqref="O3:P3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R55:W55 X55:AA56 AB55:AF57 N56:W56">
    <cfRule type="expression" dxfId="2097" priority="48">
      <formula>AND(N$9&gt;=8/24,N$9&lt;14/24)</formula>
    </cfRule>
    <cfRule type="expression" dxfId="2096" priority="46">
      <formula>N$9&gt;=20/24</formula>
    </cfRule>
    <cfRule type="expression" dxfId="2095" priority="47">
      <formula>AND(N$9&gt;=14/24,N$9&lt;20/24)</formula>
    </cfRule>
  </conditionalFormatting>
  <conditionalFormatting sqref="R53:AF54 N53:Q55 B53:M57">
    <cfRule type="expression" dxfId="2094" priority="37">
      <formula>B$9&gt;=20/24</formula>
    </cfRule>
    <cfRule type="expression" dxfId="2093" priority="38">
      <formula>AND(B$9&gt;=14/24,B$9&lt;20/24)</formula>
    </cfRule>
    <cfRule type="expression" dxfId="2092" priority="39">
      <formula>AND(B$9&gt;=8/24,B$9&lt;14/24)</formula>
    </cfRule>
  </conditionalFormatting>
  <conditionalFormatting sqref="S8 AB8 M8">
    <cfRule type="expression" dxfId="2091" priority="140">
      <formula>N$9&gt;=20/24</formula>
    </cfRule>
  </conditionalFormatting>
  <conditionalFormatting sqref="S8">
    <cfRule type="expression" dxfId="2090" priority="129">
      <formula>AND(U$9&gt;=8/24,U$9&lt;14/24)</formula>
    </cfRule>
    <cfRule type="expression" dxfId="2089" priority="130">
      <formula>U$9&lt;8/24</formula>
    </cfRule>
    <cfRule type="expression" dxfId="2088" priority="128">
      <formula>AND(U$9&gt;=14/24,U$9&lt;20/24)</formula>
    </cfRule>
    <cfRule type="expression" dxfId="2087" priority="127">
      <formula>U$9&gt;=20/24</formula>
    </cfRule>
  </conditionalFormatting>
  <conditionalFormatting sqref="V3 AB3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W63:AF68">
    <cfRule type="expression" dxfId="2086" priority="73">
      <formula>AND(W$9&gt;=14/24,W$9&lt;20/24)</formula>
    </cfRule>
    <cfRule type="expression" dxfId="2085" priority="72">
      <formula>W$9&gt;=20/24</formula>
    </cfRule>
    <cfRule type="expression" dxfId="2084" priority="75">
      <formula>W$9&lt;8/24</formula>
    </cfRule>
    <cfRule type="expression" dxfId="2083" priority="74">
      <formula>AND(W$9&gt;=8/24,W$9&lt;14/24)</formula>
    </cfRule>
  </conditionalFormatting>
  <conditionalFormatting sqref="AB8">
    <cfRule type="expression" dxfId="2082" priority="126">
      <formula>AD$9&lt;8/24</formula>
    </cfRule>
    <cfRule type="expression" dxfId="2081" priority="125">
      <formula>AND(AD$9&gt;=8/24,AD$9&lt;14/24)</formula>
    </cfRule>
    <cfRule type="expression" dxfId="2080" priority="124">
      <formula>AND(AD$9&gt;=14/24,AD$9&lt;20/24)</formula>
    </cfRule>
    <cfRule type="expression" dxfId="2079" priority="123">
      <formula>AD$9&gt;=20/24</formula>
    </cfRule>
  </conditionalFormatting>
  <conditionalFormatting sqref="AG58">
    <cfRule type="expression" dxfId="2078" priority="118">
      <formula>AG58&gt;$AG58</formula>
    </cfRule>
  </conditionalFormatting>
  <conditionalFormatting sqref="AG62">
    <cfRule type="expression" dxfId="2077" priority="104">
      <formula>AG$9&lt;8/24</formula>
    </cfRule>
    <cfRule type="expression" dxfId="2076" priority="103">
      <formula>AND(AG$9&gt;=8/24,AG$9&lt;14/24)</formula>
    </cfRule>
    <cfRule type="expression" dxfId="2075" priority="102">
      <formula>AND(AG$9&gt;=14/24,AG$9&lt;20/24)</formula>
    </cfRule>
    <cfRule type="expression" dxfId="2074" priority="101">
      <formula>AG$9&gt;=20/24</formula>
    </cfRule>
  </conditionalFormatting>
  <conditionalFormatting sqref="AG75:AG76">
    <cfRule type="expression" dxfId="2073" priority="96">
      <formula>AG75&gt;$AG75</formula>
    </cfRule>
  </conditionalFormatting>
  <conditionalFormatting sqref="AG80">
    <cfRule type="expression" dxfId="2072" priority="100">
      <formula>AG$9&lt;8/24</formula>
    </cfRule>
    <cfRule type="expression" dxfId="2071" priority="97">
      <formula>AG$9&gt;=20/24</formula>
    </cfRule>
    <cfRule type="expression" dxfId="2070" priority="98">
      <formula>AND(AG$9&gt;=14/24,AG$9&lt;20/24)</formula>
    </cfRule>
    <cfRule type="expression" dxfId="2069" priority="99">
      <formula>AND(AG$9&gt;=8/24,AG$9&lt;14/24)</formula>
    </cfRule>
  </conditionalFormatting>
  <conditionalFormatting sqref="AG97">
    <cfRule type="expression" dxfId="2068" priority="122">
      <formula>AG$9&lt;8/24</formula>
    </cfRule>
    <cfRule type="expression" dxfId="2067" priority="119">
      <formula>AG$9&gt;=20/24</formula>
    </cfRule>
    <cfRule type="expression" dxfId="2066" priority="120">
      <formula>AND(AG$9&gt;=14/24,AG$9&lt;20/24)</formula>
    </cfRule>
    <cfRule type="expression" dxfId="2065" priority="121">
      <formula>AND(AG$9&gt;=8/24,AG$9&lt;14/24)</formula>
    </cfRule>
  </conditionalFormatting>
  <conditionalFormatting sqref="AL4:AL6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064" priority="147">
      <formula>AJ$9&lt;8/24</formula>
    </cfRule>
    <cfRule type="expression" dxfId="2063" priority="146">
      <formula>AND(AJ$9&gt;=8/24,AJ$9&lt;14/24)</formula>
    </cfRule>
    <cfRule type="expression" dxfId="2062" priority="144">
      <formula>AJ$9&gt;=20/24</formula>
    </cfRule>
    <cfRule type="expression" dxfId="2061" priority="145">
      <formula>AND(AJ$9&gt;=14/24,AJ$9&lt;20/24)</formula>
    </cfRule>
  </conditionalFormatting>
  <conditionalFormatting sqref="AL88:AN88 AL94:AN94">
    <cfRule type="expression" dxfId="2060" priority="113">
      <formula>AND(AL$9&gt;=8/24,AL$9&lt;14/24)</formula>
    </cfRule>
    <cfRule type="expression" dxfId="2059" priority="114">
      <formula>AL$9&lt;8/24</formula>
    </cfRule>
    <cfRule type="expression" dxfId="2058" priority="111">
      <formula>AL$9&gt;=20/24</formula>
    </cfRule>
    <cfRule type="expression" dxfId="2057" priority="112">
      <formula>AND(AL$9&gt;=14/24,AL$9&lt;20/24)</formula>
    </cfRule>
  </conditionalFormatting>
  <conditionalFormatting sqref="AM15:AM21 AN16:AR21">
    <cfRule type="expression" dxfId="2056" priority="13">
      <formula>AX$9&gt;=20/24</formula>
    </cfRule>
    <cfRule type="expression" dxfId="2055" priority="14">
      <formula>AND(AX$9&gt;=14/24,AX$9&lt;20/24)</formula>
    </cfRule>
    <cfRule type="expression" dxfId="2054" priority="16">
      <formula>AX$9&lt;8/24</formula>
    </cfRule>
    <cfRule type="expression" dxfId="2053" priority="15">
      <formula>AND(AX$9&gt;=8/24,AX$9&lt;14/24)</formula>
    </cfRule>
  </conditionalFormatting>
  <conditionalFormatting sqref="AN89:AN92">
    <cfRule type="expression" dxfId="2052" priority="107">
      <formula>AN$9&gt;=20/24</formula>
    </cfRule>
    <cfRule type="expression" dxfId="2051" priority="110">
      <formula>AN$9&lt;8/24</formula>
    </cfRule>
    <cfRule type="expression" dxfId="2050" priority="109">
      <formula>AND(AN$9&gt;=8/24,AN$9&lt;14/24)</formula>
    </cfRule>
    <cfRule type="expression" dxfId="2049" priority="108">
      <formula>AND(AN$9&gt;=14/24,AN$9&lt;20/24)</formula>
    </cfRule>
  </conditionalFormatting>
  <conditionalFormatting sqref="AN15:AR15">
    <cfRule type="expression" dxfId="2048" priority="2">
      <formula>AND(U$9&gt;=14/24,U$9&lt;20/24)</formula>
    </cfRule>
    <cfRule type="expression" dxfId="2047" priority="3">
      <formula>AND(U$9&gt;=8/24,U$9&lt;14/24)</formula>
    </cfRule>
    <cfRule type="expression" dxfId="2046" priority="4">
      <formula>U$9&lt;8/24</formula>
    </cfRule>
    <cfRule type="expression" dxfId="2045" priority="1">
      <formula>U$9&gt;=20/24</formula>
    </cfRule>
  </conditionalFormatting>
  <conditionalFormatting sqref="AS15">
    <cfRule type="expression" dxfId="2044" priority="10">
      <formula>AND(AA$9&gt;=14/24,AA$9&lt;20/24)</formula>
    </cfRule>
    <cfRule type="expression" dxfId="2043" priority="9">
      <formula>AA$9&gt;=20/24</formula>
    </cfRule>
    <cfRule type="expression" dxfId="2042" priority="11">
      <formula>AND(AA$9&gt;=8/24,AA$9&lt;14/24)</formula>
    </cfRule>
    <cfRule type="expression" dxfId="2041" priority="12">
      <formula>AA$9&lt;8/24</formula>
    </cfRule>
  </conditionalFormatting>
  <conditionalFormatting sqref="AS16:AS21">
    <cfRule type="expression" dxfId="2040" priority="17">
      <formula>BE$9&gt;=20/24</formula>
    </cfRule>
    <cfRule type="expression" dxfId="2039" priority="20">
      <formula>BE$9&lt;8/24</formula>
    </cfRule>
    <cfRule type="expression" dxfId="2038" priority="18">
      <formula>AND(BE$9&gt;=14/24,BE$9&lt;20/24)</formula>
    </cfRule>
    <cfRule type="expression" dxfId="2037" priority="19">
      <formula>AND(BE$9&gt;=8/24,BE$9&lt;14/24)</formula>
    </cfRule>
  </conditionalFormatting>
  <conditionalFormatting sqref="AT15 AX15">
    <cfRule type="expression" dxfId="2036" priority="22">
      <formula>AND(AC$9&gt;=14/24,AC$9&lt;20/24)</formula>
    </cfRule>
    <cfRule type="expression" dxfId="2035" priority="21">
      <formula>AC$9&gt;=20/24</formula>
    </cfRule>
    <cfRule type="expression" dxfId="2034" priority="24">
      <formula>AC$9&lt;8/24</formula>
    </cfRule>
    <cfRule type="expression" dxfId="2033" priority="23">
      <formula>AND(AC$9&gt;=8/24,AC$9&lt;14/24)</formula>
    </cfRule>
  </conditionalFormatting>
  <conditionalFormatting sqref="AT16:AT21">
    <cfRule type="expression" dxfId="2032" priority="28">
      <formula>BG$9&lt;8/24</formula>
    </cfRule>
    <cfRule type="expression" dxfId="2031" priority="25">
      <formula>BG$9&gt;=20/24</formula>
    </cfRule>
    <cfRule type="expression" dxfId="2030" priority="26">
      <formula>AND(BG$9&gt;=14/24,BG$9&lt;20/24)</formula>
    </cfRule>
    <cfRule type="expression" dxfId="2029" priority="27">
      <formula>AND(BG$9&gt;=8/24,BG$9&lt;14/24)</formula>
    </cfRule>
  </conditionalFormatting>
  <conditionalFormatting sqref="AU15:AV15">
    <cfRule type="expression" dxfId="2028" priority="32">
      <formula>AE$9&lt;8/24</formula>
    </cfRule>
    <cfRule type="expression" dxfId="2027" priority="31">
      <formula>AND(AE$9&gt;=8/24,AE$9&lt;14/24)</formula>
    </cfRule>
    <cfRule type="expression" dxfId="2026" priority="30">
      <formula>AND(AE$9&gt;=14/24,AE$9&lt;20/24)</formula>
    </cfRule>
    <cfRule type="expression" dxfId="2025" priority="29">
      <formula>AE$9&gt;=20/24</formula>
    </cfRule>
  </conditionalFormatting>
  <conditionalFormatting sqref="AU16:AX21">
    <cfRule type="expression" dxfId="2024" priority="36">
      <formula>BI$9&lt;8/24</formula>
    </cfRule>
    <cfRule type="expression" dxfId="2023" priority="35">
      <formula>AND(BI$9&gt;=8/24,BI$9&lt;14/24)</formula>
    </cfRule>
    <cfRule type="expression" dxfId="2022" priority="33">
      <formula>BI$9&gt;=20/24</formula>
    </cfRule>
    <cfRule type="expression" dxfId="2021" priority="34">
      <formula>AND(BI$9&gt;=14/24,BI$9&lt;20/24)</formula>
    </cfRule>
  </conditionalFormatting>
  <conditionalFormatting sqref="AW15">
    <cfRule type="expression" dxfId="2020" priority="5">
      <formula>B$9&gt;=20/24</formula>
    </cfRule>
    <cfRule type="expression" dxfId="2019" priority="6">
      <formula>AND(B$9&gt;=14/24,B$9&lt;20/24)</formula>
    </cfRule>
    <cfRule type="expression" dxfId="2018" priority="7">
      <formula>AND(B$9&gt;=8/24,B$9&lt;14/24)</formula>
    </cfRule>
    <cfRule type="expression" dxfId="2017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39843-95B1-414A-8F70-AA652AEFBE4A}">
  <sheetPr codeName="Sheet17"/>
  <dimension ref="A1:CJ294"/>
  <sheetViews>
    <sheetView zoomScale="80" zoomScaleNormal="80" workbookViewId="0">
      <pane xSplit="1" ySplit="10" topLeftCell="AJ77" activePane="bottomRight" state="frozen"/>
      <selection activeCell="Z63" sqref="Z63"/>
      <selection pane="topRight" activeCell="Z63" sqref="Z63"/>
      <selection pane="bottomLeft" activeCell="Z63" sqref="Z63"/>
      <selection pane="bottomRight" activeCell="BG84" sqref="BG84:BL10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4" width="8" style="1" customWidth="1"/>
    <col min="35" max="35" width="9.5703125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2080/10/16</v>
      </c>
      <c r="C4" s="214"/>
      <c r="D4" s="214"/>
      <c r="E4" s="215" t="str">
        <f ca="1">"2080/"&amp;"10/"&amp;INT(MID(CELL("filename",G6),FIND("]",CELL("filename",G6))+1,200))</f>
        <v>2080/10/16</v>
      </c>
      <c r="F4" s="215"/>
      <c r="G4" s="215"/>
      <c r="H4" s="215" t="str">
        <f ca="1">TEXT(E4,"dddd")</f>
        <v>Wednesday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504.59999999999997</v>
      </c>
      <c r="C5" s="30">
        <f t="shared" ref="C5:AE5" si="0">D92</f>
        <v>496.3</v>
      </c>
      <c r="D5" s="30">
        <f t="shared" si="0"/>
        <v>517</v>
      </c>
      <c r="E5" s="30">
        <f t="shared" si="0"/>
        <v>518.5</v>
      </c>
      <c r="F5" s="30">
        <f t="shared" si="0"/>
        <v>549.9</v>
      </c>
      <c r="G5" s="30">
        <f t="shared" si="0"/>
        <v>595.09999999999991</v>
      </c>
      <c r="H5" s="30">
        <f t="shared" si="0"/>
        <v>507.8</v>
      </c>
      <c r="I5" s="30">
        <f t="shared" si="0"/>
        <v>380.7</v>
      </c>
      <c r="J5" s="30">
        <f t="shared" si="0"/>
        <v>384.90000000000003</v>
      </c>
      <c r="K5" s="30">
        <f t="shared" si="0"/>
        <v>369.3</v>
      </c>
      <c r="L5" s="30">
        <f t="shared" si="0"/>
        <v>572.5</v>
      </c>
      <c r="M5" s="30">
        <f t="shared" si="0"/>
        <v>536.40000000000009</v>
      </c>
      <c r="N5" s="30">
        <f t="shared" si="0"/>
        <v>550.20000000000005</v>
      </c>
      <c r="O5" s="30">
        <f t="shared" si="0"/>
        <v>567.79999999999995</v>
      </c>
      <c r="P5" s="30">
        <f t="shared" si="0"/>
        <v>567.09999999999991</v>
      </c>
      <c r="Q5" s="30">
        <f t="shared" si="0"/>
        <v>564.29999999999995</v>
      </c>
      <c r="R5" s="30">
        <f t="shared" si="0"/>
        <v>601.59999999999991</v>
      </c>
      <c r="S5" s="30">
        <f t="shared" si="0"/>
        <v>590.19999999999993</v>
      </c>
      <c r="T5" s="30">
        <f t="shared" si="0"/>
        <v>571.19999999999993</v>
      </c>
      <c r="U5" s="30">
        <f t="shared" si="0"/>
        <v>595.9</v>
      </c>
      <c r="V5" s="30">
        <f t="shared" si="0"/>
        <v>625.79999999999995</v>
      </c>
      <c r="W5" s="30">
        <f t="shared" si="0"/>
        <v>610.5</v>
      </c>
      <c r="X5" s="30">
        <f t="shared" si="0"/>
        <v>461</v>
      </c>
      <c r="Y5" s="30">
        <f t="shared" si="0"/>
        <v>295.2</v>
      </c>
      <c r="Z5" s="30">
        <f t="shared" si="0"/>
        <v>252.1</v>
      </c>
      <c r="AA5" s="30">
        <f t="shared" si="0"/>
        <v>239.6</v>
      </c>
      <c r="AB5" s="30">
        <f t="shared" si="0"/>
        <v>334.5</v>
      </c>
      <c r="AC5" s="30">
        <f t="shared" si="0"/>
        <v>324.59999999999997</v>
      </c>
      <c r="AD5" s="30">
        <f t="shared" si="0"/>
        <v>301.60000000000002</v>
      </c>
      <c r="AE5" s="30">
        <f t="shared" si="0"/>
        <v>346.1</v>
      </c>
      <c r="AF5" s="30">
        <f>B92</f>
        <v>476.2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1405MW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Load=1089</v>
      </c>
      <c r="B7" s="35">
        <f>B100</f>
        <v>1217.49</v>
      </c>
      <c r="C7" s="35">
        <f t="shared" ref="C7:AF7" si="1">C100</f>
        <v>1118.1899999999998</v>
      </c>
      <c r="D7" s="35">
        <f t="shared" si="1"/>
        <v>1088.69</v>
      </c>
      <c r="E7" s="35">
        <f t="shared" si="1"/>
        <v>1111.69</v>
      </c>
      <c r="F7" s="35">
        <f t="shared" si="1"/>
        <v>1122.5900000000001</v>
      </c>
      <c r="G7" s="35">
        <f t="shared" si="1"/>
        <v>1160.0899999999999</v>
      </c>
      <c r="H7" s="35">
        <f t="shared" si="1"/>
        <v>1209.79</v>
      </c>
      <c r="I7" s="35">
        <f t="shared" si="1"/>
        <v>1202.8899999999999</v>
      </c>
      <c r="J7" s="35">
        <f t="shared" si="1"/>
        <v>1346.6899999999998</v>
      </c>
      <c r="K7" s="35">
        <f t="shared" si="1"/>
        <v>1367.79</v>
      </c>
      <c r="L7" s="35">
        <f t="shared" si="1"/>
        <v>1393.79</v>
      </c>
      <c r="M7" s="35">
        <f t="shared" si="1"/>
        <v>1405.3899999999999</v>
      </c>
      <c r="N7" s="35">
        <f t="shared" si="1"/>
        <v>1340.49</v>
      </c>
      <c r="O7" s="35">
        <f t="shared" si="1"/>
        <v>1363.99</v>
      </c>
      <c r="P7" s="35">
        <f t="shared" si="1"/>
        <v>1345.79</v>
      </c>
      <c r="Q7" s="35">
        <f t="shared" si="1"/>
        <v>1339.0899999999997</v>
      </c>
      <c r="R7" s="35">
        <f t="shared" si="1"/>
        <v>1357.49</v>
      </c>
      <c r="S7" s="35">
        <f t="shared" si="1"/>
        <v>1394.8899999999999</v>
      </c>
      <c r="T7" s="35">
        <f t="shared" si="1"/>
        <v>1393.8899999999999</v>
      </c>
      <c r="U7" s="35">
        <f t="shared" si="1"/>
        <v>1361.0900000000001</v>
      </c>
      <c r="V7" s="35">
        <f t="shared" si="1"/>
        <v>1365.29</v>
      </c>
      <c r="W7" s="35">
        <f t="shared" si="1"/>
        <v>1419.5899999999997</v>
      </c>
      <c r="X7" s="35">
        <f t="shared" si="1"/>
        <v>1435.49</v>
      </c>
      <c r="Y7" s="35">
        <f t="shared" si="1"/>
        <v>1472.95</v>
      </c>
      <c r="Z7" s="35">
        <f t="shared" si="1"/>
        <v>1663.65</v>
      </c>
      <c r="AA7" s="35">
        <f t="shared" si="1"/>
        <v>1597.99</v>
      </c>
      <c r="AB7" s="35">
        <f t="shared" si="1"/>
        <v>1511.79</v>
      </c>
      <c r="AC7" s="35">
        <f t="shared" si="1"/>
        <v>1473.3899999999999</v>
      </c>
      <c r="AD7" s="35">
        <f t="shared" si="1"/>
        <v>1422.3899999999999</v>
      </c>
      <c r="AE7" s="35">
        <f t="shared" si="1"/>
        <v>1284.19</v>
      </c>
      <c r="AF7" s="35">
        <f t="shared" si="1"/>
        <v>1225.69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9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1405.39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1405.39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27.3</v>
      </c>
      <c r="C11" s="46">
        <v>27.3</v>
      </c>
      <c r="D11" s="46">
        <v>27.3</v>
      </c>
      <c r="E11" s="46">
        <v>27.3</v>
      </c>
      <c r="F11" s="46">
        <v>29</v>
      </c>
      <c r="G11" s="46">
        <v>29.8</v>
      </c>
      <c r="H11" s="46">
        <v>29.8</v>
      </c>
      <c r="I11" s="46">
        <v>30.3</v>
      </c>
      <c r="J11" s="46">
        <v>30</v>
      </c>
      <c r="K11" s="46">
        <v>30</v>
      </c>
      <c r="L11" s="46">
        <v>30.3</v>
      </c>
      <c r="M11" s="46">
        <v>30.3</v>
      </c>
      <c r="N11" s="46">
        <v>34.299999999999997</v>
      </c>
      <c r="O11" s="46">
        <v>28.5</v>
      </c>
      <c r="P11" s="46">
        <v>30.5</v>
      </c>
      <c r="Q11" s="46">
        <v>32.9</v>
      </c>
      <c r="R11" s="46">
        <v>26.7</v>
      </c>
      <c r="S11" s="46">
        <v>26.7</v>
      </c>
      <c r="T11" s="46">
        <v>26.7</v>
      </c>
      <c r="U11" s="46">
        <v>26.7</v>
      </c>
      <c r="V11" s="46">
        <v>26.7</v>
      </c>
      <c r="W11" s="46">
        <v>26.7</v>
      </c>
      <c r="X11" s="46">
        <v>26.7</v>
      </c>
      <c r="Y11" s="46">
        <v>26.7</v>
      </c>
      <c r="Z11" s="46">
        <v>26.7</v>
      </c>
      <c r="AA11" s="46">
        <v>26.7</v>
      </c>
      <c r="AB11" s="46">
        <v>26.7</v>
      </c>
      <c r="AC11" s="46">
        <v>26.7</v>
      </c>
      <c r="AD11" s="46">
        <v>26.7</v>
      </c>
      <c r="AE11" s="46">
        <v>26.7</v>
      </c>
      <c r="AF11" s="46">
        <v>26.7</v>
      </c>
      <c r="AG11" s="47">
        <v>86</v>
      </c>
      <c r="AH11" s="48">
        <f t="shared" ref="AH11:AH16" si="2">MAX(B11:AF11)</f>
        <v>34.299999999999997</v>
      </c>
      <c r="AI11" s="49">
        <f t="shared" ref="AI11:AI16" si="3">MIN(B11:AF11)</f>
        <v>26.7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10</v>
      </c>
      <c r="C12" s="46">
        <v>10</v>
      </c>
      <c r="D12" s="46">
        <v>10</v>
      </c>
      <c r="E12" s="46">
        <v>10</v>
      </c>
      <c r="F12" s="46">
        <v>10</v>
      </c>
      <c r="G12" s="46">
        <v>10</v>
      </c>
      <c r="H12" s="46">
        <v>10</v>
      </c>
      <c r="I12" s="46">
        <v>10</v>
      </c>
      <c r="J12" s="46">
        <v>10</v>
      </c>
      <c r="K12" s="46">
        <v>10.199999999999999</v>
      </c>
      <c r="L12" s="46">
        <v>10.5</v>
      </c>
      <c r="M12" s="46">
        <v>10.5</v>
      </c>
      <c r="N12" s="46">
        <v>10.5</v>
      </c>
      <c r="O12" s="46">
        <v>10.5</v>
      </c>
      <c r="P12" s="46">
        <v>10.5</v>
      </c>
      <c r="Q12" s="46">
        <v>10.5</v>
      </c>
      <c r="R12" s="46">
        <v>10.5</v>
      </c>
      <c r="S12" s="46">
        <v>10.5</v>
      </c>
      <c r="T12" s="46">
        <v>10.5</v>
      </c>
      <c r="U12" s="46">
        <v>10.5</v>
      </c>
      <c r="V12" s="46">
        <v>10.5</v>
      </c>
      <c r="W12" s="46">
        <v>10.5</v>
      </c>
      <c r="X12" s="46">
        <v>10.5</v>
      </c>
      <c r="Y12" s="46">
        <v>10.5</v>
      </c>
      <c r="Z12" s="46">
        <v>10.5</v>
      </c>
      <c r="AA12" s="46">
        <v>10.5</v>
      </c>
      <c r="AB12" s="46">
        <v>10.5</v>
      </c>
      <c r="AC12" s="46">
        <v>10.5</v>
      </c>
      <c r="AD12" s="46">
        <v>10.5</v>
      </c>
      <c r="AE12" s="46">
        <v>10.5</v>
      </c>
      <c r="AF12" s="46">
        <v>10.5</v>
      </c>
      <c r="AG12" s="50">
        <v>54</v>
      </c>
      <c r="AH12" s="48">
        <f t="shared" si="2"/>
        <v>10.5</v>
      </c>
      <c r="AI12" s="49">
        <f t="shared" si="3"/>
        <v>10</v>
      </c>
      <c r="AK12" s="51"/>
      <c r="AL12" s="52" t="str">
        <f ca="1">MID(CELL("filename",C7),FIND("]",CELL("filename",C7))+1,600)</f>
        <v>16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13.8</v>
      </c>
      <c r="C13" s="46">
        <v>13.8</v>
      </c>
      <c r="D13" s="46">
        <v>13.8</v>
      </c>
      <c r="E13" s="46">
        <v>13.8</v>
      </c>
      <c r="F13" s="46">
        <v>13.8</v>
      </c>
      <c r="G13" s="46">
        <v>13.8</v>
      </c>
      <c r="H13" s="46">
        <v>11.7</v>
      </c>
      <c r="I13" s="46">
        <v>11.9</v>
      </c>
      <c r="J13" s="46">
        <v>11.8</v>
      </c>
      <c r="K13" s="46">
        <v>11.7</v>
      </c>
      <c r="L13" s="46">
        <v>11.7</v>
      </c>
      <c r="M13" s="46">
        <v>11.7</v>
      </c>
      <c r="N13" s="46">
        <v>11.7</v>
      </c>
      <c r="O13" s="46">
        <v>11.7</v>
      </c>
      <c r="P13" s="46">
        <v>11.7</v>
      </c>
      <c r="Q13" s="46">
        <v>11.7</v>
      </c>
      <c r="R13" s="46">
        <v>11.7</v>
      </c>
      <c r="S13" s="46">
        <v>11.7</v>
      </c>
      <c r="T13" s="46">
        <v>11.7</v>
      </c>
      <c r="U13" s="46">
        <v>11.7</v>
      </c>
      <c r="V13" s="46">
        <v>11.7</v>
      </c>
      <c r="W13" s="46">
        <v>11.7</v>
      </c>
      <c r="X13" s="46">
        <v>11.7</v>
      </c>
      <c r="Y13" s="46">
        <v>11.7</v>
      </c>
      <c r="Z13" s="46">
        <v>11.7</v>
      </c>
      <c r="AA13" s="46">
        <v>11.7</v>
      </c>
      <c r="AB13" s="46">
        <v>11.7</v>
      </c>
      <c r="AC13" s="46">
        <v>11.7</v>
      </c>
      <c r="AD13" s="46">
        <v>11.7</v>
      </c>
      <c r="AE13" s="46">
        <v>11.7</v>
      </c>
      <c r="AF13" s="46">
        <v>11.7</v>
      </c>
      <c r="AG13" s="50">
        <v>54</v>
      </c>
      <c r="AH13" s="48">
        <f t="shared" si="2"/>
        <v>13.8</v>
      </c>
      <c r="AI13" s="49">
        <f t="shared" si="3"/>
        <v>11.7</v>
      </c>
      <c r="AK13" s="51"/>
      <c r="AL13" s="52" t="str">
        <f ca="1">"Daily Load Curve(Excluding of Export) of Nepal ("&amp;A4&amp;" "&amp;B4&amp;")"</f>
        <v>Daily Load Curve(Excluding of Export) of Nepal (Nepali Date: 2080/10/16)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15.3</v>
      </c>
      <c r="C14" s="46">
        <v>15.3</v>
      </c>
      <c r="D14" s="46">
        <v>15.3</v>
      </c>
      <c r="E14" s="46">
        <v>15.3</v>
      </c>
      <c r="F14" s="46">
        <v>15.3</v>
      </c>
      <c r="G14" s="46">
        <v>15.3</v>
      </c>
      <c r="H14" s="46">
        <v>17.100000000000001</v>
      </c>
      <c r="I14" s="46">
        <v>17.100000000000001</v>
      </c>
      <c r="J14" s="46">
        <v>20.2</v>
      </c>
      <c r="K14" s="46">
        <v>16</v>
      </c>
      <c r="L14" s="46">
        <v>16</v>
      </c>
      <c r="M14" s="46">
        <v>16</v>
      </c>
      <c r="N14" s="46">
        <v>16</v>
      </c>
      <c r="O14" s="46">
        <v>16</v>
      </c>
      <c r="P14" s="46">
        <v>16</v>
      </c>
      <c r="Q14" s="46">
        <v>16</v>
      </c>
      <c r="R14" s="46">
        <v>16</v>
      </c>
      <c r="S14" s="46">
        <v>16</v>
      </c>
      <c r="T14" s="46">
        <v>16</v>
      </c>
      <c r="U14" s="46">
        <v>16</v>
      </c>
      <c r="V14" s="46">
        <v>16</v>
      </c>
      <c r="W14" s="46">
        <v>16</v>
      </c>
      <c r="X14" s="46">
        <v>16</v>
      </c>
      <c r="Y14" s="46">
        <v>16</v>
      </c>
      <c r="Z14" s="46">
        <v>16</v>
      </c>
      <c r="AA14" s="46">
        <v>16</v>
      </c>
      <c r="AB14" s="46">
        <v>16</v>
      </c>
      <c r="AC14" s="46">
        <v>16</v>
      </c>
      <c r="AD14" s="46">
        <v>16</v>
      </c>
      <c r="AE14" s="46">
        <v>16</v>
      </c>
      <c r="AF14" s="46">
        <v>16</v>
      </c>
      <c r="AG14" s="47">
        <v>52.4</v>
      </c>
      <c r="AH14" s="48">
        <f t="shared" si="2"/>
        <v>20.2</v>
      </c>
      <c r="AI14" s="49">
        <f t="shared" si="3"/>
        <v>15.3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29</v>
      </c>
      <c r="C15" s="46">
        <v>29</v>
      </c>
      <c r="D15" s="46">
        <v>29</v>
      </c>
      <c r="E15" s="46">
        <v>29</v>
      </c>
      <c r="F15" s="46">
        <v>29</v>
      </c>
      <c r="G15" s="46">
        <v>29</v>
      </c>
      <c r="H15" s="46">
        <v>29.7</v>
      </c>
      <c r="I15" s="46">
        <v>32</v>
      </c>
      <c r="J15" s="46">
        <v>35.9</v>
      </c>
      <c r="K15" s="46">
        <v>35</v>
      </c>
      <c r="L15" s="46">
        <v>35.700000000000003</v>
      </c>
      <c r="M15" s="46">
        <v>35.700000000000003</v>
      </c>
      <c r="N15" s="46">
        <v>35.700000000000003</v>
      </c>
      <c r="O15" s="46">
        <v>35.700000000000003</v>
      </c>
      <c r="P15" s="46">
        <v>35.700000000000003</v>
      </c>
      <c r="Q15" s="46">
        <v>35.700000000000003</v>
      </c>
      <c r="R15" s="46">
        <v>35.700000000000003</v>
      </c>
      <c r="S15" s="46">
        <v>35.700000000000003</v>
      </c>
      <c r="T15" s="46">
        <v>35.700000000000003</v>
      </c>
      <c r="U15" s="46">
        <v>35.700000000000003</v>
      </c>
      <c r="V15" s="46">
        <v>35.700000000000003</v>
      </c>
      <c r="W15" s="46">
        <v>35.700000000000003</v>
      </c>
      <c r="X15" s="46">
        <v>35.700000000000003</v>
      </c>
      <c r="Y15" s="46">
        <v>35.700000000000003</v>
      </c>
      <c r="Z15" s="46">
        <v>35.700000000000003</v>
      </c>
      <c r="AA15" s="46">
        <v>35.700000000000003</v>
      </c>
      <c r="AB15" s="46">
        <v>35.700000000000003</v>
      </c>
      <c r="AC15" s="46">
        <v>35.700000000000003</v>
      </c>
      <c r="AD15" s="46">
        <v>35.700000000000003</v>
      </c>
      <c r="AE15" s="46">
        <v>35.700000000000003</v>
      </c>
      <c r="AF15" s="46">
        <v>35.700000000000003</v>
      </c>
      <c r="AG15" s="50">
        <v>50</v>
      </c>
      <c r="AH15" s="48">
        <f t="shared" si="2"/>
        <v>35.9</v>
      </c>
      <c r="AI15" s="49">
        <f t="shared" si="3"/>
        <v>29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15.9</v>
      </c>
      <c r="C16" s="46">
        <v>15.9</v>
      </c>
      <c r="D16" s="46">
        <v>15.9</v>
      </c>
      <c r="E16" s="46">
        <v>15.9</v>
      </c>
      <c r="F16" s="46">
        <v>15.9</v>
      </c>
      <c r="G16" s="46">
        <v>15.9</v>
      </c>
      <c r="H16" s="46">
        <v>15.9</v>
      </c>
      <c r="I16" s="46">
        <v>15.9</v>
      </c>
      <c r="J16" s="46">
        <v>15.9</v>
      </c>
      <c r="K16" s="46">
        <v>15.9</v>
      </c>
      <c r="L16" s="46">
        <v>15.9</v>
      </c>
      <c r="M16" s="46">
        <v>15.9</v>
      </c>
      <c r="N16" s="46">
        <v>15.9</v>
      </c>
      <c r="O16" s="46">
        <v>15.9</v>
      </c>
      <c r="P16" s="46">
        <v>15.9</v>
      </c>
      <c r="Q16" s="46">
        <v>15.9</v>
      </c>
      <c r="R16" s="46">
        <v>15.9</v>
      </c>
      <c r="S16" s="46">
        <v>15.9</v>
      </c>
      <c r="T16" s="46">
        <v>15.9</v>
      </c>
      <c r="U16" s="46">
        <v>15.9</v>
      </c>
      <c r="V16" s="46">
        <v>15.9</v>
      </c>
      <c r="W16" s="46">
        <v>15.9</v>
      </c>
      <c r="X16" s="46">
        <v>15.9</v>
      </c>
      <c r="Y16" s="46">
        <v>15.9</v>
      </c>
      <c r="Z16" s="46">
        <v>15.9</v>
      </c>
      <c r="AA16" s="46">
        <v>15.9</v>
      </c>
      <c r="AB16" s="46">
        <v>15.9</v>
      </c>
      <c r="AC16" s="46">
        <v>15.9</v>
      </c>
      <c r="AD16" s="46">
        <v>15.9</v>
      </c>
      <c r="AE16" s="46">
        <v>15.9</v>
      </c>
      <c r="AF16" s="46">
        <v>15.9</v>
      </c>
      <c r="AG16" s="50">
        <v>45</v>
      </c>
      <c r="AH16" s="48">
        <f t="shared" si="2"/>
        <v>15.9</v>
      </c>
      <c r="AI16" s="49">
        <f t="shared" si="3"/>
        <v>15.9</v>
      </c>
      <c r="AK16" s="51"/>
      <c r="AL16" s="54" t="s">
        <v>7</v>
      </c>
      <c r="AM16" s="59">
        <f>B58</f>
        <v>475.84999999999997</v>
      </c>
      <c r="AN16" s="59">
        <f t="shared" ref="AN16:AR16" si="4">C58</f>
        <v>475.84999999999997</v>
      </c>
      <c r="AO16" s="59">
        <f t="shared" si="4"/>
        <v>475.84999999999997</v>
      </c>
      <c r="AP16" s="59">
        <f t="shared" si="4"/>
        <v>475.84999999999997</v>
      </c>
      <c r="AQ16" s="59">
        <f t="shared" si="4"/>
        <v>477.54999999999995</v>
      </c>
      <c r="AR16" s="59">
        <f t="shared" si="4"/>
        <v>478.34999999999997</v>
      </c>
      <c r="AS16" s="59">
        <f>I58</f>
        <v>481.15</v>
      </c>
      <c r="AT16" s="59">
        <f>K58</f>
        <v>482.75</v>
      </c>
      <c r="AU16" s="59">
        <f t="shared" ref="AU16:AX16" si="5">M58</f>
        <v>492.05</v>
      </c>
      <c r="AV16" s="59">
        <f t="shared" si="5"/>
        <v>496.05</v>
      </c>
      <c r="AW16" s="59">
        <f t="shared" si="5"/>
        <v>490.25</v>
      </c>
      <c r="AX16" s="59">
        <f t="shared" si="5"/>
        <v>492.25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14</v>
      </c>
      <c r="C17" s="46">
        <v>14</v>
      </c>
      <c r="D17" s="46">
        <v>14</v>
      </c>
      <c r="E17" s="46">
        <v>14</v>
      </c>
      <c r="F17" s="46">
        <v>14</v>
      </c>
      <c r="G17" s="46">
        <v>14</v>
      </c>
      <c r="H17" s="46">
        <v>14</v>
      </c>
      <c r="I17" s="46">
        <v>14</v>
      </c>
      <c r="J17" s="46">
        <v>14</v>
      </c>
      <c r="K17" s="46">
        <v>14</v>
      </c>
      <c r="L17" s="46">
        <v>14</v>
      </c>
      <c r="M17" s="46">
        <v>14</v>
      </c>
      <c r="N17" s="46">
        <v>14</v>
      </c>
      <c r="O17" s="46">
        <v>14</v>
      </c>
      <c r="P17" s="46">
        <v>14</v>
      </c>
      <c r="Q17" s="46">
        <v>14</v>
      </c>
      <c r="R17" s="46">
        <v>14</v>
      </c>
      <c r="S17" s="46">
        <v>14</v>
      </c>
      <c r="T17" s="46">
        <v>14</v>
      </c>
      <c r="U17" s="46">
        <v>14</v>
      </c>
      <c r="V17" s="46">
        <v>14</v>
      </c>
      <c r="W17" s="46">
        <v>14</v>
      </c>
      <c r="X17" s="46">
        <v>14</v>
      </c>
      <c r="Y17" s="46">
        <v>14</v>
      </c>
      <c r="Z17" s="46">
        <v>14</v>
      </c>
      <c r="AA17" s="46">
        <v>14</v>
      </c>
      <c r="AB17" s="46">
        <v>14</v>
      </c>
      <c r="AC17" s="46">
        <v>14</v>
      </c>
      <c r="AD17" s="46">
        <v>14</v>
      </c>
      <c r="AE17" s="46">
        <v>14</v>
      </c>
      <c r="AF17" s="46">
        <v>14</v>
      </c>
      <c r="AG17" s="50">
        <v>44</v>
      </c>
      <c r="AH17" s="48">
        <f>MAX(B17:AG17)</f>
        <v>44</v>
      </c>
      <c r="AI17" s="49">
        <f>MIN(B17:AG17)</f>
        <v>14</v>
      </c>
      <c r="AK17" s="51"/>
      <c r="AL17" s="54" t="s">
        <v>27</v>
      </c>
      <c r="AM17" s="59">
        <f>B62</f>
        <v>37.4</v>
      </c>
      <c r="AN17" s="59">
        <f t="shared" ref="AN17:AR17" si="6">C62</f>
        <v>38.700000000000003</v>
      </c>
      <c r="AO17" s="59">
        <f t="shared" si="6"/>
        <v>38.700000000000003</v>
      </c>
      <c r="AP17" s="59">
        <f t="shared" si="6"/>
        <v>38.700000000000003</v>
      </c>
      <c r="AQ17" s="59">
        <f t="shared" si="6"/>
        <v>38.700000000000003</v>
      </c>
      <c r="AR17" s="59">
        <f t="shared" si="6"/>
        <v>38.700000000000003</v>
      </c>
      <c r="AS17" s="59">
        <f>I62</f>
        <v>68.8</v>
      </c>
      <c r="AT17" s="59">
        <f>K62</f>
        <v>253.8</v>
      </c>
      <c r="AU17" s="59">
        <f t="shared" ref="AU17:AX17" si="7">M62</f>
        <v>110.1</v>
      </c>
      <c r="AV17" s="59">
        <f t="shared" si="7"/>
        <v>69.3</v>
      </c>
      <c r="AW17" s="59">
        <f t="shared" si="7"/>
        <v>65.2</v>
      </c>
      <c r="AX17" s="59">
        <f t="shared" si="7"/>
        <v>35.299999999999997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10</v>
      </c>
      <c r="C18" s="46">
        <v>10</v>
      </c>
      <c r="D18" s="46">
        <v>10</v>
      </c>
      <c r="E18" s="46">
        <v>10</v>
      </c>
      <c r="F18" s="46">
        <v>10</v>
      </c>
      <c r="G18" s="46">
        <v>10</v>
      </c>
      <c r="H18" s="46">
        <v>9.4</v>
      </c>
      <c r="I18" s="46">
        <v>9.4</v>
      </c>
      <c r="J18" s="46">
        <v>9.4</v>
      </c>
      <c r="K18" s="46">
        <v>9.4</v>
      </c>
      <c r="L18" s="46">
        <v>9.4</v>
      </c>
      <c r="M18" s="46">
        <v>9.4</v>
      </c>
      <c r="N18" s="46">
        <v>9.4</v>
      </c>
      <c r="O18" s="46">
        <v>9.4</v>
      </c>
      <c r="P18" s="46">
        <v>9.4</v>
      </c>
      <c r="Q18" s="46">
        <v>9.4</v>
      </c>
      <c r="R18" s="46">
        <v>9.4</v>
      </c>
      <c r="S18" s="46">
        <v>9.4</v>
      </c>
      <c r="T18" s="46">
        <v>9.4</v>
      </c>
      <c r="U18" s="46">
        <v>9.4</v>
      </c>
      <c r="V18" s="46">
        <v>9.4</v>
      </c>
      <c r="W18" s="46">
        <v>9.4</v>
      </c>
      <c r="X18" s="46">
        <v>9.4</v>
      </c>
      <c r="Y18" s="46">
        <v>9.4</v>
      </c>
      <c r="Z18" s="46">
        <v>9.4</v>
      </c>
      <c r="AA18" s="46">
        <v>9.4</v>
      </c>
      <c r="AB18" s="46">
        <v>9.4</v>
      </c>
      <c r="AC18" s="46">
        <v>9.4</v>
      </c>
      <c r="AD18" s="46">
        <v>9.4</v>
      </c>
      <c r="AE18" s="46">
        <v>9.4</v>
      </c>
      <c r="AF18" s="46">
        <v>9.4</v>
      </c>
      <c r="AG18" s="50">
        <v>42</v>
      </c>
      <c r="AH18" s="48">
        <f t="shared" ref="AH18:AH81" si="8">MAX(B18:AF18)</f>
        <v>10</v>
      </c>
      <c r="AI18" s="49">
        <f t="shared" ref="AI18:AI81" si="9">MIN(B18:AF18)</f>
        <v>9.4</v>
      </c>
      <c r="AK18" s="51"/>
      <c r="AL18" s="54" t="s">
        <v>29</v>
      </c>
      <c r="AM18" s="59">
        <f>B76</f>
        <v>168.04</v>
      </c>
      <c r="AN18" s="59">
        <f t="shared" ref="AN18:AR18" si="10">C76</f>
        <v>99.04</v>
      </c>
      <c r="AO18" s="59">
        <f t="shared" si="10"/>
        <v>77.84</v>
      </c>
      <c r="AP18" s="59">
        <f t="shared" si="10"/>
        <v>80.14</v>
      </c>
      <c r="AQ18" s="59">
        <f t="shared" si="10"/>
        <v>87.84</v>
      </c>
      <c r="AR18" s="59">
        <f t="shared" si="10"/>
        <v>93.14</v>
      </c>
      <c r="AS18" s="59">
        <f>I76</f>
        <v>145.13999999999999</v>
      </c>
      <c r="AT18" s="59">
        <f>K76</f>
        <v>246.33999999999997</v>
      </c>
      <c r="AU18" s="59">
        <f t="shared" ref="AU18:AX18" si="11">M76</f>
        <v>230.73999999999995</v>
      </c>
      <c r="AV18" s="59">
        <f t="shared" si="11"/>
        <v>238.73999999999995</v>
      </c>
      <c r="AW18" s="59">
        <f t="shared" si="11"/>
        <v>258.33999999999997</v>
      </c>
      <c r="AX18" s="59">
        <f t="shared" si="11"/>
        <v>250.44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15</v>
      </c>
      <c r="C19" s="46">
        <v>15</v>
      </c>
      <c r="D19" s="46">
        <v>15</v>
      </c>
      <c r="E19" s="46">
        <v>15</v>
      </c>
      <c r="F19" s="46">
        <v>15</v>
      </c>
      <c r="G19" s="46">
        <v>15</v>
      </c>
      <c r="H19" s="46">
        <v>15</v>
      </c>
      <c r="I19" s="46">
        <v>15</v>
      </c>
      <c r="J19" s="46">
        <v>15</v>
      </c>
      <c r="K19" s="46">
        <v>15</v>
      </c>
      <c r="L19" s="46">
        <v>15</v>
      </c>
      <c r="M19" s="46">
        <v>15</v>
      </c>
      <c r="N19" s="46">
        <v>15</v>
      </c>
      <c r="O19" s="46">
        <v>15</v>
      </c>
      <c r="P19" s="46">
        <v>15</v>
      </c>
      <c r="Q19" s="46">
        <v>15</v>
      </c>
      <c r="R19" s="46">
        <v>15</v>
      </c>
      <c r="S19" s="46">
        <v>15</v>
      </c>
      <c r="T19" s="46">
        <v>15</v>
      </c>
      <c r="U19" s="46">
        <v>15</v>
      </c>
      <c r="V19" s="46">
        <v>15</v>
      </c>
      <c r="W19" s="46">
        <v>15</v>
      </c>
      <c r="X19" s="46">
        <v>15</v>
      </c>
      <c r="Y19" s="46">
        <v>15</v>
      </c>
      <c r="Z19" s="46">
        <v>15</v>
      </c>
      <c r="AA19" s="46">
        <v>15</v>
      </c>
      <c r="AB19" s="46">
        <v>15</v>
      </c>
      <c r="AC19" s="46">
        <v>15</v>
      </c>
      <c r="AD19" s="46">
        <v>15</v>
      </c>
      <c r="AE19" s="46">
        <v>15</v>
      </c>
      <c r="AF19" s="46">
        <v>15</v>
      </c>
      <c r="AG19" s="50">
        <v>38.46</v>
      </c>
      <c r="AH19" s="48">
        <f t="shared" si="8"/>
        <v>15</v>
      </c>
      <c r="AI19" s="49">
        <f t="shared" si="9"/>
        <v>15</v>
      </c>
      <c r="AK19" s="51"/>
      <c r="AL19" s="54" t="s">
        <v>31</v>
      </c>
      <c r="AM19" s="59">
        <f>B92</f>
        <v>476.2</v>
      </c>
      <c r="AN19" s="59">
        <f t="shared" ref="AN19:AR19" si="12">C92</f>
        <v>504.59999999999997</v>
      </c>
      <c r="AO19" s="59">
        <f t="shared" si="12"/>
        <v>496.3</v>
      </c>
      <c r="AP19" s="59">
        <f t="shared" si="12"/>
        <v>517</v>
      </c>
      <c r="AQ19" s="59">
        <f t="shared" si="12"/>
        <v>518.5</v>
      </c>
      <c r="AR19" s="59">
        <f t="shared" si="12"/>
        <v>549.9</v>
      </c>
      <c r="AS19" s="59">
        <f>I92</f>
        <v>507.8</v>
      </c>
      <c r="AT19" s="59">
        <f>K92</f>
        <v>384.90000000000003</v>
      </c>
      <c r="AU19" s="59">
        <f t="shared" ref="AU19:AX19" si="13">M92</f>
        <v>572.5</v>
      </c>
      <c r="AV19" s="59">
        <f t="shared" si="13"/>
        <v>536.40000000000009</v>
      </c>
      <c r="AW19" s="59">
        <f t="shared" si="13"/>
        <v>550.20000000000005</v>
      </c>
      <c r="AX19" s="59">
        <f t="shared" si="13"/>
        <v>567.79999999999995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7.8</v>
      </c>
      <c r="C20" s="46">
        <v>7.8</v>
      </c>
      <c r="D20" s="46">
        <v>7.8</v>
      </c>
      <c r="E20" s="46">
        <v>7.8</v>
      </c>
      <c r="F20" s="46">
        <v>7.8</v>
      </c>
      <c r="G20" s="46">
        <v>7.8</v>
      </c>
      <c r="H20" s="46">
        <v>7.8</v>
      </c>
      <c r="I20" s="46">
        <v>7.8</v>
      </c>
      <c r="J20" s="46">
        <v>7.8</v>
      </c>
      <c r="K20" s="46">
        <v>7.8</v>
      </c>
      <c r="L20" s="46">
        <v>7.8</v>
      </c>
      <c r="M20" s="46">
        <v>7.8</v>
      </c>
      <c r="N20" s="46">
        <v>7.8</v>
      </c>
      <c r="O20" s="46">
        <v>7.8</v>
      </c>
      <c r="P20" s="46">
        <v>7.8</v>
      </c>
      <c r="Q20" s="46">
        <v>7.8</v>
      </c>
      <c r="R20" s="46">
        <v>7.8</v>
      </c>
      <c r="S20" s="46">
        <v>7.8</v>
      </c>
      <c r="T20" s="46">
        <v>7.8</v>
      </c>
      <c r="U20" s="46">
        <v>7.8</v>
      </c>
      <c r="V20" s="46">
        <v>7.8</v>
      </c>
      <c r="W20" s="46">
        <v>7.8</v>
      </c>
      <c r="X20" s="46">
        <v>7.8</v>
      </c>
      <c r="Y20" s="46">
        <v>7.8</v>
      </c>
      <c r="Z20" s="46">
        <v>7.8</v>
      </c>
      <c r="AA20" s="46">
        <v>7.8</v>
      </c>
      <c r="AB20" s="46">
        <v>7.8</v>
      </c>
      <c r="AC20" s="46">
        <v>7.8</v>
      </c>
      <c r="AD20" s="46">
        <v>7.8</v>
      </c>
      <c r="AE20" s="46">
        <v>7.8</v>
      </c>
      <c r="AF20" s="46">
        <v>7.8</v>
      </c>
      <c r="AG20" s="50">
        <v>38.46</v>
      </c>
      <c r="AH20" s="48">
        <f t="shared" si="8"/>
        <v>7.8</v>
      </c>
      <c r="AI20" s="49">
        <f t="shared" si="9"/>
        <v>7.8</v>
      </c>
      <c r="AK20" s="51"/>
      <c r="AL20" s="54" t="s">
        <v>33</v>
      </c>
      <c r="AM20" s="59">
        <f>B80</f>
        <v>0</v>
      </c>
      <c r="AN20" s="59">
        <f t="shared" ref="AN20:AR20" si="14">C80</f>
        <v>0</v>
      </c>
      <c r="AO20" s="59">
        <f t="shared" si="14"/>
        <v>0</v>
      </c>
      <c r="AP20" s="59">
        <f t="shared" si="14"/>
        <v>0</v>
      </c>
      <c r="AQ20" s="59">
        <f t="shared" si="14"/>
        <v>0</v>
      </c>
      <c r="AR20" s="59">
        <f t="shared" si="14"/>
        <v>0</v>
      </c>
      <c r="AS20" s="59">
        <f>I80</f>
        <v>0</v>
      </c>
      <c r="AT20" s="59">
        <f>K80</f>
        <v>0</v>
      </c>
      <c r="AU20" s="59">
        <f t="shared" ref="AU20:AX20" si="15">M80</f>
        <v>0</v>
      </c>
      <c r="AV20" s="59">
        <f t="shared" si="15"/>
        <v>0</v>
      </c>
      <c r="AW20" s="59">
        <f t="shared" si="15"/>
        <v>0</v>
      </c>
      <c r="AX20" s="59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13</v>
      </c>
      <c r="C21" s="46">
        <v>13</v>
      </c>
      <c r="D21" s="46">
        <v>13</v>
      </c>
      <c r="E21" s="46">
        <v>13</v>
      </c>
      <c r="F21" s="46">
        <v>13</v>
      </c>
      <c r="G21" s="46">
        <v>13</v>
      </c>
      <c r="H21" s="46">
        <v>13</v>
      </c>
      <c r="I21" s="46">
        <v>13</v>
      </c>
      <c r="J21" s="46">
        <v>13</v>
      </c>
      <c r="K21" s="46">
        <v>13</v>
      </c>
      <c r="L21" s="46">
        <v>13</v>
      </c>
      <c r="M21" s="46">
        <v>13</v>
      </c>
      <c r="N21" s="46">
        <v>13</v>
      </c>
      <c r="O21" s="46">
        <v>13</v>
      </c>
      <c r="P21" s="46">
        <v>13</v>
      </c>
      <c r="Q21" s="46">
        <v>13</v>
      </c>
      <c r="R21" s="46">
        <v>13</v>
      </c>
      <c r="S21" s="46">
        <v>13</v>
      </c>
      <c r="T21" s="46">
        <v>13</v>
      </c>
      <c r="U21" s="46">
        <v>13</v>
      </c>
      <c r="V21" s="46">
        <v>13</v>
      </c>
      <c r="W21" s="46">
        <v>13</v>
      </c>
      <c r="X21" s="46">
        <v>13</v>
      </c>
      <c r="Y21" s="46">
        <v>13</v>
      </c>
      <c r="Z21" s="46">
        <v>13</v>
      </c>
      <c r="AA21" s="46">
        <v>13</v>
      </c>
      <c r="AB21" s="46">
        <v>13</v>
      </c>
      <c r="AC21" s="46">
        <v>13</v>
      </c>
      <c r="AD21" s="46">
        <v>13</v>
      </c>
      <c r="AE21" s="46">
        <v>13</v>
      </c>
      <c r="AF21" s="46">
        <v>13</v>
      </c>
      <c r="AG21" s="50">
        <v>36</v>
      </c>
      <c r="AH21" s="48">
        <f t="shared" si="8"/>
        <v>13</v>
      </c>
      <c r="AI21" s="49">
        <f t="shared" si="9"/>
        <v>13</v>
      </c>
      <c r="AK21" s="51"/>
      <c r="AL21" s="54" t="s">
        <v>35</v>
      </c>
      <c r="AM21" s="59">
        <f>B98</f>
        <v>60</v>
      </c>
      <c r="AN21" s="59">
        <f t="shared" ref="AN21:AR21" si="16">C98</f>
        <v>0</v>
      </c>
      <c r="AO21" s="59">
        <f t="shared" si="16"/>
        <v>0</v>
      </c>
      <c r="AP21" s="59">
        <f t="shared" si="16"/>
        <v>0</v>
      </c>
      <c r="AQ21" s="59">
        <f t="shared" si="16"/>
        <v>0</v>
      </c>
      <c r="AR21" s="59">
        <f t="shared" si="16"/>
        <v>0</v>
      </c>
      <c r="AS21" s="59">
        <f>I98</f>
        <v>0</v>
      </c>
      <c r="AT21" s="59">
        <f>K98</f>
        <v>0</v>
      </c>
      <c r="AU21" s="59">
        <f t="shared" ref="AU21:AX21" si="17">M98</f>
        <v>0</v>
      </c>
      <c r="AV21" s="59">
        <f t="shared" si="17"/>
        <v>0</v>
      </c>
      <c r="AW21" s="59">
        <f t="shared" si="17"/>
        <v>0</v>
      </c>
      <c r="AX21" s="59">
        <f t="shared" si="17"/>
        <v>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8.4</v>
      </c>
      <c r="C22" s="46">
        <v>8.4</v>
      </c>
      <c r="D22" s="46">
        <v>8.4</v>
      </c>
      <c r="E22" s="46">
        <v>8.4</v>
      </c>
      <c r="F22" s="46">
        <v>8.4</v>
      </c>
      <c r="G22" s="46">
        <v>8.4</v>
      </c>
      <c r="H22" s="46">
        <v>8.4</v>
      </c>
      <c r="I22" s="46">
        <v>8.4</v>
      </c>
      <c r="J22" s="46">
        <v>8.4</v>
      </c>
      <c r="K22" s="46">
        <v>8.4</v>
      </c>
      <c r="L22" s="46">
        <v>8.4</v>
      </c>
      <c r="M22" s="46">
        <v>8.4</v>
      </c>
      <c r="N22" s="46">
        <v>8.4</v>
      </c>
      <c r="O22" s="46">
        <v>8.4</v>
      </c>
      <c r="P22" s="46">
        <v>8.4</v>
      </c>
      <c r="Q22" s="46">
        <v>8.4</v>
      </c>
      <c r="R22" s="46">
        <v>8.4</v>
      </c>
      <c r="S22" s="46">
        <v>8.4</v>
      </c>
      <c r="T22" s="46">
        <v>8.4</v>
      </c>
      <c r="U22" s="46">
        <v>8.4</v>
      </c>
      <c r="V22" s="46">
        <v>8.4</v>
      </c>
      <c r="W22" s="46">
        <v>8.4</v>
      </c>
      <c r="X22" s="46">
        <v>8.4</v>
      </c>
      <c r="Y22" s="46">
        <v>8.4</v>
      </c>
      <c r="Z22" s="46">
        <v>8.4</v>
      </c>
      <c r="AA22" s="46">
        <v>8.4</v>
      </c>
      <c r="AB22" s="46">
        <v>8.4</v>
      </c>
      <c r="AC22" s="46">
        <v>8.4</v>
      </c>
      <c r="AD22" s="46">
        <v>8.4</v>
      </c>
      <c r="AE22" s="46">
        <v>8.4</v>
      </c>
      <c r="AF22" s="46">
        <v>8.4</v>
      </c>
      <c r="AG22" s="60">
        <v>30</v>
      </c>
      <c r="AH22" s="48">
        <f t="shared" si="8"/>
        <v>8.4</v>
      </c>
      <c r="AI22" s="49">
        <f t="shared" si="9"/>
        <v>8.4</v>
      </c>
      <c r="AK22" s="51"/>
      <c r="AL22" s="61" t="s">
        <v>37</v>
      </c>
      <c r="AM22" s="62">
        <f>SUM(AM16:AM21)</f>
        <v>1217.49</v>
      </c>
      <c r="AN22" s="62">
        <f t="shared" ref="AN22:AX22" si="18">SUM(AN16:AN21)</f>
        <v>1118.1899999999998</v>
      </c>
      <c r="AO22" s="62">
        <f t="shared" si="18"/>
        <v>1088.69</v>
      </c>
      <c r="AP22" s="62">
        <f t="shared" si="18"/>
        <v>1111.69</v>
      </c>
      <c r="AQ22" s="62">
        <f t="shared" si="18"/>
        <v>1122.5900000000001</v>
      </c>
      <c r="AR22" s="62">
        <f t="shared" si="18"/>
        <v>1160.0899999999999</v>
      </c>
      <c r="AS22" s="62">
        <f t="shared" si="18"/>
        <v>1202.8899999999999</v>
      </c>
      <c r="AT22" s="62">
        <f t="shared" si="18"/>
        <v>1367.79</v>
      </c>
      <c r="AU22" s="62">
        <f t="shared" si="18"/>
        <v>1405.3899999999999</v>
      </c>
      <c r="AV22" s="62">
        <f t="shared" si="18"/>
        <v>1340.49</v>
      </c>
      <c r="AW22" s="62">
        <f t="shared" si="18"/>
        <v>1363.99</v>
      </c>
      <c r="AX22" s="62">
        <f t="shared" si="18"/>
        <v>1345.79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6</v>
      </c>
      <c r="C23" s="46">
        <v>6</v>
      </c>
      <c r="D23" s="46">
        <v>6</v>
      </c>
      <c r="E23" s="46">
        <v>6</v>
      </c>
      <c r="F23" s="46">
        <v>6</v>
      </c>
      <c r="G23" s="46">
        <v>6</v>
      </c>
      <c r="H23" s="46">
        <v>6</v>
      </c>
      <c r="I23" s="46">
        <v>6</v>
      </c>
      <c r="J23" s="46">
        <v>6</v>
      </c>
      <c r="K23" s="46">
        <v>6</v>
      </c>
      <c r="L23" s="46">
        <v>6</v>
      </c>
      <c r="M23" s="46">
        <v>6</v>
      </c>
      <c r="N23" s="46">
        <v>6</v>
      </c>
      <c r="O23" s="46">
        <v>6</v>
      </c>
      <c r="P23" s="46">
        <v>6</v>
      </c>
      <c r="Q23" s="46">
        <v>6</v>
      </c>
      <c r="R23" s="46">
        <v>6</v>
      </c>
      <c r="S23" s="46">
        <v>6</v>
      </c>
      <c r="T23" s="46">
        <v>6</v>
      </c>
      <c r="U23" s="46">
        <v>6</v>
      </c>
      <c r="V23" s="46">
        <v>6</v>
      </c>
      <c r="W23" s="46">
        <v>6</v>
      </c>
      <c r="X23" s="46">
        <v>6</v>
      </c>
      <c r="Y23" s="46">
        <v>6</v>
      </c>
      <c r="Z23" s="46">
        <v>6</v>
      </c>
      <c r="AA23" s="46">
        <v>6</v>
      </c>
      <c r="AB23" s="46">
        <v>6</v>
      </c>
      <c r="AC23" s="46">
        <v>6</v>
      </c>
      <c r="AD23" s="46">
        <v>6</v>
      </c>
      <c r="AE23" s="46">
        <v>6</v>
      </c>
      <c r="AF23" s="46">
        <v>6</v>
      </c>
      <c r="AG23" s="50">
        <v>24.2</v>
      </c>
      <c r="AH23" s="48">
        <f t="shared" si="8"/>
        <v>6</v>
      </c>
      <c r="AI23" s="49">
        <f t="shared" si="9"/>
        <v>6</v>
      </c>
      <c r="AK23" s="51"/>
      <c r="AL23" s="61" t="s">
        <v>39</v>
      </c>
      <c r="AM23" s="62">
        <f>B107*-1</f>
        <v>0</v>
      </c>
      <c r="AN23" s="62">
        <f t="shared" ref="AN23:AR23" si="19">C107*-1</f>
        <v>0</v>
      </c>
      <c r="AO23" s="62">
        <f t="shared" si="19"/>
        <v>0</v>
      </c>
      <c r="AP23" s="62">
        <f t="shared" si="19"/>
        <v>0</v>
      </c>
      <c r="AQ23" s="62">
        <f t="shared" si="19"/>
        <v>0</v>
      </c>
      <c r="AR23" s="62">
        <f t="shared" si="19"/>
        <v>0</v>
      </c>
      <c r="AS23" s="62">
        <f>I107*-1</f>
        <v>0</v>
      </c>
      <c r="AT23" s="62">
        <f>K107*-1</f>
        <v>0</v>
      </c>
      <c r="AU23" s="62">
        <f t="shared" ref="AU23:AX23" si="20">M107*-1</f>
        <v>0</v>
      </c>
      <c r="AV23" s="62">
        <f t="shared" si="20"/>
        <v>0</v>
      </c>
      <c r="AW23" s="62">
        <f t="shared" si="20"/>
        <v>0</v>
      </c>
      <c r="AX23" s="62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7.6</v>
      </c>
      <c r="C24" s="46">
        <v>7.6</v>
      </c>
      <c r="D24" s="46">
        <v>7.6</v>
      </c>
      <c r="E24" s="46">
        <v>7.6</v>
      </c>
      <c r="F24" s="46">
        <v>7.6</v>
      </c>
      <c r="G24" s="46">
        <v>7.6</v>
      </c>
      <c r="H24" s="46">
        <v>7.6</v>
      </c>
      <c r="I24" s="46">
        <v>7.6</v>
      </c>
      <c r="J24" s="46">
        <v>7.6</v>
      </c>
      <c r="K24" s="46">
        <v>7.6</v>
      </c>
      <c r="L24" s="46">
        <v>7.6</v>
      </c>
      <c r="M24" s="46">
        <v>7.6</v>
      </c>
      <c r="N24" s="46">
        <v>7.6</v>
      </c>
      <c r="O24" s="46">
        <v>7.6</v>
      </c>
      <c r="P24" s="46">
        <v>7.6</v>
      </c>
      <c r="Q24" s="46">
        <v>0</v>
      </c>
      <c r="R24" s="46">
        <v>0</v>
      </c>
      <c r="S24" s="46">
        <v>0</v>
      </c>
      <c r="T24" s="46">
        <v>0</v>
      </c>
      <c r="U24" s="46">
        <v>0</v>
      </c>
      <c r="V24" s="46">
        <v>0</v>
      </c>
      <c r="W24" s="46">
        <v>0</v>
      </c>
      <c r="X24" s="46">
        <v>0</v>
      </c>
      <c r="Y24" s="46">
        <v>0</v>
      </c>
      <c r="Z24" s="46">
        <v>0</v>
      </c>
      <c r="AA24" s="46">
        <v>0</v>
      </c>
      <c r="AB24" s="46">
        <v>0</v>
      </c>
      <c r="AC24" s="46">
        <v>0</v>
      </c>
      <c r="AD24" s="46">
        <v>0</v>
      </c>
      <c r="AE24" s="46">
        <v>0</v>
      </c>
      <c r="AF24" s="46">
        <v>0</v>
      </c>
      <c r="AG24" s="50">
        <v>28</v>
      </c>
      <c r="AH24" s="48">
        <f t="shared" si="8"/>
        <v>7.6</v>
      </c>
      <c r="AI24" s="49">
        <f t="shared" si="9"/>
        <v>0</v>
      </c>
      <c r="AK24" s="51"/>
      <c r="AL24" s="61" t="s">
        <v>41</v>
      </c>
      <c r="AM24" s="62">
        <f>AM22+AM23</f>
        <v>1217.49</v>
      </c>
      <c r="AN24" s="62">
        <f t="shared" ref="AN24:AX24" si="21">AN22+AN23</f>
        <v>1118.1899999999998</v>
      </c>
      <c r="AO24" s="62">
        <f t="shared" si="21"/>
        <v>1088.69</v>
      </c>
      <c r="AP24" s="62">
        <f t="shared" si="21"/>
        <v>1111.69</v>
      </c>
      <c r="AQ24" s="62">
        <f t="shared" si="21"/>
        <v>1122.5900000000001</v>
      </c>
      <c r="AR24" s="62">
        <f t="shared" si="21"/>
        <v>1160.0899999999999</v>
      </c>
      <c r="AS24" s="62">
        <f t="shared" si="21"/>
        <v>1202.8899999999999</v>
      </c>
      <c r="AT24" s="62">
        <f t="shared" si="21"/>
        <v>1367.79</v>
      </c>
      <c r="AU24" s="62">
        <f t="shared" si="21"/>
        <v>1405.3899999999999</v>
      </c>
      <c r="AV24" s="62">
        <f t="shared" si="21"/>
        <v>1340.49</v>
      </c>
      <c r="AW24" s="62">
        <f t="shared" si="21"/>
        <v>1363.99</v>
      </c>
      <c r="AX24" s="62">
        <f t="shared" si="21"/>
        <v>1345.79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4.5</v>
      </c>
      <c r="C25" s="46">
        <v>4.5</v>
      </c>
      <c r="D25" s="46">
        <v>4.5</v>
      </c>
      <c r="E25" s="46">
        <v>4.5</v>
      </c>
      <c r="F25" s="46">
        <v>4.5</v>
      </c>
      <c r="G25" s="46">
        <v>4.5</v>
      </c>
      <c r="H25" s="46">
        <v>4.5</v>
      </c>
      <c r="I25" s="46">
        <v>4.5</v>
      </c>
      <c r="J25" s="46">
        <v>4.5</v>
      </c>
      <c r="K25" s="46">
        <v>4.5</v>
      </c>
      <c r="L25" s="46">
        <v>4.5</v>
      </c>
      <c r="M25" s="46">
        <v>4.5</v>
      </c>
      <c r="N25" s="46">
        <v>4.5</v>
      </c>
      <c r="O25" s="46">
        <v>4.5</v>
      </c>
      <c r="P25" s="46">
        <v>4.5</v>
      </c>
      <c r="Q25" s="46">
        <v>4.5</v>
      </c>
      <c r="R25" s="46">
        <v>4.5</v>
      </c>
      <c r="S25" s="46">
        <v>4.5</v>
      </c>
      <c r="T25" s="46">
        <v>4.5</v>
      </c>
      <c r="U25" s="46">
        <v>4.5</v>
      </c>
      <c r="V25" s="46">
        <v>4.5</v>
      </c>
      <c r="W25" s="46">
        <v>4.5</v>
      </c>
      <c r="X25" s="46">
        <v>4.5</v>
      </c>
      <c r="Y25" s="46">
        <v>4.5</v>
      </c>
      <c r="Z25" s="46">
        <v>4.5</v>
      </c>
      <c r="AA25" s="46">
        <v>4.5</v>
      </c>
      <c r="AB25" s="46">
        <v>4.5</v>
      </c>
      <c r="AC25" s="46">
        <v>4.5</v>
      </c>
      <c r="AD25" s="46">
        <v>4.5</v>
      </c>
      <c r="AE25" s="46">
        <v>4.5</v>
      </c>
      <c r="AF25" s="46">
        <v>4.5</v>
      </c>
      <c r="AG25" s="60">
        <v>30</v>
      </c>
      <c r="AH25" s="48">
        <f t="shared" si="8"/>
        <v>4.5</v>
      </c>
      <c r="AI25" s="49">
        <f t="shared" si="9"/>
        <v>4.5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10.7</v>
      </c>
      <c r="C26" s="46">
        <v>10.7</v>
      </c>
      <c r="D26" s="46">
        <v>10.7</v>
      </c>
      <c r="E26" s="46">
        <v>10.7</v>
      </c>
      <c r="F26" s="46">
        <v>10.7</v>
      </c>
      <c r="G26" s="46">
        <v>10.7</v>
      </c>
      <c r="H26" s="46">
        <v>10.7</v>
      </c>
      <c r="I26" s="46">
        <v>10.7</v>
      </c>
      <c r="J26" s="46">
        <v>10.7</v>
      </c>
      <c r="K26" s="46">
        <v>10.7</v>
      </c>
      <c r="L26" s="46">
        <v>10.7</v>
      </c>
      <c r="M26" s="46">
        <v>10.7</v>
      </c>
      <c r="N26" s="46">
        <v>10.7</v>
      </c>
      <c r="O26" s="46">
        <v>10.7</v>
      </c>
      <c r="P26" s="46">
        <v>10.7</v>
      </c>
      <c r="Q26" s="46">
        <v>10.7</v>
      </c>
      <c r="R26" s="46">
        <v>10.7</v>
      </c>
      <c r="S26" s="46">
        <v>10.7</v>
      </c>
      <c r="T26" s="46">
        <v>10.7</v>
      </c>
      <c r="U26" s="46">
        <v>10.7</v>
      </c>
      <c r="V26" s="46">
        <v>10.7</v>
      </c>
      <c r="W26" s="46">
        <v>10.7</v>
      </c>
      <c r="X26" s="46">
        <v>10.7</v>
      </c>
      <c r="Y26" s="46">
        <v>10.7</v>
      </c>
      <c r="Z26" s="46">
        <v>10.7</v>
      </c>
      <c r="AA26" s="46">
        <v>10.7</v>
      </c>
      <c r="AB26" s="46">
        <v>10.7</v>
      </c>
      <c r="AC26" s="46">
        <v>10.7</v>
      </c>
      <c r="AD26" s="46">
        <v>10.7</v>
      </c>
      <c r="AE26" s="46">
        <v>10.7</v>
      </c>
      <c r="AF26" s="46">
        <v>10.7</v>
      </c>
      <c r="AG26" s="50">
        <v>25</v>
      </c>
      <c r="AH26" s="48">
        <f t="shared" si="8"/>
        <v>10.7</v>
      </c>
      <c r="AI26" s="49">
        <f t="shared" si="9"/>
        <v>10.7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5</v>
      </c>
      <c r="N27" s="46">
        <v>5</v>
      </c>
      <c r="O27" s="46">
        <v>5</v>
      </c>
      <c r="P27" s="46">
        <v>5</v>
      </c>
      <c r="Q27" s="46">
        <v>5</v>
      </c>
      <c r="R27" s="46">
        <v>5</v>
      </c>
      <c r="S27" s="46">
        <v>5</v>
      </c>
      <c r="T27" s="46">
        <v>5</v>
      </c>
      <c r="U27" s="46">
        <v>5</v>
      </c>
      <c r="V27" s="46">
        <v>5</v>
      </c>
      <c r="W27" s="46">
        <v>5</v>
      </c>
      <c r="X27" s="46">
        <v>5</v>
      </c>
      <c r="Y27" s="46">
        <v>5</v>
      </c>
      <c r="Z27" s="46">
        <v>5</v>
      </c>
      <c r="AA27" s="46">
        <v>5</v>
      </c>
      <c r="AB27" s="46">
        <v>5</v>
      </c>
      <c r="AC27" s="46">
        <v>5</v>
      </c>
      <c r="AD27" s="46">
        <v>5</v>
      </c>
      <c r="AE27" s="46">
        <v>5</v>
      </c>
      <c r="AF27" s="46">
        <v>5</v>
      </c>
      <c r="AG27" s="50">
        <v>25</v>
      </c>
      <c r="AH27" s="48">
        <f t="shared" si="8"/>
        <v>5</v>
      </c>
      <c r="AI27" s="49">
        <f t="shared" si="9"/>
        <v>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6</v>
      </c>
      <c r="C28" s="46">
        <v>6</v>
      </c>
      <c r="D28" s="46">
        <v>6</v>
      </c>
      <c r="E28" s="46">
        <v>6</v>
      </c>
      <c r="F28" s="46">
        <v>6</v>
      </c>
      <c r="G28" s="46">
        <v>6</v>
      </c>
      <c r="H28" s="46">
        <v>6</v>
      </c>
      <c r="I28" s="46">
        <v>6</v>
      </c>
      <c r="J28" s="46">
        <v>6</v>
      </c>
      <c r="K28" s="46">
        <v>6</v>
      </c>
      <c r="L28" s="46">
        <v>6</v>
      </c>
      <c r="M28" s="46">
        <v>6</v>
      </c>
      <c r="N28" s="46">
        <v>6</v>
      </c>
      <c r="O28" s="46">
        <v>6</v>
      </c>
      <c r="P28" s="46">
        <v>6</v>
      </c>
      <c r="Q28" s="46">
        <v>6</v>
      </c>
      <c r="R28" s="46">
        <v>6</v>
      </c>
      <c r="S28" s="46">
        <v>6</v>
      </c>
      <c r="T28" s="46">
        <v>6</v>
      </c>
      <c r="U28" s="46">
        <v>6</v>
      </c>
      <c r="V28" s="46">
        <v>6</v>
      </c>
      <c r="W28" s="46">
        <v>6</v>
      </c>
      <c r="X28" s="46">
        <v>6</v>
      </c>
      <c r="Y28" s="46">
        <v>6</v>
      </c>
      <c r="Z28" s="46">
        <v>6</v>
      </c>
      <c r="AA28" s="46">
        <v>6</v>
      </c>
      <c r="AB28" s="46">
        <v>6</v>
      </c>
      <c r="AC28" s="46">
        <v>6</v>
      </c>
      <c r="AD28" s="46">
        <v>6</v>
      </c>
      <c r="AE28" s="46">
        <v>6</v>
      </c>
      <c r="AF28" s="46">
        <v>6</v>
      </c>
      <c r="AG28" s="50">
        <v>25</v>
      </c>
      <c r="AH28" s="48">
        <f t="shared" si="8"/>
        <v>6</v>
      </c>
      <c r="AI28" s="49">
        <f t="shared" si="9"/>
        <v>6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9.1999999999999993</v>
      </c>
      <c r="C29" s="46">
        <v>9.1999999999999993</v>
      </c>
      <c r="D29" s="46">
        <v>9.1999999999999993</v>
      </c>
      <c r="E29" s="46">
        <v>9.1999999999999993</v>
      </c>
      <c r="F29" s="46">
        <v>9.1999999999999993</v>
      </c>
      <c r="G29" s="46">
        <v>9.1999999999999993</v>
      </c>
      <c r="H29" s="46">
        <v>9.1999999999999993</v>
      </c>
      <c r="I29" s="46">
        <v>9.1999999999999993</v>
      </c>
      <c r="J29" s="46">
        <v>9.1999999999999993</v>
      </c>
      <c r="K29" s="46">
        <v>9.1999999999999993</v>
      </c>
      <c r="L29" s="46">
        <v>9.1999999999999993</v>
      </c>
      <c r="M29" s="46">
        <v>9.1999999999999993</v>
      </c>
      <c r="N29" s="46">
        <v>9.1999999999999993</v>
      </c>
      <c r="O29" s="46">
        <v>9.1999999999999993</v>
      </c>
      <c r="P29" s="46">
        <v>9.1999999999999993</v>
      </c>
      <c r="Q29" s="46">
        <v>9.1999999999999993</v>
      </c>
      <c r="R29" s="46">
        <v>9.1999999999999993</v>
      </c>
      <c r="S29" s="46">
        <v>9.1999999999999993</v>
      </c>
      <c r="T29" s="46">
        <v>9.1999999999999993</v>
      </c>
      <c r="U29" s="46">
        <v>9.1999999999999993</v>
      </c>
      <c r="V29" s="46">
        <v>9.1999999999999993</v>
      </c>
      <c r="W29" s="46">
        <v>9.1999999999999993</v>
      </c>
      <c r="X29" s="46">
        <v>9.1999999999999993</v>
      </c>
      <c r="Y29" s="46">
        <v>9.1999999999999993</v>
      </c>
      <c r="Z29" s="46">
        <v>9.1999999999999993</v>
      </c>
      <c r="AA29" s="46">
        <v>9.1999999999999993</v>
      </c>
      <c r="AB29" s="46">
        <v>9.1999999999999993</v>
      </c>
      <c r="AC29" s="46">
        <v>9.1999999999999993</v>
      </c>
      <c r="AD29" s="46">
        <v>9.1999999999999993</v>
      </c>
      <c r="AE29" s="46">
        <v>9.1999999999999993</v>
      </c>
      <c r="AF29" s="46">
        <v>9.1999999999999993</v>
      </c>
      <c r="AG29" s="50">
        <v>25</v>
      </c>
      <c r="AH29" s="48">
        <f t="shared" si="8"/>
        <v>9.1999999999999993</v>
      </c>
      <c r="AI29" s="49">
        <f t="shared" si="9"/>
        <v>9.1999999999999993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5.6</v>
      </c>
      <c r="C30" s="46">
        <v>5.6</v>
      </c>
      <c r="D30" s="46">
        <v>5.6</v>
      </c>
      <c r="E30" s="46">
        <v>5.6</v>
      </c>
      <c r="F30" s="46">
        <v>5.6</v>
      </c>
      <c r="G30" s="46">
        <v>5.6</v>
      </c>
      <c r="H30" s="46">
        <v>5.6</v>
      </c>
      <c r="I30" s="46">
        <v>5.6</v>
      </c>
      <c r="J30" s="46">
        <v>5.6</v>
      </c>
      <c r="K30" s="46">
        <v>5.6</v>
      </c>
      <c r="L30" s="46">
        <v>5.6</v>
      </c>
      <c r="M30" s="46">
        <v>5.6</v>
      </c>
      <c r="N30" s="46">
        <v>5.6</v>
      </c>
      <c r="O30" s="46">
        <v>5.6</v>
      </c>
      <c r="P30" s="46">
        <v>5.6</v>
      </c>
      <c r="Q30" s="46">
        <v>5.6</v>
      </c>
      <c r="R30" s="46">
        <v>5.6</v>
      </c>
      <c r="S30" s="46">
        <v>5.6</v>
      </c>
      <c r="T30" s="46">
        <v>5.6</v>
      </c>
      <c r="U30" s="46">
        <v>5.6</v>
      </c>
      <c r="V30" s="46">
        <v>5.6</v>
      </c>
      <c r="W30" s="46">
        <v>5.6</v>
      </c>
      <c r="X30" s="46">
        <v>5.6</v>
      </c>
      <c r="Y30" s="46">
        <v>5.6</v>
      </c>
      <c r="Z30" s="46">
        <v>5.6</v>
      </c>
      <c r="AA30" s="46">
        <v>5.6</v>
      </c>
      <c r="AB30" s="46">
        <v>5.6</v>
      </c>
      <c r="AC30" s="46">
        <v>5.6</v>
      </c>
      <c r="AD30" s="46">
        <v>5.6</v>
      </c>
      <c r="AE30" s="46">
        <v>5.6</v>
      </c>
      <c r="AF30" s="46">
        <v>5.6</v>
      </c>
      <c r="AG30" s="50">
        <v>23.5</v>
      </c>
      <c r="AH30" s="48">
        <f t="shared" si="8"/>
        <v>5.6</v>
      </c>
      <c r="AI30" s="49">
        <f t="shared" si="9"/>
        <v>5.6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>
        <v>3</v>
      </c>
      <c r="V31" s="46">
        <v>3</v>
      </c>
      <c r="W31" s="46">
        <v>3</v>
      </c>
      <c r="X31" s="46">
        <v>3</v>
      </c>
      <c r="Y31" s="46">
        <v>3</v>
      </c>
      <c r="Z31" s="46">
        <v>3</v>
      </c>
      <c r="AA31" s="46">
        <v>3</v>
      </c>
      <c r="AB31" s="46">
        <v>3</v>
      </c>
      <c r="AC31" s="46">
        <v>3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8"/>
        <v>3</v>
      </c>
      <c r="AI31" s="49">
        <f t="shared" si="9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5.5</v>
      </c>
      <c r="Q32" s="46">
        <v>5.5</v>
      </c>
      <c r="R32" s="46">
        <v>5.5</v>
      </c>
      <c r="S32" s="46">
        <v>5.5</v>
      </c>
      <c r="T32" s="46">
        <v>5.5</v>
      </c>
      <c r="U32" s="46">
        <v>5.5</v>
      </c>
      <c r="V32" s="46">
        <v>5.5</v>
      </c>
      <c r="W32" s="46">
        <v>5.5</v>
      </c>
      <c r="X32" s="46">
        <v>5.5</v>
      </c>
      <c r="Y32" s="46">
        <v>5.5</v>
      </c>
      <c r="Z32" s="46">
        <v>5.5</v>
      </c>
      <c r="AA32" s="46">
        <v>5.5</v>
      </c>
      <c r="AB32" s="46">
        <v>5.5</v>
      </c>
      <c r="AC32" s="46">
        <v>5.5</v>
      </c>
      <c r="AD32" s="46">
        <v>5.5</v>
      </c>
      <c r="AE32" s="46">
        <v>5.5</v>
      </c>
      <c r="AF32" s="46">
        <v>5.5</v>
      </c>
      <c r="AG32" s="50">
        <v>22.1</v>
      </c>
      <c r="AH32" s="48">
        <f t="shared" si="8"/>
        <v>5.5</v>
      </c>
      <c r="AI32" s="49">
        <f t="shared" si="9"/>
        <v>5.5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0</v>
      </c>
      <c r="C33" s="46">
        <v>0</v>
      </c>
      <c r="D33" s="46">
        <v>0</v>
      </c>
      <c r="E33" s="46">
        <v>0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6">
        <v>0</v>
      </c>
      <c r="M33" s="46">
        <v>8</v>
      </c>
      <c r="N33" s="46">
        <v>8</v>
      </c>
      <c r="O33" s="46">
        <v>8</v>
      </c>
      <c r="P33" s="46">
        <v>8</v>
      </c>
      <c r="Q33" s="46">
        <v>8</v>
      </c>
      <c r="R33" s="46">
        <v>8</v>
      </c>
      <c r="S33" s="46">
        <v>8</v>
      </c>
      <c r="T33" s="46">
        <v>8</v>
      </c>
      <c r="U33" s="46">
        <v>8</v>
      </c>
      <c r="V33" s="46">
        <v>8</v>
      </c>
      <c r="W33" s="46">
        <v>8</v>
      </c>
      <c r="X33" s="46">
        <v>8</v>
      </c>
      <c r="Y33" s="46">
        <v>8</v>
      </c>
      <c r="Z33" s="46">
        <v>8</v>
      </c>
      <c r="AA33" s="46">
        <v>8</v>
      </c>
      <c r="AB33" s="46">
        <v>8</v>
      </c>
      <c r="AC33" s="46">
        <v>8</v>
      </c>
      <c r="AD33" s="46">
        <v>8</v>
      </c>
      <c r="AE33" s="46">
        <v>8</v>
      </c>
      <c r="AF33" s="46">
        <v>8</v>
      </c>
      <c r="AG33" s="50">
        <v>22</v>
      </c>
      <c r="AH33" s="48">
        <f t="shared" si="8"/>
        <v>8</v>
      </c>
      <c r="AI33" s="49">
        <f t="shared" si="9"/>
        <v>0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12.8</v>
      </c>
      <c r="C34" s="46">
        <v>12.8</v>
      </c>
      <c r="D34" s="46">
        <v>12.8</v>
      </c>
      <c r="E34" s="46">
        <v>12.8</v>
      </c>
      <c r="F34" s="46">
        <v>12.8</v>
      </c>
      <c r="G34" s="46">
        <v>12.8</v>
      </c>
      <c r="H34" s="46">
        <v>12.8</v>
      </c>
      <c r="I34" s="46">
        <v>12.8</v>
      </c>
      <c r="J34" s="46">
        <v>12.8</v>
      </c>
      <c r="K34" s="46">
        <v>12.8</v>
      </c>
      <c r="L34" s="46">
        <v>12.8</v>
      </c>
      <c r="M34" s="46">
        <v>12.8</v>
      </c>
      <c r="N34" s="46">
        <v>12.8</v>
      </c>
      <c r="O34" s="46">
        <v>12.8</v>
      </c>
      <c r="P34" s="46">
        <v>12.8</v>
      </c>
      <c r="Q34" s="46">
        <v>12.8</v>
      </c>
      <c r="R34" s="46">
        <v>12.8</v>
      </c>
      <c r="S34" s="46">
        <v>12.8</v>
      </c>
      <c r="T34" s="46">
        <v>12.8</v>
      </c>
      <c r="U34" s="46">
        <v>12.8</v>
      </c>
      <c r="V34" s="46">
        <v>12.8</v>
      </c>
      <c r="W34" s="46">
        <v>12.8</v>
      </c>
      <c r="X34" s="46">
        <v>12.8</v>
      </c>
      <c r="Y34" s="46">
        <v>12.8</v>
      </c>
      <c r="Z34" s="46">
        <v>12.8</v>
      </c>
      <c r="AA34" s="46">
        <v>12.8</v>
      </c>
      <c r="AB34" s="46">
        <v>12.8</v>
      </c>
      <c r="AC34" s="46">
        <v>12.8</v>
      </c>
      <c r="AD34" s="46">
        <v>12.8</v>
      </c>
      <c r="AE34" s="46">
        <v>12.8</v>
      </c>
      <c r="AF34" s="46">
        <v>12.8</v>
      </c>
      <c r="AG34" s="50">
        <v>22</v>
      </c>
      <c r="AH34" s="48">
        <f t="shared" si="8"/>
        <v>12.8</v>
      </c>
      <c r="AI34" s="49">
        <f t="shared" si="9"/>
        <v>12.8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8"/>
        <v>4</v>
      </c>
      <c r="AI35" s="49">
        <f t="shared" si="9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>
        <v>4</v>
      </c>
      <c r="V36" s="46">
        <v>4</v>
      </c>
      <c r="W36" s="46">
        <v>4</v>
      </c>
      <c r="X36" s="46">
        <v>4</v>
      </c>
      <c r="Y36" s="46">
        <v>4</v>
      </c>
      <c r="Z36" s="46">
        <v>4</v>
      </c>
      <c r="AA36" s="46">
        <v>4</v>
      </c>
      <c r="AB36" s="46">
        <v>4</v>
      </c>
      <c r="AC36" s="46">
        <v>4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8"/>
        <v>4</v>
      </c>
      <c r="AI36" s="49">
        <f t="shared" si="9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>
        <v>5.7</v>
      </c>
      <c r="V37" s="46">
        <v>5.7</v>
      </c>
      <c r="W37" s="46">
        <v>5.7</v>
      </c>
      <c r="X37" s="46">
        <v>5.7</v>
      </c>
      <c r="Y37" s="46">
        <v>5.7</v>
      </c>
      <c r="Z37" s="46">
        <v>5.7</v>
      </c>
      <c r="AA37" s="46">
        <v>5.7</v>
      </c>
      <c r="AB37" s="46">
        <v>5.7</v>
      </c>
      <c r="AC37" s="46">
        <v>5.7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8"/>
        <v>5.7</v>
      </c>
      <c r="AI37" s="49">
        <f t="shared" si="9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7.2</v>
      </c>
      <c r="Q38" s="46">
        <v>7.2</v>
      </c>
      <c r="R38" s="46">
        <v>7.2</v>
      </c>
      <c r="S38" s="46">
        <v>7.2</v>
      </c>
      <c r="T38" s="46">
        <v>7.2</v>
      </c>
      <c r="U38" s="46">
        <v>7.2</v>
      </c>
      <c r="V38" s="46">
        <v>7.2</v>
      </c>
      <c r="W38" s="46">
        <v>7.2</v>
      </c>
      <c r="X38" s="46">
        <v>7.2</v>
      </c>
      <c r="Y38" s="46">
        <v>7.2</v>
      </c>
      <c r="Z38" s="46">
        <v>7.2</v>
      </c>
      <c r="AA38" s="46">
        <v>7.2</v>
      </c>
      <c r="AB38" s="46">
        <v>7.2</v>
      </c>
      <c r="AC38" s="46">
        <v>7.2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8"/>
        <v>7.2</v>
      </c>
      <c r="AI38" s="49">
        <f t="shared" si="9"/>
        <v>7.2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0</v>
      </c>
      <c r="C40" s="46">
        <v>0</v>
      </c>
      <c r="D40" s="46">
        <v>0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46">
        <v>0</v>
      </c>
      <c r="P40" s="46">
        <v>0</v>
      </c>
      <c r="Q40" s="46">
        <v>0</v>
      </c>
      <c r="R40" s="46">
        <v>0</v>
      </c>
      <c r="S40" s="46">
        <v>0</v>
      </c>
      <c r="T40" s="46">
        <v>0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6">
        <v>0</v>
      </c>
      <c r="AD40" s="46">
        <v>0</v>
      </c>
      <c r="AE40" s="46">
        <v>0</v>
      </c>
      <c r="AF40" s="46">
        <v>0</v>
      </c>
      <c r="AG40" s="50">
        <v>14.9</v>
      </c>
      <c r="AH40" s="48">
        <f t="shared" si="8"/>
        <v>0</v>
      </c>
      <c r="AI40" s="49">
        <f t="shared" si="9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8"/>
        <v>4</v>
      </c>
      <c r="AI41" s="49">
        <f t="shared" si="9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>
        <v>1.8</v>
      </c>
      <c r="V42" s="46">
        <v>1.8</v>
      </c>
      <c r="W42" s="46">
        <v>1.8</v>
      </c>
      <c r="X42" s="46">
        <v>1.8</v>
      </c>
      <c r="Y42" s="46">
        <v>1.8</v>
      </c>
      <c r="Z42" s="46">
        <v>1.8</v>
      </c>
      <c r="AA42" s="46">
        <v>1.8</v>
      </c>
      <c r="AB42" s="46">
        <v>1.8</v>
      </c>
      <c r="AC42" s="46">
        <v>1.8</v>
      </c>
      <c r="AD42" s="46">
        <v>1.8</v>
      </c>
      <c r="AE42" s="46">
        <v>1.8</v>
      </c>
      <c r="AF42" s="46">
        <v>1.8</v>
      </c>
      <c r="AG42" s="50">
        <v>13.6</v>
      </c>
      <c r="AH42" s="48">
        <f t="shared" si="8"/>
        <v>1.8</v>
      </c>
      <c r="AI42" s="49">
        <f t="shared" si="9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>
        <v>3.8</v>
      </c>
      <c r="V43" s="46">
        <v>3.8</v>
      </c>
      <c r="W43" s="46">
        <v>3.8</v>
      </c>
      <c r="X43" s="46">
        <v>3.8</v>
      </c>
      <c r="Y43" s="46">
        <v>3.8</v>
      </c>
      <c r="Z43" s="46">
        <v>3.8</v>
      </c>
      <c r="AA43" s="46">
        <v>3.8</v>
      </c>
      <c r="AB43" s="46">
        <v>3.8</v>
      </c>
      <c r="AC43" s="46">
        <v>3.8</v>
      </c>
      <c r="AD43" s="46">
        <v>3.8</v>
      </c>
      <c r="AE43" s="46">
        <v>3.8</v>
      </c>
      <c r="AF43" s="46">
        <v>3.8</v>
      </c>
      <c r="AG43" s="50">
        <v>13</v>
      </c>
      <c r="AH43" s="48">
        <f t="shared" si="8"/>
        <v>3.8</v>
      </c>
      <c r="AI43" s="49">
        <f t="shared" si="9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2.5</v>
      </c>
      <c r="C44" s="46">
        <v>2.5</v>
      </c>
      <c r="D44" s="46">
        <v>2.5</v>
      </c>
      <c r="E44" s="46">
        <v>2.5</v>
      </c>
      <c r="F44" s="46">
        <v>2.5</v>
      </c>
      <c r="G44" s="46">
        <v>2.5</v>
      </c>
      <c r="H44" s="46">
        <v>2.5</v>
      </c>
      <c r="I44" s="46">
        <v>2.5</v>
      </c>
      <c r="J44" s="46">
        <v>2.5</v>
      </c>
      <c r="K44" s="46">
        <v>2.5</v>
      </c>
      <c r="L44" s="46">
        <v>2.5</v>
      </c>
      <c r="M44" s="46">
        <v>2.5</v>
      </c>
      <c r="N44" s="46">
        <v>2.5</v>
      </c>
      <c r="O44" s="46">
        <v>2.5</v>
      </c>
      <c r="P44" s="46">
        <v>2.5</v>
      </c>
      <c r="Q44" s="46">
        <v>2.5</v>
      </c>
      <c r="R44" s="46">
        <v>2.5</v>
      </c>
      <c r="S44" s="46">
        <v>2.5</v>
      </c>
      <c r="T44" s="46">
        <v>2.5</v>
      </c>
      <c r="U44" s="46">
        <v>2.5</v>
      </c>
      <c r="V44" s="46">
        <v>2.5</v>
      </c>
      <c r="W44" s="46">
        <v>2.5</v>
      </c>
      <c r="X44" s="46">
        <v>2.5</v>
      </c>
      <c r="Y44" s="46">
        <v>2.5</v>
      </c>
      <c r="Z44" s="46">
        <v>2.5</v>
      </c>
      <c r="AA44" s="46">
        <v>2.5</v>
      </c>
      <c r="AB44" s="46">
        <v>2.5</v>
      </c>
      <c r="AC44" s="46">
        <v>2.5</v>
      </c>
      <c r="AD44" s="46">
        <v>2.5</v>
      </c>
      <c r="AE44" s="46">
        <v>2.5</v>
      </c>
      <c r="AF44" s="46">
        <v>2.5</v>
      </c>
      <c r="AG44" s="50">
        <v>12</v>
      </c>
      <c r="AH44" s="48">
        <f t="shared" si="8"/>
        <v>2.5</v>
      </c>
      <c r="AI44" s="49">
        <f t="shared" si="9"/>
        <v>2.5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>
        <v>9</v>
      </c>
      <c r="V45" s="46">
        <v>9</v>
      </c>
      <c r="W45" s="46">
        <v>9</v>
      </c>
      <c r="X45" s="46">
        <v>9</v>
      </c>
      <c r="Y45" s="46">
        <v>9</v>
      </c>
      <c r="Z45" s="46">
        <v>9</v>
      </c>
      <c r="AA45" s="46">
        <v>9</v>
      </c>
      <c r="AB45" s="46">
        <v>9</v>
      </c>
      <c r="AC45" s="46">
        <v>9</v>
      </c>
      <c r="AD45" s="46">
        <v>9</v>
      </c>
      <c r="AE45" s="46">
        <v>9</v>
      </c>
      <c r="AF45" s="46">
        <v>9</v>
      </c>
      <c r="AG45" s="50">
        <v>12</v>
      </c>
      <c r="AH45" s="48">
        <f t="shared" si="8"/>
        <v>9</v>
      </c>
      <c r="AI45" s="49">
        <f t="shared" si="9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>
        <v>3.5</v>
      </c>
      <c r="V47" s="46">
        <v>3.5</v>
      </c>
      <c r="W47" s="46">
        <v>3.5</v>
      </c>
      <c r="X47" s="46">
        <v>3.5</v>
      </c>
      <c r="Y47" s="46">
        <v>3.5</v>
      </c>
      <c r="Z47" s="46">
        <v>3.5</v>
      </c>
      <c r="AA47" s="46">
        <v>3.5</v>
      </c>
      <c r="AB47" s="46">
        <v>3.5</v>
      </c>
      <c r="AC47" s="46">
        <v>3.5</v>
      </c>
      <c r="AD47" s="46">
        <v>3.5</v>
      </c>
      <c r="AE47" s="46">
        <v>3.5</v>
      </c>
      <c r="AF47" s="46">
        <v>3.5</v>
      </c>
      <c r="AG47" s="63">
        <v>22</v>
      </c>
      <c r="AH47" s="48">
        <f t="shared" si="8"/>
        <v>3.5</v>
      </c>
      <c r="AI47" s="49">
        <f t="shared" si="9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>
        <v>5</v>
      </c>
      <c r="V48" s="46">
        <v>5</v>
      </c>
      <c r="W48" s="46">
        <v>5</v>
      </c>
      <c r="X48" s="46">
        <v>5</v>
      </c>
      <c r="Y48" s="46">
        <v>5</v>
      </c>
      <c r="Z48" s="46">
        <v>5</v>
      </c>
      <c r="AA48" s="46">
        <v>5</v>
      </c>
      <c r="AB48" s="46">
        <v>5</v>
      </c>
      <c r="AC48" s="46">
        <v>5</v>
      </c>
      <c r="AD48" s="46">
        <v>5</v>
      </c>
      <c r="AE48" s="46">
        <v>5</v>
      </c>
      <c r="AF48" s="46">
        <v>5</v>
      </c>
      <c r="AG48" s="60">
        <v>11.88</v>
      </c>
      <c r="AH48" s="48">
        <f t="shared" si="8"/>
        <v>5</v>
      </c>
      <c r="AI48" s="49">
        <f t="shared" si="9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5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4" t="s">
        <v>67</v>
      </c>
      <c r="B50" s="46">
        <v>2.4500000000000002</v>
      </c>
      <c r="C50" s="46">
        <v>2.4500000000000002</v>
      </c>
      <c r="D50" s="46">
        <v>2.4500000000000002</v>
      </c>
      <c r="E50" s="46">
        <v>2.4500000000000002</v>
      </c>
      <c r="F50" s="46">
        <v>2.4500000000000002</v>
      </c>
      <c r="G50" s="46">
        <v>2.4500000000000002</v>
      </c>
      <c r="H50" s="46">
        <v>2.4500000000000002</v>
      </c>
      <c r="I50" s="46">
        <v>2.4500000000000002</v>
      </c>
      <c r="J50" s="46">
        <v>2.4500000000000002</v>
      </c>
      <c r="K50" s="46">
        <v>2.4500000000000002</v>
      </c>
      <c r="L50" s="46">
        <v>2.4500000000000002</v>
      </c>
      <c r="M50" s="46">
        <v>2.4500000000000002</v>
      </c>
      <c r="N50" s="46">
        <v>2.4500000000000002</v>
      </c>
      <c r="O50" s="46">
        <v>2.4500000000000002</v>
      </c>
      <c r="P50" s="46">
        <v>2.4500000000000002</v>
      </c>
      <c r="Q50" s="46">
        <v>2.4500000000000002</v>
      </c>
      <c r="R50" s="46">
        <v>2.4500000000000002</v>
      </c>
      <c r="S50" s="46">
        <v>2.4500000000000002</v>
      </c>
      <c r="T50" s="46">
        <v>2.4500000000000002</v>
      </c>
      <c r="U50" s="46">
        <v>2.4500000000000002</v>
      </c>
      <c r="V50" s="46">
        <v>2.4500000000000002</v>
      </c>
      <c r="W50" s="46">
        <v>2.4500000000000002</v>
      </c>
      <c r="X50" s="46">
        <v>2.4500000000000002</v>
      </c>
      <c r="Y50" s="46">
        <v>2.4500000000000002</v>
      </c>
      <c r="Z50" s="46">
        <v>2.4500000000000002</v>
      </c>
      <c r="AA50" s="46">
        <v>2.4500000000000002</v>
      </c>
      <c r="AB50" s="46">
        <v>2.4500000000000002</v>
      </c>
      <c r="AC50" s="46">
        <v>2.4500000000000002</v>
      </c>
      <c r="AD50" s="46">
        <v>2.4500000000000002</v>
      </c>
      <c r="AE50" s="46">
        <v>2.4500000000000002</v>
      </c>
      <c r="AF50" s="46">
        <v>2.4500000000000002</v>
      </c>
      <c r="AG50" s="65">
        <v>11</v>
      </c>
      <c r="AH50" s="48">
        <f t="shared" si="8"/>
        <v>2.4500000000000002</v>
      </c>
      <c r="AI50" s="49">
        <f t="shared" si="9"/>
        <v>2.4500000000000002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65">
        <v>11</v>
      </c>
      <c r="AH51" s="48">
        <f t="shared" si="8"/>
        <v>3</v>
      </c>
      <c r="AI51" s="49">
        <f t="shared" si="9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5">
        <v>10</v>
      </c>
      <c r="AH52" s="48">
        <f t="shared" si="8"/>
        <v>4</v>
      </c>
      <c r="AI52" s="49">
        <f t="shared" si="9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>
        <v>4.5</v>
      </c>
      <c r="V53" s="46">
        <v>4.5</v>
      </c>
      <c r="W53" s="46">
        <v>4.5</v>
      </c>
      <c r="X53" s="46">
        <v>4.5</v>
      </c>
      <c r="Y53" s="46">
        <v>4.5</v>
      </c>
      <c r="Z53" s="46">
        <v>4.5</v>
      </c>
      <c r="AA53" s="46">
        <v>4.5</v>
      </c>
      <c r="AB53" s="46">
        <v>4.5</v>
      </c>
      <c r="AC53" s="46">
        <v>4.5</v>
      </c>
      <c r="AD53" s="46">
        <v>4.5</v>
      </c>
      <c r="AE53" s="46">
        <v>4.5</v>
      </c>
      <c r="AF53" s="46">
        <v>4.5</v>
      </c>
      <c r="AG53" s="65">
        <v>10</v>
      </c>
      <c r="AH53" s="48">
        <f t="shared" si="8"/>
        <v>4.5</v>
      </c>
      <c r="AI53" s="49">
        <f t="shared" si="9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5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5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>
        <v>150</v>
      </c>
      <c r="W56" s="67">
        <v>150</v>
      </c>
      <c r="X56" s="67">
        <v>150</v>
      </c>
      <c r="Y56" s="67">
        <v>150</v>
      </c>
      <c r="Z56" s="67">
        <v>150</v>
      </c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8" t="s">
        <v>74</v>
      </c>
      <c r="B57" s="67">
        <v>56</v>
      </c>
      <c r="C57" s="67">
        <v>56.5</v>
      </c>
      <c r="D57" s="67">
        <v>56.5</v>
      </c>
      <c r="E57" s="67">
        <v>56.5</v>
      </c>
      <c r="F57" s="67">
        <v>56.5</v>
      </c>
      <c r="G57" s="67">
        <v>52.1</v>
      </c>
      <c r="H57" s="67">
        <v>50</v>
      </c>
      <c r="I57" s="67">
        <v>47.8</v>
      </c>
      <c r="J57" s="67">
        <v>48</v>
      </c>
      <c r="K57" s="67">
        <v>49.3</v>
      </c>
      <c r="L57" s="67">
        <v>49.3</v>
      </c>
      <c r="M57" s="53">
        <v>49.9</v>
      </c>
      <c r="N57" s="53">
        <f>32.7+19.7</f>
        <v>52.400000000000006</v>
      </c>
      <c r="O57" s="53">
        <f>31.5+17.9</f>
        <v>49.4</v>
      </c>
      <c r="P57" s="53">
        <f>27.9+14.8</f>
        <v>42.7</v>
      </c>
      <c r="Q57" s="53">
        <f>34.2+21.4</f>
        <v>55.6</v>
      </c>
      <c r="R57" s="53">
        <f>28.8+15.9</f>
        <v>44.7</v>
      </c>
      <c r="S57" s="53">
        <v>46.4</v>
      </c>
      <c r="T57" s="53">
        <v>46.4</v>
      </c>
      <c r="U57" s="53">
        <v>46.4</v>
      </c>
      <c r="V57" s="53">
        <v>43.5</v>
      </c>
      <c r="W57" s="53">
        <v>43.5</v>
      </c>
      <c r="X57" s="53">
        <v>43.5</v>
      </c>
      <c r="Y57" s="53">
        <v>46</v>
      </c>
      <c r="Z57" s="53">
        <v>46</v>
      </c>
      <c r="AA57" s="53">
        <v>46</v>
      </c>
      <c r="AB57" s="67">
        <f>15.1+26.5</f>
        <v>41.6</v>
      </c>
      <c r="AC57" s="67">
        <f>15+26.6</f>
        <v>41.6</v>
      </c>
      <c r="AD57" s="67">
        <v>43</v>
      </c>
      <c r="AE57" s="67">
        <v>43.6</v>
      </c>
      <c r="AF57" s="67">
        <v>43.6</v>
      </c>
      <c r="AG57" s="65">
        <v>240</v>
      </c>
      <c r="AH57" s="48">
        <f t="shared" si="8"/>
        <v>56.5</v>
      </c>
      <c r="AI57" s="49">
        <f t="shared" si="9"/>
        <v>41.6</v>
      </c>
      <c r="AK57" s="51"/>
    </row>
    <row r="58" spans="1:88" ht="15.75" thickBot="1" x14ac:dyDescent="0.3">
      <c r="A58" s="69" t="s">
        <v>75</v>
      </c>
      <c r="B58" s="70">
        <f>SUM(B11:B56)</f>
        <v>475.84999999999997</v>
      </c>
      <c r="C58" s="70">
        <f t="shared" ref="C58:AC58" si="22">SUM(C11:C56)</f>
        <v>475.84999999999997</v>
      </c>
      <c r="D58" s="70">
        <f t="shared" si="22"/>
        <v>475.84999999999997</v>
      </c>
      <c r="E58" s="70">
        <f t="shared" ref="E58:F58" si="23">SUM(E11:E56)</f>
        <v>475.84999999999997</v>
      </c>
      <c r="F58" s="70">
        <f t="shared" si="23"/>
        <v>477.54999999999995</v>
      </c>
      <c r="G58" s="70">
        <f t="shared" ref="G58:H58" si="24">SUM(G11:G56)</f>
        <v>478.34999999999997</v>
      </c>
      <c r="H58" s="70">
        <f t="shared" si="24"/>
        <v>478.15</v>
      </c>
      <c r="I58" s="70">
        <f t="shared" si="22"/>
        <v>481.15</v>
      </c>
      <c r="J58" s="70">
        <f t="shared" ref="J58:K58" si="25">SUM(J11:J56)</f>
        <v>487.75</v>
      </c>
      <c r="K58" s="70">
        <f t="shared" si="25"/>
        <v>482.75</v>
      </c>
      <c r="L58" s="70">
        <f t="shared" si="22"/>
        <v>484.05</v>
      </c>
      <c r="M58" s="70">
        <f t="shared" si="22"/>
        <v>492.05</v>
      </c>
      <c r="N58" s="70">
        <f t="shared" si="22"/>
        <v>496.05</v>
      </c>
      <c r="O58" s="70">
        <f t="shared" si="22"/>
        <v>490.25</v>
      </c>
      <c r="P58" s="70">
        <f t="shared" si="22"/>
        <v>492.25</v>
      </c>
      <c r="Q58" s="70">
        <f t="shared" si="22"/>
        <v>487.04999999999995</v>
      </c>
      <c r="R58" s="70">
        <f t="shared" si="22"/>
        <v>480.84999999999997</v>
      </c>
      <c r="S58" s="70">
        <f t="shared" si="22"/>
        <v>480.84999999999997</v>
      </c>
      <c r="T58" s="70">
        <f t="shared" si="22"/>
        <v>480.84999999999997</v>
      </c>
      <c r="U58" s="70">
        <f t="shared" si="22"/>
        <v>480.84999999999997</v>
      </c>
      <c r="V58" s="70">
        <f t="shared" si="22"/>
        <v>480.84999999999997</v>
      </c>
      <c r="W58" s="70">
        <f t="shared" si="22"/>
        <v>480.84999999999997</v>
      </c>
      <c r="X58" s="70">
        <f t="shared" si="22"/>
        <v>480.84999999999997</v>
      </c>
      <c r="Y58" s="70">
        <f t="shared" si="22"/>
        <v>480.84999999999997</v>
      </c>
      <c r="Z58" s="70">
        <f t="shared" si="22"/>
        <v>480.84999999999997</v>
      </c>
      <c r="AA58" s="70">
        <f t="shared" si="22"/>
        <v>480.84999999999997</v>
      </c>
      <c r="AB58" s="70">
        <f t="shared" si="22"/>
        <v>480.84999999999997</v>
      </c>
      <c r="AC58" s="70">
        <f t="shared" si="22"/>
        <v>480.84999999999997</v>
      </c>
      <c r="AD58" s="70">
        <f t="shared" ref="AD58:AE58" si="26">SUM(AD11:AD56)</f>
        <v>480.84999999999997</v>
      </c>
      <c r="AE58" s="70">
        <f t="shared" si="26"/>
        <v>480.84999999999997</v>
      </c>
      <c r="AF58" s="70">
        <f t="shared" ref="AF58" si="27">SUM(AF11:AF56)</f>
        <v>480.84999999999997</v>
      </c>
      <c r="AG58" s="71">
        <f>SUM(AG14:AG56)</f>
        <v>1042.4000000000001</v>
      </c>
      <c r="AH58" s="48">
        <f t="shared" si="8"/>
        <v>496.05</v>
      </c>
      <c r="AI58" s="49">
        <f t="shared" si="9"/>
        <v>475.84999999999997</v>
      </c>
      <c r="AK58" s="51"/>
    </row>
    <row r="59" spans="1:88" x14ac:dyDescent="0.25">
      <c r="A59" s="72" t="s">
        <v>76</v>
      </c>
      <c r="B59" s="46">
        <v>0</v>
      </c>
      <c r="C59" s="46">
        <v>0</v>
      </c>
      <c r="D59" s="46">
        <v>0</v>
      </c>
      <c r="E59" s="46">
        <v>0</v>
      </c>
      <c r="F59" s="46">
        <v>0</v>
      </c>
      <c r="G59" s="46">
        <v>0</v>
      </c>
      <c r="H59" s="46">
        <v>0</v>
      </c>
      <c r="I59" s="46">
        <v>30</v>
      </c>
      <c r="J59" s="46">
        <v>213</v>
      </c>
      <c r="K59" s="46">
        <v>215</v>
      </c>
      <c r="L59" s="46">
        <v>243</v>
      </c>
      <c r="M59" s="46">
        <v>69</v>
      </c>
      <c r="N59" s="73">
        <v>30.2</v>
      </c>
      <c r="O59" s="73">
        <v>30</v>
      </c>
      <c r="P59" s="73">
        <v>0</v>
      </c>
      <c r="Q59" s="73">
        <v>0</v>
      </c>
      <c r="R59" s="73">
        <v>0</v>
      </c>
      <c r="S59" s="73">
        <v>0</v>
      </c>
      <c r="T59" s="73">
        <v>0</v>
      </c>
      <c r="U59" s="73">
        <v>0</v>
      </c>
      <c r="V59" s="73">
        <v>0</v>
      </c>
      <c r="W59" s="73">
        <v>40.200000000000003</v>
      </c>
      <c r="X59" s="73">
        <v>72.5</v>
      </c>
      <c r="Y59" s="73">
        <v>73</v>
      </c>
      <c r="Z59" s="73">
        <v>301.3</v>
      </c>
      <c r="AA59" s="73">
        <v>347</v>
      </c>
      <c r="AB59" s="46">
        <v>305</v>
      </c>
      <c r="AC59" s="46">
        <v>212</v>
      </c>
      <c r="AD59" s="46">
        <v>240</v>
      </c>
      <c r="AE59" s="46">
        <v>171</v>
      </c>
      <c r="AF59" s="46">
        <v>125</v>
      </c>
      <c r="AG59" s="60">
        <v>456</v>
      </c>
      <c r="AH59" s="48">
        <f t="shared" si="8"/>
        <v>347</v>
      </c>
      <c r="AI59" s="49">
        <f t="shared" si="9"/>
        <v>0</v>
      </c>
      <c r="AK59" s="51"/>
    </row>
    <row r="60" spans="1:88" x14ac:dyDescent="0.25">
      <c r="A60" s="74" t="s">
        <v>77</v>
      </c>
      <c r="B60" s="75">
        <v>25</v>
      </c>
      <c r="C60" s="75">
        <v>25</v>
      </c>
      <c r="D60" s="75">
        <v>25</v>
      </c>
      <c r="E60" s="75">
        <v>25</v>
      </c>
      <c r="F60" s="75">
        <v>25</v>
      </c>
      <c r="G60" s="75">
        <v>25</v>
      </c>
      <c r="H60" s="75">
        <v>25</v>
      </c>
      <c r="I60" s="75">
        <v>25</v>
      </c>
      <c r="J60" s="75">
        <v>25</v>
      </c>
      <c r="K60" s="75">
        <v>25</v>
      </c>
      <c r="L60" s="75">
        <v>25</v>
      </c>
      <c r="M60" s="75">
        <v>25</v>
      </c>
      <c r="N60" s="75">
        <v>25</v>
      </c>
      <c r="O60" s="75">
        <v>25</v>
      </c>
      <c r="P60" s="75">
        <v>25</v>
      </c>
      <c r="Q60" s="75">
        <v>25</v>
      </c>
      <c r="R60" s="75">
        <v>25</v>
      </c>
      <c r="S60" s="75">
        <v>25</v>
      </c>
      <c r="T60" s="75">
        <v>25</v>
      </c>
      <c r="U60" s="75">
        <v>25</v>
      </c>
      <c r="V60" s="75">
        <v>25</v>
      </c>
      <c r="W60" s="75">
        <v>25</v>
      </c>
      <c r="X60" s="75">
        <v>25</v>
      </c>
      <c r="Y60" s="75">
        <v>25</v>
      </c>
      <c r="Z60" s="75">
        <v>25</v>
      </c>
      <c r="AA60" s="75">
        <v>25</v>
      </c>
      <c r="AB60" s="75">
        <v>24.5</v>
      </c>
      <c r="AC60" s="75">
        <v>23.9</v>
      </c>
      <c r="AD60" s="75">
        <v>23.9</v>
      </c>
      <c r="AE60" s="75">
        <v>23.9</v>
      </c>
      <c r="AF60" s="75">
        <v>23.9</v>
      </c>
      <c r="AG60" s="65">
        <v>60</v>
      </c>
      <c r="AH60" s="48">
        <f t="shared" si="8"/>
        <v>25</v>
      </c>
      <c r="AI60" s="49">
        <f t="shared" si="9"/>
        <v>23.9</v>
      </c>
      <c r="AK60" s="51"/>
    </row>
    <row r="61" spans="1:88" ht="15.75" thickBot="1" x14ac:dyDescent="0.3">
      <c r="A61" s="76" t="s">
        <v>78</v>
      </c>
      <c r="B61" s="77">
        <v>12.4</v>
      </c>
      <c r="C61" s="77">
        <v>13.7</v>
      </c>
      <c r="D61" s="77">
        <v>13.7</v>
      </c>
      <c r="E61" s="77">
        <v>13.7</v>
      </c>
      <c r="F61" s="77">
        <v>13.7</v>
      </c>
      <c r="G61" s="77">
        <v>13.7</v>
      </c>
      <c r="H61" s="77">
        <v>13.7</v>
      </c>
      <c r="I61" s="77">
        <v>13.8</v>
      </c>
      <c r="J61" s="77">
        <v>13.8</v>
      </c>
      <c r="K61" s="77">
        <v>13.8</v>
      </c>
      <c r="L61" s="77">
        <v>13.8</v>
      </c>
      <c r="M61" s="77">
        <v>16.100000000000001</v>
      </c>
      <c r="N61" s="77">
        <v>14.1</v>
      </c>
      <c r="O61" s="77">
        <v>10.199999999999999</v>
      </c>
      <c r="P61" s="77">
        <v>10.3</v>
      </c>
      <c r="Q61" s="77">
        <v>10.3</v>
      </c>
      <c r="R61" s="77">
        <v>10.3</v>
      </c>
      <c r="S61" s="77">
        <v>10.3</v>
      </c>
      <c r="T61" s="77">
        <v>10.3</v>
      </c>
      <c r="U61" s="77">
        <v>10.3</v>
      </c>
      <c r="V61" s="77">
        <v>10.3</v>
      </c>
      <c r="W61" s="77">
        <v>10.3</v>
      </c>
      <c r="X61" s="77">
        <v>10.3</v>
      </c>
      <c r="Y61" s="77">
        <v>10.3</v>
      </c>
      <c r="Z61" s="77">
        <v>16.3</v>
      </c>
      <c r="AA61" s="77">
        <v>16.3</v>
      </c>
      <c r="AB61" s="77">
        <v>16.2</v>
      </c>
      <c r="AC61" s="77">
        <v>16.2</v>
      </c>
      <c r="AD61" s="77">
        <v>16.2</v>
      </c>
      <c r="AE61" s="77">
        <v>16.2</v>
      </c>
      <c r="AF61" s="77">
        <v>16.2</v>
      </c>
      <c r="AG61" s="78">
        <v>22.1</v>
      </c>
      <c r="AH61" s="48">
        <f t="shared" si="8"/>
        <v>16.3</v>
      </c>
      <c r="AI61" s="49">
        <f t="shared" si="9"/>
        <v>10.199999999999999</v>
      </c>
      <c r="AK61" s="51"/>
    </row>
    <row r="62" spans="1:88" ht="15.75" thickBot="1" x14ac:dyDescent="0.3">
      <c r="A62" s="79" t="s">
        <v>79</v>
      </c>
      <c r="B62" s="70">
        <f t="shared" ref="B62:AC62" si="28">SUM(B59:B61)</f>
        <v>37.4</v>
      </c>
      <c r="C62" s="70">
        <f t="shared" si="28"/>
        <v>38.700000000000003</v>
      </c>
      <c r="D62" s="70">
        <f t="shared" si="28"/>
        <v>38.700000000000003</v>
      </c>
      <c r="E62" s="70">
        <f t="shared" ref="E62:F62" si="29">SUM(E59:E61)</f>
        <v>38.700000000000003</v>
      </c>
      <c r="F62" s="70">
        <f t="shared" si="29"/>
        <v>38.700000000000003</v>
      </c>
      <c r="G62" s="70">
        <f t="shared" si="28"/>
        <v>38.700000000000003</v>
      </c>
      <c r="H62" s="70">
        <f t="shared" si="28"/>
        <v>38.700000000000003</v>
      </c>
      <c r="I62" s="70">
        <f t="shared" si="28"/>
        <v>68.8</v>
      </c>
      <c r="J62" s="70">
        <f t="shared" ref="J62:K62" si="30">SUM(J59:J61)</f>
        <v>251.8</v>
      </c>
      <c r="K62" s="70">
        <f t="shared" si="30"/>
        <v>253.8</v>
      </c>
      <c r="L62" s="70">
        <f t="shared" si="28"/>
        <v>281.8</v>
      </c>
      <c r="M62" s="70">
        <f t="shared" si="28"/>
        <v>110.1</v>
      </c>
      <c r="N62" s="70">
        <f t="shared" si="28"/>
        <v>69.3</v>
      </c>
      <c r="O62" s="70">
        <f t="shared" si="28"/>
        <v>65.2</v>
      </c>
      <c r="P62" s="70">
        <f t="shared" si="28"/>
        <v>35.299999999999997</v>
      </c>
      <c r="Q62" s="70">
        <f t="shared" si="28"/>
        <v>35.299999999999997</v>
      </c>
      <c r="R62" s="70">
        <f t="shared" si="28"/>
        <v>35.299999999999997</v>
      </c>
      <c r="S62" s="70">
        <f t="shared" si="28"/>
        <v>35.299999999999997</v>
      </c>
      <c r="T62" s="70">
        <f t="shared" si="28"/>
        <v>35.299999999999997</v>
      </c>
      <c r="U62" s="70">
        <f t="shared" si="28"/>
        <v>35.299999999999997</v>
      </c>
      <c r="V62" s="70">
        <f t="shared" si="28"/>
        <v>35.299999999999997</v>
      </c>
      <c r="W62" s="70">
        <f t="shared" si="28"/>
        <v>75.5</v>
      </c>
      <c r="X62" s="70">
        <f t="shared" si="28"/>
        <v>107.8</v>
      </c>
      <c r="Y62" s="70">
        <f t="shared" si="28"/>
        <v>108.3</v>
      </c>
      <c r="Z62" s="70">
        <f t="shared" si="28"/>
        <v>342.6</v>
      </c>
      <c r="AA62" s="70">
        <f t="shared" si="28"/>
        <v>388.3</v>
      </c>
      <c r="AB62" s="70">
        <f t="shared" si="28"/>
        <v>345.7</v>
      </c>
      <c r="AC62" s="70">
        <f t="shared" si="28"/>
        <v>252.1</v>
      </c>
      <c r="AD62" s="70">
        <f t="shared" ref="AD62:AE62" si="31">SUM(AD59:AD61)</f>
        <v>280.09999999999997</v>
      </c>
      <c r="AE62" s="70">
        <f t="shared" si="31"/>
        <v>211.1</v>
      </c>
      <c r="AF62" s="70">
        <f t="shared" ref="AF62" si="32">SUM(AF59:AF61)</f>
        <v>165.1</v>
      </c>
      <c r="AG62" s="71">
        <f t="shared" ref="AG62" si="33">SUM(AG59:AG61)</f>
        <v>538.1</v>
      </c>
      <c r="AH62" s="48">
        <f t="shared" si="8"/>
        <v>388.3</v>
      </c>
      <c r="AI62" s="49">
        <f t="shared" si="9"/>
        <v>35.299999999999997</v>
      </c>
      <c r="AK62" s="51"/>
    </row>
    <row r="63" spans="1:88" x14ac:dyDescent="0.25">
      <c r="A63" s="45" t="s">
        <v>80</v>
      </c>
      <c r="B63" s="46">
        <v>65.900000000000006</v>
      </c>
      <c r="C63" s="46">
        <v>0</v>
      </c>
      <c r="D63" s="46">
        <v>0</v>
      </c>
      <c r="E63" s="46">
        <v>0</v>
      </c>
      <c r="F63" s="46">
        <v>0</v>
      </c>
      <c r="G63" s="46">
        <v>0</v>
      </c>
      <c r="H63" s="46">
        <v>0</v>
      </c>
      <c r="I63" s="46">
        <v>0</v>
      </c>
      <c r="J63" s="46">
        <v>60</v>
      </c>
      <c r="K63" s="46">
        <v>71.099999999999994</v>
      </c>
      <c r="L63" s="46">
        <v>70.8</v>
      </c>
      <c r="M63" s="46">
        <v>62.1</v>
      </c>
      <c r="N63" s="46">
        <v>61.9</v>
      </c>
      <c r="O63" s="46">
        <v>81</v>
      </c>
      <c r="P63" s="46">
        <v>61.2</v>
      </c>
      <c r="Q63" s="46">
        <v>65.900000000000006</v>
      </c>
      <c r="R63" s="46">
        <v>81.099999999999994</v>
      </c>
      <c r="S63" s="46">
        <v>81.099999999999994</v>
      </c>
      <c r="T63" s="46">
        <v>81.099999999999994</v>
      </c>
      <c r="U63" s="46">
        <v>81.099999999999994</v>
      </c>
      <c r="V63" s="46">
        <v>60.2</v>
      </c>
      <c r="W63" s="46">
        <v>60.2</v>
      </c>
      <c r="X63" s="46">
        <v>60.2</v>
      </c>
      <c r="Y63" s="46">
        <v>145.30000000000001</v>
      </c>
      <c r="Z63" s="46">
        <v>145.30000000000001</v>
      </c>
      <c r="AA63" s="46">
        <v>145.30000000000001</v>
      </c>
      <c r="AB63" s="46">
        <v>131.69999999999999</v>
      </c>
      <c r="AC63" s="46">
        <v>142.5</v>
      </c>
      <c r="AD63" s="46">
        <v>136.4</v>
      </c>
      <c r="AE63" s="46">
        <v>100</v>
      </c>
      <c r="AF63" s="46">
        <v>70</v>
      </c>
      <c r="AG63" s="60">
        <v>144</v>
      </c>
      <c r="AH63" s="48">
        <f t="shared" si="8"/>
        <v>145.30000000000001</v>
      </c>
      <c r="AI63" s="49">
        <f t="shared" si="9"/>
        <v>0</v>
      </c>
      <c r="AK63" s="51"/>
    </row>
    <row r="64" spans="1:88" x14ac:dyDescent="0.25">
      <c r="A64" s="64" t="s">
        <v>81</v>
      </c>
      <c r="B64" s="75">
        <v>0</v>
      </c>
      <c r="C64" s="75">
        <v>0</v>
      </c>
      <c r="D64" s="75">
        <v>0</v>
      </c>
      <c r="E64" s="75">
        <v>0</v>
      </c>
      <c r="F64" s="75">
        <v>0</v>
      </c>
      <c r="G64" s="75">
        <v>0</v>
      </c>
      <c r="H64" s="75">
        <v>0</v>
      </c>
      <c r="I64" s="75">
        <v>25</v>
      </c>
      <c r="J64" s="75">
        <v>35</v>
      </c>
      <c r="K64" s="75">
        <v>35</v>
      </c>
      <c r="L64" s="75">
        <v>35</v>
      </c>
      <c r="M64" s="75">
        <v>35</v>
      </c>
      <c r="N64" s="75">
        <v>34.799999999999997</v>
      </c>
      <c r="O64" s="75">
        <v>24</v>
      </c>
      <c r="P64" s="75">
        <v>35.5</v>
      </c>
      <c r="Q64" s="75">
        <v>46</v>
      </c>
      <c r="R64" s="75">
        <v>49.2</v>
      </c>
      <c r="S64" s="75">
        <v>60.5</v>
      </c>
      <c r="T64" s="75">
        <v>60.5</v>
      </c>
      <c r="U64" s="75">
        <v>49.5</v>
      </c>
      <c r="V64" s="75">
        <v>45</v>
      </c>
      <c r="W64" s="75">
        <v>45</v>
      </c>
      <c r="X64" s="75">
        <v>45</v>
      </c>
      <c r="Y64" s="75">
        <v>59.8</v>
      </c>
      <c r="Z64" s="75">
        <v>64.2</v>
      </c>
      <c r="AA64" s="75">
        <v>49.2</v>
      </c>
      <c r="AB64" s="46">
        <v>46.2</v>
      </c>
      <c r="AC64" s="46">
        <v>59.9</v>
      </c>
      <c r="AD64" s="46">
        <v>50.2</v>
      </c>
      <c r="AE64" s="46">
        <v>50.2</v>
      </c>
      <c r="AF64" s="46">
        <v>32.4</v>
      </c>
      <c r="AG64" s="65">
        <v>70</v>
      </c>
      <c r="AH64" s="48">
        <f t="shared" si="8"/>
        <v>64.2</v>
      </c>
      <c r="AI64" s="49">
        <f t="shared" si="9"/>
        <v>0</v>
      </c>
      <c r="AK64" s="51"/>
    </row>
    <row r="65" spans="1:75" x14ac:dyDescent="0.25">
      <c r="A65" s="64" t="s">
        <v>82</v>
      </c>
      <c r="B65" s="75">
        <v>22.2</v>
      </c>
      <c r="C65" s="75">
        <v>21.2</v>
      </c>
      <c r="D65" s="75">
        <v>0</v>
      </c>
      <c r="E65" s="75">
        <v>0</v>
      </c>
      <c r="F65" s="75">
        <v>0</v>
      </c>
      <c r="G65" s="75">
        <v>0</v>
      </c>
      <c r="H65" s="75">
        <v>0</v>
      </c>
      <c r="I65" s="75">
        <v>22</v>
      </c>
      <c r="J65" s="75">
        <v>32.700000000000003</v>
      </c>
      <c r="K65" s="75">
        <v>33.299999999999997</v>
      </c>
      <c r="L65" s="75">
        <v>45</v>
      </c>
      <c r="M65" s="75">
        <v>36.299999999999997</v>
      </c>
      <c r="N65" s="75">
        <v>36.1</v>
      </c>
      <c r="O65" s="75">
        <v>43</v>
      </c>
      <c r="P65" s="75">
        <v>39.6</v>
      </c>
      <c r="Q65" s="75">
        <v>33.299999999999997</v>
      </c>
      <c r="R65" s="75">
        <v>40.799999999999997</v>
      </c>
      <c r="S65" s="75">
        <v>31.7</v>
      </c>
      <c r="T65" s="75">
        <v>46.2</v>
      </c>
      <c r="U65" s="75">
        <v>46.2</v>
      </c>
      <c r="V65" s="75">
        <v>46.2</v>
      </c>
      <c r="W65" s="75">
        <v>32</v>
      </c>
      <c r="X65" s="75">
        <v>32</v>
      </c>
      <c r="Y65" s="75">
        <v>69.099999999999994</v>
      </c>
      <c r="Z65" s="75">
        <v>69.099999999999994</v>
      </c>
      <c r="AA65" s="75">
        <v>69.099999999999994</v>
      </c>
      <c r="AB65" s="46">
        <v>61.3</v>
      </c>
      <c r="AC65" s="46">
        <v>69</v>
      </c>
      <c r="AD65" s="46">
        <v>60.7</v>
      </c>
      <c r="AE65" s="46">
        <v>54.9</v>
      </c>
      <c r="AF65" s="46">
        <v>45.7</v>
      </c>
      <c r="AG65" s="65">
        <v>69</v>
      </c>
      <c r="AH65" s="48">
        <f t="shared" si="8"/>
        <v>69.099999999999994</v>
      </c>
      <c r="AI65" s="49">
        <f t="shared" si="9"/>
        <v>0</v>
      </c>
      <c r="AK65" s="51"/>
    </row>
    <row r="66" spans="1:75" x14ac:dyDescent="0.25">
      <c r="A66" s="64" t="s">
        <v>83</v>
      </c>
      <c r="B66" s="75">
        <v>39.1</v>
      </c>
      <c r="C66" s="75">
        <v>37</v>
      </c>
      <c r="D66" s="75">
        <v>37</v>
      </c>
      <c r="E66" s="75">
        <v>39.299999999999997</v>
      </c>
      <c r="F66" s="75">
        <v>37</v>
      </c>
      <c r="G66" s="75">
        <v>42.3</v>
      </c>
      <c r="H66" s="75">
        <v>42</v>
      </c>
      <c r="I66" s="75">
        <v>42.3</v>
      </c>
      <c r="J66" s="75">
        <v>42.3</v>
      </c>
      <c r="K66" s="75">
        <v>42.3</v>
      </c>
      <c r="L66" s="67">
        <v>42.3</v>
      </c>
      <c r="M66" s="75">
        <v>42.3</v>
      </c>
      <c r="N66" s="75">
        <v>43.1</v>
      </c>
      <c r="O66" s="75">
        <v>44.6</v>
      </c>
      <c r="P66" s="75">
        <v>43.1</v>
      </c>
      <c r="Q66" s="75">
        <v>37.799999999999997</v>
      </c>
      <c r="R66" s="75">
        <v>39</v>
      </c>
      <c r="S66" s="75">
        <v>41.1</v>
      </c>
      <c r="T66" s="75">
        <v>41.1</v>
      </c>
      <c r="U66" s="75">
        <v>41.1</v>
      </c>
      <c r="V66" s="75">
        <v>39</v>
      </c>
      <c r="W66" s="75">
        <v>39</v>
      </c>
      <c r="X66" s="75">
        <v>39</v>
      </c>
      <c r="Y66" s="75">
        <v>39</v>
      </c>
      <c r="Z66" s="75">
        <v>39</v>
      </c>
      <c r="AA66" s="75">
        <v>39</v>
      </c>
      <c r="AB66" s="46">
        <v>38.299999999999997</v>
      </c>
      <c r="AC66" s="46">
        <v>38.299999999999997</v>
      </c>
      <c r="AD66" s="46">
        <v>38.299999999999997</v>
      </c>
      <c r="AE66" s="46">
        <v>38.299999999999997</v>
      </c>
      <c r="AF66" s="46">
        <v>38.299999999999997</v>
      </c>
      <c r="AG66" s="65">
        <v>60</v>
      </c>
      <c r="AH66" s="48">
        <f t="shared" si="8"/>
        <v>44.6</v>
      </c>
      <c r="AI66" s="49">
        <f t="shared" si="9"/>
        <v>37</v>
      </c>
      <c r="AK66" s="51"/>
    </row>
    <row r="67" spans="1:75" x14ac:dyDescent="0.25">
      <c r="A67" s="64" t="s">
        <v>84</v>
      </c>
      <c r="B67" s="46">
        <v>0</v>
      </c>
      <c r="C67" s="46">
        <v>0</v>
      </c>
      <c r="D67" s="46">
        <v>0</v>
      </c>
      <c r="E67" s="46">
        <v>0</v>
      </c>
      <c r="F67" s="46">
        <v>10</v>
      </c>
      <c r="G67" s="46">
        <v>10</v>
      </c>
      <c r="H67" s="46">
        <v>15</v>
      </c>
      <c r="I67" s="75">
        <v>15</v>
      </c>
      <c r="J67" s="75">
        <v>15</v>
      </c>
      <c r="K67" s="75">
        <v>22.9</v>
      </c>
      <c r="L67" s="67">
        <v>23</v>
      </c>
      <c r="M67" s="75">
        <v>10</v>
      </c>
      <c r="N67" s="75">
        <v>13</v>
      </c>
      <c r="O67" s="75">
        <v>13</v>
      </c>
      <c r="P67" s="75">
        <v>12.9</v>
      </c>
      <c r="Q67" s="75">
        <v>13</v>
      </c>
      <c r="R67" s="75">
        <v>12.9</v>
      </c>
      <c r="S67" s="75">
        <v>12.9</v>
      </c>
      <c r="T67" s="75">
        <v>12.9</v>
      </c>
      <c r="U67" s="75">
        <v>12.9</v>
      </c>
      <c r="V67" s="75">
        <v>23</v>
      </c>
      <c r="W67" s="75">
        <v>23</v>
      </c>
      <c r="X67" s="75">
        <v>23</v>
      </c>
      <c r="Y67" s="75">
        <v>23</v>
      </c>
      <c r="Z67" s="75">
        <v>28</v>
      </c>
      <c r="AA67" s="75">
        <v>28</v>
      </c>
      <c r="AB67" s="46">
        <v>27.3</v>
      </c>
      <c r="AC67" s="46">
        <v>14.1</v>
      </c>
      <c r="AD67" s="46">
        <v>14.1</v>
      </c>
      <c r="AE67" s="46">
        <v>10.1</v>
      </c>
      <c r="AF67" s="46">
        <v>10.1</v>
      </c>
      <c r="AG67" s="65">
        <v>30</v>
      </c>
      <c r="AH67" s="48">
        <f t="shared" si="8"/>
        <v>28</v>
      </c>
      <c r="AI67" s="49">
        <f t="shared" si="9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</row>
    <row r="68" spans="1:75" x14ac:dyDescent="0.25">
      <c r="A68" s="64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0.6</v>
      </c>
      <c r="K68" s="46">
        <v>0.9</v>
      </c>
      <c r="L68" s="75">
        <v>1.7</v>
      </c>
      <c r="M68" s="75">
        <v>4.2</v>
      </c>
      <c r="N68" s="75">
        <v>9</v>
      </c>
      <c r="O68" s="75">
        <v>11.9</v>
      </c>
      <c r="P68" s="75">
        <v>17.3</v>
      </c>
      <c r="Q68" s="75">
        <v>17.3</v>
      </c>
      <c r="R68" s="75">
        <v>17.7</v>
      </c>
      <c r="S68" s="75">
        <v>13.5</v>
      </c>
      <c r="T68" s="75">
        <v>9.4</v>
      </c>
      <c r="U68" s="75">
        <v>5.8</v>
      </c>
      <c r="V68" s="75">
        <v>2.7</v>
      </c>
      <c r="W68" s="75">
        <v>1.1000000000000001</v>
      </c>
      <c r="X68" s="75">
        <v>0</v>
      </c>
      <c r="Y68" s="75">
        <v>0</v>
      </c>
      <c r="Z68" s="75">
        <v>0</v>
      </c>
      <c r="AA68" s="75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5">
        <v>25</v>
      </c>
      <c r="AH68" s="48">
        <f t="shared" si="8"/>
        <v>17.7</v>
      </c>
      <c r="AI68" s="49">
        <f t="shared" si="9"/>
        <v>0</v>
      </c>
      <c r="AK68" s="51"/>
      <c r="AY68" s="1" t="s">
        <v>86</v>
      </c>
      <c r="AZ68" s="81">
        <f>ROUND(C81,0)</f>
        <v>40</v>
      </c>
      <c r="BA68" s="80">
        <f t="shared" ref="BA68:BD72" si="34">D81</f>
        <v>31.5</v>
      </c>
      <c r="BB68" s="80">
        <f t="shared" si="34"/>
        <v>35.200000000000003</v>
      </c>
      <c r="BC68" s="80">
        <f t="shared" si="34"/>
        <v>28</v>
      </c>
      <c r="BD68" s="80">
        <f t="shared" si="34"/>
        <v>31</v>
      </c>
      <c r="BE68" s="81">
        <f>I81</f>
        <v>39.799999999999997</v>
      </c>
      <c r="BF68" s="81">
        <f>K81</f>
        <v>34.799999999999997</v>
      </c>
      <c r="BG68" s="81">
        <f t="shared" ref="BG68:BP72" si="35">M81</f>
        <v>36.9</v>
      </c>
      <c r="BH68" s="81">
        <f t="shared" si="35"/>
        <v>25.8</v>
      </c>
      <c r="BI68" s="81">
        <f t="shared" si="35"/>
        <v>35</v>
      </c>
      <c r="BJ68" s="81">
        <f t="shared" si="35"/>
        <v>44.4</v>
      </c>
      <c r="BK68" s="81">
        <f t="shared" si="35"/>
        <v>48.2</v>
      </c>
      <c r="BL68" s="81">
        <f t="shared" si="35"/>
        <v>45</v>
      </c>
      <c r="BM68" s="81">
        <f t="shared" si="35"/>
        <v>43.9</v>
      </c>
      <c r="BN68" s="81">
        <f t="shared" si="35"/>
        <v>55</v>
      </c>
      <c r="BO68" s="81">
        <f t="shared" si="35"/>
        <v>46.4</v>
      </c>
      <c r="BP68" s="81">
        <f t="shared" si="35"/>
        <v>40.1</v>
      </c>
      <c r="BQ68" s="81">
        <f>X81</f>
        <v>47.2</v>
      </c>
      <c r="BR68" s="81">
        <f>Z81</f>
        <v>61.2</v>
      </c>
      <c r="BS68" s="80">
        <f>AB81</f>
        <v>45</v>
      </c>
      <c r="BT68" s="80">
        <f>AD81</f>
        <v>51.9</v>
      </c>
      <c r="BU68" s="80">
        <f>AE81</f>
        <v>55</v>
      </c>
      <c r="BV68" s="80">
        <f>AF81</f>
        <v>52</v>
      </c>
      <c r="BW68" s="80">
        <f>B81</f>
        <v>43</v>
      </c>
    </row>
    <row r="69" spans="1:75" x14ac:dyDescent="0.25">
      <c r="A69" s="64" t="s">
        <v>87</v>
      </c>
      <c r="B69" s="75">
        <v>15</v>
      </c>
      <c r="C69" s="75">
        <v>15</v>
      </c>
      <c r="D69" s="75">
        <v>15</v>
      </c>
      <c r="E69" s="75">
        <v>15</v>
      </c>
      <c r="F69" s="75">
        <v>15</v>
      </c>
      <c r="G69" s="75">
        <v>15</v>
      </c>
      <c r="H69" s="75">
        <v>15</v>
      </c>
      <c r="I69" s="75">
        <v>15</v>
      </c>
      <c r="J69" s="75">
        <v>15</v>
      </c>
      <c r="K69" s="75">
        <v>15</v>
      </c>
      <c r="L69" s="75">
        <v>15</v>
      </c>
      <c r="M69" s="75">
        <v>15</v>
      </c>
      <c r="N69" s="75">
        <v>15</v>
      </c>
      <c r="O69" s="75">
        <v>15</v>
      </c>
      <c r="P69" s="75">
        <v>15</v>
      </c>
      <c r="Q69" s="75">
        <v>15</v>
      </c>
      <c r="R69" s="75">
        <v>15</v>
      </c>
      <c r="S69" s="75">
        <v>15</v>
      </c>
      <c r="T69" s="75">
        <v>15</v>
      </c>
      <c r="U69" s="75">
        <v>15</v>
      </c>
      <c r="V69" s="75">
        <v>15</v>
      </c>
      <c r="W69" s="75">
        <v>15</v>
      </c>
      <c r="X69" s="75">
        <v>15</v>
      </c>
      <c r="Y69" s="75">
        <v>15</v>
      </c>
      <c r="Z69" s="75">
        <v>15</v>
      </c>
      <c r="AA69" s="75">
        <v>15</v>
      </c>
      <c r="AB69" s="75">
        <v>15</v>
      </c>
      <c r="AC69" s="75">
        <v>15</v>
      </c>
      <c r="AD69" s="75">
        <v>15</v>
      </c>
      <c r="AE69" s="75">
        <v>15</v>
      </c>
      <c r="AF69" s="75">
        <v>15</v>
      </c>
      <c r="AG69" s="65">
        <v>24</v>
      </c>
      <c r="AH69" s="48">
        <f t="shared" si="8"/>
        <v>15</v>
      </c>
      <c r="AI69" s="49">
        <f t="shared" si="9"/>
        <v>15</v>
      </c>
      <c r="AK69" s="51"/>
      <c r="AY69" s="1" t="s">
        <v>88</v>
      </c>
      <c r="AZ69" s="81">
        <f>ROUND(C82,0)</f>
        <v>0</v>
      </c>
      <c r="BA69" s="80">
        <f t="shared" si="34"/>
        <v>0</v>
      </c>
      <c r="BB69" s="80">
        <f t="shared" si="34"/>
        <v>0</v>
      </c>
      <c r="BC69" s="80">
        <f t="shared" si="34"/>
        <v>0</v>
      </c>
      <c r="BD69" s="80">
        <f t="shared" si="34"/>
        <v>0</v>
      </c>
      <c r="BE69" s="81">
        <f t="shared" ref="BE69:BE72" si="36">I82</f>
        <v>0</v>
      </c>
      <c r="BF69" s="81">
        <f t="shared" ref="BF69:BF72" si="37">K82</f>
        <v>0</v>
      </c>
      <c r="BG69" s="81">
        <f t="shared" si="35"/>
        <v>0</v>
      </c>
      <c r="BH69" s="81">
        <f t="shared" si="35"/>
        <v>0</v>
      </c>
      <c r="BI69" s="81">
        <f t="shared" si="35"/>
        <v>0</v>
      </c>
      <c r="BJ69" s="81">
        <f t="shared" si="35"/>
        <v>0</v>
      </c>
      <c r="BK69" s="81">
        <f t="shared" si="35"/>
        <v>0</v>
      </c>
      <c r="BL69" s="81">
        <f t="shared" si="35"/>
        <v>0</v>
      </c>
      <c r="BM69" s="81">
        <f t="shared" si="35"/>
        <v>0</v>
      </c>
      <c r="BN69" s="81">
        <f t="shared" si="35"/>
        <v>0</v>
      </c>
      <c r="BO69" s="81">
        <f t="shared" si="35"/>
        <v>0</v>
      </c>
      <c r="BP69" s="81">
        <f t="shared" si="35"/>
        <v>0</v>
      </c>
      <c r="BQ69" s="81">
        <f t="shared" ref="BQ69:BQ72" si="38">X82</f>
        <v>0</v>
      </c>
      <c r="BR69" s="81">
        <f t="shared" ref="BR69:BR72" si="39">Z82</f>
        <v>0</v>
      </c>
      <c r="BS69" s="80">
        <f t="shared" ref="BS69:BS72" si="40">AB82</f>
        <v>0</v>
      </c>
      <c r="BT69" s="80">
        <f t="shared" ref="BT69:BV72" si="41">AD82</f>
        <v>0</v>
      </c>
      <c r="BU69" s="80">
        <f t="shared" si="41"/>
        <v>0</v>
      </c>
      <c r="BV69" s="80">
        <f t="shared" si="41"/>
        <v>0</v>
      </c>
      <c r="BW69" s="80">
        <f t="shared" ref="BW69:BW72" si="42">B82</f>
        <v>0</v>
      </c>
    </row>
    <row r="70" spans="1:75" x14ac:dyDescent="0.25">
      <c r="A70" s="64" t="s">
        <v>89</v>
      </c>
      <c r="B70" s="75">
        <v>0</v>
      </c>
      <c r="C70" s="75">
        <v>0</v>
      </c>
      <c r="D70" s="75">
        <v>0</v>
      </c>
      <c r="E70" s="75">
        <v>0</v>
      </c>
      <c r="F70" s="75">
        <v>0</v>
      </c>
      <c r="G70" s="75">
        <v>0</v>
      </c>
      <c r="H70" s="75">
        <v>0</v>
      </c>
      <c r="I70" s="75">
        <v>0</v>
      </c>
      <c r="J70" s="75">
        <v>0</v>
      </c>
      <c r="K70" s="75">
        <v>0</v>
      </c>
      <c r="L70" s="75">
        <v>0</v>
      </c>
      <c r="M70" s="75">
        <v>0</v>
      </c>
      <c r="N70" s="75">
        <v>0</v>
      </c>
      <c r="O70" s="75">
        <v>0</v>
      </c>
      <c r="P70" s="75">
        <v>0</v>
      </c>
      <c r="Q70" s="75">
        <v>0</v>
      </c>
      <c r="R70" s="75">
        <v>0</v>
      </c>
      <c r="S70" s="75">
        <v>0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5">
        <v>0</v>
      </c>
      <c r="Z70" s="75">
        <v>0</v>
      </c>
      <c r="AA70" s="75">
        <v>0</v>
      </c>
      <c r="AB70" s="75">
        <v>0</v>
      </c>
      <c r="AC70" s="75">
        <v>0</v>
      </c>
      <c r="AD70" s="75">
        <v>0</v>
      </c>
      <c r="AE70" s="75">
        <v>0</v>
      </c>
      <c r="AF70" s="75">
        <v>0</v>
      </c>
      <c r="AG70" s="65">
        <v>15</v>
      </c>
      <c r="AH70" s="48">
        <f t="shared" si="8"/>
        <v>0</v>
      </c>
      <c r="AI70" s="49">
        <f t="shared" si="9"/>
        <v>0</v>
      </c>
      <c r="AK70" s="51"/>
      <c r="AL70" s="82"/>
      <c r="AO70" s="82"/>
      <c r="AY70" s="1" t="s">
        <v>90</v>
      </c>
      <c r="AZ70" s="81">
        <f>ROUND(C83,0)</f>
        <v>262</v>
      </c>
      <c r="BA70" s="80">
        <f t="shared" si="34"/>
        <v>253</v>
      </c>
      <c r="BB70" s="80">
        <f t="shared" si="34"/>
        <v>274</v>
      </c>
      <c r="BC70" s="80">
        <f t="shared" si="34"/>
        <v>279</v>
      </c>
      <c r="BD70" s="80">
        <f t="shared" si="34"/>
        <v>305</v>
      </c>
      <c r="BE70" s="81">
        <f t="shared" si="36"/>
        <v>279</v>
      </c>
      <c r="BF70" s="81">
        <f t="shared" si="37"/>
        <v>152</v>
      </c>
      <c r="BG70" s="81">
        <f t="shared" si="35"/>
        <v>349</v>
      </c>
      <c r="BH70" s="81">
        <f t="shared" si="35"/>
        <v>339.2</v>
      </c>
      <c r="BI70" s="81">
        <f t="shared" si="35"/>
        <v>338</v>
      </c>
      <c r="BJ70" s="81">
        <f t="shared" si="35"/>
        <v>341.4</v>
      </c>
      <c r="BK70" s="81">
        <f t="shared" si="35"/>
        <v>345.9</v>
      </c>
      <c r="BL70" s="81">
        <f t="shared" si="35"/>
        <v>351.2</v>
      </c>
      <c r="BM70" s="81">
        <f t="shared" si="35"/>
        <v>366.5</v>
      </c>
      <c r="BN70" s="81">
        <f t="shared" si="35"/>
        <v>356.6</v>
      </c>
      <c r="BO70" s="81">
        <f t="shared" si="35"/>
        <v>341</v>
      </c>
      <c r="BP70" s="81">
        <f t="shared" si="35"/>
        <v>349</v>
      </c>
      <c r="BQ70" s="81">
        <f t="shared" si="38"/>
        <v>342</v>
      </c>
      <c r="BR70" s="81">
        <f t="shared" si="39"/>
        <v>186</v>
      </c>
      <c r="BS70" s="80">
        <f t="shared" si="40"/>
        <v>194.6</v>
      </c>
      <c r="BT70" s="80">
        <f t="shared" si="41"/>
        <v>272.7</v>
      </c>
      <c r="BU70" s="80">
        <f t="shared" si="41"/>
        <v>246.6</v>
      </c>
      <c r="BV70" s="80">
        <f t="shared" si="41"/>
        <v>294.10000000000002</v>
      </c>
      <c r="BW70" s="80">
        <f t="shared" si="42"/>
        <v>356</v>
      </c>
    </row>
    <row r="71" spans="1:75" s="82" customFormat="1" x14ac:dyDescent="0.25">
      <c r="A71" s="64" t="s">
        <v>91</v>
      </c>
      <c r="B71" s="75">
        <v>8.6</v>
      </c>
      <c r="C71" s="75">
        <v>8.6</v>
      </c>
      <c r="D71" s="75">
        <v>8.6</v>
      </c>
      <c r="E71" s="75">
        <v>8.6</v>
      </c>
      <c r="F71" s="75">
        <v>8.6</v>
      </c>
      <c r="G71" s="75">
        <v>8.6</v>
      </c>
      <c r="H71" s="75">
        <v>8.6</v>
      </c>
      <c r="I71" s="75">
        <v>8.6</v>
      </c>
      <c r="J71" s="75">
        <v>8.6</v>
      </c>
      <c r="K71" s="75">
        <v>8.6</v>
      </c>
      <c r="L71" s="75">
        <v>8.6</v>
      </c>
      <c r="M71" s="75">
        <v>8.6</v>
      </c>
      <c r="N71" s="75">
        <v>8.6</v>
      </c>
      <c r="O71" s="75">
        <v>8.6</v>
      </c>
      <c r="P71" s="75">
        <v>8.6</v>
      </c>
      <c r="Q71" s="75">
        <v>8.6</v>
      </c>
      <c r="R71" s="75">
        <v>8.6</v>
      </c>
      <c r="S71" s="75">
        <v>8.6</v>
      </c>
      <c r="T71" s="75">
        <v>8.6</v>
      </c>
      <c r="U71" s="75">
        <v>8.6</v>
      </c>
      <c r="V71" s="75">
        <v>8.6</v>
      </c>
      <c r="W71" s="75">
        <v>8.6</v>
      </c>
      <c r="X71" s="75">
        <v>8.6</v>
      </c>
      <c r="Y71" s="75">
        <v>8.6</v>
      </c>
      <c r="Z71" s="75">
        <v>8.6</v>
      </c>
      <c r="AA71" s="75">
        <v>8.6</v>
      </c>
      <c r="AB71" s="75">
        <v>8.6</v>
      </c>
      <c r="AC71" s="75">
        <v>8.6</v>
      </c>
      <c r="AD71" s="75">
        <v>8.6</v>
      </c>
      <c r="AE71" s="75">
        <v>8.6</v>
      </c>
      <c r="AF71" s="75">
        <v>8.6</v>
      </c>
      <c r="AG71" s="65">
        <v>14.1</v>
      </c>
      <c r="AH71" s="48">
        <f t="shared" si="8"/>
        <v>8.6</v>
      </c>
      <c r="AI71" s="49">
        <f t="shared" si="9"/>
        <v>8.6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47</v>
      </c>
      <c r="BA71" s="80">
        <f t="shared" si="34"/>
        <v>47.3</v>
      </c>
      <c r="BB71" s="80">
        <f t="shared" si="34"/>
        <v>44</v>
      </c>
      <c r="BC71" s="80">
        <f t="shared" si="34"/>
        <v>45.3</v>
      </c>
      <c r="BD71" s="80">
        <f t="shared" si="34"/>
        <v>48</v>
      </c>
      <c r="BE71" s="81">
        <f t="shared" si="36"/>
        <v>48.8</v>
      </c>
      <c r="BF71" s="81">
        <f t="shared" si="37"/>
        <v>49.8</v>
      </c>
      <c r="BG71" s="81">
        <f t="shared" si="35"/>
        <v>45.8</v>
      </c>
      <c r="BH71" s="81">
        <f t="shared" si="35"/>
        <v>40.6</v>
      </c>
      <c r="BI71" s="81">
        <f t="shared" si="35"/>
        <v>39.299999999999997</v>
      </c>
      <c r="BJ71" s="81">
        <f t="shared" si="35"/>
        <v>37</v>
      </c>
      <c r="BK71" s="81">
        <f t="shared" si="35"/>
        <v>40</v>
      </c>
      <c r="BL71" s="81">
        <f t="shared" si="35"/>
        <v>40</v>
      </c>
      <c r="BM71" s="81">
        <f t="shared" si="35"/>
        <v>42.6</v>
      </c>
      <c r="BN71" s="81">
        <f t="shared" si="35"/>
        <v>35</v>
      </c>
      <c r="BO71" s="81">
        <f t="shared" si="35"/>
        <v>46.2</v>
      </c>
      <c r="BP71" s="81">
        <f t="shared" si="35"/>
        <v>43.9</v>
      </c>
      <c r="BQ71" s="81">
        <f t="shared" si="38"/>
        <v>41.7</v>
      </c>
      <c r="BR71" s="81">
        <f t="shared" si="39"/>
        <v>0</v>
      </c>
      <c r="BS71" s="80">
        <f t="shared" si="40"/>
        <v>0</v>
      </c>
      <c r="BT71" s="80">
        <f t="shared" si="41"/>
        <v>0</v>
      </c>
      <c r="BU71" s="80">
        <f t="shared" si="41"/>
        <v>0</v>
      </c>
      <c r="BV71" s="80">
        <f t="shared" si="41"/>
        <v>0</v>
      </c>
      <c r="BW71" s="80">
        <f t="shared" si="42"/>
        <v>0</v>
      </c>
    </row>
    <row r="72" spans="1:75" x14ac:dyDescent="0.25">
      <c r="A72" s="83" t="s">
        <v>93</v>
      </c>
      <c r="B72" s="75">
        <v>5.2</v>
      </c>
      <c r="C72" s="75">
        <v>5.2</v>
      </c>
      <c r="D72" s="75">
        <v>5.2</v>
      </c>
      <c r="E72" s="75">
        <v>5.2</v>
      </c>
      <c r="F72" s="75">
        <v>5.2</v>
      </c>
      <c r="G72" s="75">
        <v>5.2</v>
      </c>
      <c r="H72" s="75">
        <v>5.2</v>
      </c>
      <c r="I72" s="75">
        <v>5.2</v>
      </c>
      <c r="J72" s="75">
        <v>5.2</v>
      </c>
      <c r="K72" s="75">
        <v>5.2</v>
      </c>
      <c r="L72" s="75">
        <v>5.2</v>
      </c>
      <c r="M72" s="75">
        <v>5.2</v>
      </c>
      <c r="N72" s="75">
        <v>5.2</v>
      </c>
      <c r="O72" s="75">
        <v>5.2</v>
      </c>
      <c r="P72" s="75">
        <v>5.2</v>
      </c>
      <c r="Q72" s="75">
        <v>5.2</v>
      </c>
      <c r="R72" s="75">
        <v>5.2</v>
      </c>
      <c r="S72" s="75">
        <v>5.2</v>
      </c>
      <c r="T72" s="75">
        <v>5.2</v>
      </c>
      <c r="U72" s="75">
        <v>6</v>
      </c>
      <c r="V72" s="75">
        <v>6</v>
      </c>
      <c r="W72" s="75">
        <v>6</v>
      </c>
      <c r="X72" s="75">
        <v>6</v>
      </c>
      <c r="Y72" s="75">
        <v>6</v>
      </c>
      <c r="Z72" s="75">
        <v>6</v>
      </c>
      <c r="AA72" s="75">
        <v>6</v>
      </c>
      <c r="AB72" s="75">
        <v>6</v>
      </c>
      <c r="AC72" s="75">
        <v>6</v>
      </c>
      <c r="AD72" s="75">
        <v>6</v>
      </c>
      <c r="AE72" s="75">
        <v>6</v>
      </c>
      <c r="AF72" s="75">
        <v>6</v>
      </c>
      <c r="AG72" s="65">
        <v>14</v>
      </c>
      <c r="AH72" s="48">
        <f t="shared" si="8"/>
        <v>6</v>
      </c>
      <c r="AI72" s="49">
        <f t="shared" si="9"/>
        <v>5.2</v>
      </c>
      <c r="AK72" s="51"/>
      <c r="AY72" s="1" t="s">
        <v>94</v>
      </c>
      <c r="AZ72" s="81">
        <f>ROUND(C85,0)</f>
        <v>101</v>
      </c>
      <c r="BA72" s="80">
        <f t="shared" si="34"/>
        <v>113</v>
      </c>
      <c r="BB72" s="80">
        <f t="shared" si="34"/>
        <v>111</v>
      </c>
      <c r="BC72" s="80">
        <f t="shared" si="34"/>
        <v>112.3</v>
      </c>
      <c r="BD72" s="80">
        <f t="shared" si="34"/>
        <v>109</v>
      </c>
      <c r="BE72" s="81">
        <f t="shared" si="36"/>
        <v>93.8</v>
      </c>
      <c r="BF72" s="81">
        <f t="shared" si="37"/>
        <v>106.7</v>
      </c>
      <c r="BG72" s="81">
        <f t="shared" si="35"/>
        <v>100.2</v>
      </c>
      <c r="BH72" s="81">
        <f t="shared" si="35"/>
        <v>93.8</v>
      </c>
      <c r="BI72" s="81">
        <f t="shared" si="35"/>
        <v>103.9</v>
      </c>
      <c r="BJ72" s="81">
        <f t="shared" si="35"/>
        <v>109</v>
      </c>
      <c r="BK72" s="81">
        <f t="shared" si="35"/>
        <v>99</v>
      </c>
      <c r="BL72" s="81">
        <f t="shared" si="35"/>
        <v>93.8</v>
      </c>
      <c r="BM72" s="81">
        <f t="shared" si="35"/>
        <v>114.3</v>
      </c>
      <c r="BN72" s="81">
        <f t="shared" si="35"/>
        <v>109.3</v>
      </c>
      <c r="BO72" s="81">
        <f t="shared" si="35"/>
        <v>90.5</v>
      </c>
      <c r="BP72" s="81">
        <f t="shared" si="35"/>
        <v>128.6</v>
      </c>
      <c r="BQ72" s="81">
        <f t="shared" si="38"/>
        <v>120</v>
      </c>
      <c r="BR72" s="81">
        <f t="shared" si="39"/>
        <v>0</v>
      </c>
      <c r="BS72" s="80">
        <f t="shared" si="40"/>
        <v>0</v>
      </c>
      <c r="BT72" s="80">
        <f t="shared" si="41"/>
        <v>0</v>
      </c>
      <c r="BU72" s="80">
        <f t="shared" si="41"/>
        <v>0</v>
      </c>
      <c r="BV72" s="80">
        <f t="shared" si="41"/>
        <v>0</v>
      </c>
      <c r="BW72" s="80">
        <f t="shared" si="42"/>
        <v>0</v>
      </c>
    </row>
    <row r="73" spans="1:75" x14ac:dyDescent="0.25">
      <c r="A73" s="64" t="s">
        <v>95</v>
      </c>
      <c r="B73" s="75">
        <v>4.5</v>
      </c>
      <c r="C73" s="75">
        <v>4.5</v>
      </c>
      <c r="D73" s="75">
        <v>4.5</v>
      </c>
      <c r="E73" s="75">
        <v>4.5</v>
      </c>
      <c r="F73" s="75">
        <v>4.5</v>
      </c>
      <c r="G73" s="75">
        <v>4.5</v>
      </c>
      <c r="H73" s="75">
        <v>4.5</v>
      </c>
      <c r="I73" s="75">
        <v>4.5</v>
      </c>
      <c r="J73" s="75">
        <v>4.5</v>
      </c>
      <c r="K73" s="75">
        <v>4.5</v>
      </c>
      <c r="L73" s="75">
        <v>4.5</v>
      </c>
      <c r="M73" s="75">
        <v>4.5</v>
      </c>
      <c r="N73" s="75">
        <v>4.5</v>
      </c>
      <c r="O73" s="75">
        <v>4.5</v>
      </c>
      <c r="P73" s="75">
        <v>4.5</v>
      </c>
      <c r="Q73" s="75">
        <v>0</v>
      </c>
      <c r="R73" s="75">
        <v>0</v>
      </c>
      <c r="S73" s="75">
        <v>0</v>
      </c>
      <c r="T73" s="75">
        <v>0</v>
      </c>
      <c r="U73" s="75">
        <v>0</v>
      </c>
      <c r="V73" s="75">
        <v>0</v>
      </c>
      <c r="W73" s="75">
        <v>0</v>
      </c>
      <c r="X73" s="75">
        <v>0</v>
      </c>
      <c r="Y73" s="75">
        <v>0</v>
      </c>
      <c r="Z73" s="75">
        <v>0</v>
      </c>
      <c r="AA73" s="75">
        <v>0</v>
      </c>
      <c r="AB73" s="75">
        <v>0</v>
      </c>
      <c r="AC73" s="75">
        <v>0</v>
      </c>
      <c r="AD73" s="75">
        <v>0</v>
      </c>
      <c r="AE73" s="75">
        <v>0</v>
      </c>
      <c r="AF73" s="75">
        <v>0</v>
      </c>
      <c r="AG73" s="65">
        <v>10.050000000000001</v>
      </c>
      <c r="AH73" s="48">
        <f t="shared" si="8"/>
        <v>4.5</v>
      </c>
      <c r="AI73" s="49">
        <f t="shared" si="9"/>
        <v>0</v>
      </c>
      <c r="AK73" s="51"/>
      <c r="AY73" s="1" t="s">
        <v>96</v>
      </c>
      <c r="AZ73" s="81">
        <f>ROUND(C91,0)</f>
        <v>55</v>
      </c>
      <c r="BA73" s="81">
        <f>D91</f>
        <v>51.5</v>
      </c>
      <c r="BB73" s="81">
        <f>E91</f>
        <v>52.8</v>
      </c>
      <c r="BC73" s="81">
        <f>F91</f>
        <v>53.9</v>
      </c>
      <c r="BD73" s="81">
        <f>G91</f>
        <v>56.9</v>
      </c>
      <c r="BE73" s="81">
        <f>I91</f>
        <v>46.4</v>
      </c>
      <c r="BF73" s="81">
        <f>K91</f>
        <v>41.6</v>
      </c>
      <c r="BG73" s="81">
        <f t="shared" ref="BG73:BP73" si="43">M91</f>
        <v>40.6</v>
      </c>
      <c r="BH73" s="81">
        <f t="shared" si="43"/>
        <v>37</v>
      </c>
      <c r="BI73" s="81">
        <f t="shared" si="43"/>
        <v>34</v>
      </c>
      <c r="BJ73" s="81">
        <f t="shared" si="43"/>
        <v>36</v>
      </c>
      <c r="BK73" s="81">
        <f t="shared" si="43"/>
        <v>34</v>
      </c>
      <c r="BL73" s="81">
        <f t="shared" si="43"/>
        <v>34.299999999999997</v>
      </c>
      <c r="BM73" s="81">
        <f t="shared" si="43"/>
        <v>34.299999999999997</v>
      </c>
      <c r="BN73" s="81">
        <f t="shared" si="43"/>
        <v>34.299999999999997</v>
      </c>
      <c r="BO73" s="81">
        <f t="shared" si="43"/>
        <v>47.1</v>
      </c>
      <c r="BP73" s="81">
        <f t="shared" si="43"/>
        <v>34.299999999999997</v>
      </c>
      <c r="BQ73" s="81">
        <f>X91</f>
        <v>59.6</v>
      </c>
      <c r="BR73" s="81">
        <f>Z91</f>
        <v>48</v>
      </c>
      <c r="BS73" s="81">
        <f>AB91</f>
        <v>0</v>
      </c>
      <c r="BT73" s="81">
        <f>AD91</f>
        <v>0</v>
      </c>
      <c r="BU73" s="81">
        <f>AE91</f>
        <v>0</v>
      </c>
      <c r="BV73" s="81">
        <f>AF91</f>
        <v>0</v>
      </c>
      <c r="BW73" s="81">
        <f>B91</f>
        <v>77.2</v>
      </c>
    </row>
    <row r="74" spans="1:75" x14ac:dyDescent="0.25">
      <c r="A74" s="64" t="s">
        <v>97</v>
      </c>
      <c r="B74" s="75">
        <v>4</v>
      </c>
      <c r="C74" s="75">
        <v>4</v>
      </c>
      <c r="D74" s="75">
        <v>4</v>
      </c>
      <c r="E74" s="75">
        <v>4</v>
      </c>
      <c r="F74" s="75">
        <v>4</v>
      </c>
      <c r="G74" s="75">
        <v>4</v>
      </c>
      <c r="H74" s="75">
        <v>4</v>
      </c>
      <c r="I74" s="75">
        <v>4</v>
      </c>
      <c r="J74" s="75">
        <v>4</v>
      </c>
      <c r="K74" s="75">
        <v>4</v>
      </c>
      <c r="L74" s="75">
        <v>4</v>
      </c>
      <c r="M74" s="75">
        <v>4</v>
      </c>
      <c r="N74" s="75">
        <v>4</v>
      </c>
      <c r="O74" s="75">
        <v>4</v>
      </c>
      <c r="P74" s="75">
        <v>4</v>
      </c>
      <c r="Q74" s="75">
        <v>4</v>
      </c>
      <c r="R74" s="75">
        <v>4</v>
      </c>
      <c r="S74" s="75">
        <v>4</v>
      </c>
      <c r="T74" s="75">
        <v>4</v>
      </c>
      <c r="U74" s="75">
        <v>4</v>
      </c>
      <c r="V74" s="75">
        <v>4</v>
      </c>
      <c r="W74" s="75">
        <v>4</v>
      </c>
      <c r="X74" s="75">
        <v>4</v>
      </c>
      <c r="Y74" s="75">
        <v>4</v>
      </c>
      <c r="Z74" s="75">
        <v>4</v>
      </c>
      <c r="AA74" s="75">
        <v>4</v>
      </c>
      <c r="AB74" s="75">
        <v>4</v>
      </c>
      <c r="AC74" s="75">
        <v>4</v>
      </c>
      <c r="AD74" s="75">
        <v>4</v>
      </c>
      <c r="AE74" s="75">
        <v>4</v>
      </c>
      <c r="AF74" s="75">
        <v>4</v>
      </c>
      <c r="AG74" s="65">
        <v>6.2</v>
      </c>
      <c r="AH74" s="48">
        <f t="shared" si="8"/>
        <v>4</v>
      </c>
      <c r="AI74" s="49">
        <f t="shared" si="9"/>
        <v>4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</row>
    <row r="75" spans="1:75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>
        <v>3.54</v>
      </c>
      <c r="W75" s="84">
        <v>3.54</v>
      </c>
      <c r="X75" s="84">
        <v>3.54</v>
      </c>
      <c r="Y75" s="84">
        <v>3.5</v>
      </c>
      <c r="Z75" s="84">
        <v>5.5</v>
      </c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8"/>
        <v>5.5</v>
      </c>
      <c r="AI75" s="49">
        <f t="shared" si="9"/>
        <v>3.5</v>
      </c>
      <c r="AK75" s="51"/>
      <c r="AZ75" s="81">
        <f>VALUE(AZ68)</f>
        <v>40</v>
      </c>
      <c r="BA75" s="81">
        <f t="shared" ref="BA75:BW75" si="44">VALUE(BA68)</f>
        <v>31.5</v>
      </c>
      <c r="BB75" s="81">
        <f t="shared" si="44"/>
        <v>35.200000000000003</v>
      </c>
      <c r="BC75" s="81">
        <f t="shared" si="44"/>
        <v>28</v>
      </c>
      <c r="BD75" s="81">
        <f t="shared" si="44"/>
        <v>31</v>
      </c>
      <c r="BE75" s="81">
        <f t="shared" si="44"/>
        <v>39.799999999999997</v>
      </c>
      <c r="BF75" s="81">
        <f t="shared" si="44"/>
        <v>34.799999999999997</v>
      </c>
      <c r="BG75" s="81">
        <f t="shared" si="44"/>
        <v>36.9</v>
      </c>
      <c r="BH75" s="81">
        <f t="shared" si="44"/>
        <v>25.8</v>
      </c>
      <c r="BI75" s="81">
        <f t="shared" si="44"/>
        <v>35</v>
      </c>
      <c r="BJ75" s="81">
        <f t="shared" si="44"/>
        <v>44.4</v>
      </c>
      <c r="BK75" s="81">
        <f t="shared" si="44"/>
        <v>48.2</v>
      </c>
      <c r="BL75" s="81">
        <f t="shared" si="44"/>
        <v>45</v>
      </c>
      <c r="BM75" s="81">
        <f t="shared" si="44"/>
        <v>43.9</v>
      </c>
      <c r="BN75" s="81">
        <f t="shared" si="44"/>
        <v>55</v>
      </c>
      <c r="BO75" s="81">
        <f t="shared" si="44"/>
        <v>46.4</v>
      </c>
      <c r="BP75" s="81">
        <f t="shared" si="44"/>
        <v>40.1</v>
      </c>
      <c r="BQ75" s="81">
        <f t="shared" si="44"/>
        <v>47.2</v>
      </c>
      <c r="BR75" s="81">
        <f t="shared" si="44"/>
        <v>61.2</v>
      </c>
      <c r="BS75" s="81">
        <f t="shared" si="44"/>
        <v>45</v>
      </c>
      <c r="BT75" s="81">
        <f t="shared" si="44"/>
        <v>51.9</v>
      </c>
      <c r="BU75" s="81">
        <f t="shared" si="44"/>
        <v>55</v>
      </c>
      <c r="BV75" s="81">
        <f t="shared" si="44"/>
        <v>52</v>
      </c>
      <c r="BW75" s="81">
        <f t="shared" si="44"/>
        <v>43</v>
      </c>
    </row>
    <row r="76" spans="1:75" ht="15.75" thickBot="1" x14ac:dyDescent="0.3">
      <c r="A76" s="86" t="s">
        <v>99</v>
      </c>
      <c r="B76" s="70">
        <f t="shared" ref="B76:AC76" si="45">SUM(B63:B75)</f>
        <v>168.04</v>
      </c>
      <c r="C76" s="70">
        <f t="shared" si="45"/>
        <v>99.04</v>
      </c>
      <c r="D76" s="70">
        <f t="shared" si="45"/>
        <v>77.84</v>
      </c>
      <c r="E76" s="70">
        <f t="shared" si="45"/>
        <v>80.14</v>
      </c>
      <c r="F76" s="70">
        <f t="shared" si="45"/>
        <v>87.84</v>
      </c>
      <c r="G76" s="70">
        <f t="shared" si="45"/>
        <v>93.14</v>
      </c>
      <c r="H76" s="70">
        <f t="shared" si="45"/>
        <v>97.84</v>
      </c>
      <c r="I76" s="70">
        <f t="shared" si="45"/>
        <v>145.13999999999999</v>
      </c>
      <c r="J76" s="70">
        <f t="shared" si="45"/>
        <v>226.43999999999997</v>
      </c>
      <c r="K76" s="70">
        <f t="shared" si="45"/>
        <v>246.33999999999997</v>
      </c>
      <c r="L76" s="70">
        <f t="shared" si="45"/>
        <v>258.64</v>
      </c>
      <c r="M76" s="70">
        <f t="shared" si="45"/>
        <v>230.73999999999995</v>
      </c>
      <c r="N76" s="70">
        <f t="shared" si="45"/>
        <v>238.73999999999995</v>
      </c>
      <c r="O76" s="70">
        <f t="shared" si="45"/>
        <v>258.33999999999997</v>
      </c>
      <c r="P76" s="70">
        <f t="shared" si="45"/>
        <v>250.44</v>
      </c>
      <c r="Q76" s="70">
        <f t="shared" si="45"/>
        <v>249.64</v>
      </c>
      <c r="R76" s="70">
        <f t="shared" si="45"/>
        <v>277.04000000000002</v>
      </c>
      <c r="S76" s="70">
        <f t="shared" si="45"/>
        <v>277.14</v>
      </c>
      <c r="T76" s="70">
        <f>SUM(T63:T75)</f>
        <v>287.54000000000008</v>
      </c>
      <c r="U76" s="70">
        <f t="shared" si="45"/>
        <v>273.74000000000007</v>
      </c>
      <c r="V76" s="70">
        <f t="shared" si="45"/>
        <v>253.23999999999998</v>
      </c>
      <c r="W76" s="70">
        <f t="shared" si="45"/>
        <v>237.43999999999997</v>
      </c>
      <c r="X76" s="70">
        <f t="shared" si="45"/>
        <v>236.33999999999997</v>
      </c>
      <c r="Y76" s="70">
        <f t="shared" si="45"/>
        <v>373.30000000000007</v>
      </c>
      <c r="Z76" s="70">
        <f t="shared" si="45"/>
        <v>384.70000000000005</v>
      </c>
      <c r="AA76" s="70">
        <f t="shared" si="45"/>
        <v>367.74000000000007</v>
      </c>
      <c r="AB76" s="70">
        <f t="shared" si="45"/>
        <v>341.94000000000005</v>
      </c>
      <c r="AC76" s="70">
        <f t="shared" si="45"/>
        <v>360.94000000000005</v>
      </c>
      <c r="AD76" s="70">
        <f t="shared" ref="AD76:AE76" si="46">SUM(AD63:AD75)</f>
        <v>336.84000000000009</v>
      </c>
      <c r="AE76" s="70">
        <f t="shared" si="46"/>
        <v>290.64000000000004</v>
      </c>
      <c r="AF76" s="70">
        <f t="shared" ref="AF76" si="47">SUM(AF63:AF75)</f>
        <v>233.64000000000001</v>
      </c>
      <c r="AG76" s="71">
        <f t="shared" ref="AG76" si="48">SUM(AG63:AG75)</f>
        <v>489.91</v>
      </c>
      <c r="AH76" s="48">
        <f t="shared" si="8"/>
        <v>384.70000000000005</v>
      </c>
      <c r="AI76" s="49">
        <f t="shared" si="9"/>
        <v>77.84</v>
      </c>
      <c r="AK76" s="51"/>
      <c r="AZ76" s="81">
        <f t="shared" ref="AZ76:BW80" si="49">VALUE(AZ69)</f>
        <v>0</v>
      </c>
      <c r="BA76" s="81">
        <f t="shared" si="49"/>
        <v>0</v>
      </c>
      <c r="BB76" s="81">
        <f t="shared" si="49"/>
        <v>0</v>
      </c>
      <c r="BC76" s="81">
        <f t="shared" si="49"/>
        <v>0</v>
      </c>
      <c r="BD76" s="81">
        <f t="shared" si="49"/>
        <v>0</v>
      </c>
      <c r="BE76" s="81">
        <f t="shared" si="49"/>
        <v>0</v>
      </c>
      <c r="BF76" s="81">
        <f t="shared" si="49"/>
        <v>0</v>
      </c>
      <c r="BG76" s="81">
        <f t="shared" si="49"/>
        <v>0</v>
      </c>
      <c r="BH76" s="81">
        <f t="shared" si="49"/>
        <v>0</v>
      </c>
      <c r="BI76" s="81">
        <f t="shared" si="49"/>
        <v>0</v>
      </c>
      <c r="BJ76" s="81">
        <f t="shared" si="49"/>
        <v>0</v>
      </c>
      <c r="BK76" s="81">
        <f t="shared" si="49"/>
        <v>0</v>
      </c>
      <c r="BL76" s="81">
        <f t="shared" si="49"/>
        <v>0</v>
      </c>
      <c r="BM76" s="81">
        <f t="shared" si="49"/>
        <v>0</v>
      </c>
      <c r="BN76" s="81">
        <f t="shared" si="49"/>
        <v>0</v>
      </c>
      <c r="BO76" s="81">
        <f t="shared" si="49"/>
        <v>0</v>
      </c>
      <c r="BP76" s="81">
        <f t="shared" si="49"/>
        <v>0</v>
      </c>
      <c r="BQ76" s="81">
        <f t="shared" si="49"/>
        <v>0</v>
      </c>
      <c r="BR76" s="81">
        <f t="shared" si="49"/>
        <v>0</v>
      </c>
      <c r="BS76" s="81">
        <f t="shared" si="49"/>
        <v>0</v>
      </c>
      <c r="BT76" s="81">
        <f t="shared" si="49"/>
        <v>0</v>
      </c>
      <c r="BU76" s="81">
        <f t="shared" si="49"/>
        <v>0</v>
      </c>
      <c r="BV76" s="81">
        <f t="shared" si="49"/>
        <v>0</v>
      </c>
      <c r="BW76" s="81">
        <f t="shared" si="49"/>
        <v>0</v>
      </c>
    </row>
    <row r="77" spans="1:75" x14ac:dyDescent="0.25">
      <c r="A77" s="45" t="s">
        <v>100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>
        <v>30</v>
      </c>
      <c r="Z77" s="46">
        <v>50</v>
      </c>
      <c r="AA77" s="46">
        <v>14</v>
      </c>
      <c r="AB77" s="46">
        <v>14</v>
      </c>
      <c r="AC77" s="46">
        <v>0</v>
      </c>
      <c r="AD77" s="46">
        <v>0</v>
      </c>
      <c r="AE77" s="46">
        <v>0</v>
      </c>
      <c r="AF77" s="46">
        <v>0</v>
      </c>
      <c r="AG77" s="60">
        <v>60</v>
      </c>
      <c r="AH77" s="48">
        <f t="shared" si="8"/>
        <v>50</v>
      </c>
      <c r="AI77" s="49">
        <f t="shared" si="9"/>
        <v>0</v>
      </c>
      <c r="AK77" s="51"/>
      <c r="AZ77" s="81">
        <f t="shared" si="49"/>
        <v>262</v>
      </c>
      <c r="BA77" s="81">
        <f t="shared" si="49"/>
        <v>253</v>
      </c>
      <c r="BB77" s="81">
        <f t="shared" si="49"/>
        <v>274</v>
      </c>
      <c r="BC77" s="81">
        <f t="shared" si="49"/>
        <v>279</v>
      </c>
      <c r="BD77" s="81">
        <f t="shared" si="49"/>
        <v>305</v>
      </c>
      <c r="BE77" s="81">
        <f t="shared" si="49"/>
        <v>279</v>
      </c>
      <c r="BF77" s="81">
        <f t="shared" si="49"/>
        <v>152</v>
      </c>
      <c r="BG77" s="81">
        <f t="shared" si="49"/>
        <v>349</v>
      </c>
      <c r="BH77" s="81">
        <f t="shared" si="49"/>
        <v>339.2</v>
      </c>
      <c r="BI77" s="81">
        <f t="shared" si="49"/>
        <v>338</v>
      </c>
      <c r="BJ77" s="81">
        <f t="shared" si="49"/>
        <v>341.4</v>
      </c>
      <c r="BK77" s="81">
        <f t="shared" si="49"/>
        <v>345.9</v>
      </c>
      <c r="BL77" s="81">
        <f t="shared" si="49"/>
        <v>351.2</v>
      </c>
      <c r="BM77" s="81">
        <f t="shared" si="49"/>
        <v>366.5</v>
      </c>
      <c r="BN77" s="81">
        <f t="shared" si="49"/>
        <v>356.6</v>
      </c>
      <c r="BO77" s="81">
        <f t="shared" si="49"/>
        <v>341</v>
      </c>
      <c r="BP77" s="81">
        <f t="shared" si="49"/>
        <v>349</v>
      </c>
      <c r="BQ77" s="81">
        <f t="shared" si="49"/>
        <v>342</v>
      </c>
      <c r="BR77" s="81">
        <f t="shared" si="49"/>
        <v>186</v>
      </c>
      <c r="BS77" s="81">
        <f t="shared" si="49"/>
        <v>194.6</v>
      </c>
      <c r="BT77" s="81">
        <f t="shared" si="49"/>
        <v>272.7</v>
      </c>
      <c r="BU77" s="81">
        <f t="shared" si="49"/>
        <v>246.6</v>
      </c>
      <c r="BV77" s="81">
        <f t="shared" si="49"/>
        <v>294.10000000000002</v>
      </c>
      <c r="BW77" s="81">
        <f t="shared" si="49"/>
        <v>356</v>
      </c>
    </row>
    <row r="78" spans="1:75" x14ac:dyDescent="0.25">
      <c r="A78" s="64" t="s">
        <v>101</v>
      </c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>
        <v>14</v>
      </c>
      <c r="Z78" s="75">
        <v>22.2</v>
      </c>
      <c r="AA78" s="75">
        <v>10</v>
      </c>
      <c r="AB78" s="75">
        <v>7.1</v>
      </c>
      <c r="AC78" s="75">
        <v>0</v>
      </c>
      <c r="AD78" s="75">
        <v>0</v>
      </c>
      <c r="AE78" s="75">
        <v>0</v>
      </c>
      <c r="AF78" s="75">
        <v>0</v>
      </c>
      <c r="AG78" s="65">
        <v>32</v>
      </c>
      <c r="AH78" s="48">
        <f t="shared" si="8"/>
        <v>22.2</v>
      </c>
      <c r="AI78" s="49">
        <f t="shared" si="9"/>
        <v>0</v>
      </c>
      <c r="AK78" s="51"/>
      <c r="AZ78" s="81">
        <f t="shared" si="49"/>
        <v>47</v>
      </c>
      <c r="BA78" s="81">
        <f t="shared" si="49"/>
        <v>47.3</v>
      </c>
      <c r="BB78" s="81">
        <f t="shared" si="49"/>
        <v>44</v>
      </c>
      <c r="BC78" s="81">
        <f t="shared" si="49"/>
        <v>45.3</v>
      </c>
      <c r="BD78" s="81">
        <f t="shared" si="49"/>
        <v>48</v>
      </c>
      <c r="BE78" s="81">
        <f t="shared" si="49"/>
        <v>48.8</v>
      </c>
      <c r="BF78" s="81">
        <f t="shared" si="49"/>
        <v>49.8</v>
      </c>
      <c r="BG78" s="81">
        <f t="shared" si="49"/>
        <v>45.8</v>
      </c>
      <c r="BH78" s="81">
        <f t="shared" si="49"/>
        <v>40.6</v>
      </c>
      <c r="BI78" s="81">
        <f t="shared" si="49"/>
        <v>39.299999999999997</v>
      </c>
      <c r="BJ78" s="81">
        <f t="shared" si="49"/>
        <v>37</v>
      </c>
      <c r="BK78" s="81">
        <f t="shared" si="49"/>
        <v>40</v>
      </c>
      <c r="BL78" s="81">
        <f t="shared" si="49"/>
        <v>40</v>
      </c>
      <c r="BM78" s="81">
        <f t="shared" si="49"/>
        <v>42.6</v>
      </c>
      <c r="BN78" s="81">
        <f t="shared" si="49"/>
        <v>35</v>
      </c>
      <c r="BO78" s="81">
        <f t="shared" si="49"/>
        <v>46.2</v>
      </c>
      <c r="BP78" s="81">
        <f t="shared" si="49"/>
        <v>43.9</v>
      </c>
      <c r="BQ78" s="81">
        <f t="shared" si="49"/>
        <v>41.7</v>
      </c>
      <c r="BR78" s="81">
        <f t="shared" si="49"/>
        <v>0</v>
      </c>
      <c r="BS78" s="81">
        <f t="shared" si="49"/>
        <v>0</v>
      </c>
      <c r="BT78" s="81">
        <f t="shared" si="49"/>
        <v>0</v>
      </c>
      <c r="BU78" s="81">
        <f t="shared" si="49"/>
        <v>0</v>
      </c>
      <c r="BV78" s="81">
        <f t="shared" si="49"/>
        <v>0</v>
      </c>
      <c r="BW78" s="81">
        <f t="shared" si="49"/>
        <v>0</v>
      </c>
    </row>
    <row r="79" spans="1:75" ht="15.75" thickBot="1" x14ac:dyDescent="0.3">
      <c r="A79" s="83" t="s">
        <v>102</v>
      </c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>
        <v>5.5</v>
      </c>
      <c r="Z79" s="77">
        <v>8.1</v>
      </c>
      <c r="AA79" s="77">
        <v>5</v>
      </c>
      <c r="AB79" s="77">
        <v>2.6</v>
      </c>
      <c r="AC79" s="77">
        <v>0</v>
      </c>
      <c r="AD79" s="77">
        <v>0</v>
      </c>
      <c r="AE79" s="77">
        <v>0</v>
      </c>
      <c r="AF79" s="77">
        <v>0</v>
      </c>
      <c r="AG79" s="78">
        <v>14</v>
      </c>
      <c r="AH79" s="48">
        <f t="shared" si="8"/>
        <v>8.1</v>
      </c>
      <c r="AI79" s="49">
        <f t="shared" si="9"/>
        <v>0</v>
      </c>
      <c r="AK79" s="51"/>
      <c r="AZ79" s="81">
        <f t="shared" si="49"/>
        <v>101</v>
      </c>
      <c r="BA79" s="81">
        <f t="shared" si="49"/>
        <v>113</v>
      </c>
      <c r="BB79" s="81">
        <f t="shared" si="49"/>
        <v>111</v>
      </c>
      <c r="BC79" s="81">
        <f t="shared" si="49"/>
        <v>112.3</v>
      </c>
      <c r="BD79" s="81">
        <f t="shared" si="49"/>
        <v>109</v>
      </c>
      <c r="BE79" s="81">
        <f t="shared" si="49"/>
        <v>93.8</v>
      </c>
      <c r="BF79" s="81">
        <f t="shared" si="49"/>
        <v>106.7</v>
      </c>
      <c r="BG79" s="81">
        <f t="shared" si="49"/>
        <v>100.2</v>
      </c>
      <c r="BH79" s="81">
        <f t="shared" si="49"/>
        <v>93.8</v>
      </c>
      <c r="BI79" s="81">
        <f t="shared" si="49"/>
        <v>103.9</v>
      </c>
      <c r="BJ79" s="81">
        <f t="shared" si="49"/>
        <v>109</v>
      </c>
      <c r="BK79" s="81">
        <f t="shared" si="49"/>
        <v>99</v>
      </c>
      <c r="BL79" s="81">
        <f t="shared" si="49"/>
        <v>93.8</v>
      </c>
      <c r="BM79" s="81">
        <f t="shared" si="49"/>
        <v>114.3</v>
      </c>
      <c r="BN79" s="81">
        <f t="shared" si="49"/>
        <v>109.3</v>
      </c>
      <c r="BO79" s="81">
        <f t="shared" si="49"/>
        <v>90.5</v>
      </c>
      <c r="BP79" s="81">
        <f t="shared" si="49"/>
        <v>128.6</v>
      </c>
      <c r="BQ79" s="81">
        <f t="shared" si="49"/>
        <v>120</v>
      </c>
      <c r="BR79" s="81">
        <f t="shared" si="49"/>
        <v>0</v>
      </c>
      <c r="BS79" s="81">
        <f t="shared" si="49"/>
        <v>0</v>
      </c>
      <c r="BT79" s="81">
        <f t="shared" si="49"/>
        <v>0</v>
      </c>
      <c r="BU79" s="81">
        <f t="shared" si="49"/>
        <v>0</v>
      </c>
      <c r="BV79" s="81">
        <f t="shared" si="49"/>
        <v>0</v>
      </c>
      <c r="BW79" s="81">
        <f t="shared" si="49"/>
        <v>0</v>
      </c>
    </row>
    <row r="80" spans="1:75" ht="15.75" thickBot="1" x14ac:dyDescent="0.3">
      <c r="A80" s="86" t="s">
        <v>103</v>
      </c>
      <c r="B80" s="70">
        <f t="shared" ref="B80:AC80" si="50">B77+B78+B79</f>
        <v>0</v>
      </c>
      <c r="C80" s="70">
        <f t="shared" si="50"/>
        <v>0</v>
      </c>
      <c r="D80" s="70">
        <f t="shared" si="50"/>
        <v>0</v>
      </c>
      <c r="E80" s="70">
        <f t="shared" si="50"/>
        <v>0</v>
      </c>
      <c r="F80" s="70">
        <f t="shared" si="50"/>
        <v>0</v>
      </c>
      <c r="G80" s="70">
        <f t="shared" si="50"/>
        <v>0</v>
      </c>
      <c r="H80" s="70">
        <f t="shared" si="50"/>
        <v>0</v>
      </c>
      <c r="I80" s="70">
        <f t="shared" si="50"/>
        <v>0</v>
      </c>
      <c r="J80" s="70">
        <f t="shared" si="50"/>
        <v>0</v>
      </c>
      <c r="K80" s="70">
        <f t="shared" si="50"/>
        <v>0</v>
      </c>
      <c r="L80" s="70">
        <f t="shared" si="50"/>
        <v>0</v>
      </c>
      <c r="M80" s="70">
        <f t="shared" si="50"/>
        <v>0</v>
      </c>
      <c r="N80" s="70">
        <f t="shared" si="50"/>
        <v>0</v>
      </c>
      <c r="O80" s="70">
        <f t="shared" si="50"/>
        <v>0</v>
      </c>
      <c r="P80" s="70">
        <f t="shared" si="50"/>
        <v>0</v>
      </c>
      <c r="Q80" s="70">
        <f t="shared" si="50"/>
        <v>0</v>
      </c>
      <c r="R80" s="70">
        <f t="shared" si="50"/>
        <v>0</v>
      </c>
      <c r="S80" s="70">
        <f t="shared" si="50"/>
        <v>0</v>
      </c>
      <c r="T80" s="70">
        <f t="shared" si="50"/>
        <v>0</v>
      </c>
      <c r="U80" s="70">
        <f t="shared" si="50"/>
        <v>0</v>
      </c>
      <c r="V80" s="70">
        <f t="shared" si="50"/>
        <v>0</v>
      </c>
      <c r="W80" s="70">
        <f t="shared" si="50"/>
        <v>0</v>
      </c>
      <c r="X80" s="70">
        <f t="shared" si="50"/>
        <v>0</v>
      </c>
      <c r="Y80" s="70">
        <f t="shared" si="50"/>
        <v>49.5</v>
      </c>
      <c r="Z80" s="70">
        <f t="shared" si="50"/>
        <v>80.3</v>
      </c>
      <c r="AA80" s="70">
        <f t="shared" si="50"/>
        <v>29</v>
      </c>
      <c r="AB80" s="70">
        <f t="shared" si="50"/>
        <v>23.700000000000003</v>
      </c>
      <c r="AC80" s="70">
        <f t="shared" si="50"/>
        <v>0</v>
      </c>
      <c r="AD80" s="70">
        <f t="shared" ref="AD80:AE80" si="51">AD77+AD78+AD79</f>
        <v>0</v>
      </c>
      <c r="AE80" s="70">
        <f t="shared" si="51"/>
        <v>0</v>
      </c>
      <c r="AF80" s="70">
        <f t="shared" ref="AF80" si="52">AF77+AF78+AF79</f>
        <v>0</v>
      </c>
      <c r="AG80" s="71">
        <f>SUM(AG77:AG79)</f>
        <v>106</v>
      </c>
      <c r="AH80" s="48">
        <f t="shared" si="8"/>
        <v>80.3</v>
      </c>
      <c r="AI80" s="49">
        <f t="shared" si="9"/>
        <v>0</v>
      </c>
      <c r="AK80" s="51"/>
      <c r="AZ80" s="81">
        <f t="shared" si="49"/>
        <v>55</v>
      </c>
      <c r="BA80" s="81">
        <f t="shared" si="49"/>
        <v>51.5</v>
      </c>
      <c r="BB80" s="81">
        <f t="shared" si="49"/>
        <v>52.8</v>
      </c>
      <c r="BC80" s="81">
        <f t="shared" si="49"/>
        <v>53.9</v>
      </c>
      <c r="BD80" s="81">
        <f t="shared" si="49"/>
        <v>56.9</v>
      </c>
      <c r="BE80" s="81">
        <f t="shared" si="49"/>
        <v>46.4</v>
      </c>
      <c r="BF80" s="81">
        <f t="shared" si="49"/>
        <v>41.6</v>
      </c>
      <c r="BG80" s="81">
        <f t="shared" si="49"/>
        <v>40.6</v>
      </c>
      <c r="BH80" s="81">
        <f t="shared" si="49"/>
        <v>37</v>
      </c>
      <c r="BI80" s="81">
        <f t="shared" si="49"/>
        <v>34</v>
      </c>
      <c r="BJ80" s="81">
        <f t="shared" si="49"/>
        <v>36</v>
      </c>
      <c r="BK80" s="81">
        <f t="shared" si="49"/>
        <v>34</v>
      </c>
      <c r="BL80" s="81">
        <f t="shared" si="49"/>
        <v>34.299999999999997</v>
      </c>
      <c r="BM80" s="81">
        <f t="shared" si="49"/>
        <v>34.299999999999997</v>
      </c>
      <c r="BN80" s="81">
        <f t="shared" si="49"/>
        <v>34.299999999999997</v>
      </c>
      <c r="BO80" s="81">
        <f t="shared" si="49"/>
        <v>47.1</v>
      </c>
      <c r="BP80" s="81">
        <f t="shared" si="49"/>
        <v>34.299999999999997</v>
      </c>
      <c r="BQ80" s="81">
        <f t="shared" si="49"/>
        <v>59.6</v>
      </c>
      <c r="BR80" s="81">
        <f t="shared" si="49"/>
        <v>48</v>
      </c>
      <c r="BS80" s="81">
        <f t="shared" si="49"/>
        <v>0</v>
      </c>
      <c r="BT80" s="81">
        <f t="shared" si="49"/>
        <v>0</v>
      </c>
      <c r="BU80" s="81">
        <f t="shared" si="49"/>
        <v>0</v>
      </c>
      <c r="BV80" s="81">
        <f t="shared" si="49"/>
        <v>0</v>
      </c>
      <c r="BW80" s="81">
        <f t="shared" si="49"/>
        <v>77.2</v>
      </c>
    </row>
    <row r="81" spans="1:64" x14ac:dyDescent="0.25">
      <c r="A81" s="45" t="s">
        <v>104</v>
      </c>
      <c r="B81" s="46">
        <v>43</v>
      </c>
      <c r="C81" s="46">
        <v>39.5</v>
      </c>
      <c r="D81" s="46">
        <v>31.5</v>
      </c>
      <c r="E81" s="46">
        <v>35.200000000000003</v>
      </c>
      <c r="F81" s="46">
        <v>28</v>
      </c>
      <c r="G81" s="46">
        <v>31</v>
      </c>
      <c r="H81" s="46">
        <v>46</v>
      </c>
      <c r="I81" s="46">
        <v>39.799999999999997</v>
      </c>
      <c r="J81" s="46">
        <v>31.8</v>
      </c>
      <c r="K81" s="46">
        <v>34.799999999999997</v>
      </c>
      <c r="L81" s="46">
        <v>29</v>
      </c>
      <c r="M81" s="46">
        <v>36.9</v>
      </c>
      <c r="N81" s="46">
        <v>25.8</v>
      </c>
      <c r="O81" s="46">
        <v>35</v>
      </c>
      <c r="P81" s="46">
        <v>44.4</v>
      </c>
      <c r="Q81" s="46">
        <v>48.2</v>
      </c>
      <c r="R81" s="46">
        <v>45</v>
      </c>
      <c r="S81" s="46">
        <v>43.9</v>
      </c>
      <c r="T81" s="46">
        <v>55</v>
      </c>
      <c r="U81" s="46">
        <v>46.4</v>
      </c>
      <c r="V81" s="46">
        <v>40.1</v>
      </c>
      <c r="W81" s="46">
        <v>54.8</v>
      </c>
      <c r="X81" s="46">
        <v>47.2</v>
      </c>
      <c r="Y81" s="46">
        <v>52</v>
      </c>
      <c r="Z81" s="46">
        <v>61.2</v>
      </c>
      <c r="AA81" s="46">
        <v>68.099999999999994</v>
      </c>
      <c r="AB81" s="46">
        <v>45</v>
      </c>
      <c r="AC81" s="46">
        <v>54.5</v>
      </c>
      <c r="AD81" s="46">
        <v>51.9</v>
      </c>
      <c r="AE81" s="46">
        <v>55</v>
      </c>
      <c r="AF81" s="46">
        <v>52</v>
      </c>
      <c r="AG81" s="60"/>
      <c r="AH81" s="48">
        <f t="shared" si="8"/>
        <v>68.099999999999994</v>
      </c>
      <c r="AI81" s="49">
        <f t="shared" si="9"/>
        <v>25.8</v>
      </c>
      <c r="AK81" s="51"/>
      <c r="AY81" s="81"/>
    </row>
    <row r="82" spans="1:64" x14ac:dyDescent="0.25">
      <c r="A82" s="64" t="s">
        <v>105</v>
      </c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65"/>
      <c r="AH82" s="48">
        <f t="shared" ref="AH82:AH125" si="53">MAX(B82:AF82)</f>
        <v>0</v>
      </c>
      <c r="AI82" s="49">
        <f t="shared" ref="AI82:AI125" si="54">MIN(B82:AF82)</f>
        <v>0</v>
      </c>
      <c r="AK82" s="51"/>
      <c r="AY82" s="81"/>
      <c r="BF82" s="81"/>
      <c r="BG82" s="81"/>
      <c r="BH82" s="81"/>
      <c r="BI82" s="81"/>
      <c r="BJ82" s="81"/>
      <c r="BK82" s="81"/>
    </row>
    <row r="83" spans="1:64" x14ac:dyDescent="0.25">
      <c r="A83" s="64" t="s">
        <v>106</v>
      </c>
      <c r="B83" s="75">
        <v>356</v>
      </c>
      <c r="C83" s="75">
        <v>262</v>
      </c>
      <c r="D83" s="75">
        <v>253</v>
      </c>
      <c r="E83" s="75">
        <v>274</v>
      </c>
      <c r="F83" s="75">
        <v>279</v>
      </c>
      <c r="G83" s="75">
        <v>305</v>
      </c>
      <c r="H83" s="75">
        <v>349</v>
      </c>
      <c r="I83" s="75">
        <v>279</v>
      </c>
      <c r="J83" s="75">
        <v>153</v>
      </c>
      <c r="K83" s="75">
        <v>152</v>
      </c>
      <c r="L83" s="75">
        <v>152</v>
      </c>
      <c r="M83" s="75">
        <v>349</v>
      </c>
      <c r="N83" s="75">
        <v>339.2</v>
      </c>
      <c r="O83" s="75">
        <v>338</v>
      </c>
      <c r="P83" s="75">
        <v>341.4</v>
      </c>
      <c r="Q83" s="75">
        <v>345.9</v>
      </c>
      <c r="R83" s="75">
        <v>351.2</v>
      </c>
      <c r="S83" s="75">
        <v>366.5</v>
      </c>
      <c r="T83" s="75">
        <v>356.6</v>
      </c>
      <c r="U83" s="75">
        <v>341</v>
      </c>
      <c r="V83" s="75">
        <v>349</v>
      </c>
      <c r="W83" s="75">
        <v>367</v>
      </c>
      <c r="X83" s="75">
        <v>342</v>
      </c>
      <c r="Y83" s="75">
        <v>353</v>
      </c>
      <c r="Z83" s="75">
        <v>186</v>
      </c>
      <c r="AA83" s="75">
        <v>184</v>
      </c>
      <c r="AB83" s="75">
        <v>194.6</v>
      </c>
      <c r="AC83" s="75">
        <v>280</v>
      </c>
      <c r="AD83" s="75">
        <v>272.7</v>
      </c>
      <c r="AE83" s="75">
        <v>246.6</v>
      </c>
      <c r="AF83" s="75">
        <v>294.10000000000002</v>
      </c>
      <c r="AG83" s="87"/>
      <c r="AH83" s="48">
        <f t="shared" si="53"/>
        <v>367</v>
      </c>
      <c r="AI83" s="49">
        <f t="shared" si="54"/>
        <v>152</v>
      </c>
      <c r="AK83" s="51"/>
      <c r="AY83" s="81"/>
      <c r="BF83" s="80"/>
      <c r="BG83" s="80"/>
      <c r="BH83" s="80"/>
      <c r="BI83" s="80"/>
      <c r="BJ83" s="80"/>
      <c r="BK83" s="81"/>
    </row>
    <row r="84" spans="1:64" x14ac:dyDescent="0.25">
      <c r="A84" s="64" t="s">
        <v>107</v>
      </c>
      <c r="B84" s="75">
        <v>0</v>
      </c>
      <c r="C84" s="75">
        <v>46.9</v>
      </c>
      <c r="D84" s="75">
        <v>47.3</v>
      </c>
      <c r="E84" s="88">
        <v>44</v>
      </c>
      <c r="F84" s="88">
        <v>45.3</v>
      </c>
      <c r="G84" s="88">
        <v>48</v>
      </c>
      <c r="H84" s="88">
        <v>47.3</v>
      </c>
      <c r="I84" s="88">
        <v>48.8</v>
      </c>
      <c r="J84" s="88">
        <v>51</v>
      </c>
      <c r="K84" s="88">
        <v>49.8</v>
      </c>
      <c r="L84" s="88">
        <v>42</v>
      </c>
      <c r="M84" s="88">
        <v>45.8</v>
      </c>
      <c r="N84" s="88">
        <v>40.6</v>
      </c>
      <c r="O84" s="88">
        <v>39.299999999999997</v>
      </c>
      <c r="P84" s="88">
        <v>37</v>
      </c>
      <c r="Q84" s="88">
        <v>40</v>
      </c>
      <c r="R84" s="88">
        <v>40</v>
      </c>
      <c r="S84" s="88">
        <v>42.6</v>
      </c>
      <c r="T84" s="88">
        <v>35</v>
      </c>
      <c r="U84" s="88">
        <v>46.2</v>
      </c>
      <c r="V84" s="88">
        <v>43.9</v>
      </c>
      <c r="W84" s="88">
        <v>45.7</v>
      </c>
      <c r="X84" s="88">
        <v>41.7</v>
      </c>
      <c r="Y84" s="88">
        <v>0</v>
      </c>
      <c r="Z84" s="88">
        <v>0</v>
      </c>
      <c r="AA84" s="88">
        <v>0</v>
      </c>
      <c r="AB84" s="88">
        <v>0</v>
      </c>
      <c r="AC84" s="88">
        <v>0</v>
      </c>
      <c r="AD84" s="88">
        <v>0</v>
      </c>
      <c r="AE84" s="88">
        <v>0</v>
      </c>
      <c r="AF84" s="88">
        <v>0</v>
      </c>
      <c r="AG84" s="87"/>
      <c r="AH84" s="48">
        <f t="shared" si="53"/>
        <v>51</v>
      </c>
      <c r="AI84" s="49">
        <f t="shared" si="54"/>
        <v>0</v>
      </c>
      <c r="AK84" s="51"/>
      <c r="AY84" s="81"/>
      <c r="BF84" s="80"/>
      <c r="BG84" s="81">
        <f t="array" ref="BG84:BL107">TRANSPOSE(AZ68:BW73)</f>
        <v>40</v>
      </c>
      <c r="BH84" s="81">
        <v>0</v>
      </c>
      <c r="BI84" s="81">
        <v>262</v>
      </c>
      <c r="BJ84" s="81">
        <v>47</v>
      </c>
      <c r="BK84" s="81">
        <v>101</v>
      </c>
      <c r="BL84" s="81">
        <v>55</v>
      </c>
    </row>
    <row r="85" spans="1:64" x14ac:dyDescent="0.25">
      <c r="A85" s="64" t="s">
        <v>108</v>
      </c>
      <c r="B85" s="46">
        <v>0</v>
      </c>
      <c r="C85" s="46">
        <v>101.2</v>
      </c>
      <c r="D85" s="46">
        <v>113</v>
      </c>
      <c r="E85" s="46">
        <v>111</v>
      </c>
      <c r="F85" s="46">
        <v>112.3</v>
      </c>
      <c r="G85" s="46">
        <v>109</v>
      </c>
      <c r="H85" s="46">
        <v>101</v>
      </c>
      <c r="I85" s="46">
        <v>93.8</v>
      </c>
      <c r="J85" s="46">
        <v>103.5</v>
      </c>
      <c r="K85" s="46">
        <v>106.7</v>
      </c>
      <c r="L85" s="46">
        <v>106</v>
      </c>
      <c r="M85" s="46">
        <v>100.2</v>
      </c>
      <c r="N85" s="46">
        <v>93.8</v>
      </c>
      <c r="O85" s="46">
        <v>103.9</v>
      </c>
      <c r="P85" s="46">
        <v>109</v>
      </c>
      <c r="Q85" s="46">
        <v>99</v>
      </c>
      <c r="R85" s="46">
        <v>93.8</v>
      </c>
      <c r="S85" s="46">
        <v>114.3</v>
      </c>
      <c r="T85" s="46">
        <v>109.3</v>
      </c>
      <c r="U85" s="46">
        <v>90.5</v>
      </c>
      <c r="V85" s="46">
        <v>128.6</v>
      </c>
      <c r="W85" s="46">
        <v>124</v>
      </c>
      <c r="X85" s="46">
        <v>120</v>
      </c>
      <c r="Y85" s="46">
        <v>0</v>
      </c>
      <c r="Z85" s="46">
        <v>0</v>
      </c>
      <c r="AA85" s="46">
        <v>0</v>
      </c>
      <c r="AB85" s="46">
        <v>0</v>
      </c>
      <c r="AC85" s="46">
        <v>0</v>
      </c>
      <c r="AD85" s="46">
        <v>0</v>
      </c>
      <c r="AE85" s="46">
        <v>0</v>
      </c>
      <c r="AF85" s="46">
        <v>0</v>
      </c>
      <c r="AG85" s="87"/>
      <c r="AH85" s="48">
        <f t="shared" si="53"/>
        <v>128.6</v>
      </c>
      <c r="AI85" s="49">
        <f t="shared" si="54"/>
        <v>0</v>
      </c>
      <c r="AK85" s="51"/>
      <c r="AY85" s="81"/>
      <c r="BF85" s="80"/>
      <c r="BG85" s="81">
        <v>31.5</v>
      </c>
      <c r="BH85" s="81">
        <v>0</v>
      </c>
      <c r="BI85" s="81">
        <v>253</v>
      </c>
      <c r="BJ85" s="81">
        <v>47.3</v>
      </c>
      <c r="BK85" s="81">
        <v>113</v>
      </c>
      <c r="BL85" s="81">
        <v>51.5</v>
      </c>
    </row>
    <row r="86" spans="1:64" x14ac:dyDescent="0.25">
      <c r="A86" s="64" t="s">
        <v>109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7"/>
      <c r="AH86" s="48">
        <f t="shared" si="53"/>
        <v>0</v>
      </c>
      <c r="AI86" s="49">
        <f t="shared" si="54"/>
        <v>0</v>
      </c>
      <c r="AK86" s="51"/>
      <c r="AY86" s="81"/>
      <c r="BF86" s="80"/>
      <c r="BG86" s="81">
        <v>35.200000000000003</v>
      </c>
      <c r="BH86" s="81">
        <v>0</v>
      </c>
      <c r="BI86" s="81">
        <v>274</v>
      </c>
      <c r="BJ86" s="81">
        <v>44</v>
      </c>
      <c r="BK86" s="81">
        <v>111</v>
      </c>
      <c r="BL86" s="81">
        <v>52.8</v>
      </c>
    </row>
    <row r="87" spans="1:64" ht="15.75" thickBot="1" x14ac:dyDescent="0.3">
      <c r="A87" s="64" t="s">
        <v>110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7"/>
      <c r="AH87" s="48">
        <f t="shared" si="53"/>
        <v>0</v>
      </c>
      <c r="AI87" s="49">
        <f t="shared" si="54"/>
        <v>0</v>
      </c>
      <c r="AK87" s="51"/>
      <c r="AL87" s="90" t="s">
        <v>111</v>
      </c>
      <c r="AM87" s="90"/>
      <c r="AY87" s="81"/>
      <c r="BF87" s="81"/>
      <c r="BG87" s="81">
        <v>28</v>
      </c>
      <c r="BH87" s="81">
        <v>0</v>
      </c>
      <c r="BI87" s="81">
        <v>279</v>
      </c>
      <c r="BJ87" s="81">
        <v>45.3</v>
      </c>
      <c r="BK87" s="81">
        <v>112.3</v>
      </c>
      <c r="BL87" s="81">
        <v>53.9</v>
      </c>
    </row>
    <row r="88" spans="1:64" x14ac:dyDescent="0.25">
      <c r="A88" s="64" t="s">
        <v>112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7"/>
      <c r="AH88" s="48">
        <f t="shared" si="53"/>
        <v>0</v>
      </c>
      <c r="AI88" s="49">
        <f t="shared" si="54"/>
        <v>0</v>
      </c>
      <c r="AK88" s="91"/>
      <c r="AL88" s="92"/>
      <c r="AM88" s="92"/>
      <c r="AN88" s="93"/>
      <c r="AY88" s="81"/>
      <c r="BF88" s="81"/>
      <c r="BG88" s="81">
        <v>31</v>
      </c>
      <c r="BH88" s="81">
        <v>0</v>
      </c>
      <c r="BI88" s="81">
        <v>305</v>
      </c>
      <c r="BJ88" s="81">
        <v>48</v>
      </c>
      <c r="BK88" s="81">
        <v>109</v>
      </c>
      <c r="BL88" s="81">
        <v>56.9</v>
      </c>
    </row>
    <row r="89" spans="1:64" x14ac:dyDescent="0.25">
      <c r="A89" s="64" t="s">
        <v>113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7"/>
      <c r="AH89" s="48">
        <f t="shared" si="53"/>
        <v>0</v>
      </c>
      <c r="AI89" s="49">
        <f t="shared" si="54"/>
        <v>0</v>
      </c>
      <c r="AK89" s="94" t="s">
        <v>114</v>
      </c>
      <c r="AL89" s="75"/>
      <c r="AM89" s="88"/>
      <c r="AN89" s="95"/>
      <c r="AY89" s="81"/>
      <c r="BF89" s="81"/>
      <c r="BG89" s="81">
        <v>39.799999999999997</v>
      </c>
      <c r="BH89" s="81">
        <v>0</v>
      </c>
      <c r="BI89" s="81">
        <v>279</v>
      </c>
      <c r="BJ89" s="81">
        <v>48.8</v>
      </c>
      <c r="BK89" s="81">
        <v>93.8</v>
      </c>
      <c r="BL89" s="81">
        <v>46.4</v>
      </c>
    </row>
    <row r="90" spans="1:64" x14ac:dyDescent="0.25">
      <c r="A90" s="96" t="s">
        <v>115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97"/>
      <c r="AH90" s="48">
        <f t="shared" si="53"/>
        <v>0</v>
      </c>
      <c r="AI90" s="49">
        <f t="shared" si="54"/>
        <v>0</v>
      </c>
      <c r="AK90" s="94" t="s">
        <v>116</v>
      </c>
      <c r="AL90" s="88"/>
      <c r="AM90" s="88"/>
      <c r="AN90" s="95"/>
      <c r="AY90" s="81"/>
      <c r="BF90" s="81"/>
      <c r="BG90" s="81">
        <v>34.799999999999997</v>
      </c>
      <c r="BH90" s="81">
        <v>0</v>
      </c>
      <c r="BI90" s="81">
        <v>152</v>
      </c>
      <c r="BJ90" s="81">
        <v>49.8</v>
      </c>
      <c r="BK90" s="81">
        <v>106.7</v>
      </c>
      <c r="BL90" s="81">
        <v>41.6</v>
      </c>
    </row>
    <row r="91" spans="1:64" ht="15.75" thickBot="1" x14ac:dyDescent="0.3">
      <c r="A91" s="96" t="s">
        <v>117</v>
      </c>
      <c r="B91" s="89">
        <v>77.2</v>
      </c>
      <c r="C91" s="89">
        <v>55</v>
      </c>
      <c r="D91" s="89">
        <v>51.5</v>
      </c>
      <c r="E91" s="89">
        <v>52.8</v>
      </c>
      <c r="F91" s="89">
        <v>53.9</v>
      </c>
      <c r="G91" s="89">
        <v>56.9</v>
      </c>
      <c r="H91" s="89">
        <v>51.8</v>
      </c>
      <c r="I91" s="89">
        <v>46.4</v>
      </c>
      <c r="J91" s="89">
        <v>41.4</v>
      </c>
      <c r="K91" s="89">
        <v>41.6</v>
      </c>
      <c r="L91" s="89">
        <v>40.299999999999997</v>
      </c>
      <c r="M91" s="89">
        <v>40.6</v>
      </c>
      <c r="N91" s="89">
        <v>37</v>
      </c>
      <c r="O91" s="89">
        <v>34</v>
      </c>
      <c r="P91" s="89">
        <v>36</v>
      </c>
      <c r="Q91" s="89">
        <v>34</v>
      </c>
      <c r="R91" s="89">
        <v>34.299999999999997</v>
      </c>
      <c r="S91" s="89">
        <v>34.299999999999997</v>
      </c>
      <c r="T91" s="89">
        <v>34.299999999999997</v>
      </c>
      <c r="U91" s="89">
        <v>47.1</v>
      </c>
      <c r="V91" s="89">
        <v>34.299999999999997</v>
      </c>
      <c r="W91" s="89">
        <v>34.299999999999997</v>
      </c>
      <c r="X91" s="89">
        <v>59.6</v>
      </c>
      <c r="Y91" s="89">
        <v>56</v>
      </c>
      <c r="Z91" s="89">
        <v>48</v>
      </c>
      <c r="AA91" s="89">
        <v>0</v>
      </c>
      <c r="AB91" s="89">
        <v>0</v>
      </c>
      <c r="AC91" s="89">
        <v>0</v>
      </c>
      <c r="AD91" s="89">
        <v>0</v>
      </c>
      <c r="AE91" s="89">
        <v>0</v>
      </c>
      <c r="AF91" s="89">
        <v>0</v>
      </c>
      <c r="AG91" s="97"/>
      <c r="AH91" s="48">
        <f t="shared" si="53"/>
        <v>77.2</v>
      </c>
      <c r="AI91" s="49">
        <f t="shared" si="54"/>
        <v>0</v>
      </c>
      <c r="AK91" s="98"/>
      <c r="AL91" s="46"/>
      <c r="AM91" s="46"/>
      <c r="AN91" s="99"/>
      <c r="AY91" s="81"/>
      <c r="BF91" s="81"/>
      <c r="BG91" s="81">
        <v>36.9</v>
      </c>
      <c r="BH91" s="81">
        <v>0</v>
      </c>
      <c r="BI91" s="81">
        <v>349</v>
      </c>
      <c r="BJ91" s="81">
        <v>45.8</v>
      </c>
      <c r="BK91" s="81">
        <v>100.2</v>
      </c>
      <c r="BL91" s="81">
        <v>40.6</v>
      </c>
    </row>
    <row r="92" spans="1:64" ht="15.75" thickBot="1" x14ac:dyDescent="0.3">
      <c r="A92" s="86" t="s">
        <v>118</v>
      </c>
      <c r="B92" s="70">
        <f t="shared" ref="B92:AC92" si="55">SUMIF(B81:B91,"&gt;0")</f>
        <v>476.2</v>
      </c>
      <c r="C92" s="70">
        <f t="shared" si="55"/>
        <v>504.59999999999997</v>
      </c>
      <c r="D92" s="70">
        <f t="shared" si="55"/>
        <v>496.3</v>
      </c>
      <c r="E92" s="70">
        <f t="shared" si="55"/>
        <v>517</v>
      </c>
      <c r="F92" s="70">
        <f t="shared" si="55"/>
        <v>518.5</v>
      </c>
      <c r="G92" s="70">
        <f t="shared" si="55"/>
        <v>549.9</v>
      </c>
      <c r="H92" s="70">
        <f t="shared" si="55"/>
        <v>595.09999999999991</v>
      </c>
      <c r="I92" s="70">
        <f t="shared" si="55"/>
        <v>507.8</v>
      </c>
      <c r="J92" s="70">
        <f t="shared" si="55"/>
        <v>380.7</v>
      </c>
      <c r="K92" s="70">
        <f t="shared" si="55"/>
        <v>384.90000000000003</v>
      </c>
      <c r="L92" s="70">
        <f t="shared" si="55"/>
        <v>369.3</v>
      </c>
      <c r="M92" s="70">
        <f t="shared" si="55"/>
        <v>572.5</v>
      </c>
      <c r="N92" s="70">
        <f t="shared" si="55"/>
        <v>536.40000000000009</v>
      </c>
      <c r="O92" s="70">
        <f t="shared" si="55"/>
        <v>550.20000000000005</v>
      </c>
      <c r="P92" s="70">
        <f t="shared" si="55"/>
        <v>567.79999999999995</v>
      </c>
      <c r="Q92" s="70">
        <f t="shared" si="55"/>
        <v>567.09999999999991</v>
      </c>
      <c r="R92" s="70">
        <f t="shared" si="55"/>
        <v>564.29999999999995</v>
      </c>
      <c r="S92" s="70">
        <f t="shared" si="55"/>
        <v>601.59999999999991</v>
      </c>
      <c r="T92" s="70">
        <f t="shared" si="55"/>
        <v>590.19999999999993</v>
      </c>
      <c r="U92" s="70">
        <f t="shared" si="55"/>
        <v>571.19999999999993</v>
      </c>
      <c r="V92" s="70">
        <f t="shared" si="55"/>
        <v>595.9</v>
      </c>
      <c r="W92" s="70">
        <f t="shared" si="55"/>
        <v>625.79999999999995</v>
      </c>
      <c r="X92" s="70">
        <f t="shared" si="55"/>
        <v>610.5</v>
      </c>
      <c r="Y92" s="70">
        <f t="shared" si="55"/>
        <v>461</v>
      </c>
      <c r="Z92" s="70">
        <f t="shared" si="55"/>
        <v>295.2</v>
      </c>
      <c r="AA92" s="70">
        <f t="shared" si="55"/>
        <v>252.1</v>
      </c>
      <c r="AB92" s="70">
        <f t="shared" si="55"/>
        <v>239.6</v>
      </c>
      <c r="AC92" s="70">
        <f t="shared" si="55"/>
        <v>334.5</v>
      </c>
      <c r="AD92" s="70">
        <f t="shared" ref="AD92:AE92" si="56">SUMIF(AD81:AD91,"&gt;0")</f>
        <v>324.59999999999997</v>
      </c>
      <c r="AE92" s="70">
        <f t="shared" si="56"/>
        <v>301.60000000000002</v>
      </c>
      <c r="AF92" s="70">
        <f t="shared" ref="AF92" si="57">SUMIF(AF81:AF91,"&gt;0")</f>
        <v>346.1</v>
      </c>
      <c r="AG92" s="100">
        <f>SUM(AG81:AG91)</f>
        <v>0</v>
      </c>
      <c r="AH92" s="48">
        <f t="shared" si="53"/>
        <v>625.79999999999995</v>
      </c>
      <c r="AI92" s="49">
        <f t="shared" si="54"/>
        <v>239.6</v>
      </c>
      <c r="AK92" s="98"/>
      <c r="AL92" s="89"/>
      <c r="AM92" s="101"/>
      <c r="AN92" s="202"/>
      <c r="AY92" s="81"/>
      <c r="BF92" s="81"/>
      <c r="BG92" s="81">
        <v>25.8</v>
      </c>
      <c r="BH92" s="81">
        <v>0</v>
      </c>
      <c r="BI92" s="81">
        <v>339.2</v>
      </c>
      <c r="BJ92" s="81">
        <v>40.6</v>
      </c>
      <c r="BK92" s="81">
        <v>93.8</v>
      </c>
      <c r="BL92" s="81">
        <v>37</v>
      </c>
    </row>
    <row r="93" spans="1:64" x14ac:dyDescent="0.25">
      <c r="A93" s="45" t="s">
        <v>119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53"/>
        <v>0</v>
      </c>
      <c r="AI93" s="49">
        <f t="shared" si="54"/>
        <v>0</v>
      </c>
      <c r="AK93" s="98"/>
      <c r="AL93" s="89"/>
      <c r="AM93" s="89"/>
      <c r="AN93" s="203"/>
      <c r="BF93" s="81"/>
      <c r="BG93" s="81">
        <v>35</v>
      </c>
      <c r="BH93" s="81">
        <v>0</v>
      </c>
      <c r="BI93" s="81">
        <v>338</v>
      </c>
      <c r="BJ93" s="81">
        <v>39.299999999999997</v>
      </c>
      <c r="BK93" s="81">
        <v>103.9</v>
      </c>
      <c r="BL93" s="81">
        <v>34</v>
      </c>
    </row>
    <row r="94" spans="1:64" ht="15.75" thickBot="1" x14ac:dyDescent="0.3">
      <c r="A94" s="64" t="s">
        <v>120</v>
      </c>
      <c r="B94" s="89">
        <v>0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53"/>
        <v>0</v>
      </c>
      <c r="AI94" s="49">
        <f t="shared" si="54"/>
        <v>0</v>
      </c>
      <c r="AK94" s="103"/>
      <c r="AL94" s="104"/>
      <c r="AM94" s="104"/>
      <c r="AN94" s="105"/>
      <c r="BF94" s="81"/>
      <c r="BG94" s="81">
        <v>44.4</v>
      </c>
      <c r="BH94" s="81">
        <v>0</v>
      </c>
      <c r="BI94" s="81">
        <v>341.4</v>
      </c>
      <c r="BJ94" s="81">
        <v>37</v>
      </c>
      <c r="BK94" s="81">
        <v>109</v>
      </c>
      <c r="BL94" s="81">
        <v>36</v>
      </c>
    </row>
    <row r="95" spans="1:64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0</v>
      </c>
      <c r="Y95" s="106">
        <v>0</v>
      </c>
      <c r="Z95" s="106">
        <v>0</v>
      </c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53"/>
        <v>0</v>
      </c>
      <c r="AI95" s="49">
        <f t="shared" si="54"/>
        <v>0</v>
      </c>
      <c r="BF95" s="81"/>
      <c r="BG95" s="81">
        <v>48.2</v>
      </c>
      <c r="BH95" s="81">
        <v>0</v>
      </c>
      <c r="BI95" s="81">
        <v>345.9</v>
      </c>
      <c r="BJ95" s="81">
        <v>40</v>
      </c>
      <c r="BK95" s="81">
        <v>99</v>
      </c>
      <c r="BL95" s="81">
        <v>34</v>
      </c>
    </row>
    <row r="96" spans="1:64" ht="15.75" thickBot="1" x14ac:dyDescent="0.3">
      <c r="A96" s="86" t="s">
        <v>122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100">
        <f>SUM(AG93:AG95)</f>
        <v>55.4</v>
      </c>
      <c r="AH96" s="48">
        <f t="shared" si="53"/>
        <v>0</v>
      </c>
      <c r="AI96" s="49">
        <f t="shared" si="54"/>
        <v>0</v>
      </c>
      <c r="BF96" s="81"/>
      <c r="BG96" s="81">
        <v>45</v>
      </c>
      <c r="BH96" s="81">
        <v>0</v>
      </c>
      <c r="BI96" s="81">
        <v>351.2</v>
      </c>
      <c r="BJ96" s="81">
        <v>40</v>
      </c>
      <c r="BK96" s="81">
        <v>93.8</v>
      </c>
      <c r="BL96" s="81">
        <v>34.299999999999997</v>
      </c>
    </row>
    <row r="97" spans="1:64" ht="15.75" thickBot="1" x14ac:dyDescent="0.3">
      <c r="A97" s="86" t="s">
        <v>123</v>
      </c>
      <c r="B97" s="107">
        <f t="shared" ref="B97" si="58">B58+B62+B80+B76+B92+B96</f>
        <v>1157.49</v>
      </c>
      <c r="C97" s="107">
        <f t="shared" ref="C97:AC97" si="59">C58+C62+C80+C76+C92+C96</f>
        <v>1118.1899999999998</v>
      </c>
      <c r="D97" s="107">
        <f t="shared" si="59"/>
        <v>1088.69</v>
      </c>
      <c r="E97" s="107">
        <f t="shared" si="59"/>
        <v>1111.69</v>
      </c>
      <c r="F97" s="107">
        <f t="shared" si="59"/>
        <v>1122.5900000000001</v>
      </c>
      <c r="G97" s="107">
        <f t="shared" si="59"/>
        <v>1160.0899999999999</v>
      </c>
      <c r="H97" s="107">
        <f t="shared" si="59"/>
        <v>1209.79</v>
      </c>
      <c r="I97" s="107">
        <f t="shared" si="59"/>
        <v>1202.8899999999999</v>
      </c>
      <c r="J97" s="107">
        <f t="shared" si="59"/>
        <v>1346.6899999999998</v>
      </c>
      <c r="K97" s="107">
        <f t="shared" si="59"/>
        <v>1367.79</v>
      </c>
      <c r="L97" s="107">
        <f t="shared" si="59"/>
        <v>1393.79</v>
      </c>
      <c r="M97" s="107">
        <f t="shared" si="59"/>
        <v>1405.3899999999999</v>
      </c>
      <c r="N97" s="107">
        <f t="shared" si="59"/>
        <v>1340.49</v>
      </c>
      <c r="O97" s="107">
        <f t="shared" si="59"/>
        <v>1363.99</v>
      </c>
      <c r="P97" s="107">
        <f t="shared" si="59"/>
        <v>1345.79</v>
      </c>
      <c r="Q97" s="107">
        <f t="shared" si="59"/>
        <v>1339.0899999999997</v>
      </c>
      <c r="R97" s="107">
        <f t="shared" si="59"/>
        <v>1357.49</v>
      </c>
      <c r="S97" s="107">
        <f t="shared" si="59"/>
        <v>1394.8899999999999</v>
      </c>
      <c r="T97" s="107">
        <f t="shared" si="59"/>
        <v>1393.8899999999999</v>
      </c>
      <c r="U97" s="107">
        <f t="shared" si="59"/>
        <v>1361.0900000000001</v>
      </c>
      <c r="V97" s="107">
        <f t="shared" si="59"/>
        <v>1365.29</v>
      </c>
      <c r="W97" s="107">
        <f t="shared" si="59"/>
        <v>1419.5899999999997</v>
      </c>
      <c r="X97" s="107">
        <f t="shared" si="59"/>
        <v>1435.49</v>
      </c>
      <c r="Y97" s="107">
        <f t="shared" si="59"/>
        <v>1472.95</v>
      </c>
      <c r="Z97" s="107">
        <f t="shared" si="59"/>
        <v>1583.65</v>
      </c>
      <c r="AA97" s="107">
        <f t="shared" si="59"/>
        <v>1517.99</v>
      </c>
      <c r="AB97" s="107">
        <f t="shared" si="59"/>
        <v>1431.79</v>
      </c>
      <c r="AC97" s="107">
        <f t="shared" si="59"/>
        <v>1428.3899999999999</v>
      </c>
      <c r="AD97" s="107">
        <f t="shared" ref="AD97:AE97" si="60">AD58+AD62+AD80+AD76+AD92+AD96</f>
        <v>1422.3899999999999</v>
      </c>
      <c r="AE97" s="107">
        <f t="shared" si="60"/>
        <v>1284.19</v>
      </c>
      <c r="AF97" s="107">
        <f t="shared" ref="AF97" si="61">AF58+AF62+AF80+AF76+AF92+AF96</f>
        <v>1225.69</v>
      </c>
      <c r="AG97" s="71">
        <f t="shared" ref="AG97" si="62">AG58+AG62+AG80+AG76+AG92+AG96</f>
        <v>2231.81</v>
      </c>
      <c r="AH97" s="48">
        <f t="shared" si="53"/>
        <v>1583.65</v>
      </c>
      <c r="AI97" s="49">
        <f t="shared" si="54"/>
        <v>1088.69</v>
      </c>
      <c r="BF97" s="81"/>
      <c r="BG97" s="81">
        <v>43.9</v>
      </c>
      <c r="BH97" s="81">
        <v>0</v>
      </c>
      <c r="BI97" s="81">
        <v>366.5</v>
      </c>
      <c r="BJ97" s="81">
        <v>42.6</v>
      </c>
      <c r="BK97" s="81">
        <v>114.3</v>
      </c>
      <c r="BL97" s="81">
        <v>34.299999999999997</v>
      </c>
    </row>
    <row r="98" spans="1:64" ht="15.75" thickBot="1" x14ac:dyDescent="0.3">
      <c r="A98" s="108" t="s">
        <v>124</v>
      </c>
      <c r="B98" s="109">
        <v>60</v>
      </c>
      <c r="C98" s="109">
        <v>0</v>
      </c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>
        <v>80</v>
      </c>
      <c r="AA98" s="109">
        <v>80</v>
      </c>
      <c r="AB98" s="109">
        <v>80</v>
      </c>
      <c r="AC98" s="109">
        <v>45</v>
      </c>
      <c r="AD98" s="109"/>
      <c r="AE98" s="109"/>
      <c r="AF98" s="109"/>
      <c r="AG98" s="100"/>
      <c r="AH98" s="48">
        <f t="shared" si="53"/>
        <v>80</v>
      </c>
      <c r="AI98" s="49">
        <f t="shared" si="54"/>
        <v>0</v>
      </c>
      <c r="BF98" s="81"/>
      <c r="BG98" s="81">
        <v>55</v>
      </c>
      <c r="BH98" s="81">
        <v>0</v>
      </c>
      <c r="BI98" s="81">
        <v>356.6</v>
      </c>
      <c r="BJ98" s="81">
        <v>35</v>
      </c>
      <c r="BK98" s="81">
        <v>109.3</v>
      </c>
      <c r="BL98" s="81">
        <v>34.299999999999997</v>
      </c>
    </row>
    <row r="99" spans="1:64" ht="15.75" thickBot="1" x14ac:dyDescent="0.3">
      <c r="A99" s="86" t="s">
        <v>125</v>
      </c>
      <c r="B99" s="107">
        <f>B97+B98</f>
        <v>1217.49</v>
      </c>
      <c r="C99" s="107">
        <f t="shared" ref="C99:AF99" si="63">C97+C98</f>
        <v>1118.1899999999998</v>
      </c>
      <c r="D99" s="107">
        <f t="shared" si="63"/>
        <v>1088.69</v>
      </c>
      <c r="E99" s="107">
        <f t="shared" si="63"/>
        <v>1111.69</v>
      </c>
      <c r="F99" s="107">
        <f t="shared" si="63"/>
        <v>1122.5900000000001</v>
      </c>
      <c r="G99" s="107">
        <f t="shared" si="63"/>
        <v>1160.0899999999999</v>
      </c>
      <c r="H99" s="107">
        <f t="shared" si="63"/>
        <v>1209.79</v>
      </c>
      <c r="I99" s="107">
        <f t="shared" si="63"/>
        <v>1202.8899999999999</v>
      </c>
      <c r="J99" s="107">
        <f t="shared" si="63"/>
        <v>1346.6899999999998</v>
      </c>
      <c r="K99" s="107">
        <f t="shared" si="63"/>
        <v>1367.79</v>
      </c>
      <c r="L99" s="107">
        <f t="shared" si="63"/>
        <v>1393.79</v>
      </c>
      <c r="M99" s="107">
        <f t="shared" si="63"/>
        <v>1405.3899999999999</v>
      </c>
      <c r="N99" s="107">
        <f t="shared" si="63"/>
        <v>1340.49</v>
      </c>
      <c r="O99" s="107">
        <f t="shared" si="63"/>
        <v>1363.99</v>
      </c>
      <c r="P99" s="107">
        <f t="shared" si="63"/>
        <v>1345.79</v>
      </c>
      <c r="Q99" s="107">
        <f t="shared" si="63"/>
        <v>1339.0899999999997</v>
      </c>
      <c r="R99" s="107">
        <f t="shared" si="63"/>
        <v>1357.49</v>
      </c>
      <c r="S99" s="107">
        <f t="shared" si="63"/>
        <v>1394.8899999999999</v>
      </c>
      <c r="T99" s="107">
        <f t="shared" si="63"/>
        <v>1393.8899999999999</v>
      </c>
      <c r="U99" s="107">
        <f t="shared" si="63"/>
        <v>1361.0900000000001</v>
      </c>
      <c r="V99" s="107">
        <f t="shared" si="63"/>
        <v>1365.29</v>
      </c>
      <c r="W99" s="107">
        <f t="shared" si="63"/>
        <v>1419.5899999999997</v>
      </c>
      <c r="X99" s="107">
        <f t="shared" si="63"/>
        <v>1435.49</v>
      </c>
      <c r="Y99" s="107">
        <f t="shared" si="63"/>
        <v>1472.95</v>
      </c>
      <c r="Z99" s="107">
        <f t="shared" si="63"/>
        <v>1663.65</v>
      </c>
      <c r="AA99" s="107">
        <f t="shared" si="63"/>
        <v>1597.99</v>
      </c>
      <c r="AB99" s="107">
        <f t="shared" si="63"/>
        <v>1511.79</v>
      </c>
      <c r="AC99" s="107">
        <f t="shared" si="63"/>
        <v>1473.3899999999999</v>
      </c>
      <c r="AD99" s="107">
        <f t="shared" si="63"/>
        <v>1422.3899999999999</v>
      </c>
      <c r="AE99" s="107">
        <f t="shared" si="63"/>
        <v>1284.19</v>
      </c>
      <c r="AF99" s="107">
        <f t="shared" si="63"/>
        <v>1225.69</v>
      </c>
      <c r="AG99" s="100">
        <f>AG96+AG92+AG80+AG76+AG58+AG98</f>
        <v>1693.71</v>
      </c>
      <c r="AH99" s="48">
        <f t="shared" si="53"/>
        <v>1663.65</v>
      </c>
      <c r="AI99" s="49">
        <f t="shared" si="54"/>
        <v>1088.69</v>
      </c>
      <c r="BF99" s="81"/>
      <c r="BG99" s="81">
        <v>46.4</v>
      </c>
      <c r="BH99" s="81">
        <v>0</v>
      </c>
      <c r="BI99" s="81">
        <v>341</v>
      </c>
      <c r="BJ99" s="81">
        <v>46.2</v>
      </c>
      <c r="BK99" s="81">
        <v>90.5</v>
      </c>
      <c r="BL99" s="81">
        <v>47.1</v>
      </c>
    </row>
    <row r="100" spans="1:64" ht="15.75" thickBot="1" x14ac:dyDescent="0.3">
      <c r="A100" s="86" t="s">
        <v>126</v>
      </c>
      <c r="B100" s="107">
        <f t="shared" ref="B100:AC100" si="64">B99-(B107)</f>
        <v>1217.49</v>
      </c>
      <c r="C100" s="107">
        <f t="shared" si="64"/>
        <v>1118.1899999999998</v>
      </c>
      <c r="D100" s="107">
        <f t="shared" si="64"/>
        <v>1088.69</v>
      </c>
      <c r="E100" s="107">
        <f t="shared" si="64"/>
        <v>1111.69</v>
      </c>
      <c r="F100" s="107">
        <f t="shared" si="64"/>
        <v>1122.5900000000001</v>
      </c>
      <c r="G100" s="107">
        <f t="shared" si="64"/>
        <v>1160.0899999999999</v>
      </c>
      <c r="H100" s="107">
        <f t="shared" si="64"/>
        <v>1209.79</v>
      </c>
      <c r="I100" s="107">
        <f t="shared" si="64"/>
        <v>1202.8899999999999</v>
      </c>
      <c r="J100" s="107">
        <f t="shared" si="64"/>
        <v>1346.6899999999998</v>
      </c>
      <c r="K100" s="107">
        <f t="shared" si="64"/>
        <v>1367.79</v>
      </c>
      <c r="L100" s="107">
        <f t="shared" si="64"/>
        <v>1393.79</v>
      </c>
      <c r="M100" s="107">
        <f t="shared" si="64"/>
        <v>1405.3899999999999</v>
      </c>
      <c r="N100" s="107">
        <f t="shared" si="64"/>
        <v>1340.49</v>
      </c>
      <c r="O100" s="107">
        <f t="shared" si="64"/>
        <v>1363.99</v>
      </c>
      <c r="P100" s="107">
        <f t="shared" si="64"/>
        <v>1345.79</v>
      </c>
      <c r="Q100" s="107">
        <f t="shared" si="64"/>
        <v>1339.0899999999997</v>
      </c>
      <c r="R100" s="107">
        <f t="shared" si="64"/>
        <v>1357.49</v>
      </c>
      <c r="S100" s="107">
        <f t="shared" si="64"/>
        <v>1394.8899999999999</v>
      </c>
      <c r="T100" s="107">
        <f t="shared" si="64"/>
        <v>1393.8899999999999</v>
      </c>
      <c r="U100" s="107">
        <f t="shared" si="64"/>
        <v>1361.0900000000001</v>
      </c>
      <c r="V100" s="107">
        <f t="shared" si="64"/>
        <v>1365.29</v>
      </c>
      <c r="W100" s="107">
        <f t="shared" si="64"/>
        <v>1419.5899999999997</v>
      </c>
      <c r="X100" s="107">
        <f t="shared" si="64"/>
        <v>1435.49</v>
      </c>
      <c r="Y100" s="107">
        <f t="shared" si="64"/>
        <v>1472.95</v>
      </c>
      <c r="Z100" s="107">
        <f t="shared" si="64"/>
        <v>1663.65</v>
      </c>
      <c r="AA100" s="107">
        <f t="shared" si="64"/>
        <v>1597.99</v>
      </c>
      <c r="AB100" s="107">
        <f t="shared" si="64"/>
        <v>1511.79</v>
      </c>
      <c r="AC100" s="107">
        <f t="shared" si="64"/>
        <v>1473.3899999999999</v>
      </c>
      <c r="AD100" s="107">
        <f t="shared" ref="AD100:AE100" si="65">AD99-(AD107)</f>
        <v>1422.3899999999999</v>
      </c>
      <c r="AE100" s="107">
        <f t="shared" si="65"/>
        <v>1284.19</v>
      </c>
      <c r="AF100" s="107">
        <f t="shared" ref="AF100" si="66">AF99-(AF107)</f>
        <v>1225.69</v>
      </c>
      <c r="AG100" s="100"/>
      <c r="AH100" s="48">
        <f t="shared" si="53"/>
        <v>1663.65</v>
      </c>
      <c r="AI100" s="49">
        <f t="shared" si="54"/>
        <v>1088.69</v>
      </c>
      <c r="BF100" s="81"/>
      <c r="BG100" s="81">
        <v>40.1</v>
      </c>
      <c r="BH100" s="81">
        <v>0</v>
      </c>
      <c r="BI100" s="81">
        <v>349</v>
      </c>
      <c r="BJ100" s="81">
        <v>43.9</v>
      </c>
      <c r="BK100" s="81">
        <v>128.6</v>
      </c>
      <c r="BL100" s="81">
        <v>34.299999999999997</v>
      </c>
    </row>
    <row r="101" spans="1:64" x14ac:dyDescent="0.25">
      <c r="A101" s="45" t="s">
        <v>107</v>
      </c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60"/>
      <c r="AH101" s="48">
        <f t="shared" si="53"/>
        <v>0</v>
      </c>
      <c r="AI101" s="49">
        <f t="shared" si="54"/>
        <v>0</v>
      </c>
      <c r="BF101" s="80"/>
      <c r="BG101" s="81">
        <v>47.2</v>
      </c>
      <c r="BH101" s="81">
        <v>0</v>
      </c>
      <c r="BI101" s="81">
        <v>342</v>
      </c>
      <c r="BJ101" s="81">
        <v>41.7</v>
      </c>
      <c r="BK101" s="81">
        <v>120</v>
      </c>
      <c r="BL101" s="81">
        <v>59.6</v>
      </c>
    </row>
    <row r="102" spans="1:64" x14ac:dyDescent="0.25">
      <c r="A102" s="64" t="s">
        <v>105</v>
      </c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65"/>
      <c r="AH102" s="48">
        <f t="shared" si="53"/>
        <v>0</v>
      </c>
      <c r="AI102" s="49">
        <f t="shared" si="54"/>
        <v>0</v>
      </c>
      <c r="BF102" s="80"/>
      <c r="BG102" s="81">
        <v>61.2</v>
      </c>
      <c r="BH102" s="81">
        <v>0</v>
      </c>
      <c r="BI102" s="81">
        <v>186</v>
      </c>
      <c r="BJ102" s="81">
        <v>0</v>
      </c>
      <c r="BK102" s="81">
        <v>0</v>
      </c>
      <c r="BL102" s="81">
        <v>48</v>
      </c>
    </row>
    <row r="103" spans="1:64" x14ac:dyDescent="0.25">
      <c r="A103" s="96" t="s">
        <v>127</v>
      </c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110"/>
      <c r="AH103" s="48">
        <f t="shared" si="53"/>
        <v>0</v>
      </c>
      <c r="AI103" s="49">
        <f t="shared" si="54"/>
        <v>0</v>
      </c>
      <c r="BF103" s="80"/>
      <c r="BG103" s="81">
        <v>45</v>
      </c>
      <c r="BH103" s="81">
        <v>0</v>
      </c>
      <c r="BI103" s="81">
        <v>194.6</v>
      </c>
      <c r="BJ103" s="81">
        <v>0</v>
      </c>
      <c r="BK103" s="81">
        <v>0</v>
      </c>
      <c r="BL103" s="81">
        <v>0</v>
      </c>
    </row>
    <row r="104" spans="1:64" x14ac:dyDescent="0.25">
      <c r="A104" s="96" t="s">
        <v>128</v>
      </c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110"/>
      <c r="AH104" s="48">
        <f t="shared" si="53"/>
        <v>0</v>
      </c>
      <c r="AI104" s="49">
        <f t="shared" si="54"/>
        <v>0</v>
      </c>
      <c r="BF104" s="80"/>
      <c r="BG104" s="81">
        <v>51.9</v>
      </c>
      <c r="BH104" s="81">
        <v>0</v>
      </c>
      <c r="BI104" s="81">
        <v>272.7</v>
      </c>
      <c r="BJ104" s="81">
        <v>0</v>
      </c>
      <c r="BK104" s="81">
        <v>0</v>
      </c>
      <c r="BL104" s="81">
        <v>0</v>
      </c>
    </row>
    <row r="105" spans="1:64" x14ac:dyDescent="0.25">
      <c r="A105" s="96" t="s">
        <v>104</v>
      </c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110"/>
      <c r="AH105" s="48">
        <f t="shared" si="53"/>
        <v>0</v>
      </c>
      <c r="AI105" s="49">
        <f t="shared" si="54"/>
        <v>0</v>
      </c>
      <c r="BF105" s="80"/>
      <c r="BG105" s="81">
        <v>55</v>
      </c>
      <c r="BH105" s="81">
        <v>0</v>
      </c>
      <c r="BI105" s="81">
        <v>246.6</v>
      </c>
      <c r="BJ105" s="81">
        <v>0</v>
      </c>
      <c r="BK105" s="81">
        <v>0</v>
      </c>
      <c r="BL105" s="81">
        <v>0</v>
      </c>
    </row>
    <row r="106" spans="1:64" ht="15.75" thickBot="1" x14ac:dyDescent="0.3">
      <c r="A106" s="96" t="s">
        <v>129</v>
      </c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97"/>
      <c r="AH106" s="48">
        <f t="shared" si="53"/>
        <v>0</v>
      </c>
      <c r="AI106" s="49">
        <f t="shared" si="54"/>
        <v>0</v>
      </c>
      <c r="BG106" s="81">
        <v>52</v>
      </c>
      <c r="BH106" s="81">
        <v>0</v>
      </c>
      <c r="BI106" s="81">
        <v>294.10000000000002</v>
      </c>
      <c r="BJ106" s="81">
        <v>0</v>
      </c>
      <c r="BK106" s="81">
        <v>0</v>
      </c>
      <c r="BL106" s="81">
        <v>0</v>
      </c>
    </row>
    <row r="107" spans="1:64" ht="15.75" thickBot="1" x14ac:dyDescent="0.3">
      <c r="A107" s="111" t="s">
        <v>130</v>
      </c>
      <c r="B107" s="70">
        <v>0</v>
      </c>
      <c r="C107" s="70">
        <f t="shared" ref="C107" si="67">SUM(C101:C106)</f>
        <v>0</v>
      </c>
      <c r="D107" s="70">
        <f t="shared" ref="D107:AC107" si="68">SUM(D101:D106)</f>
        <v>0</v>
      </c>
      <c r="E107" s="70">
        <f t="shared" si="68"/>
        <v>0</v>
      </c>
      <c r="F107" s="70">
        <f t="shared" si="68"/>
        <v>0</v>
      </c>
      <c r="G107" s="70">
        <f t="shared" si="68"/>
        <v>0</v>
      </c>
      <c r="H107" s="70">
        <f t="shared" si="68"/>
        <v>0</v>
      </c>
      <c r="I107" s="70">
        <f t="shared" si="68"/>
        <v>0</v>
      </c>
      <c r="J107" s="70">
        <f t="shared" si="68"/>
        <v>0</v>
      </c>
      <c r="K107" s="70">
        <f t="shared" si="68"/>
        <v>0</v>
      </c>
      <c r="L107" s="70">
        <f t="shared" si="68"/>
        <v>0</v>
      </c>
      <c r="M107" s="70">
        <f t="shared" si="68"/>
        <v>0</v>
      </c>
      <c r="N107" s="70">
        <f t="shared" si="68"/>
        <v>0</v>
      </c>
      <c r="O107" s="70">
        <f t="shared" si="68"/>
        <v>0</v>
      </c>
      <c r="P107" s="70">
        <f t="shared" si="68"/>
        <v>0</v>
      </c>
      <c r="Q107" s="70">
        <f t="shared" si="68"/>
        <v>0</v>
      </c>
      <c r="R107" s="70">
        <f t="shared" si="68"/>
        <v>0</v>
      </c>
      <c r="S107" s="70">
        <f t="shared" si="68"/>
        <v>0</v>
      </c>
      <c r="T107" s="70">
        <f t="shared" si="68"/>
        <v>0</v>
      </c>
      <c r="U107" s="70">
        <f t="shared" si="68"/>
        <v>0</v>
      </c>
      <c r="V107" s="70">
        <f t="shared" si="68"/>
        <v>0</v>
      </c>
      <c r="W107" s="70">
        <f t="shared" si="68"/>
        <v>0</v>
      </c>
      <c r="X107" s="70">
        <f t="shared" si="68"/>
        <v>0</v>
      </c>
      <c r="Y107" s="70">
        <f t="shared" si="68"/>
        <v>0</v>
      </c>
      <c r="Z107" s="70">
        <f t="shared" si="68"/>
        <v>0</v>
      </c>
      <c r="AA107" s="70">
        <f t="shared" si="68"/>
        <v>0</v>
      </c>
      <c r="AB107" s="70">
        <f t="shared" si="68"/>
        <v>0</v>
      </c>
      <c r="AC107" s="70">
        <f t="shared" si="68"/>
        <v>0</v>
      </c>
      <c r="AD107" s="70">
        <f t="shared" ref="AD107:AE107" si="69">SUM(AD101:AD106)</f>
        <v>0</v>
      </c>
      <c r="AE107" s="70">
        <f t="shared" si="69"/>
        <v>0</v>
      </c>
      <c r="AF107" s="70">
        <f t="shared" ref="AF107" si="70">SUM(AF101:AF106)</f>
        <v>0</v>
      </c>
      <c r="AG107" s="100"/>
      <c r="AH107" s="48">
        <f t="shared" si="53"/>
        <v>0</v>
      </c>
      <c r="AI107" s="49">
        <f t="shared" si="54"/>
        <v>0</v>
      </c>
      <c r="AK107" s="51"/>
      <c r="BG107" s="81">
        <v>43</v>
      </c>
      <c r="BH107" s="81">
        <v>0</v>
      </c>
      <c r="BI107" s="81">
        <v>356</v>
      </c>
      <c r="BJ107" s="81">
        <v>0</v>
      </c>
      <c r="BK107" s="81">
        <v>0</v>
      </c>
      <c r="BL107" s="81">
        <v>77.2</v>
      </c>
    </row>
    <row r="108" spans="1:64" ht="15.75" thickBot="1" x14ac:dyDescent="0.3">
      <c r="A108" s="86" t="s">
        <v>131</v>
      </c>
      <c r="B108" s="70">
        <f t="shared" ref="B108:AC108" si="71">B92-B107</f>
        <v>476.2</v>
      </c>
      <c r="C108" s="70">
        <f t="shared" si="71"/>
        <v>504.59999999999997</v>
      </c>
      <c r="D108" s="70">
        <f t="shared" si="71"/>
        <v>496.3</v>
      </c>
      <c r="E108" s="70">
        <f t="shared" si="71"/>
        <v>517</v>
      </c>
      <c r="F108" s="70">
        <f t="shared" si="71"/>
        <v>518.5</v>
      </c>
      <c r="G108" s="70">
        <f t="shared" si="71"/>
        <v>549.9</v>
      </c>
      <c r="H108" s="70">
        <f t="shared" si="71"/>
        <v>595.09999999999991</v>
      </c>
      <c r="I108" s="70">
        <f t="shared" si="71"/>
        <v>507.8</v>
      </c>
      <c r="J108" s="70">
        <f t="shared" si="71"/>
        <v>380.7</v>
      </c>
      <c r="K108" s="70">
        <f t="shared" si="71"/>
        <v>384.90000000000003</v>
      </c>
      <c r="L108" s="70">
        <f t="shared" si="71"/>
        <v>369.3</v>
      </c>
      <c r="M108" s="70">
        <f t="shared" si="71"/>
        <v>572.5</v>
      </c>
      <c r="N108" s="70">
        <f t="shared" si="71"/>
        <v>536.40000000000009</v>
      </c>
      <c r="O108" s="70">
        <f t="shared" si="71"/>
        <v>550.20000000000005</v>
      </c>
      <c r="P108" s="70">
        <f t="shared" si="71"/>
        <v>567.79999999999995</v>
      </c>
      <c r="Q108" s="70">
        <f t="shared" si="71"/>
        <v>567.09999999999991</v>
      </c>
      <c r="R108" s="70">
        <f t="shared" si="71"/>
        <v>564.29999999999995</v>
      </c>
      <c r="S108" s="70">
        <f t="shared" si="71"/>
        <v>601.59999999999991</v>
      </c>
      <c r="T108" s="70">
        <f t="shared" si="71"/>
        <v>590.19999999999993</v>
      </c>
      <c r="U108" s="70">
        <f t="shared" si="71"/>
        <v>571.19999999999993</v>
      </c>
      <c r="V108" s="70">
        <f t="shared" si="71"/>
        <v>595.9</v>
      </c>
      <c r="W108" s="70">
        <f t="shared" si="71"/>
        <v>625.79999999999995</v>
      </c>
      <c r="X108" s="70">
        <f t="shared" si="71"/>
        <v>610.5</v>
      </c>
      <c r="Y108" s="70">
        <f t="shared" si="71"/>
        <v>461</v>
      </c>
      <c r="Z108" s="70">
        <f t="shared" si="71"/>
        <v>295.2</v>
      </c>
      <c r="AA108" s="70">
        <f t="shared" si="71"/>
        <v>252.1</v>
      </c>
      <c r="AB108" s="70">
        <f t="shared" si="71"/>
        <v>239.6</v>
      </c>
      <c r="AC108" s="70">
        <f t="shared" si="71"/>
        <v>334.5</v>
      </c>
      <c r="AD108" s="70">
        <f t="shared" ref="AD108:AE108" si="72">AD92-AD107</f>
        <v>324.59999999999997</v>
      </c>
      <c r="AE108" s="70">
        <f t="shared" si="72"/>
        <v>301.60000000000002</v>
      </c>
      <c r="AF108" s="70">
        <f t="shared" ref="AF108" si="73">AF92-AF107</f>
        <v>346.1</v>
      </c>
      <c r="AG108" s="100"/>
      <c r="AH108" s="48">
        <f t="shared" si="53"/>
        <v>625.79999999999995</v>
      </c>
      <c r="AI108" s="49">
        <f t="shared" si="54"/>
        <v>239.6</v>
      </c>
    </row>
    <row r="109" spans="1:64" x14ac:dyDescent="0.25">
      <c r="A109" s="112" t="s">
        <v>132</v>
      </c>
      <c r="B109" s="113">
        <v>49.994</v>
      </c>
      <c r="C109" s="113">
        <v>50</v>
      </c>
      <c r="D109" s="113">
        <v>50.031999999999996</v>
      </c>
      <c r="E109" s="113">
        <v>50.006</v>
      </c>
      <c r="F109" s="113">
        <v>50</v>
      </c>
      <c r="G109" s="113">
        <v>49.896000000000001</v>
      </c>
      <c r="H109" s="113">
        <v>50.002000000000002</v>
      </c>
      <c r="I109" s="113">
        <v>50.055</v>
      </c>
      <c r="J109" s="113">
        <v>50.033999999999999</v>
      </c>
      <c r="K109" s="113">
        <v>50.026000000000003</v>
      </c>
      <c r="L109" s="113">
        <v>50.07</v>
      </c>
      <c r="M109" s="113">
        <v>50.033999999999999</v>
      </c>
      <c r="N109" s="113">
        <v>50</v>
      </c>
      <c r="O109" s="113">
        <v>49.981999999999999</v>
      </c>
      <c r="P109" s="113">
        <v>49.987000000000002</v>
      </c>
      <c r="Q109" s="113">
        <v>50.015000000000001</v>
      </c>
      <c r="R109" s="113">
        <v>50.042000000000002</v>
      </c>
      <c r="S109" s="113">
        <v>50.005000000000003</v>
      </c>
      <c r="T109" s="113">
        <v>49.911000000000001</v>
      </c>
      <c r="U109" s="113">
        <v>50.011000000000003</v>
      </c>
      <c r="V109" s="113">
        <v>50.04</v>
      </c>
      <c r="W109" s="113">
        <v>50.134999999999998</v>
      </c>
      <c r="X109" s="113">
        <v>49.957999999999998</v>
      </c>
      <c r="Y109" s="113">
        <v>50.027999999999999</v>
      </c>
      <c r="Z109" s="113">
        <v>49.988999999999997</v>
      </c>
      <c r="AA109" s="113">
        <v>50.023000000000003</v>
      </c>
      <c r="AB109" s="113">
        <v>49.997999999999998</v>
      </c>
      <c r="AC109" s="113">
        <v>50.048000000000002</v>
      </c>
      <c r="AD109" s="113">
        <v>49.98</v>
      </c>
      <c r="AE109" s="113">
        <v>49.96</v>
      </c>
      <c r="AF109" s="113">
        <v>49.88</v>
      </c>
      <c r="AG109" s="114"/>
      <c r="AH109" s="48">
        <f t="shared" si="53"/>
        <v>50.134999999999998</v>
      </c>
      <c r="AI109" s="49">
        <f t="shared" si="54"/>
        <v>49.88</v>
      </c>
    </row>
    <row r="110" spans="1:64" x14ac:dyDescent="0.25">
      <c r="A110" s="115" t="s">
        <v>133</v>
      </c>
      <c r="B110" s="75">
        <v>128</v>
      </c>
      <c r="C110" s="75">
        <v>130</v>
      </c>
      <c r="D110" s="75">
        <v>130</v>
      </c>
      <c r="E110" s="75">
        <v>130.80000000000001</v>
      </c>
      <c r="F110" s="75">
        <v>130.80000000000001</v>
      </c>
      <c r="G110" s="75">
        <v>129.1</v>
      </c>
      <c r="H110" s="75">
        <v>128.30000000000001</v>
      </c>
      <c r="I110" s="75">
        <v>125.9</v>
      </c>
      <c r="J110" s="75">
        <v>127.7</v>
      </c>
      <c r="K110" s="75">
        <v>127.8</v>
      </c>
      <c r="L110" s="75">
        <v>126.5</v>
      </c>
      <c r="M110" s="75">
        <v>125.2</v>
      </c>
      <c r="N110" s="75">
        <v>125.4</v>
      </c>
      <c r="O110" s="75">
        <v>125.6</v>
      </c>
      <c r="P110" s="75">
        <v>124.9</v>
      </c>
      <c r="Q110" s="75">
        <v>124.2</v>
      </c>
      <c r="R110" s="75">
        <v>124.1</v>
      </c>
      <c r="S110" s="75">
        <v>123.9</v>
      </c>
      <c r="T110" s="75">
        <v>124.3</v>
      </c>
      <c r="U110" s="75">
        <v>124.6</v>
      </c>
      <c r="V110" s="75">
        <v>126.8</v>
      </c>
      <c r="W110" s="75">
        <v>126.1</v>
      </c>
      <c r="X110" s="75">
        <v>125.9</v>
      </c>
      <c r="Y110" s="75">
        <v>125.8</v>
      </c>
      <c r="Z110" s="75">
        <v>126.1</v>
      </c>
      <c r="AA110" s="75">
        <v>123.1</v>
      </c>
      <c r="AB110" s="75">
        <v>124.7</v>
      </c>
      <c r="AC110" s="75">
        <v>125.6</v>
      </c>
      <c r="AD110" s="75">
        <v>123.5</v>
      </c>
      <c r="AE110" s="75">
        <v>127.9</v>
      </c>
      <c r="AF110" s="75">
        <v>126.6</v>
      </c>
      <c r="AG110" s="116"/>
      <c r="AH110" s="48">
        <f t="shared" si="53"/>
        <v>130.80000000000001</v>
      </c>
      <c r="AI110" s="49">
        <f t="shared" si="54"/>
        <v>123.1</v>
      </c>
    </row>
    <row r="111" spans="1:64" x14ac:dyDescent="0.25">
      <c r="A111" s="115" t="s">
        <v>134</v>
      </c>
      <c r="B111" s="75">
        <v>132</v>
      </c>
      <c r="C111" s="75">
        <v>133</v>
      </c>
      <c r="D111" s="75">
        <v>133</v>
      </c>
      <c r="E111" s="75">
        <v>133.6</v>
      </c>
      <c r="F111" s="75">
        <v>132.9</v>
      </c>
      <c r="G111" s="75">
        <v>130.6</v>
      </c>
      <c r="H111" s="75">
        <v>131.19999999999999</v>
      </c>
      <c r="I111" s="75">
        <v>128.5</v>
      </c>
      <c r="J111" s="75">
        <v>129.4</v>
      </c>
      <c r="K111" s="75">
        <v>129.4</v>
      </c>
      <c r="L111" s="75">
        <v>128.19999999999999</v>
      </c>
      <c r="M111" s="75">
        <v>126.8</v>
      </c>
      <c r="N111" s="75">
        <v>127.4</v>
      </c>
      <c r="O111" s="75">
        <v>127.9</v>
      </c>
      <c r="P111" s="75">
        <v>127.6</v>
      </c>
      <c r="Q111" s="75">
        <v>127.1</v>
      </c>
      <c r="R111" s="75">
        <v>127.3</v>
      </c>
      <c r="S111" s="75">
        <v>126.9</v>
      </c>
      <c r="T111" s="75">
        <v>127.2</v>
      </c>
      <c r="U111" s="75">
        <v>127.8</v>
      </c>
      <c r="V111" s="75">
        <v>129.69999999999999</v>
      </c>
      <c r="W111" s="75">
        <v>128.69999999999999</v>
      </c>
      <c r="X111" s="75">
        <v>128.5</v>
      </c>
      <c r="Y111" s="75">
        <v>128.1</v>
      </c>
      <c r="Z111" s="75">
        <v>128.4</v>
      </c>
      <c r="AA111" s="75">
        <v>126.1</v>
      </c>
      <c r="AB111" s="75">
        <v>128</v>
      </c>
      <c r="AC111" s="75">
        <v>129</v>
      </c>
      <c r="AD111" s="75">
        <v>127.3</v>
      </c>
      <c r="AE111" s="75">
        <v>131.4</v>
      </c>
      <c r="AF111" s="75">
        <v>130.80000000000001</v>
      </c>
      <c r="AG111" s="116"/>
      <c r="AH111" s="48">
        <f t="shared" si="53"/>
        <v>133.6</v>
      </c>
      <c r="AI111" s="49">
        <f t="shared" si="54"/>
        <v>126.1</v>
      </c>
    </row>
    <row r="112" spans="1:64" x14ac:dyDescent="0.25">
      <c r="A112" s="115" t="s">
        <v>135</v>
      </c>
      <c r="B112" s="75">
        <v>130.30000000000001</v>
      </c>
      <c r="C112" s="75">
        <v>131</v>
      </c>
      <c r="D112" s="75">
        <v>131</v>
      </c>
      <c r="E112" s="75">
        <v>131.9</v>
      </c>
      <c r="F112" s="75">
        <v>132.1</v>
      </c>
      <c r="G112" s="75">
        <v>129.9</v>
      </c>
      <c r="H112" s="75">
        <v>129.5</v>
      </c>
      <c r="I112" s="75">
        <v>125.6</v>
      </c>
      <c r="J112" s="75">
        <v>126.9</v>
      </c>
      <c r="K112" s="75">
        <v>126.8</v>
      </c>
      <c r="L112" s="75">
        <v>126.7</v>
      </c>
      <c r="M112" s="75">
        <v>128.5</v>
      </c>
      <c r="N112" s="75">
        <v>129.9</v>
      </c>
      <c r="O112" s="75">
        <v>128.9</v>
      </c>
      <c r="P112" s="75">
        <v>128.19999999999999</v>
      </c>
      <c r="Q112" s="75">
        <v>126.9</v>
      </c>
      <c r="R112" s="75">
        <v>126.7</v>
      </c>
      <c r="S112" s="75">
        <v>128.69999999999999</v>
      </c>
      <c r="T112" s="75">
        <v>130</v>
      </c>
      <c r="U112" s="75">
        <v>128.80000000000001</v>
      </c>
      <c r="V112" s="75">
        <v>129.5</v>
      </c>
      <c r="W112" s="75">
        <v>129.30000000000001</v>
      </c>
      <c r="X112" s="75">
        <v>130</v>
      </c>
      <c r="Y112" s="75">
        <v>125.5</v>
      </c>
      <c r="Z112" s="75">
        <v>128</v>
      </c>
      <c r="AA112" s="75">
        <v>129</v>
      </c>
      <c r="AB112" s="75">
        <v>128.19999999999999</v>
      </c>
      <c r="AC112" s="75">
        <v>128.5</v>
      </c>
      <c r="AD112" s="75">
        <v>128.69999999999999</v>
      </c>
      <c r="AE112" s="75">
        <v>128.30000000000001</v>
      </c>
      <c r="AF112" s="75">
        <v>128.5</v>
      </c>
      <c r="AG112" s="116"/>
      <c r="AH112" s="48">
        <f t="shared" si="53"/>
        <v>132.1</v>
      </c>
      <c r="AI112" s="49">
        <f t="shared" si="54"/>
        <v>125.5</v>
      </c>
    </row>
    <row r="113" spans="1:35" x14ac:dyDescent="0.25">
      <c r="A113" s="117" t="s">
        <v>136</v>
      </c>
      <c r="B113" s="75">
        <v>132.6</v>
      </c>
      <c r="C113" s="75">
        <v>133</v>
      </c>
      <c r="D113" s="75">
        <v>133</v>
      </c>
      <c r="E113" s="75">
        <v>134.1</v>
      </c>
      <c r="F113" s="75">
        <v>133.19999999999999</v>
      </c>
      <c r="G113" s="75">
        <v>132.6</v>
      </c>
      <c r="H113" s="75">
        <v>131.69999999999999</v>
      </c>
      <c r="I113" s="75">
        <v>127.4</v>
      </c>
      <c r="J113" s="75">
        <v>129</v>
      </c>
      <c r="K113" s="75">
        <v>129.30000000000001</v>
      </c>
      <c r="L113" s="75">
        <v>128</v>
      </c>
      <c r="M113" s="75">
        <v>128.69999999999999</v>
      </c>
      <c r="N113" s="75">
        <v>128.80000000000001</v>
      </c>
      <c r="O113" s="75">
        <v>127.4</v>
      </c>
      <c r="P113" s="75">
        <v>127.3</v>
      </c>
      <c r="Q113" s="75">
        <v>129.69999999999999</v>
      </c>
      <c r="R113" s="75">
        <v>128</v>
      </c>
      <c r="S113" s="75">
        <v>127.9</v>
      </c>
      <c r="T113" s="75">
        <v>129</v>
      </c>
      <c r="U113" s="75">
        <v>127.7</v>
      </c>
      <c r="V113" s="75">
        <v>128.4</v>
      </c>
      <c r="W113" s="75">
        <v>128</v>
      </c>
      <c r="X113" s="75">
        <v>128.5</v>
      </c>
      <c r="Y113" s="75">
        <v>125.3</v>
      </c>
      <c r="Z113" s="75">
        <v>126.8</v>
      </c>
      <c r="AA113" s="75">
        <v>129.4</v>
      </c>
      <c r="AB113" s="75">
        <v>129.4</v>
      </c>
      <c r="AC113" s="75">
        <v>130.19999999999999</v>
      </c>
      <c r="AD113" s="75">
        <v>130.19999999999999</v>
      </c>
      <c r="AE113" s="75">
        <v>129.19999999999999</v>
      </c>
      <c r="AF113" s="75">
        <v>129.69999999999999</v>
      </c>
      <c r="AG113" s="116"/>
      <c r="AH113" s="48">
        <f t="shared" si="53"/>
        <v>134.1</v>
      </c>
      <c r="AI113" s="49">
        <f t="shared" si="54"/>
        <v>125.3</v>
      </c>
    </row>
    <row r="114" spans="1:35" x14ac:dyDescent="0.25">
      <c r="A114" s="117" t="s">
        <v>137</v>
      </c>
      <c r="B114" s="118">
        <v>135</v>
      </c>
      <c r="C114" s="118">
        <v>132.6</v>
      </c>
      <c r="D114" s="118">
        <v>132.6</v>
      </c>
      <c r="E114" s="118">
        <v>132.5</v>
      </c>
      <c r="F114" s="118">
        <v>131.6</v>
      </c>
      <c r="G114" s="118">
        <v>131.9</v>
      </c>
      <c r="H114" s="118">
        <v>132.6</v>
      </c>
      <c r="I114" s="118">
        <v>127.7</v>
      </c>
      <c r="J114" s="118">
        <v>134.19999999999999</v>
      </c>
      <c r="K114" s="118">
        <v>134.80000000000001</v>
      </c>
      <c r="L114" s="118">
        <v>134.30000000000001</v>
      </c>
      <c r="M114" s="118">
        <v>133</v>
      </c>
      <c r="N114" s="118">
        <v>132.30000000000001</v>
      </c>
      <c r="O114" s="118">
        <v>134</v>
      </c>
      <c r="P114" s="118">
        <v>131.4</v>
      </c>
      <c r="Q114" s="118">
        <v>131.1</v>
      </c>
      <c r="R114" s="118">
        <v>131.9</v>
      </c>
      <c r="S114" s="118">
        <v>131.19999999999999</v>
      </c>
      <c r="T114" s="118">
        <v>131</v>
      </c>
      <c r="U114" s="118">
        <v>132.30000000000001</v>
      </c>
      <c r="V114" s="118">
        <v>135.19999999999999</v>
      </c>
      <c r="W114" s="118">
        <v>135</v>
      </c>
      <c r="X114" s="118">
        <v>134.69999999999999</v>
      </c>
      <c r="Y114" s="118">
        <v>134.69999999999999</v>
      </c>
      <c r="Z114" s="118">
        <v>134.1</v>
      </c>
      <c r="AA114" s="118">
        <v>131.4</v>
      </c>
      <c r="AB114" s="118">
        <v>133.1</v>
      </c>
      <c r="AC114" s="118">
        <v>133.1</v>
      </c>
      <c r="AD114" s="118">
        <v>130.9</v>
      </c>
      <c r="AE114" s="118">
        <v>134.30000000000001</v>
      </c>
      <c r="AF114" s="118">
        <v>130.6</v>
      </c>
      <c r="AG114" s="119"/>
      <c r="AH114" s="48">
        <f t="shared" si="53"/>
        <v>135.19999999999999</v>
      </c>
      <c r="AI114" s="49">
        <f t="shared" si="54"/>
        <v>127.7</v>
      </c>
    </row>
    <row r="115" spans="1:35" x14ac:dyDescent="0.25">
      <c r="A115" s="115" t="s">
        <v>138</v>
      </c>
      <c r="B115" s="75">
        <v>132</v>
      </c>
      <c r="C115" s="75">
        <v>129</v>
      </c>
      <c r="D115" s="75">
        <v>129</v>
      </c>
      <c r="E115" s="75">
        <v>128.6</v>
      </c>
      <c r="F115" s="75">
        <v>128.9</v>
      </c>
      <c r="G115" s="75">
        <v>128.1</v>
      </c>
      <c r="H115" s="75">
        <v>127.9</v>
      </c>
      <c r="I115" s="75">
        <v>134.6</v>
      </c>
      <c r="J115" s="75">
        <v>131.5</v>
      </c>
      <c r="K115" s="75">
        <v>127</v>
      </c>
      <c r="L115" s="75">
        <v>129.5</v>
      </c>
      <c r="M115" s="75">
        <v>131.6</v>
      </c>
      <c r="N115" s="75">
        <v>132.1</v>
      </c>
      <c r="O115" s="75">
        <v>127.2</v>
      </c>
      <c r="P115" s="75">
        <v>127.2</v>
      </c>
      <c r="Q115" s="75">
        <v>126.3</v>
      </c>
      <c r="R115" s="75">
        <v>127.5</v>
      </c>
      <c r="S115" s="75">
        <v>129.1</v>
      </c>
      <c r="T115" s="75">
        <v>126.3</v>
      </c>
      <c r="U115" s="75">
        <v>124.7</v>
      </c>
      <c r="V115" s="75">
        <v>129</v>
      </c>
      <c r="W115" s="75">
        <v>126</v>
      </c>
      <c r="X115" s="75">
        <v>128.5</v>
      </c>
      <c r="Y115" s="75">
        <v>128</v>
      </c>
      <c r="Z115" s="75">
        <v>126</v>
      </c>
      <c r="AA115" s="75">
        <v>125.4</v>
      </c>
      <c r="AB115" s="75">
        <v>131.5</v>
      </c>
      <c r="AC115" s="75">
        <v>128</v>
      </c>
      <c r="AD115" s="75">
        <v>128.80000000000001</v>
      </c>
      <c r="AE115" s="75">
        <v>130</v>
      </c>
      <c r="AF115" s="75">
        <v>125.5</v>
      </c>
      <c r="AG115" s="116"/>
      <c r="AH115" s="48">
        <f t="shared" si="53"/>
        <v>134.6</v>
      </c>
      <c r="AI115" s="49">
        <f t="shared" si="54"/>
        <v>124.7</v>
      </c>
    </row>
    <row r="116" spans="1:35" ht="15.75" thickBot="1" x14ac:dyDescent="0.3">
      <c r="A116" s="115" t="s">
        <v>139</v>
      </c>
      <c r="B116" s="104">
        <v>66.599999999999994</v>
      </c>
      <c r="C116" s="104">
        <v>67</v>
      </c>
      <c r="D116" s="104">
        <v>67</v>
      </c>
      <c r="E116" s="104">
        <v>67.2</v>
      </c>
      <c r="F116" s="104">
        <v>66.2</v>
      </c>
      <c r="G116" s="104">
        <v>65.900000000000006</v>
      </c>
      <c r="H116" s="104">
        <v>65.8</v>
      </c>
      <c r="I116" s="104">
        <v>64.599999999999994</v>
      </c>
      <c r="J116" s="104">
        <v>65.099999999999994</v>
      </c>
      <c r="K116" s="104">
        <v>65.099999999999994</v>
      </c>
      <c r="L116" s="104">
        <v>64.5</v>
      </c>
      <c r="M116" s="104">
        <v>63.8</v>
      </c>
      <c r="N116" s="104">
        <v>64</v>
      </c>
      <c r="O116" s="104">
        <v>64.5</v>
      </c>
      <c r="P116" s="104">
        <v>64.2</v>
      </c>
      <c r="Q116" s="104">
        <v>63.4</v>
      </c>
      <c r="R116" s="104">
        <v>63.4</v>
      </c>
      <c r="S116" s="104">
        <v>63.8</v>
      </c>
      <c r="T116" s="104">
        <v>64</v>
      </c>
      <c r="U116" s="104">
        <v>64.099999999999994</v>
      </c>
      <c r="V116" s="104">
        <v>65.5</v>
      </c>
      <c r="W116" s="104">
        <v>64.900000000000006</v>
      </c>
      <c r="X116" s="104">
        <v>64.8</v>
      </c>
      <c r="Y116" s="104">
        <v>65</v>
      </c>
      <c r="Z116" s="104">
        <v>65</v>
      </c>
      <c r="AA116" s="104">
        <v>63.7</v>
      </c>
      <c r="AB116" s="104">
        <v>64.5</v>
      </c>
      <c r="AC116" s="104">
        <v>65.2</v>
      </c>
      <c r="AD116" s="104">
        <v>64.3</v>
      </c>
      <c r="AE116" s="104">
        <v>65.900000000000006</v>
      </c>
      <c r="AF116" s="104">
        <v>65.7</v>
      </c>
      <c r="AG116" s="120"/>
      <c r="AH116" s="48">
        <f t="shared" si="53"/>
        <v>67.2</v>
      </c>
      <c r="AI116" s="49">
        <f t="shared" si="54"/>
        <v>63.4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 t="s">
        <v>140</v>
      </c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53"/>
        <v>0</v>
      </c>
      <c r="AI117" s="49">
        <f t="shared" si="54"/>
        <v>0</v>
      </c>
    </row>
    <row r="118" spans="1:35" ht="15.75" thickBot="1" x14ac:dyDescent="0.3">
      <c r="A118" s="122" t="s">
        <v>141</v>
      </c>
      <c r="B118" s="123">
        <v>143.24</v>
      </c>
      <c r="C118" s="123">
        <f>SUM(C22,C28,C31:C32,C66,C68:C69,C71,C73,C119:C123,C155,C161,C167,C176,C178,C190,C197,C200:C201,C208,C210,C212,C216:C218,C220:C222,C227,C233:C234,C236:C238,C246,C251)</f>
        <v>118.04000000000002</v>
      </c>
      <c r="D118" s="123">
        <f t="shared" ref="D118:O118" si="74">SUM(D22,D28,D31:D32,D66,D68:D69,D71,D73,D119:D123,D155,D161,D167,D176,D178,D190,D197,D200:D201,D208,D210,D212,D216:D218,D220:D222,D227,D233:D234,D236:D238,D246,D251)</f>
        <v>109.03999999999999</v>
      </c>
      <c r="E118" s="123">
        <f t="shared" si="74"/>
        <v>114.44</v>
      </c>
      <c r="F118" s="123">
        <f t="shared" si="74"/>
        <v>129.44</v>
      </c>
      <c r="G118" s="123">
        <f t="shared" si="74"/>
        <v>154.63999999999999</v>
      </c>
      <c r="H118" s="123">
        <f t="shared" si="74"/>
        <v>168.84</v>
      </c>
      <c r="I118" s="123">
        <f t="shared" si="74"/>
        <v>217.93999999999997</v>
      </c>
      <c r="J118" s="123">
        <f t="shared" si="74"/>
        <v>278.83999999999997</v>
      </c>
      <c r="K118" s="123">
        <f t="shared" si="74"/>
        <v>282.74</v>
      </c>
      <c r="L118" s="123">
        <f t="shared" si="74"/>
        <v>307.04000000000002</v>
      </c>
      <c r="M118" s="123">
        <f t="shared" si="74"/>
        <v>315.83999999999997</v>
      </c>
      <c r="N118" s="123">
        <f t="shared" si="74"/>
        <v>298.64</v>
      </c>
      <c r="O118" s="123">
        <f t="shared" si="74"/>
        <v>303.24</v>
      </c>
      <c r="P118" s="123">
        <v>42</v>
      </c>
      <c r="Q118" s="123">
        <f t="shared" ref="Q118:AC118" si="75">SUM(Q22,Q28,Q31:Q32,Q66,Q68:Q69,Q71,Q73,Q119:Q123,Q155,Q161,Q167,Q176,Q178,Q190,Q197,Q200:Q201,Q208,Q210,Q212,Q216:Q218,Q220:Q222,Q227,Q233:Q234,Q236:Q238,Q246,Q251)</f>
        <v>275.12</v>
      </c>
      <c r="R118" s="123">
        <f t="shared" si="75"/>
        <v>270.64000000000004</v>
      </c>
      <c r="S118" s="123">
        <f>SUM(S22,S28,S31:S32,S66,S68:S69,S71,S73,S119:S123,S155,S161,S167,S176,S178,S190,S197,S200:S201,S208,S210,S212,S216:S218,S220:S222,S227,S233:S234,S236:S238,S246,S251)</f>
        <v>267.04000000000002</v>
      </c>
      <c r="T118" s="123">
        <f>SUM(T22,T28,T31:T32,T66,T68:T69,T71,T73,T119:T123,T155,T161,T167,T176,T178,T190,T197,T200:T201,T208,T210,T212,T216:T218,T220:T222,T227,T233:T234,T236:T238,T246,T251)</f>
        <v>267.73999999999995</v>
      </c>
      <c r="U118" s="123">
        <f t="shared" si="75"/>
        <v>272.54000000000002</v>
      </c>
      <c r="V118" s="123">
        <f t="shared" si="75"/>
        <v>261.33999999999997</v>
      </c>
      <c r="W118" s="123">
        <f t="shared" si="75"/>
        <v>269.33999999999997</v>
      </c>
      <c r="X118" s="123">
        <f t="shared" si="75"/>
        <v>288.14000000000004</v>
      </c>
      <c r="Y118" s="123">
        <f t="shared" ref="Y118:Z118" si="76">SUM(Y20,Y26,Y37:Y38,Y66,Y68:Y69,Y71,Y73,Y119:Y123,Y148,Y154,Y160,Y169,Y171,Y183,Y190,Y193:Y194,Y201,Y203,Y205,Y209:Y211,Y213:Y215,Y220,Y226:Y227,Y229:Y231,Y239,Y244)</f>
        <v>352.3</v>
      </c>
      <c r="Z118" s="123">
        <f t="shared" si="76"/>
        <v>368.3</v>
      </c>
      <c r="AA118" s="123">
        <f t="shared" si="75"/>
        <v>328.64000000000004</v>
      </c>
      <c r="AB118" s="123">
        <f t="shared" si="75"/>
        <v>299.74</v>
      </c>
      <c r="AC118" s="123">
        <f t="shared" si="75"/>
        <v>270.33999999999997</v>
      </c>
      <c r="AD118" s="123">
        <f t="shared" ref="AD118:AE118" si="77">SUM(AD22,AD28,AD31:AD32,AD66,AD68:AD69,AD71,AD73,AD119:AD123,AD155,AD161,AD167,AD176,AD178,AD190,AD197,AD200:AD201,AD208,AD210,AD212,AD216:AD218,AD220:AD222,AD227,AD233:AD234,AD236:AD238,AD246,AD251)</f>
        <v>248.44</v>
      </c>
      <c r="AE118" s="123">
        <f t="shared" si="77"/>
        <v>181.33999999999997</v>
      </c>
      <c r="AF118" s="123">
        <f t="shared" ref="AF118" si="78">SUM(AF22,AF28,AF31:AF32,AF66,AF68:AF69,AF71,AF73,AF119:AF123,AF155,AF161,AF167,AF176,AF178,AF190,AF197,AF200:AF201,AF208,AF210,AF212,AF216:AF218,AF220:AF222,AF227,AF233:AF234,AF236:AF238,AF246,AF251)</f>
        <v>137.13999999999999</v>
      </c>
      <c r="AG118" s="124"/>
      <c r="AH118" s="48">
        <f t="shared" si="53"/>
        <v>368.3</v>
      </c>
      <c r="AI118" s="49">
        <f t="shared" si="54"/>
        <v>42</v>
      </c>
    </row>
    <row r="119" spans="1:35" x14ac:dyDescent="0.25">
      <c r="A119" s="125" t="s">
        <v>142</v>
      </c>
      <c r="B119" s="126">
        <v>-1.3</v>
      </c>
      <c r="C119" s="126">
        <v>-7.1</v>
      </c>
      <c r="D119" s="126">
        <v>-8.5</v>
      </c>
      <c r="E119" s="126">
        <v>-14</v>
      </c>
      <c r="F119" s="126">
        <v>-10</v>
      </c>
      <c r="G119" s="126">
        <v>-12.6</v>
      </c>
      <c r="H119" s="126">
        <v>-14.5</v>
      </c>
      <c r="I119" s="126">
        <v>-5.5</v>
      </c>
      <c r="J119" s="126">
        <v>16.3</v>
      </c>
      <c r="K119" s="126">
        <v>14.2</v>
      </c>
      <c r="L119" s="126">
        <v>20.9</v>
      </c>
      <c r="M119" s="126">
        <v>18.100000000000001</v>
      </c>
      <c r="N119" s="126">
        <v>19.5</v>
      </c>
      <c r="O119" s="126">
        <v>26.9</v>
      </c>
      <c r="P119" s="126">
        <v>25.3</v>
      </c>
      <c r="Q119" s="126">
        <v>23.2</v>
      </c>
      <c r="R119" s="126">
        <v>31.6</v>
      </c>
      <c r="S119" s="126">
        <v>24.3</v>
      </c>
      <c r="T119" s="126">
        <v>32</v>
      </c>
      <c r="U119" s="126">
        <v>25.1</v>
      </c>
      <c r="V119" s="126">
        <v>23</v>
      </c>
      <c r="W119" s="126">
        <v>17.5</v>
      </c>
      <c r="X119" s="126">
        <v>20.2</v>
      </c>
      <c r="Y119" s="126">
        <v>41.8</v>
      </c>
      <c r="Z119" s="126">
        <v>36.200000000000003</v>
      </c>
      <c r="AA119" s="126">
        <v>28.9</v>
      </c>
      <c r="AB119" s="126">
        <v>25.9</v>
      </c>
      <c r="AC119" s="126">
        <v>37.200000000000003</v>
      </c>
      <c r="AD119" s="126">
        <v>26.6</v>
      </c>
      <c r="AE119" s="126">
        <v>20.2</v>
      </c>
      <c r="AF119" s="126">
        <v>4.5999999999999996</v>
      </c>
      <c r="AG119" s="127">
        <v>75</v>
      </c>
      <c r="AH119" s="48">
        <f t="shared" si="53"/>
        <v>41.8</v>
      </c>
      <c r="AI119" s="49">
        <f t="shared" si="54"/>
        <v>-14.5</v>
      </c>
    </row>
    <row r="120" spans="1:35" x14ac:dyDescent="0.25">
      <c r="A120" s="128" t="s">
        <v>143</v>
      </c>
      <c r="B120" s="129">
        <v>-4.2</v>
      </c>
      <c r="C120" s="129">
        <v>-13.1</v>
      </c>
      <c r="D120" s="129">
        <v>-14.6</v>
      </c>
      <c r="E120" s="129">
        <v>-20.6</v>
      </c>
      <c r="F120" s="129">
        <v>-22</v>
      </c>
      <c r="G120" s="129">
        <v>-23</v>
      </c>
      <c r="H120" s="129">
        <v>-23.7</v>
      </c>
      <c r="I120" s="129">
        <v>-10.5</v>
      </c>
      <c r="J120" s="129">
        <v>22.6</v>
      </c>
      <c r="K120" s="129">
        <v>20.100000000000001</v>
      </c>
      <c r="L120" s="129">
        <v>27.5</v>
      </c>
      <c r="M120" s="129">
        <v>22.7</v>
      </c>
      <c r="N120" s="129">
        <v>25.5</v>
      </c>
      <c r="O120" s="129">
        <v>35.799999999999997</v>
      </c>
      <c r="P120" s="129">
        <v>32.5</v>
      </c>
      <c r="Q120" s="129">
        <v>28.78</v>
      </c>
      <c r="R120" s="129">
        <v>40.200000000000003</v>
      </c>
      <c r="S120" s="129">
        <v>31.6</v>
      </c>
      <c r="T120" s="129">
        <v>41.5</v>
      </c>
      <c r="U120" s="129">
        <v>32.1</v>
      </c>
      <c r="V120" s="129">
        <v>35</v>
      </c>
      <c r="W120" s="129">
        <v>28.3</v>
      </c>
      <c r="X120" s="129">
        <v>32.200000000000003</v>
      </c>
      <c r="Y120" s="129">
        <v>60.8</v>
      </c>
      <c r="Z120" s="129">
        <v>53.3</v>
      </c>
      <c r="AA120" s="129">
        <v>42.2</v>
      </c>
      <c r="AB120" s="129">
        <v>42.4</v>
      </c>
      <c r="AC120" s="129">
        <v>56.4</v>
      </c>
      <c r="AD120" s="129">
        <v>42.3</v>
      </c>
      <c r="AE120" s="129">
        <v>34.799999999999997</v>
      </c>
      <c r="AF120" s="129">
        <v>13.2</v>
      </c>
      <c r="AG120" s="127">
        <v>240</v>
      </c>
      <c r="AH120" s="48">
        <f t="shared" si="53"/>
        <v>60.8</v>
      </c>
      <c r="AI120" s="49">
        <f t="shared" si="54"/>
        <v>-23.7</v>
      </c>
    </row>
    <row r="121" spans="1:35" x14ac:dyDescent="0.25">
      <c r="A121" s="128" t="s">
        <v>144</v>
      </c>
      <c r="B121" s="129">
        <v>-41</v>
      </c>
      <c r="C121" s="129">
        <v>-18</v>
      </c>
      <c r="D121" s="129">
        <v>-22</v>
      </c>
      <c r="E121" s="129">
        <v>-14.7</v>
      </c>
      <c r="F121" s="129">
        <v>-8.3000000000000007</v>
      </c>
      <c r="G121" s="129">
        <v>-3.6</v>
      </c>
      <c r="H121" s="129">
        <v>3.5</v>
      </c>
      <c r="I121" s="129">
        <v>5.5</v>
      </c>
      <c r="J121" s="129">
        <v>12.5</v>
      </c>
      <c r="K121" s="129">
        <v>14</v>
      </c>
      <c r="L121" s="129">
        <v>18.899999999999999</v>
      </c>
      <c r="M121" s="129">
        <v>29</v>
      </c>
      <c r="N121" s="129">
        <f>9.5+11.1</f>
        <v>20.6</v>
      </c>
      <c r="O121" s="129">
        <v>13</v>
      </c>
      <c r="P121" s="129">
        <f>4+4.3</f>
        <v>8.3000000000000007</v>
      </c>
      <c r="Q121" s="129">
        <v>26.3</v>
      </c>
      <c r="R121" s="129">
        <v>9.9</v>
      </c>
      <c r="S121" s="129">
        <v>4</v>
      </c>
      <c r="T121" s="129">
        <v>0.2</v>
      </c>
      <c r="U121" s="129">
        <v>7</v>
      </c>
      <c r="V121" s="129">
        <v>6.5</v>
      </c>
      <c r="W121" s="129">
        <v>14</v>
      </c>
      <c r="X121" s="129">
        <v>18</v>
      </c>
      <c r="Y121" s="129">
        <v>16.5</v>
      </c>
      <c r="Z121" s="129">
        <v>19</v>
      </c>
      <c r="AA121" s="129">
        <v>2.1</v>
      </c>
      <c r="AB121" s="129">
        <v>-5.7</v>
      </c>
      <c r="AC121" s="129">
        <v>-33.700000000000003</v>
      </c>
      <c r="AD121" s="129">
        <v>-31</v>
      </c>
      <c r="AE121" s="129">
        <v>-49</v>
      </c>
      <c r="AF121" s="129">
        <v>-53</v>
      </c>
      <c r="AG121" s="127">
        <v>240</v>
      </c>
      <c r="AH121" s="48">
        <f t="shared" si="53"/>
        <v>29</v>
      </c>
      <c r="AI121" s="49">
        <f t="shared" si="54"/>
        <v>-53</v>
      </c>
    </row>
    <row r="122" spans="1:35" ht="15.75" thickBot="1" x14ac:dyDescent="0.3">
      <c r="A122" s="128" t="s">
        <v>145</v>
      </c>
      <c r="B122" s="129">
        <v>-8.8000000000000007</v>
      </c>
      <c r="C122" s="129">
        <v>-7.9</v>
      </c>
      <c r="D122" s="129">
        <v>-9.4</v>
      </c>
      <c r="E122" s="129">
        <v>-6.4</v>
      </c>
      <c r="F122" s="129">
        <v>-5.2</v>
      </c>
      <c r="G122" s="129">
        <v>-2</v>
      </c>
      <c r="H122" s="129">
        <v>-2.8</v>
      </c>
      <c r="I122" s="129">
        <v>-1</v>
      </c>
      <c r="J122" s="129">
        <v>13.6</v>
      </c>
      <c r="K122" s="129">
        <v>14.9</v>
      </c>
      <c r="L122" s="129">
        <v>15.3</v>
      </c>
      <c r="M122" s="129">
        <v>16.100000000000001</v>
      </c>
      <c r="N122" s="129">
        <v>14.2</v>
      </c>
      <c r="O122" s="129">
        <v>8.8000000000000007</v>
      </c>
      <c r="P122" s="129">
        <v>2.9</v>
      </c>
      <c r="Q122" s="129">
        <v>7.3</v>
      </c>
      <c r="R122" s="129">
        <v>4.3</v>
      </c>
      <c r="S122" s="129">
        <v>1</v>
      </c>
      <c r="T122" s="129">
        <v>2</v>
      </c>
      <c r="U122" s="129">
        <v>3</v>
      </c>
      <c r="V122" s="129">
        <v>6.7</v>
      </c>
      <c r="W122" s="129">
        <v>8</v>
      </c>
      <c r="X122" s="129">
        <v>10.3</v>
      </c>
      <c r="Y122" s="129">
        <v>33.200000000000003</v>
      </c>
      <c r="Z122" s="129">
        <v>41.4</v>
      </c>
      <c r="AA122" s="129">
        <v>21</v>
      </c>
      <c r="AB122" s="129">
        <v>12.6</v>
      </c>
      <c r="AC122" s="129">
        <v>5.7</v>
      </c>
      <c r="AD122" s="129">
        <v>0.7</v>
      </c>
      <c r="AE122" s="129">
        <v>-7.3</v>
      </c>
      <c r="AF122" s="129">
        <v>-9.8000000000000007</v>
      </c>
      <c r="AG122" s="127">
        <v>60</v>
      </c>
      <c r="AH122" s="48">
        <f t="shared" si="53"/>
        <v>41.4</v>
      </c>
      <c r="AI122" s="49">
        <f t="shared" si="54"/>
        <v>-9.8000000000000007</v>
      </c>
    </row>
    <row r="123" spans="1:35" x14ac:dyDescent="0.25">
      <c r="A123" s="125" t="s">
        <v>146</v>
      </c>
      <c r="B123" s="130">
        <v>95.2</v>
      </c>
      <c r="C123" s="130">
        <v>75.2</v>
      </c>
      <c r="D123" s="130">
        <v>74.599999999999994</v>
      </c>
      <c r="E123" s="130">
        <v>78.900000000000006</v>
      </c>
      <c r="F123" s="130">
        <v>86</v>
      </c>
      <c r="G123" s="130">
        <v>101.6</v>
      </c>
      <c r="H123" s="130">
        <v>112.4</v>
      </c>
      <c r="I123" s="130">
        <v>135.19999999999999</v>
      </c>
      <c r="J123" s="130">
        <v>119</v>
      </c>
      <c r="K123" s="130">
        <v>124.4</v>
      </c>
      <c r="L123" s="130">
        <v>128.5</v>
      </c>
      <c r="M123" s="130">
        <v>131.5</v>
      </c>
      <c r="N123" s="130">
        <v>114.8</v>
      </c>
      <c r="O123" s="130">
        <v>110.3</v>
      </c>
      <c r="P123" s="130">
        <v>108.9</v>
      </c>
      <c r="Q123" s="130">
        <v>87</v>
      </c>
      <c r="R123" s="130">
        <v>80.5</v>
      </c>
      <c r="S123" s="130">
        <v>104.1</v>
      </c>
      <c r="T123" s="130">
        <v>94.1</v>
      </c>
      <c r="U123" s="130">
        <v>111</v>
      </c>
      <c r="V123" s="130">
        <v>101</v>
      </c>
      <c r="W123" s="130">
        <v>114</v>
      </c>
      <c r="X123" s="130">
        <v>121</v>
      </c>
      <c r="Y123" s="130">
        <v>106</v>
      </c>
      <c r="Z123" s="130">
        <v>124.4</v>
      </c>
      <c r="AA123" s="130">
        <v>148</v>
      </c>
      <c r="AB123" s="130">
        <v>138.80000000000001</v>
      </c>
      <c r="AC123" s="130">
        <v>119</v>
      </c>
      <c r="AD123" s="130">
        <v>124.1</v>
      </c>
      <c r="AE123" s="130">
        <v>96.9</v>
      </c>
      <c r="AF123" s="130">
        <v>96.4</v>
      </c>
      <c r="AG123" s="131">
        <v>120</v>
      </c>
      <c r="AH123" s="48">
        <f t="shared" si="53"/>
        <v>148</v>
      </c>
      <c r="AI123" s="49">
        <f t="shared" si="54"/>
        <v>74.599999999999994</v>
      </c>
    </row>
    <row r="124" spans="1:35" x14ac:dyDescent="0.25">
      <c r="A124" s="128" t="s">
        <v>147</v>
      </c>
      <c r="B124" s="130">
        <v>74.2</v>
      </c>
      <c r="C124" s="130">
        <v>64.599999999999994</v>
      </c>
      <c r="D124" s="130">
        <v>62.9</v>
      </c>
      <c r="E124" s="130">
        <v>65.099999999999994</v>
      </c>
      <c r="F124" s="130">
        <v>68</v>
      </c>
      <c r="G124" s="130">
        <v>75</v>
      </c>
      <c r="H124" s="130">
        <v>82.1</v>
      </c>
      <c r="I124" s="130">
        <v>92.4</v>
      </c>
      <c r="J124" s="130">
        <v>93.8</v>
      </c>
      <c r="K124" s="130">
        <v>84.1</v>
      </c>
      <c r="L124" s="130">
        <v>88.3</v>
      </c>
      <c r="M124" s="130">
        <v>90.4</v>
      </c>
      <c r="N124" s="130">
        <v>83.1</v>
      </c>
      <c r="O124" s="130">
        <v>79.5</v>
      </c>
      <c r="P124" s="130">
        <v>77.900000000000006</v>
      </c>
      <c r="Q124" s="130">
        <v>66</v>
      </c>
      <c r="R124" s="130">
        <v>65</v>
      </c>
      <c r="S124" s="130">
        <v>75</v>
      </c>
      <c r="T124" s="130">
        <v>70</v>
      </c>
      <c r="U124" s="130">
        <v>78.3</v>
      </c>
      <c r="V124" s="130">
        <v>73.099999999999994</v>
      </c>
      <c r="W124" s="130">
        <v>80</v>
      </c>
      <c r="X124" s="130">
        <v>85.3</v>
      </c>
      <c r="Y124" s="130">
        <v>75.2</v>
      </c>
      <c r="Z124" s="130">
        <v>84.1</v>
      </c>
      <c r="AA124" s="130">
        <v>95.3</v>
      </c>
      <c r="AB124" s="130">
        <v>92.3</v>
      </c>
      <c r="AC124" s="130">
        <v>82</v>
      </c>
      <c r="AD124" s="130">
        <v>79.900000000000006</v>
      </c>
      <c r="AE124" s="130">
        <v>69.400000000000006</v>
      </c>
      <c r="AF124" s="130">
        <v>70.099999999999994</v>
      </c>
      <c r="AG124" s="131"/>
      <c r="AH124" s="48">
        <f t="shared" si="53"/>
        <v>95.3</v>
      </c>
      <c r="AI124" s="49">
        <f t="shared" si="54"/>
        <v>62.9</v>
      </c>
    </row>
    <row r="125" spans="1:35" x14ac:dyDescent="0.25">
      <c r="A125" s="128" t="s">
        <v>148</v>
      </c>
      <c r="B125" s="130">
        <v>62</v>
      </c>
      <c r="C125" s="130">
        <v>51.8</v>
      </c>
      <c r="D125" s="130">
        <v>52.4</v>
      </c>
      <c r="E125" s="130">
        <v>59.1</v>
      </c>
      <c r="F125" s="130">
        <v>52.9</v>
      </c>
      <c r="G125" s="130">
        <v>51</v>
      </c>
      <c r="H125" s="130">
        <v>57.9</v>
      </c>
      <c r="I125" s="130">
        <v>46.1</v>
      </c>
      <c r="J125" s="130">
        <v>2.6</v>
      </c>
      <c r="K125" s="130">
        <v>2.5</v>
      </c>
      <c r="L125" s="130">
        <v>-3.6</v>
      </c>
      <c r="M125" s="130">
        <v>-2</v>
      </c>
      <c r="N125" s="130">
        <v>-1.3</v>
      </c>
      <c r="O125" s="130">
        <v>-5.4</v>
      </c>
      <c r="P125" s="130">
        <v>2.6</v>
      </c>
      <c r="Q125" s="130">
        <v>0</v>
      </c>
      <c r="R125" s="130">
        <v>0</v>
      </c>
      <c r="S125" s="130">
        <v>6</v>
      </c>
      <c r="T125" s="130">
        <v>-2.4</v>
      </c>
      <c r="U125" s="130">
        <v>8</v>
      </c>
      <c r="V125" s="130">
        <v>-9</v>
      </c>
      <c r="W125" s="130">
        <v>-0.6</v>
      </c>
      <c r="X125" s="130">
        <v>-7</v>
      </c>
      <c r="Y125" s="130">
        <v>-55.3</v>
      </c>
      <c r="Z125" s="130">
        <v>-44.1</v>
      </c>
      <c r="AA125" s="130">
        <v>-10</v>
      </c>
      <c r="AB125" s="130">
        <v>0.5</v>
      </c>
      <c r="AC125" s="130">
        <v>-7</v>
      </c>
      <c r="AD125" s="130">
        <v>18.600000000000001</v>
      </c>
      <c r="AE125" s="130">
        <v>28.8</v>
      </c>
      <c r="AF125" s="130">
        <v>55.9</v>
      </c>
      <c r="AG125" s="131"/>
      <c r="AH125" s="48">
        <f t="shared" si="53"/>
        <v>62</v>
      </c>
      <c r="AI125" s="49">
        <f t="shared" si="54"/>
        <v>-55.3</v>
      </c>
    </row>
    <row r="126" spans="1:35" ht="15.75" thickBot="1" x14ac:dyDescent="0.3">
      <c r="A126" s="128" t="s">
        <v>149</v>
      </c>
      <c r="B126" s="130">
        <v>99.5</v>
      </c>
      <c r="C126" s="130">
        <v>64.400000000000006</v>
      </c>
      <c r="D126" s="130">
        <v>66</v>
      </c>
      <c r="E126" s="130">
        <v>69.5</v>
      </c>
      <c r="F126" s="130">
        <v>71</v>
      </c>
      <c r="G126" s="130">
        <v>80</v>
      </c>
      <c r="H126" s="130">
        <v>84.5</v>
      </c>
      <c r="I126" s="130">
        <v>90.2</v>
      </c>
      <c r="J126" s="130">
        <v>71.3</v>
      </c>
      <c r="K126" s="130">
        <v>69</v>
      </c>
      <c r="L126" s="130">
        <v>77.900000000000006</v>
      </c>
      <c r="M126" s="130">
        <v>90.6</v>
      </c>
      <c r="N126" s="130">
        <v>80.099999999999994</v>
      </c>
      <c r="O126" s="130">
        <v>75.400000000000006</v>
      </c>
      <c r="P126" s="130">
        <v>78.2</v>
      </c>
      <c r="Q126" s="130">
        <v>91</v>
      </c>
      <c r="R126" s="130">
        <v>79.7</v>
      </c>
      <c r="S126" s="130">
        <v>81.2</v>
      </c>
      <c r="T126" s="130">
        <v>72.400000000000006</v>
      </c>
      <c r="U126" s="130">
        <v>79</v>
      </c>
      <c r="V126" s="130">
        <v>71.099999999999994</v>
      </c>
      <c r="W126" s="130">
        <v>82</v>
      </c>
      <c r="X126" s="130">
        <v>82.2</v>
      </c>
      <c r="Y126" s="130">
        <v>69.3</v>
      </c>
      <c r="Z126" s="130">
        <v>71</v>
      </c>
      <c r="AA126" s="130">
        <v>97</v>
      </c>
      <c r="AB126" s="130">
        <v>95.2</v>
      </c>
      <c r="AC126" s="130">
        <v>89.6</v>
      </c>
      <c r="AD126" s="130">
        <v>99.1</v>
      </c>
      <c r="AE126" s="130">
        <v>81.3</v>
      </c>
      <c r="AF126" s="130">
        <v>91.9</v>
      </c>
      <c r="AG126" s="127"/>
      <c r="AH126" s="48">
        <f>MAX(B126:AF126)</f>
        <v>99.5</v>
      </c>
      <c r="AI126" s="49">
        <f>MIN(B126:AF126)</f>
        <v>64.400000000000006</v>
      </c>
    </row>
    <row r="127" spans="1:35" x14ac:dyDescent="0.25">
      <c r="A127" s="125" t="s">
        <v>305</v>
      </c>
      <c r="B127" s="130">
        <v>9.4</v>
      </c>
      <c r="C127" s="130">
        <v>-1.3</v>
      </c>
      <c r="D127" s="130">
        <v>-2.1</v>
      </c>
      <c r="E127" s="130">
        <v>-1.1000000000000001</v>
      </c>
      <c r="F127" s="130">
        <v>5</v>
      </c>
      <c r="G127" s="130">
        <v>8</v>
      </c>
      <c r="H127" s="130">
        <v>11.6</v>
      </c>
      <c r="I127" s="130">
        <v>-38.9</v>
      </c>
      <c r="J127" s="130">
        <v>-87.33</v>
      </c>
      <c r="K127" s="130">
        <v>-82</v>
      </c>
      <c r="L127" s="130">
        <v>-94.7</v>
      </c>
      <c r="M127" s="130">
        <v>-8</v>
      </c>
      <c r="N127" s="130">
        <v>5.0999999999999996</v>
      </c>
      <c r="O127" s="130">
        <v>2</v>
      </c>
      <c r="P127" s="130">
        <v>12.7</v>
      </c>
      <c r="Q127" s="130">
        <v>9.5</v>
      </c>
      <c r="R127" s="130">
        <v>0</v>
      </c>
      <c r="S127" s="130">
        <v>19</v>
      </c>
      <c r="T127" s="130">
        <v>15.6</v>
      </c>
      <c r="U127" s="130">
        <v>8</v>
      </c>
      <c r="V127" s="130">
        <v>11</v>
      </c>
      <c r="W127" s="130">
        <v>3</v>
      </c>
      <c r="X127" s="130">
        <v>-5</v>
      </c>
      <c r="Y127" s="130">
        <v>-24</v>
      </c>
      <c r="Z127" s="130">
        <v>-117</v>
      </c>
      <c r="AA127" s="130">
        <v>-130</v>
      </c>
      <c r="AB127" s="130">
        <v>-122.1</v>
      </c>
      <c r="AC127" s="130">
        <v>-73</v>
      </c>
      <c r="AD127" s="130">
        <v>-88.3</v>
      </c>
      <c r="AE127" s="130">
        <v>-73.3</v>
      </c>
      <c r="AF127" s="130">
        <v>-48.5</v>
      </c>
      <c r="AG127" s="127"/>
      <c r="AH127" s="48">
        <f>MAX(B127:AF127)</f>
        <v>19</v>
      </c>
      <c r="AI127" s="49">
        <f>MIN(B127:AF127)</f>
        <v>-130</v>
      </c>
    </row>
    <row r="128" spans="1:35" x14ac:dyDescent="0.25">
      <c r="A128" s="128" t="s">
        <v>151</v>
      </c>
      <c r="B128" s="118">
        <v>23.1</v>
      </c>
      <c r="C128" s="118">
        <v>20.5</v>
      </c>
      <c r="D128" s="118">
        <v>22.3</v>
      </c>
      <c r="E128" s="118">
        <v>22.6</v>
      </c>
      <c r="F128" s="118">
        <v>15</v>
      </c>
      <c r="G128" s="118">
        <v>12.6</v>
      </c>
      <c r="H128" s="118">
        <v>10</v>
      </c>
      <c r="I128" s="118">
        <v>-2.2000000000000002</v>
      </c>
      <c r="J128" s="118">
        <v>-7.3</v>
      </c>
      <c r="K128" s="118">
        <v>-10</v>
      </c>
      <c r="L128" s="118">
        <v>-10.199999999999999</v>
      </c>
      <c r="M128" s="118">
        <v>-12.6</v>
      </c>
      <c r="N128" s="118">
        <v>68.2</v>
      </c>
      <c r="O128" s="118">
        <v>-6</v>
      </c>
      <c r="P128" s="118">
        <v>-10.8</v>
      </c>
      <c r="Q128" s="118">
        <v>-7.3</v>
      </c>
      <c r="R128" s="118">
        <v>-6.5</v>
      </c>
      <c r="S128" s="118">
        <v>-4.5</v>
      </c>
      <c r="T128" s="118">
        <v>-5.4</v>
      </c>
      <c r="U128" s="118">
        <v>-8.1999999999999993</v>
      </c>
      <c r="V128" s="118">
        <v>-17</v>
      </c>
      <c r="W128" s="118">
        <v>-25</v>
      </c>
      <c r="X128" s="118">
        <v>-26.1</v>
      </c>
      <c r="Y128" s="118">
        <v>-34.200000000000003</v>
      </c>
      <c r="Z128" s="118">
        <v>-27.6</v>
      </c>
      <c r="AA128" s="118">
        <v>-24</v>
      </c>
      <c r="AB128" s="118">
        <v>-22.8</v>
      </c>
      <c r="AC128" s="118">
        <v>-20</v>
      </c>
      <c r="AD128" s="118">
        <v>-12.6</v>
      </c>
      <c r="AE128" s="118">
        <v>-4.7</v>
      </c>
      <c r="AF128" s="118">
        <v>1.9</v>
      </c>
      <c r="AG128" s="127"/>
      <c r="AH128" s="48">
        <f>MAX(B128:AF128)</f>
        <v>68.2</v>
      </c>
      <c r="AI128" s="49">
        <f>MIN(B128:AF128)</f>
        <v>-34.200000000000003</v>
      </c>
    </row>
    <row r="129" spans="1:37" x14ac:dyDescent="0.25">
      <c r="A129" s="128" t="s">
        <v>306</v>
      </c>
      <c r="B129" s="118">
        <v>47.1</v>
      </c>
      <c r="C129" s="118">
        <v>46.7</v>
      </c>
      <c r="D129" s="118">
        <v>47.7</v>
      </c>
      <c r="E129" s="118">
        <v>45.6</v>
      </c>
      <c r="F129" s="118">
        <v>47</v>
      </c>
      <c r="G129" s="118">
        <v>50</v>
      </c>
      <c r="H129" s="118">
        <v>52.9</v>
      </c>
      <c r="I129" s="118">
        <v>61.1</v>
      </c>
      <c r="J129" s="118">
        <v>70.2</v>
      </c>
      <c r="K129" s="118">
        <v>74.8</v>
      </c>
      <c r="L129" s="118">
        <v>71.900000000000006</v>
      </c>
      <c r="M129" s="118">
        <v>76.8</v>
      </c>
      <c r="N129" s="118">
        <v>70.2</v>
      </c>
      <c r="O129" s="118">
        <v>75.8</v>
      </c>
      <c r="P129" s="118">
        <v>76.3</v>
      </c>
      <c r="Q129" s="118">
        <v>56.3</v>
      </c>
      <c r="R129" s="118">
        <v>69</v>
      </c>
      <c r="S129" s="118">
        <v>65</v>
      </c>
      <c r="T129" s="118">
        <v>73</v>
      </c>
      <c r="U129" s="118">
        <v>75.2</v>
      </c>
      <c r="V129" s="118">
        <v>75</v>
      </c>
      <c r="W129" s="118">
        <v>82</v>
      </c>
      <c r="X129" s="118">
        <v>85</v>
      </c>
      <c r="Y129" s="118">
        <v>108</v>
      </c>
      <c r="Z129" s="118">
        <v>107</v>
      </c>
      <c r="AA129" s="118">
        <v>105</v>
      </c>
      <c r="AB129" s="118">
        <v>100.4</v>
      </c>
      <c r="AC129" s="118">
        <v>100</v>
      </c>
      <c r="AD129" s="118">
        <v>96</v>
      </c>
      <c r="AE129" s="118">
        <v>83.9</v>
      </c>
      <c r="AF129" s="118">
        <v>80.8</v>
      </c>
      <c r="AG129" s="127"/>
      <c r="AH129" s="48">
        <f>MAX(B129:AF129)</f>
        <v>108</v>
      </c>
      <c r="AI129" s="49">
        <f>MIN(B129:AF129)</f>
        <v>45.6</v>
      </c>
    </row>
    <row r="130" spans="1:37" ht="15.75" thickBot="1" x14ac:dyDescent="0.3">
      <c r="A130" s="128" t="s">
        <v>153</v>
      </c>
      <c r="B130" s="118">
        <v>59.7</v>
      </c>
      <c r="C130" s="118">
        <v>62</v>
      </c>
      <c r="D130" s="118">
        <v>59.8</v>
      </c>
      <c r="E130" s="118">
        <v>58.8</v>
      </c>
      <c r="F130" s="118">
        <v>59</v>
      </c>
      <c r="G130" s="118">
        <v>62</v>
      </c>
      <c r="H130" s="118">
        <v>65</v>
      </c>
      <c r="I130" s="118">
        <v>71.900000000000006</v>
      </c>
      <c r="J130" s="118">
        <v>80.400000000000006</v>
      </c>
      <c r="K130" s="118">
        <v>81.099999999999994</v>
      </c>
      <c r="L130" s="118">
        <v>82.6</v>
      </c>
      <c r="M130" s="118">
        <v>85.9</v>
      </c>
      <c r="N130" s="118">
        <v>81.3</v>
      </c>
      <c r="O130" s="118">
        <v>85.3</v>
      </c>
      <c r="P130" s="118">
        <v>85.7</v>
      </c>
      <c r="Q130" s="118">
        <v>70.400000000000006</v>
      </c>
      <c r="R130" s="118">
        <v>78</v>
      </c>
      <c r="S130" s="118">
        <v>81.5</v>
      </c>
      <c r="T130" s="118">
        <v>81.2</v>
      </c>
      <c r="U130" s="118">
        <v>86.6</v>
      </c>
      <c r="V130" s="118">
        <v>88</v>
      </c>
      <c r="W130" s="118">
        <v>89</v>
      </c>
      <c r="X130" s="118">
        <v>100</v>
      </c>
      <c r="Y130" s="118">
        <v>110</v>
      </c>
      <c r="Z130" s="118">
        <v>117</v>
      </c>
      <c r="AA130" s="118">
        <v>105</v>
      </c>
      <c r="AB130" s="118">
        <v>111.7</v>
      </c>
      <c r="AC130" s="118">
        <v>111</v>
      </c>
      <c r="AD130" s="118">
        <v>100.7</v>
      </c>
      <c r="AE130" s="118">
        <v>93.5</v>
      </c>
      <c r="AF130" s="118">
        <v>87.7</v>
      </c>
      <c r="AG130" s="127"/>
      <c r="AH130" s="48">
        <f>MAX(B130:AF130)</f>
        <v>117</v>
      </c>
      <c r="AI130" s="49">
        <f>MIN(B130:AF130)</f>
        <v>58.8</v>
      </c>
    </row>
    <row r="131" spans="1:37" x14ac:dyDescent="0.25">
      <c r="A131" s="132" t="s">
        <v>154</v>
      </c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4"/>
      <c r="AG131" s="44"/>
      <c r="AH131" s="48"/>
      <c r="AI131" s="49"/>
    </row>
    <row r="132" spans="1:37" x14ac:dyDescent="0.25">
      <c r="A132" s="135" t="s">
        <v>155</v>
      </c>
      <c r="B132" s="136">
        <v>1983.92</v>
      </c>
      <c r="C132" s="136">
        <v>1984.16</v>
      </c>
      <c r="D132" s="136">
        <v>1984.4</v>
      </c>
      <c r="E132" s="136">
        <v>1984.66</v>
      </c>
      <c r="F132" s="136">
        <v>1984.89</v>
      </c>
      <c r="G132" s="136">
        <v>1985.1</v>
      </c>
      <c r="H132" s="136"/>
      <c r="I132" s="136">
        <v>1985.3</v>
      </c>
      <c r="J132" s="136"/>
      <c r="K132" s="136">
        <v>1985.02</v>
      </c>
      <c r="L132" s="136"/>
      <c r="M132" s="136">
        <v>1984.68</v>
      </c>
      <c r="N132" s="136">
        <v>1984.72</v>
      </c>
      <c r="O132" s="136">
        <v>1984.85</v>
      </c>
      <c r="P132" s="136">
        <v>1984.95</v>
      </c>
      <c r="Q132" s="136">
        <v>1985.15</v>
      </c>
      <c r="R132" s="136">
        <v>1985.35</v>
      </c>
      <c r="S132" s="136">
        <v>1985.55</v>
      </c>
      <c r="T132" s="136">
        <v>1985.78</v>
      </c>
      <c r="U132" s="136">
        <v>1985.93</v>
      </c>
      <c r="V132" s="136">
        <v>1986.03</v>
      </c>
      <c r="W132" s="136"/>
      <c r="X132" s="136">
        <v>1986.1</v>
      </c>
      <c r="Y132" s="136"/>
      <c r="Z132" s="136">
        <v>1985.95</v>
      </c>
      <c r="AA132" s="136"/>
      <c r="AB132" s="136">
        <v>1985.33</v>
      </c>
      <c r="AC132" s="136"/>
      <c r="AD132" s="136">
        <v>1984.75</v>
      </c>
      <c r="AE132" s="136">
        <v>1984.45</v>
      </c>
      <c r="AF132" s="137">
        <v>1984.23</v>
      </c>
      <c r="AG132" s="138"/>
      <c r="AH132" s="48"/>
      <c r="AI132" s="49"/>
    </row>
    <row r="133" spans="1:37" x14ac:dyDescent="0.25">
      <c r="A133" s="135" t="s">
        <v>156</v>
      </c>
      <c r="B133" s="139">
        <v>520.70000000000005</v>
      </c>
      <c r="C133" s="139">
        <v>520.84</v>
      </c>
      <c r="D133" s="139">
        <v>521.26</v>
      </c>
      <c r="E133" s="139">
        <v>521.62</v>
      </c>
      <c r="F133" s="139">
        <v>522.02</v>
      </c>
      <c r="G133" s="139">
        <v>522.37</v>
      </c>
      <c r="H133" s="139"/>
      <c r="I133" s="139">
        <v>522.67999999999995</v>
      </c>
      <c r="J133" s="139"/>
      <c r="K133" s="139">
        <v>522.79999999999995</v>
      </c>
      <c r="L133" s="139"/>
      <c r="M133" s="139">
        <v>522.80999999999995</v>
      </c>
      <c r="N133" s="139">
        <v>522.85</v>
      </c>
      <c r="O133" s="139">
        <v>522.85</v>
      </c>
      <c r="P133" s="139">
        <v>522.9</v>
      </c>
      <c r="Q133" s="139">
        <v>522.92999999999995</v>
      </c>
      <c r="R133" s="139">
        <v>522.92999999999995</v>
      </c>
      <c r="S133" s="139">
        <v>522.9</v>
      </c>
      <c r="T133" s="139">
        <v>522.88</v>
      </c>
      <c r="U133" s="139">
        <v>522.85</v>
      </c>
      <c r="V133" s="139">
        <v>522.82000000000005</v>
      </c>
      <c r="W133" s="139"/>
      <c r="X133" s="139">
        <v>522.88</v>
      </c>
      <c r="Y133" s="139"/>
      <c r="Z133" s="139">
        <v>522.64</v>
      </c>
      <c r="AA133" s="139"/>
      <c r="AB133" s="139">
        <v>522.19000000000005</v>
      </c>
      <c r="AC133" s="139"/>
      <c r="AD133" s="139">
        <v>521.79999999999995</v>
      </c>
      <c r="AE133" s="139">
        <v>521.41999999999996</v>
      </c>
      <c r="AF133" s="140">
        <v>521.35</v>
      </c>
      <c r="AG133" s="138"/>
      <c r="AH133" s="48"/>
      <c r="AI133" s="49"/>
    </row>
    <row r="134" spans="1:37" x14ac:dyDescent="0.25">
      <c r="A134" s="135" t="s">
        <v>158</v>
      </c>
      <c r="B134" s="139">
        <v>622.65</v>
      </c>
      <c r="C134" s="139">
        <v>623.07000000000005</v>
      </c>
      <c r="D134" s="139">
        <v>623.45000000000005</v>
      </c>
      <c r="E134" s="139">
        <v>623.85</v>
      </c>
      <c r="F134" s="139">
        <v>624.19000000000005</v>
      </c>
      <c r="G134" s="139">
        <v>624.58000000000004</v>
      </c>
      <c r="H134" s="139"/>
      <c r="I134" s="139">
        <v>624.79999999999995</v>
      </c>
      <c r="J134" s="139"/>
      <c r="K134" s="139">
        <v>624.78</v>
      </c>
      <c r="L134" s="139"/>
      <c r="M134" s="139"/>
      <c r="N134" s="139">
        <v>624.79</v>
      </c>
      <c r="O134" s="139">
        <v>624.82000000000005</v>
      </c>
      <c r="P134" s="139">
        <v>624.9</v>
      </c>
      <c r="Q134" s="139">
        <v>624.95000000000005</v>
      </c>
      <c r="R134" s="139">
        <v>624.70000000000005</v>
      </c>
      <c r="S134" s="139">
        <v>624.6</v>
      </c>
      <c r="T134" s="139">
        <v>624.32000000000005</v>
      </c>
      <c r="U134" s="139">
        <v>624.02</v>
      </c>
      <c r="V134" s="139">
        <v>623.74</v>
      </c>
      <c r="W134" s="139"/>
      <c r="X134" s="139">
        <v>623.54999999999995</v>
      </c>
      <c r="Y134" s="139"/>
      <c r="Z134" s="139">
        <v>623.17999999999995</v>
      </c>
      <c r="AA134" s="139"/>
      <c r="AB134" s="139">
        <v>622.75</v>
      </c>
      <c r="AC134" s="139">
        <v>622.59</v>
      </c>
      <c r="AD134" s="139">
        <v>622.49</v>
      </c>
      <c r="AE134" s="139">
        <v>622.08000000000004</v>
      </c>
      <c r="AF134" s="140">
        <v>621.99</v>
      </c>
      <c r="AG134" s="138"/>
      <c r="AH134" s="48"/>
      <c r="AI134" s="49"/>
    </row>
    <row r="135" spans="1:37" x14ac:dyDescent="0.25">
      <c r="A135" s="135" t="s">
        <v>159</v>
      </c>
      <c r="B135" s="139">
        <v>335.62</v>
      </c>
      <c r="C135" s="139">
        <v>336.1</v>
      </c>
      <c r="D135" s="139">
        <v>336.39</v>
      </c>
      <c r="E135" s="139">
        <v>336.73</v>
      </c>
      <c r="F135" s="139">
        <v>336.96</v>
      </c>
      <c r="G135" s="139">
        <v>337.23</v>
      </c>
      <c r="H135" s="139"/>
      <c r="I135" s="139">
        <v>337.45</v>
      </c>
      <c r="J135" s="139"/>
      <c r="K135" s="139">
        <v>337.48</v>
      </c>
      <c r="L135" s="139"/>
      <c r="M135" s="139">
        <v>337.35</v>
      </c>
      <c r="N135" s="139">
        <v>337.21</v>
      </c>
      <c r="O135" s="139">
        <v>337.02</v>
      </c>
      <c r="P135" s="139">
        <v>336.82</v>
      </c>
      <c r="Q135" s="139">
        <v>336.6</v>
      </c>
      <c r="R135" s="139">
        <v>336.31</v>
      </c>
      <c r="S135" s="139">
        <v>336.26</v>
      </c>
      <c r="T135" s="139">
        <v>336.25</v>
      </c>
      <c r="U135" s="139">
        <v>336.17</v>
      </c>
      <c r="V135" s="139">
        <v>336.09</v>
      </c>
      <c r="W135" s="139"/>
      <c r="X135" s="139">
        <v>336.16</v>
      </c>
      <c r="Y135" s="139"/>
      <c r="Z135" s="139">
        <v>336.21</v>
      </c>
      <c r="AA135" s="139"/>
      <c r="AB135" s="139">
        <v>336.01</v>
      </c>
      <c r="AC135" s="139"/>
      <c r="AD135" s="139">
        <v>335.96</v>
      </c>
      <c r="AE135" s="139">
        <v>335.79</v>
      </c>
      <c r="AF135" s="140">
        <v>335.79</v>
      </c>
      <c r="AG135" s="138"/>
      <c r="AH135" s="48"/>
      <c r="AI135" s="49"/>
    </row>
    <row r="136" spans="1:37" x14ac:dyDescent="0.25">
      <c r="A136" s="135" t="s">
        <v>160</v>
      </c>
      <c r="B136" s="139">
        <v>885.3</v>
      </c>
      <c r="C136" s="139">
        <v>885.9</v>
      </c>
      <c r="D136" s="139">
        <v>886.7</v>
      </c>
      <c r="E136" s="139">
        <v>887.3</v>
      </c>
      <c r="F136" s="139">
        <v>887.8</v>
      </c>
      <c r="G136" s="139">
        <v>887.9</v>
      </c>
      <c r="H136" s="139"/>
      <c r="I136" s="139">
        <v>887.8</v>
      </c>
      <c r="J136" s="139"/>
      <c r="K136" s="139">
        <v>887.7</v>
      </c>
      <c r="L136" s="139"/>
      <c r="M136" s="139">
        <v>887.3</v>
      </c>
      <c r="N136" s="139">
        <v>887.3</v>
      </c>
      <c r="O136" s="139">
        <v>887.3</v>
      </c>
      <c r="P136" s="139">
        <v>887.2</v>
      </c>
      <c r="Q136" s="139">
        <v>887.2</v>
      </c>
      <c r="R136" s="139">
        <v>887.2</v>
      </c>
      <c r="S136" s="139">
        <v>887.1</v>
      </c>
      <c r="T136" s="139">
        <v>887</v>
      </c>
      <c r="U136" s="139">
        <v>886.9</v>
      </c>
      <c r="V136" s="139">
        <v>886.6</v>
      </c>
      <c r="W136" s="139"/>
      <c r="X136" s="139">
        <v>885.8</v>
      </c>
      <c r="Y136" s="139"/>
      <c r="Z136" s="139">
        <v>885</v>
      </c>
      <c r="AA136" s="139"/>
      <c r="AB136" s="139">
        <v>883.2</v>
      </c>
      <c r="AC136" s="139"/>
      <c r="AD136" s="139">
        <v>882.8</v>
      </c>
      <c r="AE136" s="139">
        <v>882.6</v>
      </c>
      <c r="AF136" s="140"/>
      <c r="AG136" s="138"/>
      <c r="AH136" s="48"/>
      <c r="AI136" s="49"/>
    </row>
    <row r="137" spans="1:37" ht="15.75" thickBot="1" x14ac:dyDescent="0.3">
      <c r="A137" s="135" t="s">
        <v>161</v>
      </c>
      <c r="B137" s="141">
        <v>1519.77</v>
      </c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  <c r="AF137" s="142"/>
      <c r="AG137" s="138"/>
      <c r="AH137" s="48"/>
      <c r="AI137" s="49"/>
    </row>
    <row r="138" spans="1:37" ht="15.75" thickBot="1" x14ac:dyDescent="0.3">
      <c r="A138" s="143" t="s">
        <v>162</v>
      </c>
      <c r="B138" s="144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>
        <f>C134-B134</f>
        <v>0.42000000000007276</v>
      </c>
      <c r="D140" s="149">
        <f t="shared" ref="D140:G140" si="79">D134-C134</f>
        <v>0.37999999999999545</v>
      </c>
      <c r="E140" s="149">
        <f t="shared" si="79"/>
        <v>0.39999999999997726</v>
      </c>
      <c r="F140" s="149">
        <f t="shared" si="79"/>
        <v>0.34000000000003183</v>
      </c>
      <c r="G140" s="149">
        <f t="shared" si="79"/>
        <v>0.38999999999998636</v>
      </c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80">SUM(B139:B243)</f>
        <v>0</v>
      </c>
      <c r="C244" s="160">
        <f t="shared" si="80"/>
        <v>0.42000000000007276</v>
      </c>
      <c r="D244" s="160">
        <f t="shared" si="80"/>
        <v>0.37999999999999545</v>
      </c>
      <c r="E244" s="160">
        <f t="shared" si="80"/>
        <v>0.39999999999997726</v>
      </c>
      <c r="F244" s="160">
        <f t="shared" si="80"/>
        <v>0.34000000000003183</v>
      </c>
      <c r="G244" s="160">
        <f t="shared" si="80"/>
        <v>0.38999999999998636</v>
      </c>
      <c r="H244" s="160">
        <f t="shared" si="80"/>
        <v>0</v>
      </c>
      <c r="I244" s="160">
        <f t="shared" si="80"/>
        <v>0</v>
      </c>
      <c r="J244" s="160">
        <f t="shared" si="80"/>
        <v>0</v>
      </c>
      <c r="K244" s="160">
        <f t="shared" si="80"/>
        <v>0</v>
      </c>
      <c r="L244" s="160">
        <f t="shared" si="80"/>
        <v>0</v>
      </c>
      <c r="M244" s="160">
        <f t="shared" si="80"/>
        <v>0</v>
      </c>
      <c r="N244" s="160">
        <f t="shared" si="80"/>
        <v>0</v>
      </c>
      <c r="O244" s="160">
        <f t="shared" si="80"/>
        <v>0</v>
      </c>
      <c r="P244" s="160">
        <f t="shared" si="80"/>
        <v>0</v>
      </c>
      <c r="Q244" s="160">
        <f t="shared" si="80"/>
        <v>0</v>
      </c>
      <c r="R244" s="160">
        <f t="shared" si="80"/>
        <v>0</v>
      </c>
      <c r="S244" s="160">
        <f t="shared" si="80"/>
        <v>0</v>
      </c>
      <c r="T244" s="160">
        <f t="shared" si="80"/>
        <v>0</v>
      </c>
      <c r="U244" s="160">
        <f t="shared" si="80"/>
        <v>0</v>
      </c>
      <c r="V244" s="160">
        <f t="shared" si="80"/>
        <v>0</v>
      </c>
      <c r="W244" s="160">
        <f t="shared" si="80"/>
        <v>0</v>
      </c>
      <c r="X244" s="160">
        <f t="shared" si="80"/>
        <v>0</v>
      </c>
      <c r="Y244" s="160">
        <f t="shared" si="80"/>
        <v>0</v>
      </c>
      <c r="Z244" s="160">
        <f t="shared" si="80"/>
        <v>0</v>
      </c>
      <c r="AA244" s="160">
        <f t="shared" si="80"/>
        <v>0</v>
      </c>
      <c r="AB244" s="160">
        <f t="shared" si="80"/>
        <v>0</v>
      </c>
      <c r="AC244" s="160">
        <f t="shared" si="80"/>
        <v>0</v>
      </c>
      <c r="AD244" s="160">
        <f t="shared" si="80"/>
        <v>0</v>
      </c>
      <c r="AE244" s="160">
        <f t="shared" si="80"/>
        <v>0</v>
      </c>
      <c r="AF244" s="161">
        <f t="shared" si="80"/>
        <v>0</v>
      </c>
      <c r="AG244" s="162">
        <f t="shared" si="80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81">AF246</f>
        <v>0.3</v>
      </c>
      <c r="C246" s="165">
        <v>0.3</v>
      </c>
      <c r="D246" s="165">
        <f t="shared" ref="D246:S251" si="82">C246</f>
        <v>0.3</v>
      </c>
      <c r="E246" s="165">
        <f t="shared" si="82"/>
        <v>0.3</v>
      </c>
      <c r="F246" s="165">
        <f t="shared" si="82"/>
        <v>0.3</v>
      </c>
      <c r="G246" s="165">
        <f t="shared" si="82"/>
        <v>0.3</v>
      </c>
      <c r="H246" s="165">
        <f t="shared" si="82"/>
        <v>0.3</v>
      </c>
      <c r="I246" s="165">
        <f t="shared" si="82"/>
        <v>0.3</v>
      </c>
      <c r="J246" s="165">
        <f t="shared" si="82"/>
        <v>0.3</v>
      </c>
      <c r="K246" s="165">
        <f t="shared" si="82"/>
        <v>0.3</v>
      </c>
      <c r="L246" s="165">
        <f t="shared" si="82"/>
        <v>0.3</v>
      </c>
      <c r="M246" s="165">
        <f t="shared" si="82"/>
        <v>0.3</v>
      </c>
      <c r="N246" s="165">
        <f t="shared" si="82"/>
        <v>0.3</v>
      </c>
      <c r="O246" s="165">
        <f t="shared" si="82"/>
        <v>0.3</v>
      </c>
      <c r="P246" s="165">
        <f t="shared" si="82"/>
        <v>0.3</v>
      </c>
      <c r="Q246" s="165">
        <f t="shared" si="82"/>
        <v>0.3</v>
      </c>
      <c r="R246" s="165">
        <f t="shared" si="82"/>
        <v>0.3</v>
      </c>
      <c r="S246" s="165">
        <f t="shared" si="82"/>
        <v>0.3</v>
      </c>
      <c r="T246" s="165">
        <f t="shared" ref="T246:AF251" si="83">S246</f>
        <v>0.3</v>
      </c>
      <c r="U246" s="165">
        <f t="shared" si="83"/>
        <v>0.3</v>
      </c>
      <c r="V246" s="165">
        <f t="shared" si="83"/>
        <v>0.3</v>
      </c>
      <c r="W246" s="165">
        <f t="shared" si="83"/>
        <v>0.3</v>
      </c>
      <c r="X246" s="165">
        <f t="shared" si="83"/>
        <v>0.3</v>
      </c>
      <c r="Y246" s="165">
        <f t="shared" si="83"/>
        <v>0.3</v>
      </c>
      <c r="Z246" s="165">
        <f t="shared" si="83"/>
        <v>0.3</v>
      </c>
      <c r="AA246" s="165">
        <f t="shared" si="83"/>
        <v>0.3</v>
      </c>
      <c r="AB246" s="165">
        <f t="shared" si="83"/>
        <v>0.3</v>
      </c>
      <c r="AC246" s="165">
        <f t="shared" si="83"/>
        <v>0.3</v>
      </c>
      <c r="AD246" s="165">
        <f t="shared" si="83"/>
        <v>0.3</v>
      </c>
      <c r="AE246" s="165">
        <f t="shared" si="83"/>
        <v>0.3</v>
      </c>
      <c r="AF246" s="165">
        <f t="shared" si="83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81"/>
        <v>0.4</v>
      </c>
      <c r="C247" s="151">
        <v>0.4</v>
      </c>
      <c r="D247" s="151">
        <f t="shared" si="82"/>
        <v>0.4</v>
      </c>
      <c r="E247" s="151">
        <f t="shared" si="82"/>
        <v>0.4</v>
      </c>
      <c r="F247" s="151">
        <f t="shared" si="82"/>
        <v>0.4</v>
      </c>
      <c r="G247" s="151">
        <f t="shared" si="82"/>
        <v>0.4</v>
      </c>
      <c r="H247" s="151">
        <f t="shared" si="82"/>
        <v>0.4</v>
      </c>
      <c r="I247" s="151">
        <f t="shared" si="82"/>
        <v>0.4</v>
      </c>
      <c r="J247" s="151">
        <f t="shared" si="82"/>
        <v>0.4</v>
      </c>
      <c r="K247" s="151">
        <f t="shared" si="82"/>
        <v>0.4</v>
      </c>
      <c r="L247" s="151">
        <f t="shared" si="82"/>
        <v>0.4</v>
      </c>
      <c r="M247" s="151">
        <f t="shared" si="82"/>
        <v>0.4</v>
      </c>
      <c r="N247" s="151">
        <f t="shared" si="82"/>
        <v>0.4</v>
      </c>
      <c r="O247" s="151">
        <f t="shared" si="82"/>
        <v>0.4</v>
      </c>
      <c r="P247" s="151">
        <f t="shared" si="82"/>
        <v>0.4</v>
      </c>
      <c r="Q247" s="151">
        <f t="shared" si="82"/>
        <v>0.4</v>
      </c>
      <c r="R247" s="151">
        <f t="shared" si="82"/>
        <v>0.4</v>
      </c>
      <c r="S247" s="151">
        <f t="shared" si="82"/>
        <v>0.4</v>
      </c>
      <c r="T247" s="151">
        <f t="shared" si="83"/>
        <v>0.4</v>
      </c>
      <c r="U247" s="151">
        <f t="shared" si="83"/>
        <v>0.4</v>
      </c>
      <c r="V247" s="151">
        <f t="shared" si="83"/>
        <v>0.4</v>
      </c>
      <c r="W247" s="151">
        <f t="shared" si="83"/>
        <v>0.4</v>
      </c>
      <c r="X247" s="151">
        <f t="shared" si="83"/>
        <v>0.4</v>
      </c>
      <c r="Y247" s="151">
        <f t="shared" si="83"/>
        <v>0.4</v>
      </c>
      <c r="Z247" s="151">
        <f t="shared" si="83"/>
        <v>0.4</v>
      </c>
      <c r="AA247" s="151">
        <f t="shared" si="83"/>
        <v>0.4</v>
      </c>
      <c r="AB247" s="151">
        <f t="shared" si="83"/>
        <v>0.4</v>
      </c>
      <c r="AC247" s="151">
        <f t="shared" si="83"/>
        <v>0.4</v>
      </c>
      <c r="AD247" s="151">
        <f t="shared" si="83"/>
        <v>0.4</v>
      </c>
      <c r="AE247" s="151">
        <f t="shared" si="83"/>
        <v>0.4</v>
      </c>
      <c r="AF247" s="151">
        <f t="shared" si="83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81"/>
        <v>1.5</v>
      </c>
      <c r="C248" s="151">
        <v>1.5</v>
      </c>
      <c r="D248" s="151">
        <f t="shared" si="82"/>
        <v>1.5</v>
      </c>
      <c r="E248" s="151">
        <f t="shared" si="82"/>
        <v>1.5</v>
      </c>
      <c r="F248" s="151">
        <f t="shared" si="82"/>
        <v>1.5</v>
      </c>
      <c r="G248" s="151">
        <f t="shared" si="82"/>
        <v>1.5</v>
      </c>
      <c r="H248" s="151">
        <f t="shared" si="82"/>
        <v>1.5</v>
      </c>
      <c r="I248" s="151">
        <f t="shared" si="82"/>
        <v>1.5</v>
      </c>
      <c r="J248" s="151">
        <f t="shared" si="82"/>
        <v>1.5</v>
      </c>
      <c r="K248" s="151">
        <f t="shared" si="82"/>
        <v>1.5</v>
      </c>
      <c r="L248" s="151">
        <f t="shared" si="82"/>
        <v>1.5</v>
      </c>
      <c r="M248" s="151">
        <f t="shared" si="82"/>
        <v>1.5</v>
      </c>
      <c r="N248" s="151">
        <f t="shared" si="82"/>
        <v>1.5</v>
      </c>
      <c r="O248" s="151">
        <f t="shared" si="82"/>
        <v>1.5</v>
      </c>
      <c r="P248" s="151">
        <f t="shared" si="82"/>
        <v>1.5</v>
      </c>
      <c r="Q248" s="151">
        <f t="shared" si="82"/>
        <v>1.5</v>
      </c>
      <c r="R248" s="151">
        <f t="shared" si="82"/>
        <v>1.5</v>
      </c>
      <c r="S248" s="151">
        <f t="shared" si="82"/>
        <v>1.5</v>
      </c>
      <c r="T248" s="151">
        <f t="shared" si="83"/>
        <v>1.5</v>
      </c>
      <c r="U248" s="151">
        <f t="shared" si="83"/>
        <v>1.5</v>
      </c>
      <c r="V248" s="151">
        <f t="shared" si="83"/>
        <v>1.5</v>
      </c>
      <c r="W248" s="151">
        <f t="shared" si="83"/>
        <v>1.5</v>
      </c>
      <c r="X248" s="151">
        <f t="shared" si="83"/>
        <v>1.5</v>
      </c>
      <c r="Y248" s="151">
        <f t="shared" si="83"/>
        <v>1.5</v>
      </c>
      <c r="Z248" s="151">
        <f t="shared" si="83"/>
        <v>1.5</v>
      </c>
      <c r="AA248" s="151">
        <f t="shared" si="83"/>
        <v>1.5</v>
      </c>
      <c r="AB248" s="151">
        <f t="shared" si="83"/>
        <v>1.5</v>
      </c>
      <c r="AC248" s="151">
        <f t="shared" si="83"/>
        <v>1.5</v>
      </c>
      <c r="AD248" s="151">
        <f t="shared" si="83"/>
        <v>1.5</v>
      </c>
      <c r="AE248" s="151">
        <f t="shared" si="83"/>
        <v>1.5</v>
      </c>
      <c r="AF248" s="151">
        <f t="shared" si="83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81"/>
        <v>0.3</v>
      </c>
      <c r="C249" s="151">
        <v>0.3</v>
      </c>
      <c r="D249" s="151">
        <f t="shared" si="82"/>
        <v>0.3</v>
      </c>
      <c r="E249" s="151">
        <f t="shared" si="82"/>
        <v>0.3</v>
      </c>
      <c r="F249" s="151">
        <f t="shared" si="82"/>
        <v>0.3</v>
      </c>
      <c r="G249" s="151">
        <f t="shared" si="82"/>
        <v>0.3</v>
      </c>
      <c r="H249" s="151">
        <f t="shared" si="82"/>
        <v>0.3</v>
      </c>
      <c r="I249" s="151">
        <f t="shared" si="82"/>
        <v>0.3</v>
      </c>
      <c r="J249" s="151">
        <f t="shared" si="82"/>
        <v>0.3</v>
      </c>
      <c r="K249" s="151">
        <f t="shared" si="82"/>
        <v>0.3</v>
      </c>
      <c r="L249" s="151">
        <f t="shared" si="82"/>
        <v>0.3</v>
      </c>
      <c r="M249" s="151">
        <f t="shared" si="82"/>
        <v>0.3</v>
      </c>
      <c r="N249" s="151">
        <f t="shared" si="82"/>
        <v>0.3</v>
      </c>
      <c r="O249" s="151">
        <f t="shared" si="82"/>
        <v>0.3</v>
      </c>
      <c r="P249" s="151">
        <f t="shared" si="82"/>
        <v>0.3</v>
      </c>
      <c r="Q249" s="151">
        <f t="shared" si="82"/>
        <v>0.3</v>
      </c>
      <c r="R249" s="151">
        <f t="shared" si="82"/>
        <v>0.3</v>
      </c>
      <c r="S249" s="151">
        <f t="shared" si="82"/>
        <v>0.3</v>
      </c>
      <c r="T249" s="151">
        <f t="shared" si="83"/>
        <v>0.3</v>
      </c>
      <c r="U249" s="151">
        <f t="shared" si="83"/>
        <v>0.3</v>
      </c>
      <c r="V249" s="151">
        <f t="shared" si="83"/>
        <v>0.3</v>
      </c>
      <c r="W249" s="151">
        <f t="shared" si="83"/>
        <v>0.3</v>
      </c>
      <c r="X249" s="151">
        <f t="shared" si="83"/>
        <v>0.3</v>
      </c>
      <c r="Y249" s="151">
        <f t="shared" si="83"/>
        <v>0.3</v>
      </c>
      <c r="Z249" s="151">
        <f t="shared" si="83"/>
        <v>0.3</v>
      </c>
      <c r="AA249" s="151">
        <f t="shared" si="83"/>
        <v>0.3</v>
      </c>
      <c r="AB249" s="151">
        <f t="shared" si="83"/>
        <v>0.3</v>
      </c>
      <c r="AC249" s="151">
        <f t="shared" si="83"/>
        <v>0.3</v>
      </c>
      <c r="AD249" s="151">
        <f t="shared" si="83"/>
        <v>0.3</v>
      </c>
      <c r="AE249" s="151">
        <f t="shared" si="83"/>
        <v>0.3</v>
      </c>
      <c r="AF249" s="151">
        <f t="shared" si="83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81"/>
        <v>0.4</v>
      </c>
      <c r="C250" s="151">
        <v>0.4</v>
      </c>
      <c r="D250" s="151">
        <f t="shared" si="82"/>
        <v>0.4</v>
      </c>
      <c r="E250" s="151">
        <f t="shared" si="82"/>
        <v>0.4</v>
      </c>
      <c r="F250" s="151">
        <f t="shared" si="82"/>
        <v>0.4</v>
      </c>
      <c r="G250" s="151">
        <f t="shared" si="82"/>
        <v>0.4</v>
      </c>
      <c r="H250" s="151">
        <f t="shared" si="82"/>
        <v>0.4</v>
      </c>
      <c r="I250" s="151">
        <f t="shared" si="82"/>
        <v>0.4</v>
      </c>
      <c r="J250" s="151">
        <f t="shared" si="82"/>
        <v>0.4</v>
      </c>
      <c r="K250" s="151">
        <f t="shared" si="82"/>
        <v>0.4</v>
      </c>
      <c r="L250" s="151">
        <f t="shared" si="82"/>
        <v>0.4</v>
      </c>
      <c r="M250" s="151">
        <f t="shared" si="82"/>
        <v>0.4</v>
      </c>
      <c r="N250" s="151">
        <f t="shared" si="82"/>
        <v>0.4</v>
      </c>
      <c r="O250" s="151">
        <f t="shared" si="82"/>
        <v>0.4</v>
      </c>
      <c r="P250" s="151">
        <f t="shared" si="82"/>
        <v>0.4</v>
      </c>
      <c r="Q250" s="151">
        <f t="shared" si="82"/>
        <v>0.4</v>
      </c>
      <c r="R250" s="151">
        <f t="shared" si="82"/>
        <v>0.4</v>
      </c>
      <c r="S250" s="151">
        <f t="shared" si="82"/>
        <v>0.4</v>
      </c>
      <c r="T250" s="151">
        <f t="shared" si="83"/>
        <v>0.4</v>
      </c>
      <c r="U250" s="151">
        <f t="shared" si="83"/>
        <v>0.4</v>
      </c>
      <c r="V250" s="151">
        <f t="shared" si="83"/>
        <v>0.4</v>
      </c>
      <c r="W250" s="151">
        <f t="shared" si="83"/>
        <v>0.4</v>
      </c>
      <c r="X250" s="151">
        <f t="shared" si="83"/>
        <v>0.4</v>
      </c>
      <c r="Y250" s="151">
        <f t="shared" si="83"/>
        <v>0.4</v>
      </c>
      <c r="Z250" s="151">
        <f t="shared" si="83"/>
        <v>0.4</v>
      </c>
      <c r="AA250" s="151">
        <f t="shared" si="83"/>
        <v>0.4</v>
      </c>
      <c r="AB250" s="151">
        <f t="shared" si="83"/>
        <v>0.4</v>
      </c>
      <c r="AC250" s="151">
        <f t="shared" si="83"/>
        <v>0.4</v>
      </c>
      <c r="AD250" s="151">
        <f t="shared" si="83"/>
        <v>0.4</v>
      </c>
      <c r="AE250" s="151">
        <f t="shared" si="83"/>
        <v>0.4</v>
      </c>
      <c r="AF250" s="151">
        <f t="shared" si="83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81"/>
        <v>0.64</v>
      </c>
      <c r="C251" s="156">
        <v>0.64</v>
      </c>
      <c r="D251" s="156">
        <f t="shared" si="82"/>
        <v>0.64</v>
      </c>
      <c r="E251" s="156">
        <f t="shared" si="82"/>
        <v>0.64</v>
      </c>
      <c r="F251" s="156">
        <f t="shared" si="82"/>
        <v>0.64</v>
      </c>
      <c r="G251" s="156">
        <f t="shared" si="82"/>
        <v>0.64</v>
      </c>
      <c r="H251" s="156">
        <f t="shared" si="82"/>
        <v>0.64</v>
      </c>
      <c r="I251" s="156">
        <f t="shared" si="82"/>
        <v>0.64</v>
      </c>
      <c r="J251" s="156">
        <f t="shared" si="82"/>
        <v>0.64</v>
      </c>
      <c r="K251" s="156">
        <f t="shared" si="82"/>
        <v>0.64</v>
      </c>
      <c r="L251" s="156">
        <f t="shared" si="82"/>
        <v>0.64</v>
      </c>
      <c r="M251" s="156">
        <f t="shared" si="82"/>
        <v>0.64</v>
      </c>
      <c r="N251" s="156">
        <f t="shared" si="82"/>
        <v>0.64</v>
      </c>
      <c r="O251" s="156">
        <f t="shared" si="82"/>
        <v>0.64</v>
      </c>
      <c r="P251" s="156">
        <f t="shared" si="82"/>
        <v>0.64</v>
      </c>
      <c r="Q251" s="156">
        <f t="shared" si="82"/>
        <v>0.64</v>
      </c>
      <c r="R251" s="156">
        <f t="shared" si="82"/>
        <v>0.64</v>
      </c>
      <c r="S251" s="156">
        <f t="shared" si="82"/>
        <v>0.64</v>
      </c>
      <c r="T251" s="156">
        <f t="shared" si="83"/>
        <v>0.64</v>
      </c>
      <c r="U251" s="156">
        <f t="shared" si="83"/>
        <v>0.64</v>
      </c>
      <c r="V251" s="156">
        <f t="shared" si="83"/>
        <v>0.64</v>
      </c>
      <c r="W251" s="156">
        <f t="shared" si="83"/>
        <v>0.64</v>
      </c>
      <c r="X251" s="156">
        <f t="shared" si="83"/>
        <v>0.64</v>
      </c>
      <c r="Y251" s="156">
        <f t="shared" si="83"/>
        <v>0.64</v>
      </c>
      <c r="Z251" s="156">
        <f t="shared" si="83"/>
        <v>0.64</v>
      </c>
      <c r="AA251" s="156">
        <f t="shared" si="83"/>
        <v>0.64</v>
      </c>
      <c r="AB251" s="156">
        <f t="shared" si="83"/>
        <v>0.64</v>
      </c>
      <c r="AC251" s="156">
        <f t="shared" si="83"/>
        <v>0.64</v>
      </c>
      <c r="AD251" s="156">
        <f t="shared" si="83"/>
        <v>0.64</v>
      </c>
      <c r="AE251" s="156">
        <f t="shared" si="83"/>
        <v>0.64</v>
      </c>
      <c r="AF251" s="156">
        <f t="shared" si="83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84">SUM(B246:B251)</f>
        <v>3.54</v>
      </c>
      <c r="C252" s="160">
        <f t="shared" si="84"/>
        <v>3.54</v>
      </c>
      <c r="D252" s="160">
        <f t="shared" si="84"/>
        <v>3.54</v>
      </c>
      <c r="E252" s="160">
        <f t="shared" si="84"/>
        <v>3.54</v>
      </c>
      <c r="F252" s="160">
        <f t="shared" si="84"/>
        <v>3.54</v>
      </c>
      <c r="G252" s="160">
        <f t="shared" si="84"/>
        <v>3.54</v>
      </c>
      <c r="H252" s="160">
        <f t="shared" si="84"/>
        <v>3.54</v>
      </c>
      <c r="I252" s="160">
        <f t="shared" si="84"/>
        <v>3.54</v>
      </c>
      <c r="J252" s="160">
        <f t="shared" si="84"/>
        <v>3.54</v>
      </c>
      <c r="K252" s="160">
        <f t="shared" si="84"/>
        <v>3.54</v>
      </c>
      <c r="L252" s="160">
        <f t="shared" si="84"/>
        <v>3.54</v>
      </c>
      <c r="M252" s="160">
        <f t="shared" si="84"/>
        <v>3.54</v>
      </c>
      <c r="N252" s="160">
        <f t="shared" si="84"/>
        <v>3.54</v>
      </c>
      <c r="O252" s="160">
        <f t="shared" si="84"/>
        <v>3.54</v>
      </c>
      <c r="P252" s="160">
        <f t="shared" si="84"/>
        <v>3.54</v>
      </c>
      <c r="Q252" s="160">
        <f t="shared" si="84"/>
        <v>3.54</v>
      </c>
      <c r="R252" s="160">
        <f t="shared" si="84"/>
        <v>3.54</v>
      </c>
      <c r="S252" s="160">
        <f t="shared" si="84"/>
        <v>3.54</v>
      </c>
      <c r="T252" s="160">
        <f t="shared" si="84"/>
        <v>3.54</v>
      </c>
      <c r="U252" s="160">
        <f t="shared" si="84"/>
        <v>3.54</v>
      </c>
      <c r="V252" s="160">
        <f t="shared" si="84"/>
        <v>3.54</v>
      </c>
      <c r="W252" s="160">
        <f t="shared" si="84"/>
        <v>3.54</v>
      </c>
      <c r="X252" s="160">
        <f t="shared" si="84"/>
        <v>3.54</v>
      </c>
      <c r="Y252" s="160">
        <f t="shared" si="84"/>
        <v>3.54</v>
      </c>
      <c r="Z252" s="160">
        <f t="shared" si="84"/>
        <v>3.54</v>
      </c>
      <c r="AA252" s="160">
        <f t="shared" si="84"/>
        <v>3.54</v>
      </c>
      <c r="AB252" s="160">
        <f t="shared" si="84"/>
        <v>3.54</v>
      </c>
      <c r="AC252" s="160">
        <f t="shared" si="84"/>
        <v>3.54</v>
      </c>
      <c r="AD252" s="160">
        <f t="shared" si="84"/>
        <v>3.54</v>
      </c>
      <c r="AE252" s="160">
        <f t="shared" si="84"/>
        <v>3.54</v>
      </c>
      <c r="AF252" s="160">
        <f t="shared" si="84"/>
        <v>3.54</v>
      </c>
      <c r="AG252" s="170">
        <f t="shared" si="84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1405.3899999999999</v>
      </c>
      <c r="C256" s="173">
        <f>INDEX(G9:N9,1,MATCH(MAX(G99:N99),G99:N99,0))</f>
        <v>0.33333333333333331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2080/10/16)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2016" priority="118">
      <formula>$AH11=0</formula>
    </cfRule>
  </conditionalFormatting>
  <conditionalFormatting sqref="A132:A253">
    <cfRule type="expression" dxfId="2015" priority="119">
      <formula>$AH132=0</formula>
    </cfRule>
  </conditionalFormatting>
  <conditionalFormatting sqref="B8">
    <cfRule type="expression" dxfId="2014" priority="178">
      <formula>AND(C$9&gt;=8/24,C$9&lt;14/24)</formula>
    </cfRule>
    <cfRule type="expression" dxfId="2013" priority="177">
      <formula>AND(C$9&gt;=14/24,C$9&lt;20/24)</formula>
    </cfRule>
    <cfRule type="expression" dxfId="2012" priority="180">
      <formula>C$9&gt;=20/24</formula>
    </cfRule>
    <cfRule type="expression" dxfId="2011" priority="179">
      <formula>C$9&lt;8/24</formula>
    </cfRule>
  </conditionalFormatting>
  <conditionalFormatting sqref="B11:H52 I12:J14 K13:K14 L13:AF52 I15:K52 B63:H74 I68:K74 G69:I74 L69:AF74 B9:AF10 B119:AF137 B244:AF244 B246:B252">
    <cfRule type="expression" dxfId="2010" priority="69">
      <formula>B$9&gt;=20/24</formula>
    </cfRule>
  </conditionalFormatting>
  <conditionalFormatting sqref="B11:H57 L13:AF57 I15:K57 I12:J14 K13:K14 R24:AF24 AG62 AG80">
    <cfRule type="expression" dxfId="2009" priority="68">
      <formula>B11&gt;$AG11</formula>
    </cfRule>
  </conditionalFormatting>
  <conditionalFormatting sqref="B9:AF10 B11:H52 I12:J14 K13:K14 L13:AF52 I15:K52 B63:H74 I68:K74 G69:I74 L69:AF74 B119:AF137 B244:AF244 B246:B252">
    <cfRule type="expression" dxfId="2008" priority="71">
      <formula>AND(B$9&gt;=8/24,B$9&lt;14/24)</formula>
    </cfRule>
    <cfRule type="expression" dxfId="2007" priority="70">
      <formula>AND(B$9&gt;=14/24,B$9&lt;20/24)</formula>
    </cfRule>
    <cfRule type="expression" dxfId="2006" priority="72">
      <formula>B$9&lt;8/24</formula>
    </cfRule>
  </conditionalFormatting>
  <conditionalFormatting sqref="B53:AF57">
    <cfRule type="expression" dxfId="2005" priority="81">
      <formula>B$9&lt;8/24</formula>
    </cfRule>
  </conditionalFormatting>
  <conditionalFormatting sqref="B58:AF80">
    <cfRule type="expression" dxfId="2004" priority="17">
      <formula>B58&gt;$AG58</formula>
    </cfRule>
  </conditionalFormatting>
  <conditionalFormatting sqref="B59:AF62">
    <cfRule type="expression" dxfId="2003" priority="25">
      <formula>AND(B$9&gt;=14/24,B$9&lt;20/24)</formula>
    </cfRule>
    <cfRule type="expression" dxfId="2002" priority="26">
      <formula>AND(B$9&gt;=8/24,B$9&lt;14/24)</formula>
    </cfRule>
    <cfRule type="expression" dxfId="2001" priority="27">
      <formula>B$9&lt;8/24</formula>
    </cfRule>
    <cfRule type="expression" dxfId="2000" priority="24">
      <formula>B$9&gt;=20/24</formula>
    </cfRule>
  </conditionalFormatting>
  <conditionalFormatting sqref="B77:AF91">
    <cfRule type="expression" dxfId="1999" priority="18">
      <formula>B$9&gt;=20/24</formula>
    </cfRule>
    <cfRule type="expression" dxfId="1998" priority="19">
      <formula>AND(B$9&gt;=14/24,B$9&lt;20/24)</formula>
    </cfRule>
    <cfRule type="expression" dxfId="1997" priority="20">
      <formula>AND(B$9&gt;=8/24,B$9&lt;14/24)</formula>
    </cfRule>
    <cfRule type="expression" dxfId="1996" priority="21">
      <formula>B$9&lt;8/24</formula>
    </cfRule>
  </conditionalFormatting>
  <conditionalFormatting sqref="B92:AF99">
    <cfRule type="expression" dxfId="1995" priority="2">
      <formula>AND(B$9&gt;=14/24,B$9&lt;20/24)</formula>
    </cfRule>
    <cfRule type="expression" dxfId="1994" priority="3">
      <formula>AND(B$9&gt;=8/24,B$9&lt;14/24)</formula>
    </cfRule>
    <cfRule type="expression" dxfId="1993" priority="4">
      <formula>B$9&lt;8/24</formula>
    </cfRule>
    <cfRule type="expression" dxfId="1992" priority="1">
      <formula>B$9&gt;=20/24</formula>
    </cfRule>
  </conditionalFormatting>
  <conditionalFormatting sqref="B101:AF117">
    <cfRule type="expression" dxfId="1991" priority="9">
      <formula>B$9&gt;=20/24</formula>
    </cfRule>
    <cfRule type="expression" dxfId="1990" priority="10">
      <formula>AND(B$9&gt;=14/24,B$9&lt;20/24)</formula>
    </cfRule>
    <cfRule type="expression" dxfId="1989" priority="11">
      <formula>AND(B$9&gt;=8/24,B$9&lt;14/24)</formula>
    </cfRule>
    <cfRule type="expression" dxfId="1988" priority="12">
      <formula>B$9&lt;8/24</formula>
    </cfRule>
  </conditionalFormatting>
  <conditionalFormatting sqref="D246:AF252">
    <cfRule type="expression" dxfId="1987" priority="164">
      <formula>AND(D$9&gt;=8/24,D$9&lt;14/24)</formula>
    </cfRule>
    <cfRule type="expression" dxfId="1986" priority="162">
      <formula>D$9&gt;=20/24</formula>
    </cfRule>
    <cfRule type="expression" dxfId="1985" priority="163">
      <formula>AND(D$9&gt;=14/24,D$9&lt;20/24)</formula>
    </cfRule>
    <cfRule type="expression" dxfId="1984" priority="165">
      <formula>D$9&lt;8/24</formula>
    </cfRule>
  </conditionalFormatting>
  <conditionalFormatting sqref="G63:K68">
    <cfRule type="expression" dxfId="1983" priority="78">
      <formula>AND(G$9&gt;=14/24,G$9&lt;20/24)</formula>
    </cfRule>
    <cfRule type="expression" dxfId="1982" priority="79">
      <formula>AND(G$9&gt;=8/24,G$9&lt;14/24)</formula>
    </cfRule>
    <cfRule type="expression" dxfId="1981" priority="80">
      <formula>G$9&lt;8/24</formula>
    </cfRule>
    <cfRule type="expression" dxfId="1980" priority="77">
      <formula>G$9&gt;=20/24</formula>
    </cfRule>
  </conditionalFormatting>
  <conditionalFormatting sqref="G63:L65">
    <cfRule type="expression" dxfId="1979" priority="113">
      <formula>G$9&lt;8/24</formula>
    </cfRule>
    <cfRule type="expression" dxfId="1978" priority="110">
      <formula>G$9&gt;=20/24</formula>
    </cfRule>
    <cfRule type="expression" dxfId="1977" priority="112">
      <formula>AND(G$9&gt;=8/24,G$9&lt;14/24)</formula>
    </cfRule>
    <cfRule type="expression" dxfId="1976" priority="111">
      <formula>AND(G$9&gt;=14/24,G$9&lt;20/24)</formula>
    </cfRule>
  </conditionalFormatting>
  <conditionalFormatting sqref="I11:R11 S11:AF12 K12:R12">
    <cfRule type="expression" dxfId="1975" priority="86">
      <formula>I11&gt;$AG11</formula>
    </cfRule>
    <cfRule type="expression" dxfId="1974" priority="87">
      <formula>I$9&gt;=20/24</formula>
    </cfRule>
    <cfRule type="expression" dxfId="1973" priority="89">
      <formula>AND(I$9&gt;=8/24,I$9&lt;14/24)</formula>
    </cfRule>
    <cfRule type="expression" dxfId="1972" priority="88">
      <formula>AND(I$9&gt;=14/24,I$9&lt;20/24)</formula>
    </cfRule>
    <cfRule type="expression" dxfId="1971" priority="90">
      <formula>I$9&lt;8/24</formula>
    </cfRule>
  </conditionalFormatting>
  <conditionalFormatting sqref="L68:AA68">
    <cfRule type="expression" dxfId="1970" priority="108">
      <formula>AND(L$9&gt;=8/24,L$9&lt;14/24)</formula>
    </cfRule>
    <cfRule type="expression" dxfId="1969" priority="107">
      <formula>AND(L$9&gt;=14/24,L$9&lt;20/24)</formula>
    </cfRule>
    <cfRule type="expression" dxfId="1968" priority="106">
      <formula>L$9&gt;=20/24</formula>
    </cfRule>
    <cfRule type="expression" dxfId="1967" priority="109">
      <formula>L$9&lt;8/24</formula>
    </cfRule>
  </conditionalFormatting>
  <conditionalFormatting sqref="M8 S8 AB8">
    <cfRule type="expression" dxfId="1966" priority="169">
      <formula>AND(N$9&gt;=14/24,N$9&lt;20/24)</formula>
    </cfRule>
    <cfRule type="expression" dxfId="1965" priority="170">
      <formula>AND(N$9&gt;=8/24,N$9&lt;14/24)</formula>
    </cfRule>
    <cfRule type="expression" dxfId="1964" priority="171">
      <formula>N$9&lt;8/24</formula>
    </cfRule>
  </conditionalFormatting>
  <conditionalFormatting sqref="M63:AA67">
    <cfRule type="expression" dxfId="1963" priority="115">
      <formula>AND(M$9&gt;=14/24,M$9&lt;20/24)</formula>
    </cfRule>
    <cfRule type="expression" dxfId="1962" priority="114">
      <formula>M$9&gt;=20/24</formula>
    </cfRule>
    <cfRule type="expression" dxfId="1961" priority="117">
      <formula>M$9&lt;8/24</formula>
    </cfRule>
    <cfRule type="expression" dxfId="1960" priority="116">
      <formula>AND(M$9&gt;=8/24,M$9&lt;14/24)</formula>
    </cfRule>
  </conditionalFormatting>
  <conditionalFormatting sqref="M53:AF55 B53:L57">
    <cfRule type="expression" dxfId="1959" priority="65">
      <formula>B$9&gt;=20/24</formula>
    </cfRule>
    <cfRule type="expression" dxfId="1958" priority="66">
      <formula>AND(B$9&gt;=14/24,B$9&lt;20/24)</formula>
    </cfRule>
    <cfRule type="expression" dxfId="1957" priority="67">
      <formula>AND(B$9&gt;=8/24,B$9&lt;14/24)</formula>
    </cfRule>
  </conditionalFormatting>
  <conditionalFormatting sqref="M56:AF57">
    <cfRule type="expression" dxfId="1956" priority="74">
      <formula>M$9&gt;=20/24</formula>
    </cfRule>
    <cfRule type="expression" dxfId="1955" priority="75">
      <formula>AND(M$9&gt;=14/24,M$9&lt;20/24)</formula>
    </cfRule>
    <cfRule type="expression" dxfId="1954" priority="76">
      <formula>AND(M$9&gt;=8/24,M$9&lt;14/24)</formula>
    </cfRule>
  </conditionalFormatting>
  <conditionalFormatting sqref="O3:P3">
    <cfRule type="iconSet" priority="166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953" priority="168">
      <formula>N$9&gt;=20/24</formula>
    </cfRule>
  </conditionalFormatting>
  <conditionalFormatting sqref="S8">
    <cfRule type="expression" dxfId="1952" priority="155">
      <formula>U$9&gt;=20/24</formula>
    </cfRule>
    <cfRule type="expression" dxfId="1951" priority="156">
      <formula>AND(U$9&gt;=14/24,U$9&lt;20/24)</formula>
    </cfRule>
    <cfRule type="expression" dxfId="1950" priority="157">
      <formula>AND(U$9&gt;=8/24,U$9&lt;14/24)</formula>
    </cfRule>
    <cfRule type="expression" dxfId="1949" priority="158">
      <formula>U$9&lt;8/24</formula>
    </cfRule>
  </conditionalFormatting>
  <conditionalFormatting sqref="T63:AF68">
    <cfRule type="expression" dxfId="1948" priority="103">
      <formula>T$9&lt;8/24</formula>
    </cfRule>
    <cfRule type="expression" dxfId="1947" priority="100">
      <formula>T$9&gt;=20/24</formula>
    </cfRule>
    <cfRule type="expression" dxfId="1946" priority="101">
      <formula>AND(T$9&gt;=14/24,T$9&lt;20/24)</formula>
    </cfRule>
    <cfRule type="expression" dxfId="1945" priority="102">
      <formula>AND(T$9&gt;=8/24,T$9&lt;14/24)</formula>
    </cfRule>
  </conditionalFormatting>
  <conditionalFormatting sqref="V3 AB3">
    <cfRule type="iconSet" priority="167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944" priority="153">
      <formula>AND(AD$9&gt;=8/24,AD$9&lt;14/24)</formula>
    </cfRule>
    <cfRule type="expression" dxfId="1943" priority="152">
      <formula>AND(AD$9&gt;=14/24,AD$9&lt;20/24)</formula>
    </cfRule>
    <cfRule type="expression" dxfId="1942" priority="154">
      <formula>AD$9&lt;8/24</formula>
    </cfRule>
    <cfRule type="expression" dxfId="1941" priority="151">
      <formula>AD$9&gt;=20/24</formula>
    </cfRule>
  </conditionalFormatting>
  <conditionalFormatting sqref="AG58">
    <cfRule type="expression" dxfId="1940" priority="146">
      <formula>AG58&gt;$AG58</formula>
    </cfRule>
  </conditionalFormatting>
  <conditionalFormatting sqref="AG62">
    <cfRule type="expression" dxfId="1939" priority="132">
      <formula>AG$9&lt;8/24</formula>
    </cfRule>
    <cfRule type="expression" dxfId="1938" priority="131">
      <formula>AND(AG$9&gt;=8/24,AG$9&lt;14/24)</formula>
    </cfRule>
    <cfRule type="expression" dxfId="1937" priority="130">
      <formula>AND(AG$9&gt;=14/24,AG$9&lt;20/24)</formula>
    </cfRule>
    <cfRule type="expression" dxfId="1936" priority="129">
      <formula>AG$9&gt;=20/24</formula>
    </cfRule>
  </conditionalFormatting>
  <conditionalFormatting sqref="AG75:AG76">
    <cfRule type="expression" dxfId="1935" priority="124">
      <formula>AG75&gt;$AG75</formula>
    </cfRule>
  </conditionalFormatting>
  <conditionalFormatting sqref="AG80">
    <cfRule type="expression" dxfId="1934" priority="125">
      <formula>AG$9&gt;=20/24</formula>
    </cfRule>
    <cfRule type="expression" dxfId="1933" priority="126">
      <formula>AND(AG$9&gt;=14/24,AG$9&lt;20/24)</formula>
    </cfRule>
    <cfRule type="expression" dxfId="1932" priority="127">
      <formula>AND(AG$9&gt;=8/24,AG$9&lt;14/24)</formula>
    </cfRule>
    <cfRule type="expression" dxfId="1931" priority="128">
      <formula>AG$9&lt;8/24</formula>
    </cfRule>
  </conditionalFormatting>
  <conditionalFormatting sqref="AG97">
    <cfRule type="expression" dxfId="1930" priority="150">
      <formula>AG$9&lt;8/24</formula>
    </cfRule>
    <cfRule type="expression" dxfId="1929" priority="149">
      <formula>AND(AG$9&gt;=8/24,AG$9&lt;14/24)</formula>
    </cfRule>
    <cfRule type="expression" dxfId="1928" priority="148">
      <formula>AND(AG$9&gt;=14/24,AG$9&lt;20/24)</formula>
    </cfRule>
    <cfRule type="expression" dxfId="1927" priority="147">
      <formula>AG$9&gt;=20/24</formula>
    </cfRule>
  </conditionalFormatting>
  <conditionalFormatting sqref="AL4:AL6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44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45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60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926" priority="172">
      <formula>AJ$9&gt;=20/24</formula>
    </cfRule>
    <cfRule type="expression" dxfId="1925" priority="173">
      <formula>AND(AJ$9&gt;=14/24,AJ$9&lt;20/24)</formula>
    </cfRule>
    <cfRule type="expression" dxfId="1924" priority="174">
      <formula>AND(AJ$9&gt;=8/24,AJ$9&lt;14/24)</formula>
    </cfRule>
    <cfRule type="expression" dxfId="1923" priority="175">
      <formula>AJ$9&lt;8/24</formula>
    </cfRule>
  </conditionalFormatting>
  <conditionalFormatting sqref="AL88:AN88 AL94:AN94">
    <cfRule type="expression" dxfId="1922" priority="141">
      <formula>AND(AL$9&gt;=8/24,AL$9&lt;14/24)</formula>
    </cfRule>
    <cfRule type="expression" dxfId="1921" priority="142">
      <formula>AL$9&lt;8/24</formula>
    </cfRule>
    <cfRule type="expression" dxfId="1920" priority="140">
      <formula>AND(AL$9&gt;=14/24,AL$9&lt;20/24)</formula>
    </cfRule>
    <cfRule type="expression" dxfId="1919" priority="139">
      <formula>AL$9&gt;=20/24</formula>
    </cfRule>
  </conditionalFormatting>
  <conditionalFormatting sqref="AM15:AM21 AN16:AR21">
    <cfRule type="expression" dxfId="1918" priority="44">
      <formula>AX$9&lt;8/24</formula>
    </cfRule>
    <cfRule type="expression" dxfId="1917" priority="43">
      <formula>AND(AX$9&gt;=8/24,AX$9&lt;14/24)</formula>
    </cfRule>
    <cfRule type="expression" dxfId="1916" priority="42">
      <formula>AND(AX$9&gt;=14/24,AX$9&lt;20/24)</formula>
    </cfRule>
    <cfRule type="expression" dxfId="1915" priority="41">
      <formula>AX$9&gt;=20/24</formula>
    </cfRule>
  </conditionalFormatting>
  <conditionalFormatting sqref="AN89:AN92">
    <cfRule type="expression" dxfId="1914" priority="135">
      <formula>AN$9&gt;=20/24</formula>
    </cfRule>
    <cfRule type="expression" dxfId="1913" priority="136">
      <formula>AND(AN$9&gt;=14/24,AN$9&lt;20/24)</formula>
    </cfRule>
    <cfRule type="expression" dxfId="1912" priority="137">
      <formula>AND(AN$9&gt;=8/24,AN$9&lt;14/24)</formula>
    </cfRule>
    <cfRule type="expression" dxfId="1911" priority="138">
      <formula>AN$9&lt;8/24</formula>
    </cfRule>
  </conditionalFormatting>
  <conditionalFormatting sqref="AN15:AR15">
    <cfRule type="expression" dxfId="1910" priority="31">
      <formula>AND(U$9&gt;=8/24,U$9&lt;14/24)</formula>
    </cfRule>
    <cfRule type="expression" dxfId="1909" priority="32">
      <formula>U$9&lt;8/24</formula>
    </cfRule>
    <cfRule type="expression" dxfId="1908" priority="30">
      <formula>AND(U$9&gt;=14/24,U$9&lt;20/24)</formula>
    </cfRule>
    <cfRule type="expression" dxfId="1907" priority="29">
      <formula>U$9&gt;=20/24</formula>
    </cfRule>
  </conditionalFormatting>
  <conditionalFormatting sqref="AS15">
    <cfRule type="expression" dxfId="1906" priority="40">
      <formula>AA$9&lt;8/24</formula>
    </cfRule>
    <cfRule type="expression" dxfId="1905" priority="39">
      <formula>AND(AA$9&gt;=8/24,AA$9&lt;14/24)</formula>
    </cfRule>
    <cfRule type="expression" dxfId="1904" priority="37">
      <formula>AA$9&gt;=20/24</formula>
    </cfRule>
    <cfRule type="expression" dxfId="1903" priority="38">
      <formula>AND(AA$9&gt;=14/24,AA$9&lt;20/24)</formula>
    </cfRule>
  </conditionalFormatting>
  <conditionalFormatting sqref="AS16:AS21">
    <cfRule type="expression" dxfId="1902" priority="48">
      <formula>BE$9&lt;8/24</formula>
    </cfRule>
    <cfRule type="expression" dxfId="1901" priority="47">
      <formula>AND(BE$9&gt;=8/24,BE$9&lt;14/24)</formula>
    </cfRule>
    <cfRule type="expression" dxfId="1900" priority="46">
      <formula>AND(BE$9&gt;=14/24,BE$9&lt;20/24)</formula>
    </cfRule>
    <cfRule type="expression" dxfId="1899" priority="45">
      <formula>BE$9&gt;=20/24</formula>
    </cfRule>
  </conditionalFormatting>
  <conditionalFormatting sqref="AT15 AX15">
    <cfRule type="expression" dxfId="1898" priority="49">
      <formula>AC$9&gt;=20/24</formula>
    </cfRule>
    <cfRule type="expression" dxfId="1897" priority="50">
      <formula>AND(AC$9&gt;=14/24,AC$9&lt;20/24)</formula>
    </cfRule>
    <cfRule type="expression" dxfId="1896" priority="52">
      <formula>AC$9&lt;8/24</formula>
    </cfRule>
    <cfRule type="expression" dxfId="1895" priority="51">
      <formula>AND(AC$9&gt;=8/24,AC$9&lt;14/24)</formula>
    </cfRule>
  </conditionalFormatting>
  <conditionalFormatting sqref="AT16:AT21">
    <cfRule type="expression" dxfId="1894" priority="53">
      <formula>BG$9&gt;=20/24</formula>
    </cfRule>
    <cfRule type="expression" dxfId="1893" priority="54">
      <formula>AND(BG$9&gt;=14/24,BG$9&lt;20/24)</formula>
    </cfRule>
    <cfRule type="expression" dxfId="1892" priority="55">
      <formula>AND(BG$9&gt;=8/24,BG$9&lt;14/24)</formula>
    </cfRule>
    <cfRule type="expression" dxfId="1891" priority="56">
      <formula>BG$9&lt;8/24</formula>
    </cfRule>
  </conditionalFormatting>
  <conditionalFormatting sqref="AU15:AV15">
    <cfRule type="expression" dxfId="1890" priority="59">
      <formula>AND(AE$9&gt;=8/24,AE$9&lt;14/24)</formula>
    </cfRule>
    <cfRule type="expression" dxfId="1889" priority="60">
      <formula>AE$9&lt;8/24</formula>
    </cfRule>
    <cfRule type="expression" dxfId="1888" priority="57">
      <formula>AE$9&gt;=20/24</formula>
    </cfRule>
    <cfRule type="expression" dxfId="1887" priority="58">
      <formula>AND(AE$9&gt;=14/24,AE$9&lt;20/24)</formula>
    </cfRule>
  </conditionalFormatting>
  <conditionalFormatting sqref="AU16:AX21">
    <cfRule type="expression" dxfId="1886" priority="61">
      <formula>BI$9&gt;=20/24</formula>
    </cfRule>
    <cfRule type="expression" dxfId="1885" priority="62">
      <formula>AND(BI$9&gt;=14/24,BI$9&lt;20/24)</formula>
    </cfRule>
    <cfRule type="expression" dxfId="1884" priority="63">
      <formula>AND(BI$9&gt;=8/24,BI$9&lt;14/24)</formula>
    </cfRule>
    <cfRule type="expression" dxfId="1883" priority="64">
      <formula>BI$9&lt;8/24</formula>
    </cfRule>
  </conditionalFormatting>
  <conditionalFormatting sqref="AW15">
    <cfRule type="expression" dxfId="1882" priority="34">
      <formula>AND(B$9&gt;=14/24,B$9&lt;20/24)</formula>
    </cfRule>
    <cfRule type="expression" dxfId="1881" priority="33">
      <formula>B$9&gt;=20/24</formula>
    </cfRule>
    <cfRule type="expression" dxfId="1880" priority="36">
      <formula>B$9&lt;8/24</formula>
    </cfRule>
    <cfRule type="expression" dxfId="1879" priority="35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6662-3770-47DC-91F1-2903A027F945}">
  <sheetPr codeName="Sheet18"/>
  <dimension ref="A1:CJ294"/>
  <sheetViews>
    <sheetView zoomScaleNormal="100" workbookViewId="0">
      <pane xSplit="1" ySplit="10" topLeftCell="B68" activePane="bottomRight" state="frozen"/>
      <selection activeCell="Z63" sqref="Z63"/>
      <selection pane="topRight" activeCell="Z63" sqref="Z63"/>
      <selection pane="bottomLeft" activeCell="Z63" sqref="Z63"/>
      <selection pane="bottomRight" activeCell="AH11" sqref="AH11:AI13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2080/10/17</v>
      </c>
      <c r="C4" s="214"/>
      <c r="D4" s="214"/>
      <c r="E4" s="215" t="str">
        <f ca="1">"2080/"&amp;"10/"&amp;INT(MID(CELL("filename",G6),FIND("]",CELL("filename",G6))+1,200))</f>
        <v>2080/10/17</v>
      </c>
      <c r="F4" s="215"/>
      <c r="G4" s="215"/>
      <c r="H4" s="215" t="str">
        <f ca="1">TEXT(E4,"dddd")</f>
        <v>Thursday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441.8</v>
      </c>
      <c r="C5" s="30">
        <f t="shared" ref="C5:AE5" si="0">D92</f>
        <v>370.90000000000003</v>
      </c>
      <c r="D5" s="30">
        <f t="shared" si="0"/>
        <v>440</v>
      </c>
      <c r="E5" s="30">
        <f t="shared" si="0"/>
        <v>506.2</v>
      </c>
      <c r="F5" s="30">
        <f t="shared" si="0"/>
        <v>488.2</v>
      </c>
      <c r="G5" s="30">
        <f t="shared" si="0"/>
        <v>507.60000000000008</v>
      </c>
      <c r="H5" s="30">
        <f t="shared" si="0"/>
        <v>520.6</v>
      </c>
      <c r="I5" s="30">
        <f t="shared" si="0"/>
        <v>534.5</v>
      </c>
      <c r="J5" s="30">
        <f t="shared" si="0"/>
        <v>401.3</v>
      </c>
      <c r="K5" s="30">
        <f t="shared" si="0"/>
        <v>419.30000000000007</v>
      </c>
      <c r="L5" s="30">
        <f t="shared" si="0"/>
        <v>410.2</v>
      </c>
      <c r="M5" s="30">
        <f t="shared" si="0"/>
        <v>388.00000000000006</v>
      </c>
      <c r="N5" s="30">
        <f t="shared" si="0"/>
        <v>450.3</v>
      </c>
      <c r="O5" s="30">
        <f t="shared" si="0"/>
        <v>395.50000000000006</v>
      </c>
      <c r="P5" s="30">
        <f t="shared" si="0"/>
        <v>405.1</v>
      </c>
      <c r="Q5" s="30">
        <f t="shared" si="0"/>
        <v>427.59999999999997</v>
      </c>
      <c r="R5" s="30">
        <f t="shared" si="0"/>
        <v>452.79999999999995</v>
      </c>
      <c r="S5" s="30">
        <f t="shared" si="0"/>
        <v>457</v>
      </c>
      <c r="T5" s="30">
        <f t="shared" si="0"/>
        <v>454.6</v>
      </c>
      <c r="U5" s="30">
        <f t="shared" si="0"/>
        <v>465.90000000000003</v>
      </c>
      <c r="V5" s="30">
        <f t="shared" si="0"/>
        <v>485.29999999999995</v>
      </c>
      <c r="W5" s="30">
        <f t="shared" si="0"/>
        <v>469.7</v>
      </c>
      <c r="X5" s="30">
        <f t="shared" si="0"/>
        <v>408.20000000000005</v>
      </c>
      <c r="Y5" s="30">
        <f t="shared" si="0"/>
        <v>335.4</v>
      </c>
      <c r="Z5" s="30">
        <f t="shared" si="0"/>
        <v>235</v>
      </c>
      <c r="AA5" s="30">
        <f t="shared" si="0"/>
        <v>301</v>
      </c>
      <c r="AB5" s="30">
        <f t="shared" si="0"/>
        <v>308</v>
      </c>
      <c r="AC5" s="30">
        <f t="shared" si="0"/>
        <v>389</v>
      </c>
      <c r="AD5" s="30">
        <f t="shared" si="0"/>
        <v>333.5</v>
      </c>
      <c r="AE5" s="30">
        <f t="shared" si="0"/>
        <v>334.59999999999997</v>
      </c>
      <c r="AF5" s="30">
        <f>B92</f>
        <v>352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1384MW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Load=1019</v>
      </c>
      <c r="B7" s="35">
        <f>B100</f>
        <v>1232.8899999999999</v>
      </c>
      <c r="C7" s="35">
        <f t="shared" ref="C7:AF7" si="1">C100</f>
        <v>1192.99</v>
      </c>
      <c r="D7" s="35">
        <f t="shared" si="1"/>
        <v>1145.69</v>
      </c>
      <c r="E7" s="35">
        <f t="shared" si="1"/>
        <v>1174.69</v>
      </c>
      <c r="F7" s="35">
        <f t="shared" si="1"/>
        <v>1201.19</v>
      </c>
      <c r="G7" s="35">
        <f t="shared" si="1"/>
        <v>1226.8899999999999</v>
      </c>
      <c r="H7" s="35">
        <f t="shared" si="1"/>
        <v>1212.5900000000001</v>
      </c>
      <c r="I7" s="35">
        <f t="shared" si="1"/>
        <v>1232.69</v>
      </c>
      <c r="J7" s="35">
        <f t="shared" si="1"/>
        <v>1283.5900000000001</v>
      </c>
      <c r="K7" s="35">
        <f t="shared" si="1"/>
        <v>1019.29</v>
      </c>
      <c r="L7" s="35">
        <f t="shared" si="1"/>
        <v>1368.69</v>
      </c>
      <c r="M7" s="35">
        <f t="shared" si="1"/>
        <v>1383.79</v>
      </c>
      <c r="N7" s="35">
        <f t="shared" si="1"/>
        <v>1369.29</v>
      </c>
      <c r="O7" s="35">
        <f t="shared" si="1"/>
        <v>1247.79</v>
      </c>
      <c r="P7" s="35">
        <f t="shared" si="1"/>
        <v>1325.2900000000002</v>
      </c>
      <c r="Q7" s="35">
        <f t="shared" si="1"/>
        <v>1296.5900000000001</v>
      </c>
      <c r="R7" s="35">
        <f t="shared" si="1"/>
        <v>1317.69</v>
      </c>
      <c r="S7" s="35">
        <f t="shared" si="1"/>
        <v>1274.0900000000001</v>
      </c>
      <c r="T7" s="35">
        <f t="shared" si="1"/>
        <v>1259.49</v>
      </c>
      <c r="U7" s="35">
        <f t="shared" si="1"/>
        <v>1253.8899999999999</v>
      </c>
      <c r="V7" s="35">
        <f t="shared" si="1"/>
        <v>1182.3900000000001</v>
      </c>
      <c r="W7" s="35">
        <f t="shared" si="1"/>
        <v>1285.99</v>
      </c>
      <c r="X7" s="35">
        <f t="shared" si="1"/>
        <v>1332.29</v>
      </c>
      <c r="Y7" s="35">
        <f t="shared" si="1"/>
        <v>1420.3500000000001</v>
      </c>
      <c r="Z7" s="35">
        <f t="shared" si="1"/>
        <v>1514.4500000000003</v>
      </c>
      <c r="AA7" s="35">
        <f t="shared" si="1"/>
        <v>1511.99</v>
      </c>
      <c r="AB7" s="35">
        <f t="shared" si="1"/>
        <v>1377.79</v>
      </c>
      <c r="AC7" s="35">
        <f t="shared" si="1"/>
        <v>1377.7900000000002</v>
      </c>
      <c r="AD7" s="35">
        <f t="shared" si="1"/>
        <v>1305.8900000000001</v>
      </c>
      <c r="AE7" s="35">
        <f t="shared" si="1"/>
        <v>1300.79</v>
      </c>
      <c r="AF7" s="35">
        <f t="shared" si="1"/>
        <v>1257.0899999999999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1383.79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1383.79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26.7</v>
      </c>
      <c r="C11" s="46">
        <v>26.7</v>
      </c>
      <c r="D11" s="46">
        <v>26.7</v>
      </c>
      <c r="E11" s="46">
        <v>26.7</v>
      </c>
      <c r="F11" s="46">
        <v>26.7</v>
      </c>
      <c r="G11" s="46">
        <v>26.7</v>
      </c>
      <c r="H11" s="46">
        <v>26.7</v>
      </c>
      <c r="I11" s="46">
        <v>26.7</v>
      </c>
      <c r="J11" s="46">
        <v>26.7</v>
      </c>
      <c r="K11" s="46">
        <v>26.7</v>
      </c>
      <c r="L11" s="46">
        <v>26.7</v>
      </c>
      <c r="M11" s="46">
        <v>26.7</v>
      </c>
      <c r="N11" s="46">
        <v>26.7</v>
      </c>
      <c r="O11" s="46">
        <v>23.7</v>
      </c>
      <c r="P11" s="46">
        <v>23.7</v>
      </c>
      <c r="Q11" s="46">
        <v>25.5</v>
      </c>
      <c r="R11" s="46">
        <v>25.5</v>
      </c>
      <c r="S11" s="46">
        <v>25.5</v>
      </c>
      <c r="T11" s="46">
        <v>25.5</v>
      </c>
      <c r="U11" s="46">
        <v>25.5</v>
      </c>
      <c r="V11" s="46">
        <v>25.5</v>
      </c>
      <c r="W11" s="46">
        <v>25.5</v>
      </c>
      <c r="X11" s="46">
        <v>25.5</v>
      </c>
      <c r="Y11" s="46">
        <v>25.5</v>
      </c>
      <c r="Z11" s="46">
        <v>25.5</v>
      </c>
      <c r="AA11" s="46">
        <v>25.5</v>
      </c>
      <c r="AB11" s="46">
        <v>25.5</v>
      </c>
      <c r="AC11" s="46">
        <v>25.5</v>
      </c>
      <c r="AD11" s="46">
        <v>25.2</v>
      </c>
      <c r="AE11" s="46">
        <v>29.6</v>
      </c>
      <c r="AF11" s="46">
        <v>24.8</v>
      </c>
      <c r="AG11" s="47">
        <v>86</v>
      </c>
      <c r="AH11" s="48">
        <f t="shared" ref="AH11:AH16" si="2">MAX(B11:AF11)</f>
        <v>29.6</v>
      </c>
      <c r="AI11" s="49">
        <f t="shared" ref="AI11:AI16" si="3">MIN(B11:AF11)</f>
        <v>23.7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10.5</v>
      </c>
      <c r="C12" s="46">
        <v>10.5</v>
      </c>
      <c r="D12" s="46">
        <v>10.5</v>
      </c>
      <c r="E12" s="46">
        <v>10.5</v>
      </c>
      <c r="F12" s="46">
        <v>10.5</v>
      </c>
      <c r="G12" s="46">
        <v>10.5</v>
      </c>
      <c r="H12" s="46">
        <v>10.5</v>
      </c>
      <c r="I12" s="46">
        <v>10.5</v>
      </c>
      <c r="J12" s="46">
        <v>10.5</v>
      </c>
      <c r="K12" s="46">
        <v>10.5</v>
      </c>
      <c r="L12" s="46">
        <v>10.5</v>
      </c>
      <c r="M12" s="46">
        <v>10.5</v>
      </c>
      <c r="N12" s="46">
        <v>10.5</v>
      </c>
      <c r="O12" s="46">
        <v>10.5</v>
      </c>
      <c r="P12" s="46">
        <v>10.5</v>
      </c>
      <c r="Q12" s="46">
        <v>10.5</v>
      </c>
      <c r="R12" s="46">
        <v>10.5</v>
      </c>
      <c r="S12" s="46">
        <v>10.5</v>
      </c>
      <c r="T12" s="46">
        <v>10.5</v>
      </c>
      <c r="U12" s="46">
        <v>10.5</v>
      </c>
      <c r="V12" s="46">
        <v>10.5</v>
      </c>
      <c r="W12" s="46">
        <v>10.5</v>
      </c>
      <c r="X12" s="46">
        <v>10.5</v>
      </c>
      <c r="Y12" s="46">
        <v>10.5</v>
      </c>
      <c r="Z12" s="46">
        <v>10.5</v>
      </c>
      <c r="AA12" s="46">
        <v>10.5</v>
      </c>
      <c r="AB12" s="46">
        <v>10.5</v>
      </c>
      <c r="AC12" s="46">
        <v>10.5</v>
      </c>
      <c r="AD12" s="46">
        <v>10.5</v>
      </c>
      <c r="AE12" s="46">
        <v>10.5</v>
      </c>
      <c r="AF12" s="46">
        <v>10.5</v>
      </c>
      <c r="AG12" s="50">
        <v>54</v>
      </c>
      <c r="AH12" s="48">
        <f t="shared" si="2"/>
        <v>10.5</v>
      </c>
      <c r="AI12" s="49">
        <f t="shared" si="3"/>
        <v>10.5</v>
      </c>
      <c r="AK12" s="51"/>
      <c r="AL12" s="52" t="str">
        <f ca="1">MID(CELL("filename",C7),FIND("]",CELL("filename",C7))+1,600)</f>
        <v>17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11.7</v>
      </c>
      <c r="C13" s="46">
        <v>11.7</v>
      </c>
      <c r="D13" s="46">
        <v>11.7</v>
      </c>
      <c r="E13" s="46">
        <v>11.7</v>
      </c>
      <c r="F13" s="46">
        <v>11.7</v>
      </c>
      <c r="G13" s="46">
        <v>11.7</v>
      </c>
      <c r="H13" s="46">
        <v>11.7</v>
      </c>
      <c r="I13" s="46">
        <v>11.7</v>
      </c>
      <c r="J13" s="46">
        <v>11.7</v>
      </c>
      <c r="K13" s="46">
        <v>11.7</v>
      </c>
      <c r="L13" s="46">
        <v>11.7</v>
      </c>
      <c r="M13" s="46">
        <v>11.7</v>
      </c>
      <c r="N13" s="46">
        <v>11.7</v>
      </c>
      <c r="O13" s="46">
        <v>11.7</v>
      </c>
      <c r="P13" s="46">
        <v>11.7</v>
      </c>
      <c r="Q13" s="46">
        <v>11.7</v>
      </c>
      <c r="R13" s="46">
        <v>11.7</v>
      </c>
      <c r="S13" s="46">
        <v>11.7</v>
      </c>
      <c r="T13" s="46">
        <v>11.7</v>
      </c>
      <c r="U13" s="46">
        <v>14.4</v>
      </c>
      <c r="V13" s="46">
        <v>14.4</v>
      </c>
      <c r="W13" s="46">
        <v>27</v>
      </c>
      <c r="X13" s="46">
        <v>27</v>
      </c>
      <c r="Y13" s="46">
        <v>27</v>
      </c>
      <c r="Z13" s="46">
        <v>27</v>
      </c>
      <c r="AA13" s="46">
        <v>27</v>
      </c>
      <c r="AB13" s="46">
        <v>27</v>
      </c>
      <c r="AC13" s="46">
        <v>26.9</v>
      </c>
      <c r="AD13" s="46">
        <v>26.9</v>
      </c>
      <c r="AE13" s="46">
        <v>26.9</v>
      </c>
      <c r="AF13" s="46">
        <v>26.9</v>
      </c>
      <c r="AG13" s="50">
        <v>54</v>
      </c>
      <c r="AH13" s="48">
        <f t="shared" si="2"/>
        <v>27</v>
      </c>
      <c r="AI13" s="49">
        <f t="shared" si="3"/>
        <v>11.7</v>
      </c>
      <c r="AK13" s="51"/>
      <c r="AL13" s="52" t="str">
        <f ca="1">"Daily Load Curve(Excluding of Export) of Nepal ("&amp;A4&amp;" "&amp;B4&amp;")"</f>
        <v>Daily Load Curve(Excluding of Export) of Nepal (Nepali Date: 2080/10/17)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16</v>
      </c>
      <c r="C14" s="46">
        <v>16</v>
      </c>
      <c r="D14" s="46">
        <v>16</v>
      </c>
      <c r="E14" s="46">
        <v>16</v>
      </c>
      <c r="F14" s="46">
        <v>16</v>
      </c>
      <c r="G14" s="46">
        <v>16</v>
      </c>
      <c r="H14" s="46">
        <v>16</v>
      </c>
      <c r="I14" s="46">
        <v>16</v>
      </c>
      <c r="J14" s="46">
        <v>16</v>
      </c>
      <c r="K14" s="46">
        <v>16</v>
      </c>
      <c r="L14" s="46">
        <v>16</v>
      </c>
      <c r="M14" s="46">
        <v>16</v>
      </c>
      <c r="N14" s="46">
        <v>16</v>
      </c>
      <c r="O14" s="46">
        <v>16</v>
      </c>
      <c r="P14" s="46">
        <v>16</v>
      </c>
      <c r="Q14" s="46">
        <v>16</v>
      </c>
      <c r="R14" s="46">
        <v>16</v>
      </c>
      <c r="S14" s="46">
        <v>16</v>
      </c>
      <c r="T14" s="46">
        <v>16</v>
      </c>
      <c r="U14" s="46">
        <v>16</v>
      </c>
      <c r="V14" s="46">
        <v>16</v>
      </c>
      <c r="W14" s="46">
        <v>16</v>
      </c>
      <c r="X14" s="46">
        <v>16</v>
      </c>
      <c r="Y14" s="46">
        <v>16</v>
      </c>
      <c r="Z14" s="46">
        <v>16</v>
      </c>
      <c r="AA14" s="46">
        <v>16</v>
      </c>
      <c r="AB14" s="46">
        <v>16</v>
      </c>
      <c r="AC14" s="46">
        <v>0</v>
      </c>
      <c r="AD14" s="46">
        <v>0</v>
      </c>
      <c r="AE14" s="46">
        <v>16.5</v>
      </c>
      <c r="AF14" s="46">
        <v>17.5</v>
      </c>
      <c r="AG14" s="47">
        <v>52.4</v>
      </c>
      <c r="AH14" s="48">
        <f t="shared" si="2"/>
        <v>17.5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35.700000000000003</v>
      </c>
      <c r="C15" s="46">
        <v>35.700000000000003</v>
      </c>
      <c r="D15" s="46">
        <v>35.700000000000003</v>
      </c>
      <c r="E15" s="46">
        <v>35.700000000000003</v>
      </c>
      <c r="F15" s="46">
        <v>35.700000000000003</v>
      </c>
      <c r="G15" s="46">
        <v>35.700000000000003</v>
      </c>
      <c r="H15" s="46">
        <v>35.700000000000003</v>
      </c>
      <c r="I15" s="46">
        <v>35.700000000000003</v>
      </c>
      <c r="J15" s="46">
        <v>35.700000000000003</v>
      </c>
      <c r="K15" s="46">
        <v>35.700000000000003</v>
      </c>
      <c r="L15" s="46">
        <v>35.700000000000003</v>
      </c>
      <c r="M15" s="46">
        <v>35.700000000000003</v>
      </c>
      <c r="N15" s="46">
        <v>35.700000000000003</v>
      </c>
      <c r="O15" s="46">
        <v>35.700000000000003</v>
      </c>
      <c r="P15" s="46">
        <v>35.700000000000003</v>
      </c>
      <c r="Q15" s="46">
        <v>35.700000000000003</v>
      </c>
      <c r="R15" s="46">
        <v>35.700000000000003</v>
      </c>
      <c r="S15" s="46">
        <v>35.700000000000003</v>
      </c>
      <c r="T15" s="46">
        <v>35.700000000000003</v>
      </c>
      <c r="U15" s="46">
        <v>35.700000000000003</v>
      </c>
      <c r="V15" s="46">
        <v>35.700000000000003</v>
      </c>
      <c r="W15" s="46">
        <v>50</v>
      </c>
      <c r="X15" s="46">
        <v>50</v>
      </c>
      <c r="Y15" s="46">
        <v>50</v>
      </c>
      <c r="Z15" s="53">
        <v>50</v>
      </c>
      <c r="AA15" s="53">
        <v>50</v>
      </c>
      <c r="AB15" s="53">
        <v>50</v>
      </c>
      <c r="AC15" s="53">
        <v>50.3</v>
      </c>
      <c r="AD15" s="53">
        <v>50.3</v>
      </c>
      <c r="AE15" s="53">
        <v>50.2</v>
      </c>
      <c r="AF15" s="53">
        <v>50.3</v>
      </c>
      <c r="AG15" s="50">
        <v>50</v>
      </c>
      <c r="AH15" s="48">
        <f t="shared" si="2"/>
        <v>50.3</v>
      </c>
      <c r="AI15" s="49">
        <f t="shared" si="3"/>
        <v>35.700000000000003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15.9</v>
      </c>
      <c r="C16" s="46">
        <v>15.9</v>
      </c>
      <c r="D16" s="46">
        <v>15.9</v>
      </c>
      <c r="E16" s="46">
        <v>15.9</v>
      </c>
      <c r="F16" s="46">
        <v>15.9</v>
      </c>
      <c r="G16" s="46">
        <v>15.9</v>
      </c>
      <c r="H16" s="46">
        <v>15.9</v>
      </c>
      <c r="I16" s="46">
        <v>15.9</v>
      </c>
      <c r="J16" s="46">
        <v>15.9</v>
      </c>
      <c r="K16" s="46">
        <v>15.9</v>
      </c>
      <c r="L16" s="46">
        <v>15.9</v>
      </c>
      <c r="M16" s="46">
        <v>15.9</v>
      </c>
      <c r="N16" s="46">
        <v>15.9</v>
      </c>
      <c r="O16" s="46">
        <v>15.9</v>
      </c>
      <c r="P16" s="46">
        <v>15.9</v>
      </c>
      <c r="Q16" s="46">
        <v>15.9</v>
      </c>
      <c r="R16" s="46">
        <v>15.9</v>
      </c>
      <c r="S16" s="46">
        <v>15.9</v>
      </c>
      <c r="T16" s="46">
        <v>15.9</v>
      </c>
      <c r="U16" s="46">
        <v>15.9</v>
      </c>
      <c r="V16" s="46">
        <v>15.9</v>
      </c>
      <c r="W16" s="46">
        <v>15.9</v>
      </c>
      <c r="X16" s="46">
        <v>15.9</v>
      </c>
      <c r="Y16" s="46">
        <v>15.9</v>
      </c>
      <c r="Z16" s="46">
        <v>15.9</v>
      </c>
      <c r="AA16" s="46">
        <v>0</v>
      </c>
      <c r="AB16" s="46">
        <v>0</v>
      </c>
      <c r="AC16" s="46">
        <v>0</v>
      </c>
      <c r="AD16" s="46">
        <v>0</v>
      </c>
      <c r="AE16" s="46">
        <v>16</v>
      </c>
      <c r="AF16" s="46">
        <v>16</v>
      </c>
      <c r="AG16" s="50">
        <v>45</v>
      </c>
      <c r="AH16" s="48">
        <f t="shared" si="2"/>
        <v>16</v>
      </c>
      <c r="AI16" s="49">
        <f t="shared" si="3"/>
        <v>0</v>
      </c>
      <c r="AK16" s="51"/>
      <c r="AL16" s="54" t="s">
        <v>7</v>
      </c>
      <c r="AM16" s="59">
        <f>B58</f>
        <v>480.84999999999997</v>
      </c>
      <c r="AN16" s="59">
        <f t="shared" ref="AN16:AR16" si="4">C58</f>
        <v>480.84999999999997</v>
      </c>
      <c r="AO16" s="59">
        <f t="shared" si="4"/>
        <v>480.84999999999997</v>
      </c>
      <c r="AP16" s="59">
        <f t="shared" si="4"/>
        <v>480.84999999999997</v>
      </c>
      <c r="AQ16" s="59">
        <f t="shared" si="4"/>
        <v>480.84999999999997</v>
      </c>
      <c r="AR16" s="59">
        <f t="shared" si="4"/>
        <v>480.84999999999997</v>
      </c>
      <c r="AS16" s="59">
        <f>I58</f>
        <v>480.84999999999997</v>
      </c>
      <c r="AT16" s="59">
        <f>K58</f>
        <v>480.84999999999997</v>
      </c>
      <c r="AU16" s="59">
        <f t="shared" ref="AU16:AX16" si="5">M58</f>
        <v>480.84999999999997</v>
      </c>
      <c r="AV16" s="59">
        <f t="shared" si="5"/>
        <v>480.84999999999997</v>
      </c>
      <c r="AW16" s="59">
        <f t="shared" si="5"/>
        <v>477.84999999999997</v>
      </c>
      <c r="AX16" s="59">
        <f t="shared" si="5"/>
        <v>459.35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14</v>
      </c>
      <c r="C17" s="46">
        <v>14</v>
      </c>
      <c r="D17" s="46">
        <v>14</v>
      </c>
      <c r="E17" s="46">
        <v>14</v>
      </c>
      <c r="F17" s="46">
        <v>14</v>
      </c>
      <c r="G17" s="46">
        <v>14</v>
      </c>
      <c r="H17" s="46">
        <v>14</v>
      </c>
      <c r="I17" s="46">
        <v>14</v>
      </c>
      <c r="J17" s="46">
        <v>14</v>
      </c>
      <c r="K17" s="46">
        <v>14</v>
      </c>
      <c r="L17" s="46">
        <v>14</v>
      </c>
      <c r="M17" s="46">
        <v>14</v>
      </c>
      <c r="N17" s="46">
        <v>14</v>
      </c>
      <c r="O17" s="46">
        <v>14</v>
      </c>
      <c r="P17" s="46">
        <v>14</v>
      </c>
      <c r="Q17" s="46">
        <v>14</v>
      </c>
      <c r="R17" s="46">
        <v>14</v>
      </c>
      <c r="S17" s="46">
        <v>14</v>
      </c>
      <c r="T17" s="46">
        <v>14</v>
      </c>
      <c r="U17" s="46">
        <v>14</v>
      </c>
      <c r="V17" s="46">
        <v>14</v>
      </c>
      <c r="W17" s="46">
        <v>30</v>
      </c>
      <c r="X17" s="46">
        <v>30</v>
      </c>
      <c r="Y17" s="46">
        <v>30</v>
      </c>
      <c r="Z17" s="46">
        <v>30</v>
      </c>
      <c r="AA17" s="46">
        <v>30</v>
      </c>
      <c r="AB17" s="46">
        <v>44</v>
      </c>
      <c r="AC17" s="46">
        <v>44</v>
      </c>
      <c r="AD17" s="46">
        <v>44</v>
      </c>
      <c r="AE17" s="46">
        <v>44</v>
      </c>
      <c r="AF17" s="46">
        <v>44</v>
      </c>
      <c r="AG17" s="50">
        <v>44</v>
      </c>
      <c r="AH17" s="48">
        <f>MAX(B17:AG17)</f>
        <v>44</v>
      </c>
      <c r="AI17" s="49">
        <f>MIN(B17:AG17)</f>
        <v>14</v>
      </c>
      <c r="AK17" s="51"/>
      <c r="AL17" s="54" t="s">
        <v>27</v>
      </c>
      <c r="AM17" s="59">
        <f>B62</f>
        <v>167.4</v>
      </c>
      <c r="AN17" s="59">
        <f t="shared" ref="AN17:AR17" si="6">C62</f>
        <v>164</v>
      </c>
      <c r="AO17" s="59">
        <f t="shared" si="6"/>
        <v>183.4</v>
      </c>
      <c r="AP17" s="59">
        <f t="shared" si="6"/>
        <v>79.8</v>
      </c>
      <c r="AQ17" s="59">
        <f t="shared" si="6"/>
        <v>39.799999999999997</v>
      </c>
      <c r="AR17" s="59">
        <f t="shared" si="6"/>
        <v>44.5</v>
      </c>
      <c r="AS17" s="59">
        <f>I62</f>
        <v>39.900000000000006</v>
      </c>
      <c r="AT17" s="59">
        <f>K62</f>
        <v>0</v>
      </c>
      <c r="AU17" s="59">
        <f t="shared" ref="AU17:AX17" si="7">M62</f>
        <v>122</v>
      </c>
      <c r="AV17" s="59">
        <f t="shared" si="7"/>
        <v>69.2</v>
      </c>
      <c r="AW17" s="59">
        <f t="shared" si="7"/>
        <v>67.8</v>
      </c>
      <c r="AX17" s="59">
        <f t="shared" si="7"/>
        <v>104.6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9.4</v>
      </c>
      <c r="C18" s="46">
        <v>9.4</v>
      </c>
      <c r="D18" s="46">
        <v>9.4</v>
      </c>
      <c r="E18" s="46">
        <v>9.4</v>
      </c>
      <c r="F18" s="46">
        <v>9.4</v>
      </c>
      <c r="G18" s="46">
        <v>9.4</v>
      </c>
      <c r="H18" s="46">
        <v>9.4</v>
      </c>
      <c r="I18" s="46">
        <v>9.4</v>
      </c>
      <c r="J18" s="46">
        <v>9.4</v>
      </c>
      <c r="K18" s="46">
        <v>9.4</v>
      </c>
      <c r="L18" s="46">
        <v>9.4</v>
      </c>
      <c r="M18" s="46">
        <v>9.4</v>
      </c>
      <c r="N18" s="46">
        <v>9.4</v>
      </c>
      <c r="O18" s="46">
        <v>9.4</v>
      </c>
      <c r="P18" s="46">
        <v>9.4</v>
      </c>
      <c r="Q18" s="46">
        <v>9.4</v>
      </c>
      <c r="R18" s="46">
        <v>9.4</v>
      </c>
      <c r="S18" s="46">
        <v>9.4</v>
      </c>
      <c r="T18" s="46">
        <v>9.4</v>
      </c>
      <c r="U18" s="46">
        <v>9.4</v>
      </c>
      <c r="V18" s="46">
        <v>9.4</v>
      </c>
      <c r="W18" s="46">
        <v>12.5</v>
      </c>
      <c r="X18" s="46">
        <v>12.5</v>
      </c>
      <c r="Y18" s="46">
        <v>12.5</v>
      </c>
      <c r="Z18" s="46">
        <v>12.5</v>
      </c>
      <c r="AA18" s="46">
        <v>12.5</v>
      </c>
      <c r="AB18" s="46">
        <v>12.5</v>
      </c>
      <c r="AC18" s="46">
        <v>12</v>
      </c>
      <c r="AD18" s="46">
        <v>12</v>
      </c>
      <c r="AE18" s="46">
        <v>11</v>
      </c>
      <c r="AF18" s="46">
        <v>11</v>
      </c>
      <c r="AG18" s="50">
        <v>42</v>
      </c>
      <c r="AH18" s="48">
        <f t="shared" ref="AH18:AH81" si="8">MAX(B18:AF18)</f>
        <v>12.5</v>
      </c>
      <c r="AI18" s="49">
        <f t="shared" ref="AI18:AI81" si="9">MIN(B18:AF18)</f>
        <v>9.4</v>
      </c>
      <c r="AK18" s="51"/>
      <c r="AL18" s="54" t="s">
        <v>29</v>
      </c>
      <c r="AM18" s="59">
        <f>B76</f>
        <v>232.63999999999996</v>
      </c>
      <c r="AN18" s="59">
        <f t="shared" ref="AN18:AR18" si="10">C76</f>
        <v>106.33999999999999</v>
      </c>
      <c r="AO18" s="59">
        <f t="shared" si="10"/>
        <v>110.54</v>
      </c>
      <c r="AP18" s="59">
        <f t="shared" si="10"/>
        <v>174.04</v>
      </c>
      <c r="AQ18" s="59">
        <f t="shared" si="10"/>
        <v>174.33999999999997</v>
      </c>
      <c r="AR18" s="59">
        <f t="shared" si="10"/>
        <v>213.33999999999997</v>
      </c>
      <c r="AS18" s="59">
        <f>I76</f>
        <v>191.33999999999997</v>
      </c>
      <c r="AT18" s="59">
        <f>K76</f>
        <v>37.14</v>
      </c>
      <c r="AU18" s="59">
        <f t="shared" ref="AU18:AX18" si="11">M76</f>
        <v>270.74</v>
      </c>
      <c r="AV18" s="59">
        <f t="shared" si="11"/>
        <v>231.23999999999998</v>
      </c>
      <c r="AW18" s="59">
        <f t="shared" si="11"/>
        <v>251.83999999999995</v>
      </c>
      <c r="AX18" s="59">
        <f t="shared" si="11"/>
        <v>265.84000000000003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15</v>
      </c>
      <c r="C19" s="46">
        <v>15</v>
      </c>
      <c r="D19" s="46">
        <v>15</v>
      </c>
      <c r="E19" s="46">
        <v>15</v>
      </c>
      <c r="F19" s="46">
        <v>15</v>
      </c>
      <c r="G19" s="46">
        <v>15</v>
      </c>
      <c r="H19" s="46">
        <v>15</v>
      </c>
      <c r="I19" s="46">
        <v>15</v>
      </c>
      <c r="J19" s="46">
        <v>15</v>
      </c>
      <c r="K19" s="46">
        <v>15</v>
      </c>
      <c r="L19" s="46">
        <v>15</v>
      </c>
      <c r="M19" s="46">
        <v>15</v>
      </c>
      <c r="N19" s="46">
        <v>15</v>
      </c>
      <c r="O19" s="46">
        <v>15</v>
      </c>
      <c r="P19" s="46">
        <v>15</v>
      </c>
      <c r="Q19" s="46">
        <v>15</v>
      </c>
      <c r="R19" s="46">
        <v>15</v>
      </c>
      <c r="S19" s="46">
        <v>15</v>
      </c>
      <c r="T19" s="46">
        <v>15</v>
      </c>
      <c r="U19" s="46">
        <v>15</v>
      </c>
      <c r="V19" s="46">
        <v>15</v>
      </c>
      <c r="W19" s="46">
        <v>15</v>
      </c>
      <c r="X19" s="46">
        <v>15</v>
      </c>
      <c r="Y19" s="46">
        <v>15</v>
      </c>
      <c r="Z19" s="46">
        <v>15</v>
      </c>
      <c r="AA19" s="46">
        <v>15</v>
      </c>
      <c r="AB19" s="46">
        <v>15</v>
      </c>
      <c r="AC19" s="46">
        <v>15</v>
      </c>
      <c r="AD19" s="46">
        <v>15</v>
      </c>
      <c r="AE19" s="46">
        <v>15</v>
      </c>
      <c r="AF19" s="46">
        <v>15</v>
      </c>
      <c r="AG19" s="50">
        <v>38.46</v>
      </c>
      <c r="AH19" s="48">
        <f t="shared" si="8"/>
        <v>15</v>
      </c>
      <c r="AI19" s="49">
        <f t="shared" si="9"/>
        <v>15</v>
      </c>
      <c r="AK19" s="51"/>
      <c r="AL19" s="54" t="s">
        <v>31</v>
      </c>
      <c r="AM19" s="59">
        <f>B92</f>
        <v>352</v>
      </c>
      <c r="AN19" s="59">
        <f t="shared" ref="AN19:AR19" si="12">C92</f>
        <v>441.8</v>
      </c>
      <c r="AO19" s="59">
        <f t="shared" si="12"/>
        <v>370.90000000000003</v>
      </c>
      <c r="AP19" s="59">
        <f t="shared" si="12"/>
        <v>440</v>
      </c>
      <c r="AQ19" s="59">
        <f t="shared" si="12"/>
        <v>506.2</v>
      </c>
      <c r="AR19" s="59">
        <f t="shared" si="12"/>
        <v>488.2</v>
      </c>
      <c r="AS19" s="59">
        <f>I92</f>
        <v>520.6</v>
      </c>
      <c r="AT19" s="59">
        <f>K92</f>
        <v>401.3</v>
      </c>
      <c r="AU19" s="59">
        <f t="shared" ref="AU19:AX19" si="13">M92</f>
        <v>410.2</v>
      </c>
      <c r="AV19" s="59">
        <f t="shared" si="13"/>
        <v>388.00000000000006</v>
      </c>
      <c r="AW19" s="59">
        <f t="shared" si="13"/>
        <v>450.3</v>
      </c>
      <c r="AX19" s="59">
        <f t="shared" si="13"/>
        <v>395.50000000000006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7.8</v>
      </c>
      <c r="C20" s="46">
        <v>7.8</v>
      </c>
      <c r="D20" s="46">
        <v>7.8</v>
      </c>
      <c r="E20" s="46">
        <v>7.8</v>
      </c>
      <c r="F20" s="46">
        <v>7.8</v>
      </c>
      <c r="G20" s="46">
        <v>7.8</v>
      </c>
      <c r="H20" s="46">
        <v>7.8</v>
      </c>
      <c r="I20" s="46">
        <v>7.8</v>
      </c>
      <c r="J20" s="46">
        <v>7.8</v>
      </c>
      <c r="K20" s="46">
        <v>7.8</v>
      </c>
      <c r="L20" s="46">
        <v>7.8</v>
      </c>
      <c r="M20" s="46">
        <v>7.8</v>
      </c>
      <c r="N20" s="46">
        <v>7.8</v>
      </c>
      <c r="O20" s="46">
        <v>7.8</v>
      </c>
      <c r="P20" s="46">
        <v>7.8</v>
      </c>
      <c r="Q20" s="46">
        <v>7.8</v>
      </c>
      <c r="R20" s="46">
        <v>7.8</v>
      </c>
      <c r="S20" s="46">
        <v>7.8</v>
      </c>
      <c r="T20" s="46">
        <v>7.8</v>
      </c>
      <c r="U20" s="46">
        <v>7.8</v>
      </c>
      <c r="V20" s="46">
        <v>7.8</v>
      </c>
      <c r="W20" s="46">
        <v>7.8</v>
      </c>
      <c r="X20" s="46">
        <v>7.8</v>
      </c>
      <c r="Y20" s="46">
        <v>7.8</v>
      </c>
      <c r="Z20" s="46">
        <v>7.8</v>
      </c>
      <c r="AA20" s="46">
        <v>7.8</v>
      </c>
      <c r="AB20" s="46">
        <v>7.8</v>
      </c>
      <c r="AC20" s="46">
        <v>7.8</v>
      </c>
      <c r="AD20" s="46">
        <v>7.8</v>
      </c>
      <c r="AE20" s="46">
        <v>7.8</v>
      </c>
      <c r="AF20" s="46">
        <v>7.8</v>
      </c>
      <c r="AG20" s="50">
        <v>38.46</v>
      </c>
      <c r="AH20" s="48">
        <f t="shared" si="8"/>
        <v>7.8</v>
      </c>
      <c r="AI20" s="49">
        <f t="shared" si="9"/>
        <v>7.8</v>
      </c>
      <c r="AK20" s="51"/>
      <c r="AL20" s="54" t="s">
        <v>33</v>
      </c>
      <c r="AM20" s="59">
        <f>B80</f>
        <v>0</v>
      </c>
      <c r="AN20" s="59">
        <f t="shared" ref="AN20:AR20" si="14">C80</f>
        <v>0</v>
      </c>
      <c r="AO20" s="59">
        <f t="shared" si="14"/>
        <v>0</v>
      </c>
      <c r="AP20" s="59">
        <f t="shared" si="14"/>
        <v>0</v>
      </c>
      <c r="AQ20" s="59">
        <f t="shared" si="14"/>
        <v>0</v>
      </c>
      <c r="AR20" s="59">
        <f t="shared" si="14"/>
        <v>0</v>
      </c>
      <c r="AS20" s="59">
        <f>I80</f>
        <v>0</v>
      </c>
      <c r="AT20" s="59">
        <f>K80</f>
        <v>0</v>
      </c>
      <c r="AU20" s="59">
        <f t="shared" ref="AU20:AX20" si="15">M80</f>
        <v>0</v>
      </c>
      <c r="AV20" s="59">
        <f t="shared" si="15"/>
        <v>0</v>
      </c>
      <c r="AW20" s="59">
        <f t="shared" si="15"/>
        <v>0</v>
      </c>
      <c r="AX20" s="59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13</v>
      </c>
      <c r="C21" s="46">
        <v>13</v>
      </c>
      <c r="D21" s="46">
        <v>13</v>
      </c>
      <c r="E21" s="46">
        <v>13</v>
      </c>
      <c r="F21" s="46">
        <v>13</v>
      </c>
      <c r="G21" s="46">
        <v>13</v>
      </c>
      <c r="H21" s="46">
        <v>13</v>
      </c>
      <c r="I21" s="46">
        <v>13</v>
      </c>
      <c r="J21" s="46">
        <v>13</v>
      </c>
      <c r="K21" s="46">
        <v>13</v>
      </c>
      <c r="L21" s="46">
        <v>13</v>
      </c>
      <c r="M21" s="46">
        <v>13</v>
      </c>
      <c r="N21" s="46">
        <v>13</v>
      </c>
      <c r="O21" s="46">
        <v>13</v>
      </c>
      <c r="P21" s="46">
        <v>13</v>
      </c>
      <c r="Q21" s="46">
        <v>13</v>
      </c>
      <c r="R21" s="46">
        <v>13</v>
      </c>
      <c r="S21" s="46">
        <v>13</v>
      </c>
      <c r="T21" s="46">
        <v>13</v>
      </c>
      <c r="U21" s="46">
        <v>13</v>
      </c>
      <c r="V21" s="46">
        <v>13</v>
      </c>
      <c r="W21" s="46">
        <v>13</v>
      </c>
      <c r="X21" s="46">
        <v>13</v>
      </c>
      <c r="Y21" s="46">
        <v>13</v>
      </c>
      <c r="Z21" s="46">
        <v>13</v>
      </c>
      <c r="AA21" s="46">
        <v>13</v>
      </c>
      <c r="AB21" s="46">
        <v>13</v>
      </c>
      <c r="AC21" s="46">
        <v>13</v>
      </c>
      <c r="AD21" s="46">
        <v>13</v>
      </c>
      <c r="AE21" s="46">
        <v>13</v>
      </c>
      <c r="AF21" s="46">
        <v>13</v>
      </c>
      <c r="AG21" s="50">
        <v>36</v>
      </c>
      <c r="AH21" s="48">
        <f t="shared" si="8"/>
        <v>13</v>
      </c>
      <c r="AI21" s="49">
        <f t="shared" si="9"/>
        <v>13</v>
      </c>
      <c r="AK21" s="51"/>
      <c r="AL21" s="54" t="s">
        <v>35</v>
      </c>
      <c r="AM21" s="59">
        <f>B98</f>
        <v>0</v>
      </c>
      <c r="AN21" s="59">
        <f t="shared" ref="AN21:AR21" si="16">C98</f>
        <v>0</v>
      </c>
      <c r="AO21" s="59">
        <f t="shared" si="16"/>
        <v>0</v>
      </c>
      <c r="AP21" s="59">
        <f t="shared" si="16"/>
        <v>0</v>
      </c>
      <c r="AQ21" s="59">
        <f t="shared" si="16"/>
        <v>0</v>
      </c>
      <c r="AR21" s="59">
        <f t="shared" si="16"/>
        <v>0</v>
      </c>
      <c r="AS21" s="59">
        <f>I98</f>
        <v>0</v>
      </c>
      <c r="AT21" s="59">
        <f>K98</f>
        <v>100</v>
      </c>
      <c r="AU21" s="59">
        <f t="shared" ref="AU21:AX21" si="17">M98</f>
        <v>100</v>
      </c>
      <c r="AV21" s="59">
        <f t="shared" si="17"/>
        <v>200</v>
      </c>
      <c r="AW21" s="59">
        <f t="shared" si="17"/>
        <v>0</v>
      </c>
      <c r="AX21" s="59">
        <f t="shared" si="17"/>
        <v>100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8.4</v>
      </c>
      <c r="C22" s="46">
        <v>8.4</v>
      </c>
      <c r="D22" s="46">
        <v>8.4</v>
      </c>
      <c r="E22" s="46">
        <v>8.4</v>
      </c>
      <c r="F22" s="46">
        <v>8.4</v>
      </c>
      <c r="G22" s="46">
        <v>8.4</v>
      </c>
      <c r="H22" s="46">
        <v>8.4</v>
      </c>
      <c r="I22" s="46">
        <v>8.4</v>
      </c>
      <c r="J22" s="46">
        <v>8.4</v>
      </c>
      <c r="K22" s="46">
        <v>8.4</v>
      </c>
      <c r="L22" s="46">
        <v>8.4</v>
      </c>
      <c r="M22" s="46">
        <v>8.4</v>
      </c>
      <c r="N22" s="46">
        <v>8.4</v>
      </c>
      <c r="O22" s="46">
        <v>8.4</v>
      </c>
      <c r="P22" s="46">
        <v>8.4</v>
      </c>
      <c r="Q22" s="46">
        <v>8.4</v>
      </c>
      <c r="R22" s="46">
        <v>8.4</v>
      </c>
      <c r="S22" s="46">
        <v>8.4</v>
      </c>
      <c r="T22" s="46">
        <v>8.4</v>
      </c>
      <c r="U22" s="46">
        <v>8.4</v>
      </c>
      <c r="V22" s="46">
        <v>8.4</v>
      </c>
      <c r="W22" s="46">
        <v>20.399999999999999</v>
      </c>
      <c r="X22" s="46">
        <v>20.399999999999999</v>
      </c>
      <c r="Y22" s="46">
        <v>20.399999999999999</v>
      </c>
      <c r="Z22" s="46">
        <v>20.399999999999999</v>
      </c>
      <c r="AA22" s="46">
        <v>20.399999999999999</v>
      </c>
      <c r="AB22" s="46">
        <v>20.399999999999999</v>
      </c>
      <c r="AC22" s="46">
        <v>17.5</v>
      </c>
      <c r="AD22" s="46">
        <v>17.5</v>
      </c>
      <c r="AE22" s="46">
        <v>21.2</v>
      </c>
      <c r="AF22" s="46">
        <v>16.3</v>
      </c>
      <c r="AG22" s="60">
        <v>30</v>
      </c>
      <c r="AH22" s="48">
        <f t="shared" si="8"/>
        <v>21.2</v>
      </c>
      <c r="AI22" s="49">
        <f t="shared" si="9"/>
        <v>8.4</v>
      </c>
      <c r="AK22" s="51"/>
      <c r="AL22" s="61" t="s">
        <v>37</v>
      </c>
      <c r="AM22" s="62">
        <f>SUM(AM16:AM21)</f>
        <v>1232.8899999999999</v>
      </c>
      <c r="AN22" s="62">
        <f t="shared" ref="AN22:AX22" si="18">SUM(AN16:AN21)</f>
        <v>1192.99</v>
      </c>
      <c r="AO22" s="62">
        <f t="shared" si="18"/>
        <v>1145.69</v>
      </c>
      <c r="AP22" s="62">
        <f t="shared" si="18"/>
        <v>1174.69</v>
      </c>
      <c r="AQ22" s="62">
        <f t="shared" si="18"/>
        <v>1201.19</v>
      </c>
      <c r="AR22" s="62">
        <f t="shared" si="18"/>
        <v>1226.8899999999999</v>
      </c>
      <c r="AS22" s="62">
        <f t="shared" si="18"/>
        <v>1232.69</v>
      </c>
      <c r="AT22" s="62">
        <f t="shared" si="18"/>
        <v>1019.29</v>
      </c>
      <c r="AU22" s="62">
        <f t="shared" si="18"/>
        <v>1383.79</v>
      </c>
      <c r="AV22" s="62">
        <f t="shared" si="18"/>
        <v>1369.29</v>
      </c>
      <c r="AW22" s="62">
        <f t="shared" si="18"/>
        <v>1247.79</v>
      </c>
      <c r="AX22" s="62">
        <f t="shared" si="18"/>
        <v>1325.2900000000002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6</v>
      </c>
      <c r="C23" s="46">
        <v>6</v>
      </c>
      <c r="D23" s="46">
        <v>6</v>
      </c>
      <c r="E23" s="46">
        <v>6</v>
      </c>
      <c r="F23" s="46">
        <v>6</v>
      </c>
      <c r="G23" s="46">
        <v>6</v>
      </c>
      <c r="H23" s="46">
        <v>6</v>
      </c>
      <c r="I23" s="46">
        <v>6</v>
      </c>
      <c r="J23" s="46">
        <v>6</v>
      </c>
      <c r="K23" s="46">
        <v>6</v>
      </c>
      <c r="L23" s="46">
        <v>6</v>
      </c>
      <c r="M23" s="46">
        <v>6</v>
      </c>
      <c r="N23" s="46">
        <v>6</v>
      </c>
      <c r="O23" s="46">
        <v>6</v>
      </c>
      <c r="P23" s="46">
        <v>6</v>
      </c>
      <c r="Q23" s="46">
        <v>6</v>
      </c>
      <c r="R23" s="46">
        <v>6</v>
      </c>
      <c r="S23" s="46">
        <v>6</v>
      </c>
      <c r="T23" s="46">
        <v>6</v>
      </c>
      <c r="U23" s="46">
        <v>6</v>
      </c>
      <c r="V23" s="46">
        <v>6</v>
      </c>
      <c r="W23" s="46">
        <v>9</v>
      </c>
      <c r="X23" s="46">
        <v>9</v>
      </c>
      <c r="Y23" s="46">
        <v>9</v>
      </c>
      <c r="Z23" s="46">
        <v>9</v>
      </c>
      <c r="AA23" s="46">
        <v>9</v>
      </c>
      <c r="AB23" s="46">
        <v>9</v>
      </c>
      <c r="AC23" s="46">
        <v>9</v>
      </c>
      <c r="AD23" s="46">
        <v>9</v>
      </c>
      <c r="AE23" s="46">
        <v>9</v>
      </c>
      <c r="AF23" s="46">
        <v>9</v>
      </c>
      <c r="AG23" s="50">
        <v>24.2</v>
      </c>
      <c r="AH23" s="48">
        <f t="shared" si="8"/>
        <v>9</v>
      </c>
      <c r="AI23" s="49">
        <f t="shared" si="9"/>
        <v>6</v>
      </c>
      <c r="AK23" s="51"/>
      <c r="AL23" s="61" t="s">
        <v>39</v>
      </c>
      <c r="AM23" s="62">
        <f>B107*-1</f>
        <v>0</v>
      </c>
      <c r="AN23" s="62">
        <f t="shared" ref="AN23:AR23" si="19">C107*-1</f>
        <v>0</v>
      </c>
      <c r="AO23" s="62">
        <f t="shared" si="19"/>
        <v>0</v>
      </c>
      <c r="AP23" s="62">
        <f t="shared" si="19"/>
        <v>0</v>
      </c>
      <c r="AQ23" s="62">
        <f t="shared" si="19"/>
        <v>0</v>
      </c>
      <c r="AR23" s="62">
        <f t="shared" si="19"/>
        <v>0</v>
      </c>
      <c r="AS23" s="62">
        <f>I107*-1</f>
        <v>0</v>
      </c>
      <c r="AT23" s="62">
        <f>K107*-1</f>
        <v>0</v>
      </c>
      <c r="AU23" s="62">
        <f t="shared" ref="AU23:AX23" si="20">M107*-1</f>
        <v>0</v>
      </c>
      <c r="AV23" s="62">
        <f t="shared" si="20"/>
        <v>0</v>
      </c>
      <c r="AW23" s="62">
        <f t="shared" si="20"/>
        <v>0</v>
      </c>
      <c r="AX23" s="62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0</v>
      </c>
      <c r="C24" s="46">
        <v>0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0</v>
      </c>
      <c r="J24" s="46">
        <v>0</v>
      </c>
      <c r="K24" s="46">
        <v>0</v>
      </c>
      <c r="L24" s="46">
        <v>0</v>
      </c>
      <c r="M24" s="46">
        <v>0</v>
      </c>
      <c r="N24" s="46">
        <v>0</v>
      </c>
      <c r="O24" s="46">
        <v>0</v>
      </c>
      <c r="P24" s="46">
        <v>0</v>
      </c>
      <c r="Q24" s="46">
        <v>0</v>
      </c>
      <c r="R24" s="46">
        <v>0</v>
      </c>
      <c r="S24" s="46">
        <v>0</v>
      </c>
      <c r="T24" s="46">
        <v>0</v>
      </c>
      <c r="U24" s="46">
        <v>0</v>
      </c>
      <c r="V24" s="46">
        <v>0</v>
      </c>
      <c r="W24" s="46">
        <v>0</v>
      </c>
      <c r="X24" s="46">
        <v>0</v>
      </c>
      <c r="Y24" s="46">
        <v>0</v>
      </c>
      <c r="Z24" s="46">
        <v>0</v>
      </c>
      <c r="AA24" s="46">
        <v>0</v>
      </c>
      <c r="AB24" s="46">
        <v>0</v>
      </c>
      <c r="AC24" s="46">
        <v>0</v>
      </c>
      <c r="AD24" s="46">
        <v>0</v>
      </c>
      <c r="AE24" s="46">
        <v>0</v>
      </c>
      <c r="AF24" s="46">
        <v>0</v>
      </c>
      <c r="AG24" s="50">
        <v>28</v>
      </c>
      <c r="AH24" s="48">
        <f t="shared" si="8"/>
        <v>0</v>
      </c>
      <c r="AI24" s="49">
        <f t="shared" si="9"/>
        <v>0</v>
      </c>
      <c r="AK24" s="51"/>
      <c r="AL24" s="61" t="s">
        <v>41</v>
      </c>
      <c r="AM24" s="62">
        <f>AM22+AM23</f>
        <v>1232.8899999999999</v>
      </c>
      <c r="AN24" s="62">
        <f t="shared" ref="AN24:AX24" si="21">AN22+AN23</f>
        <v>1192.99</v>
      </c>
      <c r="AO24" s="62">
        <f t="shared" si="21"/>
        <v>1145.69</v>
      </c>
      <c r="AP24" s="62">
        <f t="shared" si="21"/>
        <v>1174.69</v>
      </c>
      <c r="AQ24" s="62">
        <f t="shared" si="21"/>
        <v>1201.19</v>
      </c>
      <c r="AR24" s="62">
        <f t="shared" si="21"/>
        <v>1226.8899999999999</v>
      </c>
      <c r="AS24" s="62">
        <f t="shared" si="21"/>
        <v>1232.69</v>
      </c>
      <c r="AT24" s="62">
        <f t="shared" si="21"/>
        <v>1019.29</v>
      </c>
      <c r="AU24" s="62">
        <f t="shared" si="21"/>
        <v>1383.79</v>
      </c>
      <c r="AV24" s="62">
        <f t="shared" si="21"/>
        <v>1369.29</v>
      </c>
      <c r="AW24" s="62">
        <f t="shared" si="21"/>
        <v>1247.79</v>
      </c>
      <c r="AX24" s="62">
        <f t="shared" si="21"/>
        <v>1325.2900000000002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4.5</v>
      </c>
      <c r="C25" s="46">
        <v>4.5</v>
      </c>
      <c r="D25" s="46">
        <v>4.5</v>
      </c>
      <c r="E25" s="46">
        <v>4.5</v>
      </c>
      <c r="F25" s="46">
        <v>4.5</v>
      </c>
      <c r="G25" s="46">
        <v>4.5</v>
      </c>
      <c r="H25" s="46">
        <v>4.5</v>
      </c>
      <c r="I25" s="46">
        <v>4.5</v>
      </c>
      <c r="J25" s="46">
        <v>4.5</v>
      </c>
      <c r="K25" s="46">
        <v>4.5</v>
      </c>
      <c r="L25" s="46">
        <v>4.5</v>
      </c>
      <c r="M25" s="46">
        <v>4.5</v>
      </c>
      <c r="N25" s="46">
        <v>4.5</v>
      </c>
      <c r="O25" s="46">
        <v>4.5</v>
      </c>
      <c r="P25" s="46">
        <v>4.5</v>
      </c>
      <c r="Q25" s="46">
        <v>4.5</v>
      </c>
      <c r="R25" s="46">
        <v>4.5</v>
      </c>
      <c r="S25" s="46">
        <v>4.5</v>
      </c>
      <c r="T25" s="46">
        <v>4.5</v>
      </c>
      <c r="U25" s="46">
        <v>4.5</v>
      </c>
      <c r="V25" s="46">
        <v>4.5</v>
      </c>
      <c r="W25" s="46">
        <v>7.3</v>
      </c>
      <c r="X25" s="46">
        <v>7.3</v>
      </c>
      <c r="Y25" s="46">
        <v>7.3</v>
      </c>
      <c r="Z25" s="46">
        <v>7.3</v>
      </c>
      <c r="AA25" s="46">
        <v>7.3</v>
      </c>
      <c r="AB25" s="46">
        <v>7.3</v>
      </c>
      <c r="AC25" s="46">
        <v>7.3</v>
      </c>
      <c r="AD25" s="46">
        <v>7.3</v>
      </c>
      <c r="AE25" s="46">
        <v>12.4</v>
      </c>
      <c r="AF25" s="46">
        <v>10.7</v>
      </c>
      <c r="AG25" s="60">
        <v>30</v>
      </c>
      <c r="AH25" s="48">
        <f t="shared" si="8"/>
        <v>12.4</v>
      </c>
      <c r="AI25" s="49">
        <f t="shared" si="9"/>
        <v>4.5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10.7</v>
      </c>
      <c r="C26" s="46">
        <v>10.7</v>
      </c>
      <c r="D26" s="46">
        <v>10.7</v>
      </c>
      <c r="E26" s="46">
        <v>10.7</v>
      </c>
      <c r="F26" s="46">
        <v>10.7</v>
      </c>
      <c r="G26" s="46">
        <v>10.7</v>
      </c>
      <c r="H26" s="46">
        <v>10.7</v>
      </c>
      <c r="I26" s="46">
        <v>10.7</v>
      </c>
      <c r="J26" s="46">
        <v>10.7</v>
      </c>
      <c r="K26" s="46">
        <v>10.7</v>
      </c>
      <c r="L26" s="46">
        <v>10.7</v>
      </c>
      <c r="M26" s="46">
        <v>10.7</v>
      </c>
      <c r="N26" s="46">
        <v>10.7</v>
      </c>
      <c r="O26" s="46">
        <v>10.7</v>
      </c>
      <c r="P26" s="46">
        <v>10.7</v>
      </c>
      <c r="Q26" s="46">
        <v>10.7</v>
      </c>
      <c r="R26" s="46">
        <v>10.7</v>
      </c>
      <c r="S26" s="46">
        <v>10.7</v>
      </c>
      <c r="T26" s="46">
        <v>10.7</v>
      </c>
      <c r="U26" s="46">
        <v>10.7</v>
      </c>
      <c r="V26" s="46">
        <v>10.7</v>
      </c>
      <c r="W26" s="46">
        <v>13.2</v>
      </c>
      <c r="X26" s="46">
        <v>13.2</v>
      </c>
      <c r="Y26" s="46">
        <v>13.2</v>
      </c>
      <c r="Z26" s="46">
        <v>13.2</v>
      </c>
      <c r="AA26" s="46">
        <v>13.2</v>
      </c>
      <c r="AB26" s="46">
        <v>25.4</v>
      </c>
      <c r="AC26" s="46">
        <v>25.4</v>
      </c>
      <c r="AD26" s="46">
        <v>25.4</v>
      </c>
      <c r="AE26" s="46">
        <v>25.4</v>
      </c>
      <c r="AF26" s="46">
        <v>25.4</v>
      </c>
      <c r="AG26" s="50">
        <v>25</v>
      </c>
      <c r="AH26" s="48">
        <f t="shared" si="8"/>
        <v>25.4</v>
      </c>
      <c r="AI26" s="49">
        <f t="shared" si="9"/>
        <v>10.7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5</v>
      </c>
      <c r="N27" s="46">
        <v>5</v>
      </c>
      <c r="O27" s="46">
        <v>5</v>
      </c>
      <c r="P27" s="46">
        <v>0</v>
      </c>
      <c r="Q27" s="46">
        <v>0</v>
      </c>
      <c r="R27" s="46">
        <v>0</v>
      </c>
      <c r="S27" s="46">
        <v>0</v>
      </c>
      <c r="T27" s="46">
        <v>0</v>
      </c>
      <c r="U27" s="46">
        <v>0</v>
      </c>
      <c r="V27" s="46">
        <v>0</v>
      </c>
      <c r="W27" s="46">
        <v>5</v>
      </c>
      <c r="X27" s="46">
        <v>5</v>
      </c>
      <c r="Y27" s="46">
        <v>5</v>
      </c>
      <c r="Z27" s="46">
        <v>5</v>
      </c>
      <c r="AA27" s="46">
        <v>5</v>
      </c>
      <c r="AB27" s="46">
        <v>5</v>
      </c>
      <c r="AC27" s="46">
        <v>5</v>
      </c>
      <c r="AD27" s="46">
        <v>5</v>
      </c>
      <c r="AE27" s="46">
        <v>5</v>
      </c>
      <c r="AF27" s="46">
        <v>5</v>
      </c>
      <c r="AG27" s="50">
        <v>25</v>
      </c>
      <c r="AH27" s="48">
        <f t="shared" si="8"/>
        <v>5</v>
      </c>
      <c r="AI27" s="49">
        <f t="shared" si="9"/>
        <v>0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6</v>
      </c>
      <c r="C28" s="46">
        <v>6</v>
      </c>
      <c r="D28" s="46">
        <v>6</v>
      </c>
      <c r="E28" s="46">
        <v>6</v>
      </c>
      <c r="F28" s="46">
        <v>6</v>
      </c>
      <c r="G28" s="46">
        <v>6</v>
      </c>
      <c r="H28" s="46">
        <v>6</v>
      </c>
      <c r="I28" s="46">
        <v>6</v>
      </c>
      <c r="J28" s="46">
        <v>6</v>
      </c>
      <c r="K28" s="46">
        <v>6</v>
      </c>
      <c r="L28" s="46">
        <v>6</v>
      </c>
      <c r="M28" s="46">
        <v>6</v>
      </c>
      <c r="N28" s="46">
        <v>6</v>
      </c>
      <c r="O28" s="46">
        <v>6</v>
      </c>
      <c r="P28" s="46">
        <v>6</v>
      </c>
      <c r="Q28" s="46">
        <v>6</v>
      </c>
      <c r="R28" s="46">
        <v>6</v>
      </c>
      <c r="S28" s="46">
        <v>6</v>
      </c>
      <c r="T28" s="46">
        <v>6</v>
      </c>
      <c r="U28" s="46">
        <v>6</v>
      </c>
      <c r="V28" s="46">
        <v>6</v>
      </c>
      <c r="W28" s="46">
        <v>6</v>
      </c>
      <c r="X28" s="46">
        <v>6</v>
      </c>
      <c r="Y28" s="46">
        <v>6</v>
      </c>
      <c r="Z28" s="46">
        <v>6</v>
      </c>
      <c r="AA28" s="46">
        <v>0</v>
      </c>
      <c r="AB28" s="46">
        <v>0</v>
      </c>
      <c r="AC28" s="46">
        <v>0</v>
      </c>
      <c r="AD28" s="46">
        <v>0</v>
      </c>
      <c r="AE28" s="46">
        <v>0</v>
      </c>
      <c r="AF28" s="46">
        <v>0</v>
      </c>
      <c r="AG28" s="50">
        <v>25</v>
      </c>
      <c r="AH28" s="48">
        <f t="shared" si="8"/>
        <v>6</v>
      </c>
      <c r="AI28" s="49">
        <f t="shared" si="9"/>
        <v>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9.1999999999999993</v>
      </c>
      <c r="C29" s="46">
        <v>9.1999999999999993</v>
      </c>
      <c r="D29" s="46">
        <v>9.1999999999999993</v>
      </c>
      <c r="E29" s="46">
        <v>9.1999999999999993</v>
      </c>
      <c r="F29" s="46">
        <v>9.1999999999999993</v>
      </c>
      <c r="G29" s="46">
        <v>9.1999999999999993</v>
      </c>
      <c r="H29" s="46">
        <v>9.1999999999999993</v>
      </c>
      <c r="I29" s="46">
        <v>9.1999999999999993</v>
      </c>
      <c r="J29" s="46">
        <v>9.1999999999999993</v>
      </c>
      <c r="K29" s="46">
        <v>9.1999999999999993</v>
      </c>
      <c r="L29" s="46">
        <v>9.1999999999999993</v>
      </c>
      <c r="M29" s="46">
        <v>9.1999999999999993</v>
      </c>
      <c r="N29" s="46">
        <v>9.1999999999999993</v>
      </c>
      <c r="O29" s="46">
        <v>9.1999999999999993</v>
      </c>
      <c r="P29" s="46">
        <v>9.1999999999999993</v>
      </c>
      <c r="Q29" s="46">
        <v>9.1999999999999993</v>
      </c>
      <c r="R29" s="46">
        <v>9.1999999999999993</v>
      </c>
      <c r="S29" s="46">
        <v>9.1999999999999993</v>
      </c>
      <c r="T29" s="46">
        <v>9.1999999999999993</v>
      </c>
      <c r="U29" s="46">
        <v>9.1999999999999993</v>
      </c>
      <c r="V29" s="46">
        <v>9.1999999999999993</v>
      </c>
      <c r="W29" s="46">
        <v>0</v>
      </c>
      <c r="X29" s="46">
        <v>0</v>
      </c>
      <c r="Y29" s="46">
        <v>0</v>
      </c>
      <c r="Z29" s="46">
        <v>0</v>
      </c>
      <c r="AA29" s="46">
        <v>0</v>
      </c>
      <c r="AB29" s="46">
        <v>8.1999999999999993</v>
      </c>
      <c r="AC29" s="46">
        <v>8.1999999999999993</v>
      </c>
      <c r="AD29" s="46">
        <v>8.1999999999999993</v>
      </c>
      <c r="AE29" s="46">
        <v>8.1999999999999993</v>
      </c>
      <c r="AF29" s="46">
        <v>8.1999999999999993</v>
      </c>
      <c r="AG29" s="50">
        <v>25</v>
      </c>
      <c r="AH29" s="48">
        <f t="shared" si="8"/>
        <v>9.1999999999999993</v>
      </c>
      <c r="AI29" s="49">
        <f t="shared" si="9"/>
        <v>0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5.6</v>
      </c>
      <c r="C30" s="46">
        <v>5.6</v>
      </c>
      <c r="D30" s="46">
        <v>5.6</v>
      </c>
      <c r="E30" s="46">
        <v>5.6</v>
      </c>
      <c r="F30" s="46">
        <v>5.6</v>
      </c>
      <c r="G30" s="46">
        <v>5.6</v>
      </c>
      <c r="H30" s="46">
        <v>5.6</v>
      </c>
      <c r="I30" s="46">
        <v>5.6</v>
      </c>
      <c r="J30" s="46">
        <v>5.6</v>
      </c>
      <c r="K30" s="46">
        <v>5.6</v>
      </c>
      <c r="L30" s="46">
        <v>5.6</v>
      </c>
      <c r="M30" s="46">
        <v>5.6</v>
      </c>
      <c r="N30" s="46">
        <v>5.6</v>
      </c>
      <c r="O30" s="46">
        <v>5.6</v>
      </c>
      <c r="P30" s="46">
        <v>5.6</v>
      </c>
      <c r="Q30" s="46">
        <v>5.6</v>
      </c>
      <c r="R30" s="46">
        <v>5.6</v>
      </c>
      <c r="S30" s="46">
        <v>5.6</v>
      </c>
      <c r="T30" s="46">
        <v>5.6</v>
      </c>
      <c r="U30" s="46">
        <v>5.6</v>
      </c>
      <c r="V30" s="46">
        <v>5.6</v>
      </c>
      <c r="W30" s="46">
        <v>5.6</v>
      </c>
      <c r="X30" s="46">
        <v>5.6</v>
      </c>
      <c r="Y30" s="46">
        <v>5.6</v>
      </c>
      <c r="Z30" s="46">
        <v>5.6</v>
      </c>
      <c r="AA30" s="46">
        <v>5.6</v>
      </c>
      <c r="AB30" s="46">
        <v>5.6</v>
      </c>
      <c r="AC30" s="46">
        <v>5.6</v>
      </c>
      <c r="AD30" s="46">
        <v>5.6</v>
      </c>
      <c r="AE30" s="46">
        <v>8.1</v>
      </c>
      <c r="AF30" s="46">
        <v>4.0999999999999996</v>
      </c>
      <c r="AG30" s="50">
        <v>23.5</v>
      </c>
      <c r="AH30" s="48">
        <f t="shared" si="8"/>
        <v>8.1</v>
      </c>
      <c r="AI30" s="49">
        <f t="shared" si="9"/>
        <v>4.0999999999999996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>
        <v>3</v>
      </c>
      <c r="V31" s="46">
        <v>3</v>
      </c>
      <c r="W31" s="46">
        <v>3</v>
      </c>
      <c r="X31" s="46">
        <v>3</v>
      </c>
      <c r="Y31" s="46">
        <v>3</v>
      </c>
      <c r="Z31" s="46">
        <v>3</v>
      </c>
      <c r="AA31" s="46">
        <v>3</v>
      </c>
      <c r="AB31" s="46">
        <v>3</v>
      </c>
      <c r="AC31" s="46">
        <v>3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8"/>
        <v>3</v>
      </c>
      <c r="AI31" s="49">
        <f t="shared" si="9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0</v>
      </c>
      <c r="Q32" s="46">
        <v>0</v>
      </c>
      <c r="R32" s="46">
        <v>0</v>
      </c>
      <c r="S32" s="46">
        <v>0</v>
      </c>
      <c r="T32" s="46">
        <v>0</v>
      </c>
      <c r="U32" s="46">
        <v>0</v>
      </c>
      <c r="V32" s="46">
        <v>0</v>
      </c>
      <c r="W32" s="46">
        <v>5.5</v>
      </c>
      <c r="X32" s="46">
        <v>5.5</v>
      </c>
      <c r="Y32" s="46">
        <v>5.5</v>
      </c>
      <c r="Z32" s="46">
        <v>5.5</v>
      </c>
      <c r="AA32" s="46">
        <v>5.5</v>
      </c>
      <c r="AB32" s="46">
        <v>5.5</v>
      </c>
      <c r="AC32" s="46">
        <v>5.5</v>
      </c>
      <c r="AD32" s="46">
        <v>5.5</v>
      </c>
      <c r="AE32" s="46">
        <v>5.5</v>
      </c>
      <c r="AF32" s="46">
        <v>5.5</v>
      </c>
      <c r="AG32" s="50">
        <v>22.1</v>
      </c>
      <c r="AH32" s="48">
        <f t="shared" si="8"/>
        <v>5.5</v>
      </c>
      <c r="AI32" s="49">
        <f t="shared" si="9"/>
        <v>0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8</v>
      </c>
      <c r="C33" s="46">
        <v>8</v>
      </c>
      <c r="D33" s="46">
        <v>8</v>
      </c>
      <c r="E33" s="46">
        <v>8</v>
      </c>
      <c r="F33" s="46">
        <v>8</v>
      </c>
      <c r="G33" s="46">
        <v>8</v>
      </c>
      <c r="H33" s="46">
        <v>8</v>
      </c>
      <c r="I33" s="46">
        <v>8</v>
      </c>
      <c r="J33" s="46">
        <v>8</v>
      </c>
      <c r="K33" s="46">
        <v>8</v>
      </c>
      <c r="L33" s="46">
        <v>8</v>
      </c>
      <c r="M33" s="46">
        <v>8</v>
      </c>
      <c r="N33" s="46">
        <v>8</v>
      </c>
      <c r="O33" s="46">
        <v>8</v>
      </c>
      <c r="P33" s="46">
        <v>0</v>
      </c>
      <c r="Q33" s="46">
        <v>8</v>
      </c>
      <c r="R33" s="46">
        <v>8</v>
      </c>
      <c r="S33" s="46">
        <v>8</v>
      </c>
      <c r="T33" s="46">
        <v>8</v>
      </c>
      <c r="U33" s="46">
        <v>8</v>
      </c>
      <c r="V33" s="46">
        <v>8</v>
      </c>
      <c r="W33" s="46">
        <v>8</v>
      </c>
      <c r="X33" s="46">
        <v>8</v>
      </c>
      <c r="Y33" s="46">
        <v>8</v>
      </c>
      <c r="Z33" s="46">
        <v>8</v>
      </c>
      <c r="AA33" s="46">
        <v>8</v>
      </c>
      <c r="AB33" s="46">
        <v>8</v>
      </c>
      <c r="AC33" s="46">
        <v>8</v>
      </c>
      <c r="AD33" s="46">
        <v>8</v>
      </c>
      <c r="AE33" s="46">
        <v>8</v>
      </c>
      <c r="AF33" s="46">
        <v>8</v>
      </c>
      <c r="AG33" s="50">
        <v>22</v>
      </c>
      <c r="AH33" s="48">
        <f t="shared" si="8"/>
        <v>8</v>
      </c>
      <c r="AI33" s="49">
        <f t="shared" si="9"/>
        <v>0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12.8</v>
      </c>
      <c r="C34" s="46">
        <v>12.8</v>
      </c>
      <c r="D34" s="46">
        <v>12.8</v>
      </c>
      <c r="E34" s="46">
        <v>12.8</v>
      </c>
      <c r="F34" s="46">
        <v>12.8</v>
      </c>
      <c r="G34" s="46">
        <v>12.8</v>
      </c>
      <c r="H34" s="46">
        <v>12.8</v>
      </c>
      <c r="I34" s="46">
        <v>12.8</v>
      </c>
      <c r="J34" s="46">
        <v>12.8</v>
      </c>
      <c r="K34" s="46">
        <v>12.8</v>
      </c>
      <c r="L34" s="46">
        <v>12.8</v>
      </c>
      <c r="M34" s="46">
        <v>12.8</v>
      </c>
      <c r="N34" s="46">
        <v>12.8</v>
      </c>
      <c r="O34" s="46">
        <v>12.8</v>
      </c>
      <c r="P34" s="46">
        <v>12.8</v>
      </c>
      <c r="Q34" s="46">
        <v>0</v>
      </c>
      <c r="R34" s="46">
        <v>0</v>
      </c>
      <c r="S34" s="46">
        <v>0</v>
      </c>
      <c r="T34" s="46">
        <v>0</v>
      </c>
      <c r="U34" s="46">
        <v>0</v>
      </c>
      <c r="V34" s="46">
        <v>0</v>
      </c>
      <c r="W34" s="46">
        <v>10.5</v>
      </c>
      <c r="X34" s="46">
        <v>10.5</v>
      </c>
      <c r="Y34" s="46">
        <v>10.5</v>
      </c>
      <c r="Z34" s="46">
        <v>10.5</v>
      </c>
      <c r="AA34" s="46">
        <v>10.5</v>
      </c>
      <c r="AB34" s="46">
        <v>10.5</v>
      </c>
      <c r="AC34" s="46">
        <v>10.5</v>
      </c>
      <c r="AD34" s="46">
        <v>10.5</v>
      </c>
      <c r="AE34" s="46">
        <v>14</v>
      </c>
      <c r="AF34" s="46">
        <v>14</v>
      </c>
      <c r="AG34" s="50">
        <v>22</v>
      </c>
      <c r="AH34" s="48">
        <f t="shared" si="8"/>
        <v>14</v>
      </c>
      <c r="AI34" s="49">
        <f t="shared" si="9"/>
        <v>0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8"/>
        <v>4</v>
      </c>
      <c r="AI35" s="49">
        <f t="shared" si="9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>
        <v>4</v>
      </c>
      <c r="V36" s="46">
        <v>4</v>
      </c>
      <c r="W36" s="46">
        <v>4</v>
      </c>
      <c r="X36" s="46">
        <v>4</v>
      </c>
      <c r="Y36" s="46">
        <v>4</v>
      </c>
      <c r="Z36" s="46">
        <v>4</v>
      </c>
      <c r="AA36" s="46">
        <v>4</v>
      </c>
      <c r="AB36" s="46">
        <v>4</v>
      </c>
      <c r="AC36" s="46">
        <v>4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8"/>
        <v>4</v>
      </c>
      <c r="AI36" s="49">
        <f t="shared" si="9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>
        <v>5.7</v>
      </c>
      <c r="V37" s="46">
        <v>5.7</v>
      </c>
      <c r="W37" s="46">
        <v>5.7</v>
      </c>
      <c r="X37" s="46">
        <v>5.7</v>
      </c>
      <c r="Y37" s="46">
        <v>5.7</v>
      </c>
      <c r="Z37" s="46">
        <v>5.7</v>
      </c>
      <c r="AA37" s="46">
        <v>5.7</v>
      </c>
      <c r="AB37" s="46">
        <v>5.7</v>
      </c>
      <c r="AC37" s="46">
        <v>5.7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8"/>
        <v>5.7</v>
      </c>
      <c r="AI37" s="49">
        <f t="shared" si="9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7.2</v>
      </c>
      <c r="Q38" s="46">
        <v>7.2</v>
      </c>
      <c r="R38" s="46">
        <v>7.2</v>
      </c>
      <c r="S38" s="46">
        <v>7.2</v>
      </c>
      <c r="T38" s="46">
        <v>7.2</v>
      </c>
      <c r="U38" s="46">
        <v>7.2</v>
      </c>
      <c r="V38" s="46">
        <v>7.2</v>
      </c>
      <c r="W38" s="46">
        <v>7.2</v>
      </c>
      <c r="X38" s="46">
        <v>7.2</v>
      </c>
      <c r="Y38" s="46">
        <v>7.2</v>
      </c>
      <c r="Z38" s="46">
        <v>7.2</v>
      </c>
      <c r="AA38" s="46">
        <v>7.2</v>
      </c>
      <c r="AB38" s="46">
        <v>7.2</v>
      </c>
      <c r="AC38" s="46">
        <v>7.2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8"/>
        <v>7.2</v>
      </c>
      <c r="AI38" s="49">
        <f t="shared" si="9"/>
        <v>7.2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0</v>
      </c>
      <c r="C40" s="46">
        <v>0</v>
      </c>
      <c r="D40" s="46">
        <v>0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46">
        <v>0</v>
      </c>
      <c r="P40" s="46">
        <v>0</v>
      </c>
      <c r="Q40" s="46">
        <v>0</v>
      </c>
      <c r="R40" s="46">
        <v>0</v>
      </c>
      <c r="S40" s="46">
        <v>0</v>
      </c>
      <c r="T40" s="46">
        <v>0</v>
      </c>
      <c r="U40" s="46">
        <v>0</v>
      </c>
      <c r="V40" s="46">
        <v>0</v>
      </c>
      <c r="W40" s="46">
        <v>8</v>
      </c>
      <c r="X40" s="46">
        <v>8</v>
      </c>
      <c r="Y40" s="46">
        <v>8</v>
      </c>
      <c r="Z40" s="46">
        <v>8</v>
      </c>
      <c r="AA40" s="46">
        <v>8</v>
      </c>
      <c r="AB40" s="46">
        <v>8</v>
      </c>
      <c r="AC40" s="46">
        <v>8</v>
      </c>
      <c r="AD40" s="46">
        <v>8</v>
      </c>
      <c r="AE40" s="46">
        <v>8</v>
      </c>
      <c r="AF40" s="46">
        <v>8</v>
      </c>
      <c r="AG40" s="50">
        <v>14.9</v>
      </c>
      <c r="AH40" s="48">
        <f t="shared" si="8"/>
        <v>8</v>
      </c>
      <c r="AI40" s="49">
        <f t="shared" si="9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8"/>
        <v>4</v>
      </c>
      <c r="AI41" s="49">
        <f t="shared" si="9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>
        <v>1.8</v>
      </c>
      <c r="V42" s="46">
        <v>1.8</v>
      </c>
      <c r="W42" s="46">
        <v>1.8</v>
      </c>
      <c r="X42" s="46">
        <v>1.8</v>
      </c>
      <c r="Y42" s="46">
        <v>1.8</v>
      </c>
      <c r="Z42" s="46">
        <v>1.8</v>
      </c>
      <c r="AA42" s="46">
        <v>1.8</v>
      </c>
      <c r="AB42" s="46">
        <v>1.8</v>
      </c>
      <c r="AC42" s="46">
        <v>1.8</v>
      </c>
      <c r="AD42" s="46">
        <v>1.8</v>
      </c>
      <c r="AE42" s="46">
        <v>1.8</v>
      </c>
      <c r="AF42" s="46">
        <v>1.8</v>
      </c>
      <c r="AG42" s="50">
        <v>13.6</v>
      </c>
      <c r="AH42" s="48">
        <f t="shared" si="8"/>
        <v>1.8</v>
      </c>
      <c r="AI42" s="49">
        <f t="shared" si="9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>
        <v>3.8</v>
      </c>
      <c r="V43" s="46">
        <v>3.8</v>
      </c>
      <c r="W43" s="46">
        <v>3.8</v>
      </c>
      <c r="X43" s="46">
        <v>3.8</v>
      </c>
      <c r="Y43" s="46">
        <v>3.8</v>
      </c>
      <c r="Z43" s="46">
        <v>3.8</v>
      </c>
      <c r="AA43" s="46">
        <v>3.8</v>
      </c>
      <c r="AB43" s="46">
        <v>3.8</v>
      </c>
      <c r="AC43" s="46">
        <v>3.8</v>
      </c>
      <c r="AD43" s="46">
        <v>3.8</v>
      </c>
      <c r="AE43" s="46">
        <v>3.8</v>
      </c>
      <c r="AF43" s="46">
        <v>3.8</v>
      </c>
      <c r="AG43" s="50">
        <v>13</v>
      </c>
      <c r="AH43" s="48">
        <f t="shared" si="8"/>
        <v>3.8</v>
      </c>
      <c r="AI43" s="49">
        <f t="shared" si="9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2.5</v>
      </c>
      <c r="C44" s="46">
        <v>2.5</v>
      </c>
      <c r="D44" s="46">
        <v>2.5</v>
      </c>
      <c r="E44" s="46">
        <v>2.5</v>
      </c>
      <c r="F44" s="46">
        <v>2.5</v>
      </c>
      <c r="G44" s="46">
        <v>2.5</v>
      </c>
      <c r="H44" s="46">
        <v>2.5</v>
      </c>
      <c r="I44" s="46">
        <v>2.5</v>
      </c>
      <c r="J44" s="46">
        <v>2.5</v>
      </c>
      <c r="K44" s="46">
        <v>2.5</v>
      </c>
      <c r="L44" s="46">
        <v>2.5</v>
      </c>
      <c r="M44" s="46">
        <v>2.5</v>
      </c>
      <c r="N44" s="46">
        <v>2.5</v>
      </c>
      <c r="O44" s="46">
        <v>2.5</v>
      </c>
      <c r="P44" s="46">
        <v>2.5</v>
      </c>
      <c r="Q44" s="46">
        <v>2.5</v>
      </c>
      <c r="R44" s="46">
        <v>2.5</v>
      </c>
      <c r="S44" s="46">
        <v>2.5</v>
      </c>
      <c r="T44" s="46">
        <v>2.5</v>
      </c>
      <c r="U44" s="46">
        <v>2.5</v>
      </c>
      <c r="V44" s="46">
        <v>2.5</v>
      </c>
      <c r="W44" s="46">
        <v>2.5</v>
      </c>
      <c r="X44" s="46">
        <v>2.5</v>
      </c>
      <c r="Y44" s="46">
        <v>2.5</v>
      </c>
      <c r="Z44" s="46">
        <v>0</v>
      </c>
      <c r="AA44" s="46">
        <v>0</v>
      </c>
      <c r="AB44" s="46">
        <v>0</v>
      </c>
      <c r="AC44" s="46">
        <v>0</v>
      </c>
      <c r="AD44" s="46">
        <v>0</v>
      </c>
      <c r="AE44" s="46">
        <v>0</v>
      </c>
      <c r="AF44" s="46">
        <v>0</v>
      </c>
      <c r="AG44" s="50">
        <v>12</v>
      </c>
      <c r="AH44" s="48">
        <f t="shared" si="8"/>
        <v>2.5</v>
      </c>
      <c r="AI44" s="49">
        <f t="shared" si="9"/>
        <v>0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>
        <v>9</v>
      </c>
      <c r="V45" s="46">
        <v>9</v>
      </c>
      <c r="W45" s="46">
        <v>9</v>
      </c>
      <c r="X45" s="46">
        <v>9</v>
      </c>
      <c r="Y45" s="46">
        <v>9</v>
      </c>
      <c r="Z45" s="46">
        <v>9</v>
      </c>
      <c r="AA45" s="46">
        <v>9</v>
      </c>
      <c r="AB45" s="46">
        <v>9</v>
      </c>
      <c r="AC45" s="46">
        <v>9</v>
      </c>
      <c r="AD45" s="46">
        <v>9</v>
      </c>
      <c r="AE45" s="46">
        <v>9</v>
      </c>
      <c r="AF45" s="46">
        <v>9</v>
      </c>
      <c r="AG45" s="50">
        <v>12</v>
      </c>
      <c r="AH45" s="48">
        <f t="shared" si="8"/>
        <v>9</v>
      </c>
      <c r="AI45" s="49">
        <f t="shared" si="9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>
        <v>3.5</v>
      </c>
      <c r="V47" s="46">
        <v>3.5</v>
      </c>
      <c r="W47" s="46">
        <v>3.5</v>
      </c>
      <c r="X47" s="46">
        <v>3.5</v>
      </c>
      <c r="Y47" s="46">
        <v>3.5</v>
      </c>
      <c r="Z47" s="46">
        <v>3.5</v>
      </c>
      <c r="AA47" s="46">
        <v>3.5</v>
      </c>
      <c r="AB47" s="46">
        <v>3.5</v>
      </c>
      <c r="AC47" s="46">
        <v>3.5</v>
      </c>
      <c r="AD47" s="46">
        <v>3.5</v>
      </c>
      <c r="AE47" s="46">
        <v>3.5</v>
      </c>
      <c r="AF47" s="46">
        <v>3.5</v>
      </c>
      <c r="AG47" s="63">
        <v>22</v>
      </c>
      <c r="AH47" s="48">
        <f t="shared" si="8"/>
        <v>3.5</v>
      </c>
      <c r="AI47" s="49">
        <f t="shared" si="9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>
        <v>5</v>
      </c>
      <c r="V48" s="46">
        <v>5</v>
      </c>
      <c r="W48" s="46">
        <v>5</v>
      </c>
      <c r="X48" s="46">
        <v>5</v>
      </c>
      <c r="Y48" s="46">
        <v>5</v>
      </c>
      <c r="Z48" s="46">
        <v>5</v>
      </c>
      <c r="AA48" s="46">
        <v>5</v>
      </c>
      <c r="AB48" s="46">
        <v>5</v>
      </c>
      <c r="AC48" s="46">
        <v>5</v>
      </c>
      <c r="AD48" s="46">
        <v>5</v>
      </c>
      <c r="AE48" s="46">
        <v>5</v>
      </c>
      <c r="AF48" s="46">
        <v>5</v>
      </c>
      <c r="AG48" s="60">
        <v>11.88</v>
      </c>
      <c r="AH48" s="48">
        <f t="shared" si="8"/>
        <v>5</v>
      </c>
      <c r="AI48" s="49">
        <f t="shared" si="9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5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4" t="s">
        <v>67</v>
      </c>
      <c r="B50" s="46">
        <v>2.4500000000000002</v>
      </c>
      <c r="C50" s="46">
        <v>2.4500000000000002</v>
      </c>
      <c r="D50" s="46">
        <v>2.4500000000000002</v>
      </c>
      <c r="E50" s="46">
        <v>2.4500000000000002</v>
      </c>
      <c r="F50" s="46">
        <v>2.4500000000000002</v>
      </c>
      <c r="G50" s="46">
        <v>2.4500000000000002</v>
      </c>
      <c r="H50" s="46">
        <v>2.4500000000000002</v>
      </c>
      <c r="I50" s="46">
        <v>2.4500000000000002</v>
      </c>
      <c r="J50" s="46">
        <v>2.4500000000000002</v>
      </c>
      <c r="K50" s="46">
        <v>2.4500000000000002</v>
      </c>
      <c r="L50" s="46">
        <v>2.4500000000000002</v>
      </c>
      <c r="M50" s="46">
        <v>2.4500000000000002</v>
      </c>
      <c r="N50" s="46">
        <v>2.4500000000000002</v>
      </c>
      <c r="O50" s="46">
        <v>2.4500000000000002</v>
      </c>
      <c r="P50" s="46">
        <v>2.4500000000000002</v>
      </c>
      <c r="Q50" s="46">
        <v>2.4500000000000002</v>
      </c>
      <c r="R50" s="46">
        <v>2.4500000000000002</v>
      </c>
      <c r="S50" s="46">
        <v>2.4500000000000002</v>
      </c>
      <c r="T50" s="46">
        <v>2.4500000000000002</v>
      </c>
      <c r="U50" s="46">
        <v>2.4500000000000002</v>
      </c>
      <c r="V50" s="46">
        <v>2.4500000000000002</v>
      </c>
      <c r="W50" s="46">
        <v>2.4500000000000002</v>
      </c>
      <c r="X50" s="46">
        <v>2.4500000000000002</v>
      </c>
      <c r="Y50" s="46">
        <v>2.4500000000000002</v>
      </c>
      <c r="Z50" s="46">
        <v>2.4500000000000002</v>
      </c>
      <c r="AA50" s="46">
        <v>2.4500000000000002</v>
      </c>
      <c r="AB50" s="46">
        <v>2.4500000000000002</v>
      </c>
      <c r="AC50" s="46">
        <v>2.4500000000000002</v>
      </c>
      <c r="AD50" s="46">
        <v>2.4500000000000002</v>
      </c>
      <c r="AE50" s="46">
        <v>2.4500000000000002</v>
      </c>
      <c r="AF50" s="46">
        <v>2.4500000000000002</v>
      </c>
      <c r="AG50" s="65">
        <v>11</v>
      </c>
      <c r="AH50" s="48">
        <f t="shared" si="8"/>
        <v>2.4500000000000002</v>
      </c>
      <c r="AI50" s="49">
        <f t="shared" si="9"/>
        <v>2.4500000000000002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65">
        <v>11</v>
      </c>
      <c r="AH51" s="48">
        <f t="shared" si="8"/>
        <v>3</v>
      </c>
      <c r="AI51" s="49">
        <f t="shared" si="9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5">
        <v>10</v>
      </c>
      <c r="AH52" s="48">
        <f t="shared" si="8"/>
        <v>4</v>
      </c>
      <c r="AI52" s="49">
        <f t="shared" si="9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>
        <v>4.5</v>
      </c>
      <c r="V53" s="46">
        <v>4.5</v>
      </c>
      <c r="W53" s="46">
        <v>4.5</v>
      </c>
      <c r="X53" s="46">
        <v>4.5</v>
      </c>
      <c r="Y53" s="46">
        <v>4.5</v>
      </c>
      <c r="Z53" s="46">
        <v>4.5</v>
      </c>
      <c r="AA53" s="46">
        <v>4.5</v>
      </c>
      <c r="AB53" s="46">
        <v>4.5</v>
      </c>
      <c r="AC53" s="46">
        <v>4.5</v>
      </c>
      <c r="AD53" s="46">
        <v>4.5</v>
      </c>
      <c r="AE53" s="46">
        <v>4.5</v>
      </c>
      <c r="AF53" s="46">
        <v>4.5</v>
      </c>
      <c r="AG53" s="65">
        <v>10</v>
      </c>
      <c r="AH53" s="48">
        <f t="shared" si="8"/>
        <v>4.5</v>
      </c>
      <c r="AI53" s="49">
        <f t="shared" si="9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5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5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>
        <v>150</v>
      </c>
      <c r="W56" s="67">
        <v>150</v>
      </c>
      <c r="X56" s="67">
        <v>150</v>
      </c>
      <c r="Y56" s="67">
        <v>150</v>
      </c>
      <c r="Z56" s="67">
        <v>150</v>
      </c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8" t="s">
        <v>74</v>
      </c>
      <c r="B57" s="67">
        <v>46.1</v>
      </c>
      <c r="C57" s="67">
        <v>46.1</v>
      </c>
      <c r="D57" s="67">
        <v>46.1</v>
      </c>
      <c r="E57" s="67">
        <f>17.2+29.7</f>
        <v>46.9</v>
      </c>
      <c r="F57" s="67">
        <f>16.9+29.2</f>
        <v>46.099999999999994</v>
      </c>
      <c r="G57" s="67">
        <f>16.4+28</f>
        <v>44.4</v>
      </c>
      <c r="H57" s="67">
        <f>16.3+27.8</f>
        <v>44.1</v>
      </c>
      <c r="I57" s="67">
        <f>16.7+28.3</f>
        <v>45</v>
      </c>
      <c r="J57" s="67">
        <f>17.4+29.1</f>
        <v>46.5</v>
      </c>
      <c r="K57" s="53">
        <f>16.9+28.4</f>
        <v>45.3</v>
      </c>
      <c r="L57" s="53">
        <f>16.7+28</f>
        <v>44.7</v>
      </c>
      <c r="M57" s="53">
        <f>16.7+28</f>
        <v>44.7</v>
      </c>
      <c r="N57" s="53">
        <f>16.7+28</f>
        <v>44.7</v>
      </c>
      <c r="O57" s="53">
        <f>16.7+28</f>
        <v>44.7</v>
      </c>
      <c r="P57" s="53">
        <v>0</v>
      </c>
      <c r="Q57" s="53">
        <v>0</v>
      </c>
      <c r="R57" s="53">
        <v>0</v>
      </c>
      <c r="S57" s="53">
        <v>0</v>
      </c>
      <c r="T57" s="53">
        <v>0</v>
      </c>
      <c r="U57" s="53">
        <v>0</v>
      </c>
      <c r="V57" s="53">
        <v>37.200000000000003</v>
      </c>
      <c r="W57" s="53">
        <v>37.200000000000003</v>
      </c>
      <c r="X57" s="53">
        <v>37.200000000000003</v>
      </c>
      <c r="Y57" s="53">
        <v>-9</v>
      </c>
      <c r="Z57" s="67">
        <v>33</v>
      </c>
      <c r="AA57" s="67">
        <v>39</v>
      </c>
      <c r="AB57" s="67">
        <v>39</v>
      </c>
      <c r="AC57" s="67">
        <v>39</v>
      </c>
      <c r="AD57" s="67">
        <f>28.5+16.2</f>
        <v>44.7</v>
      </c>
      <c r="AE57" s="67">
        <f>16+26.9</f>
        <v>42.9</v>
      </c>
      <c r="AF57" s="67">
        <f>16.6+30.9</f>
        <v>47.5</v>
      </c>
      <c r="AG57" s="65">
        <v>240</v>
      </c>
      <c r="AH57" s="48">
        <f t="shared" si="8"/>
        <v>47.5</v>
      </c>
      <c r="AI57" s="49">
        <f t="shared" si="9"/>
        <v>-9</v>
      </c>
      <c r="AK57" s="51"/>
    </row>
    <row r="58" spans="1:88" ht="15.75" thickBot="1" x14ac:dyDescent="0.3">
      <c r="A58" s="69" t="s">
        <v>75</v>
      </c>
      <c r="B58" s="70">
        <f t="shared" ref="B58:C58" si="22">SUM(B11:B56)</f>
        <v>480.84999999999997</v>
      </c>
      <c r="C58" s="70">
        <f t="shared" si="22"/>
        <v>480.84999999999997</v>
      </c>
      <c r="D58" s="70">
        <f t="shared" ref="D58" si="23">SUM(D11:D56)</f>
        <v>480.84999999999997</v>
      </c>
      <c r="E58" s="70">
        <f t="shared" ref="E58:AD58" si="24">SUM(E11:E56)</f>
        <v>480.84999999999997</v>
      </c>
      <c r="F58" s="70">
        <f t="shared" si="24"/>
        <v>480.84999999999997</v>
      </c>
      <c r="G58" s="70">
        <f t="shared" si="24"/>
        <v>480.84999999999997</v>
      </c>
      <c r="H58" s="70">
        <f t="shared" si="24"/>
        <v>480.84999999999997</v>
      </c>
      <c r="I58" s="70">
        <f t="shared" si="24"/>
        <v>480.84999999999997</v>
      </c>
      <c r="J58" s="70">
        <f t="shared" si="24"/>
        <v>480.84999999999997</v>
      </c>
      <c r="K58" s="70">
        <f t="shared" si="24"/>
        <v>480.84999999999997</v>
      </c>
      <c r="L58" s="70">
        <f t="shared" si="24"/>
        <v>480.84999999999997</v>
      </c>
      <c r="M58" s="70">
        <f t="shared" si="24"/>
        <v>480.84999999999997</v>
      </c>
      <c r="N58" s="70">
        <f t="shared" si="24"/>
        <v>480.84999999999997</v>
      </c>
      <c r="O58" s="70">
        <f t="shared" si="24"/>
        <v>477.84999999999997</v>
      </c>
      <c r="P58" s="70">
        <f t="shared" si="24"/>
        <v>459.35</v>
      </c>
      <c r="Q58" s="70">
        <f t="shared" si="24"/>
        <v>456.35</v>
      </c>
      <c r="R58" s="70">
        <f t="shared" si="24"/>
        <v>456.35</v>
      </c>
      <c r="S58" s="70">
        <f t="shared" si="24"/>
        <v>456.35</v>
      </c>
      <c r="T58" s="70">
        <f t="shared" si="24"/>
        <v>456.35</v>
      </c>
      <c r="U58" s="70">
        <f t="shared" si="24"/>
        <v>459.05</v>
      </c>
      <c r="V58" s="70">
        <f t="shared" si="24"/>
        <v>459.05</v>
      </c>
      <c r="W58" s="70">
        <f t="shared" si="24"/>
        <v>545.15000000000009</v>
      </c>
      <c r="X58" s="70">
        <f t="shared" si="24"/>
        <v>545.15000000000009</v>
      </c>
      <c r="Y58" s="70">
        <f t="shared" si="24"/>
        <v>545.15000000000009</v>
      </c>
      <c r="Z58" s="70">
        <f t="shared" si="24"/>
        <v>542.65000000000009</v>
      </c>
      <c r="AA58" s="70">
        <f t="shared" si="24"/>
        <v>520.75</v>
      </c>
      <c r="AB58" s="70">
        <f t="shared" si="24"/>
        <v>555.15</v>
      </c>
      <c r="AC58" s="70">
        <f t="shared" ref="AC58" si="25">SUM(AC11:AC56)</f>
        <v>535.95000000000005</v>
      </c>
      <c r="AD58" s="70">
        <f t="shared" si="24"/>
        <v>535.65000000000009</v>
      </c>
      <c r="AE58" s="70">
        <f t="shared" ref="AE58:AF58" si="26">SUM(AE11:AE56)</f>
        <v>586.25</v>
      </c>
      <c r="AF58" s="70">
        <f t="shared" si="26"/>
        <v>571.95000000000005</v>
      </c>
      <c r="AG58" s="71">
        <f>SUM(AG14:AG56)</f>
        <v>1042.4000000000001</v>
      </c>
      <c r="AH58" s="48">
        <f t="shared" si="8"/>
        <v>586.25</v>
      </c>
      <c r="AI58" s="49">
        <f t="shared" si="9"/>
        <v>456.35</v>
      </c>
      <c r="AK58" s="51"/>
    </row>
    <row r="59" spans="1:88" x14ac:dyDescent="0.25">
      <c r="A59" s="72" t="s">
        <v>76</v>
      </c>
      <c r="B59" s="46">
        <v>130</v>
      </c>
      <c r="C59" s="46">
        <v>126.6</v>
      </c>
      <c r="D59" s="46">
        <v>146</v>
      </c>
      <c r="E59" s="46">
        <v>40.1</v>
      </c>
      <c r="F59" s="46">
        <v>0</v>
      </c>
      <c r="G59" s="46">
        <v>0</v>
      </c>
      <c r="H59" s="46">
        <v>0</v>
      </c>
      <c r="I59" s="46">
        <v>0</v>
      </c>
      <c r="J59" s="46">
        <v>15.1</v>
      </c>
      <c r="K59" s="46"/>
      <c r="L59" s="46">
        <v>76.099999999999994</v>
      </c>
      <c r="M59" s="46">
        <v>81.2</v>
      </c>
      <c r="N59" s="73">
        <v>30</v>
      </c>
      <c r="O59" s="73">
        <v>30</v>
      </c>
      <c r="P59" s="73">
        <v>66.3</v>
      </c>
      <c r="Q59" s="73">
        <v>30</v>
      </c>
      <c r="R59" s="73">
        <v>30.3</v>
      </c>
      <c r="S59" s="73">
        <v>70.400000000000006</v>
      </c>
      <c r="T59" s="73">
        <v>50</v>
      </c>
      <c r="U59" s="73">
        <v>50</v>
      </c>
      <c r="V59" s="73">
        <v>15</v>
      </c>
      <c r="W59" s="73">
        <v>15</v>
      </c>
      <c r="X59" s="73">
        <v>60</v>
      </c>
      <c r="Y59" s="73">
        <v>120</v>
      </c>
      <c r="Z59" s="46">
        <v>251</v>
      </c>
      <c r="AA59" s="46">
        <v>326</v>
      </c>
      <c r="AB59" s="46">
        <v>132</v>
      </c>
      <c r="AC59" s="46">
        <v>132</v>
      </c>
      <c r="AD59" s="46">
        <v>40.9</v>
      </c>
      <c r="AE59" s="46">
        <v>0</v>
      </c>
      <c r="AF59" s="46">
        <v>0</v>
      </c>
      <c r="AG59" s="60">
        <v>456</v>
      </c>
      <c r="AH59" s="48">
        <f t="shared" si="8"/>
        <v>326</v>
      </c>
      <c r="AI59" s="49">
        <f t="shared" si="9"/>
        <v>0</v>
      </c>
      <c r="AK59" s="51"/>
    </row>
    <row r="60" spans="1:88" x14ac:dyDescent="0.25">
      <c r="A60" s="74" t="s">
        <v>77</v>
      </c>
      <c r="B60" s="75">
        <v>23.9</v>
      </c>
      <c r="C60" s="75">
        <v>23.9</v>
      </c>
      <c r="D60" s="75">
        <v>23.9</v>
      </c>
      <c r="E60" s="75">
        <v>24.5</v>
      </c>
      <c r="F60" s="75">
        <v>24.6</v>
      </c>
      <c r="G60" s="75">
        <v>25.1</v>
      </c>
      <c r="H60" s="75">
        <v>25.1</v>
      </c>
      <c r="I60" s="75">
        <v>26.1</v>
      </c>
      <c r="J60" s="75">
        <v>25.6</v>
      </c>
      <c r="K60" s="75"/>
      <c r="L60" s="75">
        <v>25.7</v>
      </c>
      <c r="M60" s="75">
        <v>25.5</v>
      </c>
      <c r="N60" s="75">
        <v>25</v>
      </c>
      <c r="O60" s="75">
        <v>23.7</v>
      </c>
      <c r="P60" s="75">
        <v>24.2</v>
      </c>
      <c r="Q60" s="75">
        <v>24.2</v>
      </c>
      <c r="R60" s="75">
        <v>24.2</v>
      </c>
      <c r="S60" s="75">
        <v>24.2</v>
      </c>
      <c r="T60" s="75">
        <v>24.2</v>
      </c>
      <c r="U60" s="75">
        <v>24.2</v>
      </c>
      <c r="V60" s="75">
        <v>24.2</v>
      </c>
      <c r="W60" s="75">
        <v>24.2</v>
      </c>
      <c r="X60" s="75">
        <v>24.2</v>
      </c>
      <c r="Y60" s="75">
        <v>24.2</v>
      </c>
      <c r="Z60" s="75">
        <v>24.2</v>
      </c>
      <c r="AA60" s="75">
        <v>24.2</v>
      </c>
      <c r="AB60" s="75">
        <v>24.2</v>
      </c>
      <c r="AC60" s="75">
        <v>24.2</v>
      </c>
      <c r="AD60" s="75">
        <v>24.2</v>
      </c>
      <c r="AE60" s="75">
        <v>24.5</v>
      </c>
      <c r="AF60" s="75">
        <v>23.1</v>
      </c>
      <c r="AG60" s="65">
        <v>60</v>
      </c>
      <c r="AH60" s="48">
        <f t="shared" si="8"/>
        <v>26.1</v>
      </c>
      <c r="AI60" s="49">
        <f t="shared" si="9"/>
        <v>23.1</v>
      </c>
      <c r="AK60" s="51"/>
    </row>
    <row r="61" spans="1:88" ht="15.75" thickBot="1" x14ac:dyDescent="0.3">
      <c r="A61" s="76" t="s">
        <v>78</v>
      </c>
      <c r="B61" s="77">
        <v>13.5</v>
      </c>
      <c r="C61" s="77">
        <v>13.5</v>
      </c>
      <c r="D61" s="77">
        <v>13.5</v>
      </c>
      <c r="E61" s="77">
        <v>15.2</v>
      </c>
      <c r="F61" s="77">
        <v>15.2</v>
      </c>
      <c r="G61" s="77">
        <v>19.399999999999999</v>
      </c>
      <c r="H61" s="77">
        <v>13.8</v>
      </c>
      <c r="I61" s="77">
        <v>13.8</v>
      </c>
      <c r="J61" s="77">
        <v>15.2</v>
      </c>
      <c r="K61" s="77"/>
      <c r="L61" s="77">
        <v>15.2</v>
      </c>
      <c r="M61" s="77">
        <v>15.3</v>
      </c>
      <c r="N61" s="77">
        <v>14.2</v>
      </c>
      <c r="O61" s="77">
        <v>14.1</v>
      </c>
      <c r="P61" s="77">
        <v>14.1</v>
      </c>
      <c r="Q61" s="77">
        <v>14.1</v>
      </c>
      <c r="R61" s="77">
        <v>14.1</v>
      </c>
      <c r="S61" s="77">
        <v>10.199999999999999</v>
      </c>
      <c r="T61" s="77">
        <v>10.199999999999999</v>
      </c>
      <c r="U61" s="77">
        <v>10.199999999999999</v>
      </c>
      <c r="V61" s="77">
        <v>10.199999999999999</v>
      </c>
      <c r="W61" s="77">
        <v>10.199999999999999</v>
      </c>
      <c r="X61" s="77">
        <v>10.199999999999999</v>
      </c>
      <c r="Y61" s="77">
        <v>10.199999999999999</v>
      </c>
      <c r="Z61" s="77">
        <v>18</v>
      </c>
      <c r="AA61" s="77">
        <v>18</v>
      </c>
      <c r="AB61" s="77">
        <v>18</v>
      </c>
      <c r="AC61" s="77">
        <v>18</v>
      </c>
      <c r="AD61" s="77">
        <v>18</v>
      </c>
      <c r="AE61" s="77">
        <v>22.3</v>
      </c>
      <c r="AF61" s="77">
        <v>22.3</v>
      </c>
      <c r="AG61" s="78">
        <v>22.1</v>
      </c>
      <c r="AH61" s="48">
        <f t="shared" si="8"/>
        <v>22.3</v>
      </c>
      <c r="AI61" s="49">
        <f t="shared" si="9"/>
        <v>10.199999999999999</v>
      </c>
      <c r="AK61" s="51"/>
    </row>
    <row r="62" spans="1:88" ht="15.75" thickBot="1" x14ac:dyDescent="0.3">
      <c r="A62" s="79" t="s">
        <v>79</v>
      </c>
      <c r="B62" s="70">
        <f t="shared" ref="B62:C62" si="27">SUM(B59:B61)</f>
        <v>167.4</v>
      </c>
      <c r="C62" s="70">
        <f t="shared" si="27"/>
        <v>164</v>
      </c>
      <c r="D62" s="70">
        <f t="shared" ref="D62" si="28">SUM(D59:D61)</f>
        <v>183.4</v>
      </c>
      <c r="E62" s="70">
        <f t="shared" ref="E62:AG62" si="29">SUM(E59:E61)</f>
        <v>79.8</v>
      </c>
      <c r="F62" s="70">
        <f t="shared" si="29"/>
        <v>39.799999999999997</v>
      </c>
      <c r="G62" s="70">
        <f t="shared" si="29"/>
        <v>44.5</v>
      </c>
      <c r="H62" s="70">
        <f t="shared" si="29"/>
        <v>38.900000000000006</v>
      </c>
      <c r="I62" s="70">
        <f t="shared" si="29"/>
        <v>39.900000000000006</v>
      </c>
      <c r="J62" s="70">
        <f t="shared" si="29"/>
        <v>55.900000000000006</v>
      </c>
      <c r="K62" s="70">
        <f t="shared" si="29"/>
        <v>0</v>
      </c>
      <c r="L62" s="70">
        <f t="shared" si="29"/>
        <v>117</v>
      </c>
      <c r="M62" s="70">
        <f t="shared" si="29"/>
        <v>122</v>
      </c>
      <c r="N62" s="70">
        <f t="shared" si="29"/>
        <v>69.2</v>
      </c>
      <c r="O62" s="70">
        <f t="shared" si="29"/>
        <v>67.8</v>
      </c>
      <c r="P62" s="70">
        <f t="shared" si="29"/>
        <v>104.6</v>
      </c>
      <c r="Q62" s="70">
        <f t="shared" si="29"/>
        <v>68.3</v>
      </c>
      <c r="R62" s="70">
        <f t="shared" si="29"/>
        <v>68.599999999999994</v>
      </c>
      <c r="S62" s="70">
        <f t="shared" si="29"/>
        <v>104.80000000000001</v>
      </c>
      <c r="T62" s="70">
        <f t="shared" si="29"/>
        <v>84.4</v>
      </c>
      <c r="U62" s="70">
        <f t="shared" si="29"/>
        <v>84.4</v>
      </c>
      <c r="V62" s="70">
        <f t="shared" si="29"/>
        <v>49.400000000000006</v>
      </c>
      <c r="W62" s="70">
        <f t="shared" si="29"/>
        <v>49.400000000000006</v>
      </c>
      <c r="X62" s="70">
        <f t="shared" si="29"/>
        <v>94.4</v>
      </c>
      <c r="Y62" s="70">
        <f t="shared" si="29"/>
        <v>154.39999999999998</v>
      </c>
      <c r="Z62" s="70">
        <f t="shared" si="29"/>
        <v>293.2</v>
      </c>
      <c r="AA62" s="70">
        <f t="shared" si="29"/>
        <v>368.2</v>
      </c>
      <c r="AB62" s="70">
        <f t="shared" si="29"/>
        <v>174.2</v>
      </c>
      <c r="AC62" s="70">
        <f t="shared" ref="AC62" si="30">SUM(AC59:AC61)</f>
        <v>174.2</v>
      </c>
      <c r="AD62" s="70">
        <f t="shared" si="29"/>
        <v>83.1</v>
      </c>
      <c r="AE62" s="70">
        <f t="shared" ref="AE62:AF62" si="31">SUM(AE59:AE61)</f>
        <v>46.8</v>
      </c>
      <c r="AF62" s="70">
        <f t="shared" si="31"/>
        <v>45.400000000000006</v>
      </c>
      <c r="AG62" s="71">
        <f t="shared" si="29"/>
        <v>538.1</v>
      </c>
      <c r="AH62" s="48">
        <f t="shared" si="8"/>
        <v>368.2</v>
      </c>
      <c r="AI62" s="49">
        <f t="shared" si="9"/>
        <v>0</v>
      </c>
      <c r="AK62" s="51"/>
    </row>
    <row r="63" spans="1:88" x14ac:dyDescent="0.25">
      <c r="A63" s="45" t="s">
        <v>80</v>
      </c>
      <c r="B63" s="46">
        <v>80.8</v>
      </c>
      <c r="C63" s="46">
        <v>30.9</v>
      </c>
      <c r="D63" s="46">
        <v>35.1</v>
      </c>
      <c r="E63" s="46">
        <v>48.1</v>
      </c>
      <c r="F63" s="46">
        <v>48.9</v>
      </c>
      <c r="G63" s="46">
        <v>61.1</v>
      </c>
      <c r="H63" s="46">
        <v>61.2</v>
      </c>
      <c r="I63" s="46">
        <v>61.3</v>
      </c>
      <c r="J63" s="46">
        <v>70.3</v>
      </c>
      <c r="K63" s="46"/>
      <c r="L63" s="46">
        <v>91</v>
      </c>
      <c r="M63" s="46">
        <v>91.4</v>
      </c>
      <c r="N63" s="46">
        <v>60.5</v>
      </c>
      <c r="O63" s="46">
        <v>70.3</v>
      </c>
      <c r="P63" s="46">
        <v>70.400000000000006</v>
      </c>
      <c r="Q63" s="46">
        <v>60.7</v>
      </c>
      <c r="R63" s="46">
        <v>50.2</v>
      </c>
      <c r="S63" s="46">
        <v>32.9</v>
      </c>
      <c r="T63" s="46">
        <v>48.6</v>
      </c>
      <c r="U63" s="46">
        <v>61.2</v>
      </c>
      <c r="V63" s="46">
        <v>81.3</v>
      </c>
      <c r="W63" s="46">
        <v>81.3</v>
      </c>
      <c r="X63" s="46">
        <v>100</v>
      </c>
      <c r="Y63" s="46">
        <v>123</v>
      </c>
      <c r="Z63" s="46">
        <v>120</v>
      </c>
      <c r="AA63" s="46">
        <v>142</v>
      </c>
      <c r="AB63" s="46">
        <v>121</v>
      </c>
      <c r="AC63" s="46">
        <v>144</v>
      </c>
      <c r="AD63" s="46">
        <v>112.8</v>
      </c>
      <c r="AE63" s="46">
        <v>122.7</v>
      </c>
      <c r="AF63" s="46">
        <v>111</v>
      </c>
      <c r="AG63" s="60">
        <v>144</v>
      </c>
      <c r="AH63" s="48">
        <f t="shared" si="8"/>
        <v>144</v>
      </c>
      <c r="AI63" s="49">
        <f t="shared" si="9"/>
        <v>30.9</v>
      </c>
      <c r="AK63" s="51"/>
    </row>
    <row r="64" spans="1:88" x14ac:dyDescent="0.25">
      <c r="A64" s="64" t="s">
        <v>81</v>
      </c>
      <c r="B64" s="75">
        <v>31.3</v>
      </c>
      <c r="C64" s="75">
        <v>0</v>
      </c>
      <c r="D64" s="75">
        <v>0</v>
      </c>
      <c r="E64" s="75">
        <v>0</v>
      </c>
      <c r="F64" s="75">
        <v>0</v>
      </c>
      <c r="G64" s="75">
        <v>24</v>
      </c>
      <c r="H64" s="75">
        <v>0</v>
      </c>
      <c r="I64" s="75">
        <v>0</v>
      </c>
      <c r="J64" s="75">
        <v>0</v>
      </c>
      <c r="K64" s="75"/>
      <c r="L64" s="75">
        <v>23</v>
      </c>
      <c r="M64" s="75">
        <v>24.3</v>
      </c>
      <c r="N64" s="75">
        <v>25.3</v>
      </c>
      <c r="O64" s="75">
        <v>35.4</v>
      </c>
      <c r="P64" s="75">
        <v>46.7</v>
      </c>
      <c r="Q64" s="75">
        <v>47.7</v>
      </c>
      <c r="R64" s="75">
        <v>58.3</v>
      </c>
      <c r="S64" s="75">
        <v>34.9</v>
      </c>
      <c r="T64" s="75">
        <v>34.9</v>
      </c>
      <c r="U64" s="75">
        <v>34.9</v>
      </c>
      <c r="V64" s="75">
        <v>25.7</v>
      </c>
      <c r="W64" s="75">
        <v>25.7</v>
      </c>
      <c r="X64" s="75">
        <v>25.7</v>
      </c>
      <c r="Y64" s="75">
        <v>47</v>
      </c>
      <c r="Z64" s="46">
        <v>47</v>
      </c>
      <c r="AA64" s="46">
        <v>60</v>
      </c>
      <c r="AB64" s="46">
        <v>50</v>
      </c>
      <c r="AC64" s="46">
        <v>60.3</v>
      </c>
      <c r="AD64" s="46">
        <v>59.7</v>
      </c>
      <c r="AE64" s="46">
        <v>72</v>
      </c>
      <c r="AF64" s="46">
        <v>72.599999999999994</v>
      </c>
      <c r="AG64" s="65">
        <v>70</v>
      </c>
      <c r="AH64" s="48">
        <f t="shared" si="8"/>
        <v>72.599999999999994</v>
      </c>
      <c r="AI64" s="49">
        <f t="shared" si="9"/>
        <v>0</v>
      </c>
      <c r="AK64" s="51"/>
    </row>
    <row r="65" spans="1:75" x14ac:dyDescent="0.25">
      <c r="A65" s="64" t="s">
        <v>82</v>
      </c>
      <c r="B65" s="75">
        <v>35</v>
      </c>
      <c r="C65" s="75">
        <v>0</v>
      </c>
      <c r="D65" s="75">
        <v>0</v>
      </c>
      <c r="E65" s="75">
        <v>42.4</v>
      </c>
      <c r="F65" s="75">
        <v>41.9</v>
      </c>
      <c r="G65" s="75">
        <v>31.8</v>
      </c>
      <c r="H65" s="75">
        <v>32.6</v>
      </c>
      <c r="I65" s="75">
        <v>32.6</v>
      </c>
      <c r="J65" s="75">
        <v>41.2</v>
      </c>
      <c r="K65" s="75"/>
      <c r="L65" s="75">
        <v>32.700000000000003</v>
      </c>
      <c r="M65" s="75">
        <v>34.299999999999997</v>
      </c>
      <c r="N65" s="75">
        <v>34.5</v>
      </c>
      <c r="O65" s="75">
        <v>32.700000000000003</v>
      </c>
      <c r="P65" s="75">
        <v>34.5</v>
      </c>
      <c r="Q65" s="75">
        <v>46.5</v>
      </c>
      <c r="R65" s="75">
        <v>45.5</v>
      </c>
      <c r="S65" s="75">
        <v>32.6</v>
      </c>
      <c r="T65" s="75">
        <v>22</v>
      </c>
      <c r="U65" s="75">
        <v>22</v>
      </c>
      <c r="V65" s="75">
        <v>0</v>
      </c>
      <c r="W65" s="75">
        <v>0</v>
      </c>
      <c r="X65" s="75">
        <v>0</v>
      </c>
      <c r="Y65" s="75">
        <v>45.3</v>
      </c>
      <c r="Z65" s="46">
        <v>45.2</v>
      </c>
      <c r="AA65" s="46">
        <v>55</v>
      </c>
      <c r="AB65" s="46">
        <v>55</v>
      </c>
      <c r="AC65" s="46">
        <v>55.3</v>
      </c>
      <c r="AD65" s="46">
        <v>55.3</v>
      </c>
      <c r="AE65" s="46">
        <v>44.7</v>
      </c>
      <c r="AF65" s="46">
        <v>33.299999999999997</v>
      </c>
      <c r="AG65" s="65">
        <v>69</v>
      </c>
      <c r="AH65" s="48">
        <f t="shared" si="8"/>
        <v>55.3</v>
      </c>
      <c r="AI65" s="49">
        <f t="shared" si="9"/>
        <v>0</v>
      </c>
      <c r="AK65" s="51"/>
    </row>
    <row r="66" spans="1:75" x14ac:dyDescent="0.25">
      <c r="A66" s="64" t="s">
        <v>83</v>
      </c>
      <c r="B66" s="75">
        <v>38.299999999999997</v>
      </c>
      <c r="C66" s="75">
        <v>38.299999999999997</v>
      </c>
      <c r="D66" s="75">
        <v>38.299999999999997</v>
      </c>
      <c r="E66" s="75">
        <v>46.4</v>
      </c>
      <c r="F66" s="75">
        <v>46.4</v>
      </c>
      <c r="G66" s="75">
        <v>44.3</v>
      </c>
      <c r="H66" s="75">
        <v>44.3</v>
      </c>
      <c r="I66" s="75">
        <v>45.3</v>
      </c>
      <c r="J66" s="75">
        <v>48.3</v>
      </c>
      <c r="K66" s="67"/>
      <c r="L66" s="67">
        <v>50.2</v>
      </c>
      <c r="M66" s="67">
        <v>50.2</v>
      </c>
      <c r="N66" s="75">
        <v>46.4</v>
      </c>
      <c r="O66" s="75">
        <v>45.1</v>
      </c>
      <c r="P66" s="75">
        <v>44.1</v>
      </c>
      <c r="Q66" s="75">
        <v>42.1</v>
      </c>
      <c r="R66" s="75">
        <v>42.1</v>
      </c>
      <c r="S66" s="75">
        <v>42.1</v>
      </c>
      <c r="T66" s="75">
        <v>42.1</v>
      </c>
      <c r="U66" s="75">
        <v>42.1</v>
      </c>
      <c r="V66" s="75">
        <v>39.299999999999997</v>
      </c>
      <c r="W66" s="75">
        <v>39.299999999999997</v>
      </c>
      <c r="X66" s="75">
        <v>39.299999999999997</v>
      </c>
      <c r="Y66" s="75">
        <v>39.299999999999997</v>
      </c>
      <c r="Z66" s="46">
        <v>60</v>
      </c>
      <c r="AA66" s="46">
        <v>60</v>
      </c>
      <c r="AB66" s="46">
        <v>50.4</v>
      </c>
      <c r="AC66" s="46">
        <v>30.7</v>
      </c>
      <c r="AD66" s="46">
        <v>0</v>
      </c>
      <c r="AE66" s="46">
        <v>60</v>
      </c>
      <c r="AF66" s="46">
        <v>55.9</v>
      </c>
      <c r="AG66" s="65">
        <v>60</v>
      </c>
      <c r="AH66" s="48">
        <f t="shared" si="8"/>
        <v>60</v>
      </c>
      <c r="AI66" s="49">
        <f t="shared" si="9"/>
        <v>0</v>
      </c>
      <c r="AK66" s="51"/>
    </row>
    <row r="67" spans="1:75" x14ac:dyDescent="0.25">
      <c r="A67" s="64" t="s">
        <v>84</v>
      </c>
      <c r="B67" s="46">
        <v>10.1</v>
      </c>
      <c r="C67" s="46">
        <v>0</v>
      </c>
      <c r="D67" s="46">
        <v>0</v>
      </c>
      <c r="E67" s="75">
        <v>0</v>
      </c>
      <c r="F67" s="75">
        <v>0</v>
      </c>
      <c r="G67" s="75">
        <v>15</v>
      </c>
      <c r="H67" s="75">
        <v>10</v>
      </c>
      <c r="I67" s="75">
        <v>15</v>
      </c>
      <c r="J67" s="75">
        <v>15</v>
      </c>
      <c r="K67" s="75"/>
      <c r="L67" s="67">
        <v>15</v>
      </c>
      <c r="M67" s="67">
        <v>24.3</v>
      </c>
      <c r="N67" s="75">
        <v>10.4</v>
      </c>
      <c r="O67" s="75">
        <v>10</v>
      </c>
      <c r="P67" s="75">
        <v>10.4</v>
      </c>
      <c r="Q67" s="75">
        <v>11.1</v>
      </c>
      <c r="R67" s="75">
        <v>10.3</v>
      </c>
      <c r="S67" s="75">
        <v>10.3</v>
      </c>
      <c r="T67" s="75">
        <v>10.3</v>
      </c>
      <c r="U67" s="75">
        <v>15</v>
      </c>
      <c r="V67" s="75">
        <v>15</v>
      </c>
      <c r="W67" s="75">
        <v>15</v>
      </c>
      <c r="X67" s="75">
        <v>15</v>
      </c>
      <c r="Y67" s="75">
        <v>15</v>
      </c>
      <c r="Z67" s="46">
        <v>28</v>
      </c>
      <c r="AA67" s="46">
        <v>28</v>
      </c>
      <c r="AB67" s="46">
        <v>28</v>
      </c>
      <c r="AC67" s="46">
        <v>27.3</v>
      </c>
      <c r="AD67" s="46">
        <v>27.3</v>
      </c>
      <c r="AE67" s="46">
        <v>0</v>
      </c>
      <c r="AF67" s="46">
        <v>0</v>
      </c>
      <c r="AG67" s="65">
        <v>30</v>
      </c>
      <c r="AH67" s="48">
        <f t="shared" si="8"/>
        <v>28</v>
      </c>
      <c r="AI67" s="49">
        <f t="shared" si="9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</row>
    <row r="68" spans="1:75" x14ac:dyDescent="0.25">
      <c r="A68" s="64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0.4</v>
      </c>
      <c r="K68" s="46"/>
      <c r="L68" s="75">
        <v>2.5</v>
      </c>
      <c r="M68" s="75">
        <v>4.4000000000000004</v>
      </c>
      <c r="N68" s="75">
        <v>12.3</v>
      </c>
      <c r="O68" s="75">
        <v>16.5</v>
      </c>
      <c r="P68" s="75">
        <v>17.899999999999999</v>
      </c>
      <c r="Q68" s="75">
        <v>16.899999999999999</v>
      </c>
      <c r="R68" s="75">
        <v>16.899999999999999</v>
      </c>
      <c r="S68" s="75">
        <v>15.5</v>
      </c>
      <c r="T68" s="75">
        <v>12</v>
      </c>
      <c r="U68" s="75">
        <v>7.3</v>
      </c>
      <c r="V68" s="75">
        <v>3.4</v>
      </c>
      <c r="W68" s="75">
        <v>1.5</v>
      </c>
      <c r="X68" s="75">
        <v>0</v>
      </c>
      <c r="Y68" s="75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5">
        <v>25</v>
      </c>
      <c r="AH68" s="48">
        <f t="shared" si="8"/>
        <v>17.899999999999999</v>
      </c>
      <c r="AI68" s="49">
        <f t="shared" si="9"/>
        <v>0</v>
      </c>
      <c r="AK68" s="51"/>
      <c r="AY68" s="1" t="s">
        <v>86</v>
      </c>
      <c r="AZ68" s="81">
        <f>ROUND(C81,0)</f>
        <v>34</v>
      </c>
      <c r="BA68" s="80">
        <f t="shared" ref="BA68:BD72" si="32">D81</f>
        <v>21.4</v>
      </c>
      <c r="BB68" s="80">
        <f t="shared" si="32"/>
        <v>27</v>
      </c>
      <c r="BC68" s="80">
        <f t="shared" si="32"/>
        <v>32.4</v>
      </c>
      <c r="BD68" s="80">
        <f t="shared" si="32"/>
        <v>40.700000000000003</v>
      </c>
      <c r="BE68" s="81">
        <f>I81</f>
        <v>40.299999999999997</v>
      </c>
      <c r="BF68" s="81">
        <f>K81</f>
        <v>32.1</v>
      </c>
      <c r="BG68" s="81">
        <f t="shared" ref="BG68:BP72" si="33">M81</f>
        <v>27.7</v>
      </c>
      <c r="BH68" s="81">
        <f t="shared" si="33"/>
        <v>36.4</v>
      </c>
      <c r="BI68" s="81">
        <f t="shared" si="33"/>
        <v>48.2</v>
      </c>
      <c r="BJ68" s="81">
        <f t="shared" si="33"/>
        <v>46.1</v>
      </c>
      <c r="BK68" s="81">
        <f t="shared" si="33"/>
        <v>44.6</v>
      </c>
      <c r="BL68" s="81">
        <f t="shared" si="33"/>
        <v>41.7</v>
      </c>
      <c r="BM68" s="81">
        <f t="shared" si="33"/>
        <v>37.4</v>
      </c>
      <c r="BN68" s="81">
        <f t="shared" si="33"/>
        <v>41.4</v>
      </c>
      <c r="BO68" s="81">
        <f t="shared" si="33"/>
        <v>45.1</v>
      </c>
      <c r="BP68" s="81">
        <f t="shared" si="33"/>
        <v>50.6</v>
      </c>
      <c r="BQ68" s="81">
        <f>X81</f>
        <v>56.5</v>
      </c>
      <c r="BR68" s="81">
        <f>Z81</f>
        <v>64</v>
      </c>
      <c r="BS68" s="80">
        <f>AB81</f>
        <v>51</v>
      </c>
      <c r="BT68" s="80">
        <f>AD81</f>
        <v>58</v>
      </c>
      <c r="BU68" s="80">
        <f>AE81</f>
        <v>55.5</v>
      </c>
      <c r="BV68" s="80">
        <f>AF81</f>
        <v>53.7</v>
      </c>
      <c r="BW68" s="80">
        <f>B81</f>
        <v>49.9</v>
      </c>
    </row>
    <row r="69" spans="1:75" x14ac:dyDescent="0.25">
      <c r="A69" s="64" t="s">
        <v>87</v>
      </c>
      <c r="B69" s="75">
        <v>15</v>
      </c>
      <c r="C69" s="75">
        <v>15</v>
      </c>
      <c r="D69" s="75">
        <v>15</v>
      </c>
      <c r="E69" s="75">
        <v>15</v>
      </c>
      <c r="F69" s="75">
        <v>15</v>
      </c>
      <c r="G69" s="75">
        <v>15</v>
      </c>
      <c r="H69" s="75">
        <v>15</v>
      </c>
      <c r="I69" s="75">
        <v>15</v>
      </c>
      <c r="J69" s="75">
        <v>15</v>
      </c>
      <c r="K69" s="75">
        <v>15</v>
      </c>
      <c r="L69" s="75">
        <v>15</v>
      </c>
      <c r="M69" s="75">
        <v>15</v>
      </c>
      <c r="N69" s="75">
        <v>15</v>
      </c>
      <c r="O69" s="75">
        <v>15</v>
      </c>
      <c r="P69" s="75">
        <v>15</v>
      </c>
      <c r="Q69" s="75">
        <v>15</v>
      </c>
      <c r="R69" s="75">
        <v>15</v>
      </c>
      <c r="S69" s="75">
        <v>15</v>
      </c>
      <c r="T69" s="75">
        <v>15</v>
      </c>
      <c r="U69" s="75">
        <v>15</v>
      </c>
      <c r="V69" s="75">
        <v>15</v>
      </c>
      <c r="W69" s="75">
        <v>15</v>
      </c>
      <c r="X69" s="75">
        <v>15</v>
      </c>
      <c r="Y69" s="75">
        <v>15</v>
      </c>
      <c r="Z69" s="75">
        <v>15</v>
      </c>
      <c r="AA69" s="75">
        <v>15</v>
      </c>
      <c r="AB69" s="75">
        <v>15</v>
      </c>
      <c r="AC69" s="75">
        <v>15</v>
      </c>
      <c r="AD69" s="75">
        <v>15</v>
      </c>
      <c r="AE69" s="75">
        <v>7</v>
      </c>
      <c r="AF69" s="75">
        <v>7</v>
      </c>
      <c r="AG69" s="65">
        <v>24</v>
      </c>
      <c r="AH69" s="48">
        <f t="shared" si="8"/>
        <v>15</v>
      </c>
      <c r="AI69" s="49">
        <f t="shared" si="9"/>
        <v>7</v>
      </c>
      <c r="AK69" s="51"/>
      <c r="AY69" s="1" t="s">
        <v>88</v>
      </c>
      <c r="AZ69" s="81">
        <f>ROUND(C82,0)</f>
        <v>0</v>
      </c>
      <c r="BA69" s="80">
        <f t="shared" si="32"/>
        <v>0</v>
      </c>
      <c r="BB69" s="80">
        <f t="shared" si="32"/>
        <v>0</v>
      </c>
      <c r="BC69" s="80">
        <f t="shared" si="32"/>
        <v>0</v>
      </c>
      <c r="BD69" s="80">
        <f t="shared" si="32"/>
        <v>0</v>
      </c>
      <c r="BE69" s="81">
        <f t="shared" ref="BE69:BE72" si="34">I82</f>
        <v>0</v>
      </c>
      <c r="BF69" s="81">
        <f t="shared" ref="BF69:BF72" si="35">K82</f>
        <v>0</v>
      </c>
      <c r="BG69" s="81">
        <f t="shared" si="33"/>
        <v>0</v>
      </c>
      <c r="BH69" s="81">
        <f t="shared" si="33"/>
        <v>0</v>
      </c>
      <c r="BI69" s="81">
        <f t="shared" si="33"/>
        <v>0</v>
      </c>
      <c r="BJ69" s="81">
        <f t="shared" si="33"/>
        <v>0</v>
      </c>
      <c r="BK69" s="81">
        <f t="shared" si="33"/>
        <v>0</v>
      </c>
      <c r="BL69" s="81">
        <f t="shared" si="33"/>
        <v>0</v>
      </c>
      <c r="BM69" s="81">
        <f t="shared" si="33"/>
        <v>0</v>
      </c>
      <c r="BN69" s="81">
        <f t="shared" si="33"/>
        <v>0</v>
      </c>
      <c r="BO69" s="81">
        <f t="shared" si="33"/>
        <v>0</v>
      </c>
      <c r="BP69" s="81">
        <f t="shared" si="33"/>
        <v>0</v>
      </c>
      <c r="BQ69" s="81">
        <f t="shared" ref="BQ69:BQ72" si="36">X82</f>
        <v>0</v>
      </c>
      <c r="BR69" s="81">
        <f t="shared" ref="BR69:BR72" si="37">Z82</f>
        <v>0</v>
      </c>
      <c r="BS69" s="80">
        <f t="shared" ref="BS69:BS72" si="38">AB82</f>
        <v>0</v>
      </c>
      <c r="BT69" s="80">
        <f t="shared" ref="BT69:BV72" si="39">AD82</f>
        <v>0</v>
      </c>
      <c r="BU69" s="80">
        <f t="shared" si="39"/>
        <v>0</v>
      </c>
      <c r="BV69" s="80">
        <f t="shared" si="39"/>
        <v>0</v>
      </c>
      <c r="BW69" s="80">
        <f t="shared" ref="BW69:BW72" si="40">B82</f>
        <v>0</v>
      </c>
    </row>
    <row r="70" spans="1:75" x14ac:dyDescent="0.25">
      <c r="A70" s="64" t="s">
        <v>89</v>
      </c>
      <c r="B70" s="75">
        <v>0</v>
      </c>
      <c r="C70" s="75">
        <v>0</v>
      </c>
      <c r="D70" s="75">
        <v>0</v>
      </c>
      <c r="E70" s="75">
        <v>0</v>
      </c>
      <c r="F70" s="75">
        <v>0</v>
      </c>
      <c r="G70" s="75">
        <v>0</v>
      </c>
      <c r="H70" s="75">
        <v>0</v>
      </c>
      <c r="I70" s="75">
        <v>0</v>
      </c>
      <c r="J70" s="75">
        <v>0</v>
      </c>
      <c r="K70" s="75">
        <v>0</v>
      </c>
      <c r="L70" s="75">
        <v>0</v>
      </c>
      <c r="M70" s="75">
        <v>0</v>
      </c>
      <c r="N70" s="75">
        <v>0</v>
      </c>
      <c r="O70" s="75">
        <v>0</v>
      </c>
      <c r="P70" s="75">
        <v>0</v>
      </c>
      <c r="Q70" s="75">
        <v>0</v>
      </c>
      <c r="R70" s="75">
        <v>0</v>
      </c>
      <c r="S70" s="75">
        <v>0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5">
        <v>0</v>
      </c>
      <c r="Z70" s="75">
        <v>0</v>
      </c>
      <c r="AA70" s="75">
        <v>0</v>
      </c>
      <c r="AB70" s="75">
        <v>0</v>
      </c>
      <c r="AC70" s="75">
        <v>0</v>
      </c>
      <c r="AD70" s="75">
        <v>0</v>
      </c>
      <c r="AE70" s="75">
        <v>0</v>
      </c>
      <c r="AF70" s="75">
        <v>0</v>
      </c>
      <c r="AG70" s="65">
        <v>15</v>
      </c>
      <c r="AH70" s="48">
        <f t="shared" si="8"/>
        <v>0</v>
      </c>
      <c r="AI70" s="49">
        <f t="shared" si="9"/>
        <v>0</v>
      </c>
      <c r="AK70" s="51"/>
      <c r="AL70" s="82"/>
      <c r="AO70" s="82"/>
      <c r="AY70" s="1" t="s">
        <v>90</v>
      </c>
      <c r="AZ70" s="81">
        <f>ROUND(C83,0)</f>
        <v>294</v>
      </c>
      <c r="BA70" s="80">
        <f t="shared" si="32"/>
        <v>242.3</v>
      </c>
      <c r="BB70" s="80">
        <f t="shared" si="32"/>
        <v>338.5</v>
      </c>
      <c r="BC70" s="80">
        <f t="shared" si="32"/>
        <v>410.2</v>
      </c>
      <c r="BD70" s="80">
        <f t="shared" si="32"/>
        <v>375</v>
      </c>
      <c r="BE70" s="81">
        <f t="shared" si="34"/>
        <v>390.5</v>
      </c>
      <c r="BF70" s="81">
        <f t="shared" si="35"/>
        <v>280</v>
      </c>
      <c r="BG70" s="81">
        <f t="shared" si="33"/>
        <v>305</v>
      </c>
      <c r="BH70" s="81">
        <f t="shared" si="33"/>
        <v>252.9</v>
      </c>
      <c r="BI70" s="81">
        <f t="shared" si="33"/>
        <v>280</v>
      </c>
      <c r="BJ70" s="81">
        <f t="shared" si="33"/>
        <v>227.3</v>
      </c>
      <c r="BK70" s="81">
        <f t="shared" si="33"/>
        <v>231</v>
      </c>
      <c r="BL70" s="81">
        <f t="shared" si="33"/>
        <v>257</v>
      </c>
      <c r="BM70" s="81">
        <f t="shared" si="33"/>
        <v>289</v>
      </c>
      <c r="BN70" s="81">
        <f t="shared" si="33"/>
        <v>290</v>
      </c>
      <c r="BO70" s="81">
        <f t="shared" si="33"/>
        <v>287</v>
      </c>
      <c r="BP70" s="81">
        <f t="shared" si="33"/>
        <v>277</v>
      </c>
      <c r="BQ70" s="81">
        <f t="shared" si="36"/>
        <v>297</v>
      </c>
      <c r="BR70" s="81">
        <f t="shared" si="37"/>
        <v>216</v>
      </c>
      <c r="BS70" s="80">
        <f t="shared" si="38"/>
        <v>250</v>
      </c>
      <c r="BT70" s="80">
        <f t="shared" si="39"/>
        <v>331</v>
      </c>
      <c r="BU70" s="80">
        <f t="shared" si="39"/>
        <v>278</v>
      </c>
      <c r="BV70" s="80">
        <f t="shared" si="39"/>
        <v>280.89999999999998</v>
      </c>
      <c r="BW70" s="80">
        <f t="shared" si="40"/>
        <v>302.10000000000002</v>
      </c>
    </row>
    <row r="71" spans="1:75" s="82" customFormat="1" x14ac:dyDescent="0.25">
      <c r="A71" s="64" t="s">
        <v>91</v>
      </c>
      <c r="B71" s="75">
        <v>8.6</v>
      </c>
      <c r="C71" s="75">
        <v>8.6</v>
      </c>
      <c r="D71" s="75">
        <v>8.6</v>
      </c>
      <c r="E71" s="75">
        <v>8.6</v>
      </c>
      <c r="F71" s="75">
        <v>8.6</v>
      </c>
      <c r="G71" s="75">
        <v>8.6</v>
      </c>
      <c r="H71" s="75">
        <v>8.6</v>
      </c>
      <c r="I71" s="75">
        <v>8.6</v>
      </c>
      <c r="J71" s="75">
        <v>8.6</v>
      </c>
      <c r="K71" s="75">
        <v>8.6</v>
      </c>
      <c r="L71" s="75">
        <v>8.6</v>
      </c>
      <c r="M71" s="75">
        <v>8.6</v>
      </c>
      <c r="N71" s="75">
        <v>8.6</v>
      </c>
      <c r="O71" s="75">
        <v>8.6</v>
      </c>
      <c r="P71" s="75">
        <v>8.6</v>
      </c>
      <c r="Q71" s="75">
        <v>8.6</v>
      </c>
      <c r="R71" s="75">
        <v>8.6</v>
      </c>
      <c r="S71" s="75">
        <v>8.6</v>
      </c>
      <c r="T71" s="75">
        <v>8.6</v>
      </c>
      <c r="U71" s="75">
        <v>10.1</v>
      </c>
      <c r="V71" s="75">
        <v>10.1</v>
      </c>
      <c r="W71" s="75">
        <v>10.1</v>
      </c>
      <c r="X71" s="75">
        <v>9.1</v>
      </c>
      <c r="Y71" s="75">
        <v>9.1</v>
      </c>
      <c r="Z71" s="75">
        <v>9.1</v>
      </c>
      <c r="AA71" s="75">
        <v>9.1</v>
      </c>
      <c r="AB71" s="75">
        <v>9.1</v>
      </c>
      <c r="AC71" s="75">
        <v>9.1</v>
      </c>
      <c r="AD71" s="75">
        <v>9.1</v>
      </c>
      <c r="AE71" s="75">
        <v>9.1999999999999993</v>
      </c>
      <c r="AF71" s="75">
        <v>4.7</v>
      </c>
      <c r="AG71" s="65">
        <v>14.1</v>
      </c>
      <c r="AH71" s="48">
        <f t="shared" si="8"/>
        <v>10.1</v>
      </c>
      <c r="AI71" s="49">
        <f t="shared" si="9"/>
        <v>4.7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53</v>
      </c>
      <c r="BA71" s="80">
        <f t="shared" si="32"/>
        <v>44.6</v>
      </c>
      <c r="BB71" s="80">
        <f t="shared" si="32"/>
        <v>9.5</v>
      </c>
      <c r="BC71" s="80">
        <f t="shared" si="32"/>
        <v>9.6</v>
      </c>
      <c r="BD71" s="80">
        <f t="shared" si="32"/>
        <v>9.5</v>
      </c>
      <c r="BE71" s="81">
        <f t="shared" si="34"/>
        <v>38.700000000000003</v>
      </c>
      <c r="BF71" s="81">
        <f t="shared" si="35"/>
        <v>29.8</v>
      </c>
      <c r="BG71" s="81">
        <f t="shared" si="33"/>
        <v>20.6</v>
      </c>
      <c r="BH71" s="81">
        <f t="shared" si="33"/>
        <v>38.6</v>
      </c>
      <c r="BI71" s="81">
        <f t="shared" si="33"/>
        <v>35</v>
      </c>
      <c r="BJ71" s="81">
        <f t="shared" si="33"/>
        <v>33.1</v>
      </c>
      <c r="BK71" s="81">
        <f t="shared" si="33"/>
        <v>40</v>
      </c>
      <c r="BL71" s="81">
        <f t="shared" si="33"/>
        <v>42.4</v>
      </c>
      <c r="BM71" s="81">
        <f t="shared" si="33"/>
        <v>31.8</v>
      </c>
      <c r="BN71" s="81">
        <f t="shared" si="33"/>
        <v>30.5</v>
      </c>
      <c r="BO71" s="81">
        <f t="shared" si="33"/>
        <v>31.7</v>
      </c>
      <c r="BP71" s="81">
        <f t="shared" si="33"/>
        <v>46.5</v>
      </c>
      <c r="BQ71" s="81">
        <f t="shared" si="36"/>
        <v>34.200000000000003</v>
      </c>
      <c r="BR71" s="81">
        <f t="shared" si="37"/>
        <v>0</v>
      </c>
      <c r="BS71" s="80">
        <f t="shared" si="38"/>
        <v>0</v>
      </c>
      <c r="BT71" s="80">
        <f t="shared" si="39"/>
        <v>0</v>
      </c>
      <c r="BU71" s="80">
        <f t="shared" si="39"/>
        <v>0</v>
      </c>
      <c r="BV71" s="80">
        <f t="shared" si="39"/>
        <v>0</v>
      </c>
      <c r="BW71" s="80">
        <f t="shared" si="40"/>
        <v>0</v>
      </c>
    </row>
    <row r="72" spans="1:75" x14ac:dyDescent="0.25">
      <c r="A72" s="83" t="s">
        <v>93</v>
      </c>
      <c r="B72" s="75">
        <v>6</v>
      </c>
      <c r="C72" s="75">
        <v>6</v>
      </c>
      <c r="D72" s="75">
        <v>6</v>
      </c>
      <c r="E72" s="75">
        <v>6</v>
      </c>
      <c r="F72" s="75">
        <v>6</v>
      </c>
      <c r="G72" s="75">
        <v>6</v>
      </c>
      <c r="H72" s="75">
        <v>6</v>
      </c>
      <c r="I72" s="75">
        <v>6</v>
      </c>
      <c r="J72" s="75">
        <v>6</v>
      </c>
      <c r="K72" s="75">
        <v>6</v>
      </c>
      <c r="L72" s="75">
        <v>6</v>
      </c>
      <c r="M72" s="75">
        <v>6</v>
      </c>
      <c r="N72" s="75">
        <v>6</v>
      </c>
      <c r="O72" s="75">
        <v>6</v>
      </c>
      <c r="P72" s="75">
        <v>6</v>
      </c>
      <c r="Q72" s="75">
        <v>6</v>
      </c>
      <c r="R72" s="75">
        <v>6</v>
      </c>
      <c r="S72" s="75">
        <v>6</v>
      </c>
      <c r="T72" s="75">
        <v>6</v>
      </c>
      <c r="U72" s="75">
        <v>6</v>
      </c>
      <c r="V72" s="75">
        <v>6</v>
      </c>
      <c r="W72" s="75">
        <v>6</v>
      </c>
      <c r="X72" s="75">
        <v>6.7</v>
      </c>
      <c r="Y72" s="75">
        <v>6.7</v>
      </c>
      <c r="Z72" s="75">
        <v>6.7</v>
      </c>
      <c r="AA72" s="75">
        <v>6.7</v>
      </c>
      <c r="AB72" s="75">
        <v>6.7</v>
      </c>
      <c r="AC72" s="75">
        <v>6.7</v>
      </c>
      <c r="AD72" s="75">
        <v>6.7</v>
      </c>
      <c r="AE72" s="75">
        <v>7.4</v>
      </c>
      <c r="AF72" s="75">
        <v>8.4</v>
      </c>
      <c r="AG72" s="65">
        <v>14</v>
      </c>
      <c r="AH72" s="48">
        <f t="shared" si="8"/>
        <v>8.4</v>
      </c>
      <c r="AI72" s="49">
        <f t="shared" si="9"/>
        <v>6</v>
      </c>
      <c r="AK72" s="51"/>
      <c r="AY72" s="1" t="s">
        <v>94</v>
      </c>
      <c r="AZ72" s="81">
        <f>ROUND(C85,0)</f>
        <v>0</v>
      </c>
      <c r="BA72" s="80">
        <f t="shared" si="32"/>
        <v>0</v>
      </c>
      <c r="BB72" s="80">
        <f t="shared" si="32"/>
        <v>0</v>
      </c>
      <c r="BC72" s="80">
        <f t="shared" si="32"/>
        <v>0</v>
      </c>
      <c r="BD72" s="80">
        <f t="shared" si="32"/>
        <v>0</v>
      </c>
      <c r="BE72" s="81">
        <f t="shared" si="34"/>
        <v>0</v>
      </c>
      <c r="BF72" s="81">
        <f t="shared" si="35"/>
        <v>0</v>
      </c>
      <c r="BG72" s="81">
        <f t="shared" si="33"/>
        <v>0</v>
      </c>
      <c r="BH72" s="81">
        <f t="shared" si="33"/>
        <v>0</v>
      </c>
      <c r="BI72" s="81">
        <f t="shared" si="33"/>
        <v>17.3</v>
      </c>
      <c r="BJ72" s="81">
        <f t="shared" si="33"/>
        <v>20</v>
      </c>
      <c r="BK72" s="81">
        <f t="shared" si="33"/>
        <v>20</v>
      </c>
      <c r="BL72" s="81">
        <f t="shared" si="33"/>
        <v>22.2</v>
      </c>
      <c r="BM72" s="81">
        <f t="shared" si="33"/>
        <v>21.2</v>
      </c>
      <c r="BN72" s="81">
        <f t="shared" si="33"/>
        <v>21.6</v>
      </c>
      <c r="BO72" s="81">
        <f t="shared" si="33"/>
        <v>17.399999999999999</v>
      </c>
      <c r="BP72" s="81">
        <f t="shared" si="33"/>
        <v>17</v>
      </c>
      <c r="BQ72" s="81">
        <f t="shared" si="36"/>
        <v>20</v>
      </c>
      <c r="BR72" s="81">
        <f t="shared" si="37"/>
        <v>0</v>
      </c>
      <c r="BS72" s="80">
        <f t="shared" si="38"/>
        <v>0</v>
      </c>
      <c r="BT72" s="80">
        <f t="shared" si="39"/>
        <v>0</v>
      </c>
      <c r="BU72" s="80">
        <f t="shared" si="39"/>
        <v>0</v>
      </c>
      <c r="BV72" s="80">
        <f t="shared" si="39"/>
        <v>0</v>
      </c>
      <c r="BW72" s="80">
        <f t="shared" si="40"/>
        <v>0</v>
      </c>
    </row>
    <row r="73" spans="1:75" x14ac:dyDescent="0.25">
      <c r="A73" s="64" t="s">
        <v>95</v>
      </c>
      <c r="B73" s="75">
        <v>0</v>
      </c>
      <c r="C73" s="75">
        <v>0</v>
      </c>
      <c r="D73" s="75">
        <v>0</v>
      </c>
      <c r="E73" s="75">
        <v>0</v>
      </c>
      <c r="F73" s="75">
        <v>0</v>
      </c>
      <c r="G73" s="75">
        <v>0</v>
      </c>
      <c r="H73" s="75">
        <v>0</v>
      </c>
      <c r="I73" s="75">
        <v>0</v>
      </c>
      <c r="J73" s="75">
        <v>0</v>
      </c>
      <c r="K73" s="75">
        <v>0</v>
      </c>
      <c r="L73" s="75">
        <v>0</v>
      </c>
      <c r="M73" s="75">
        <v>4.7</v>
      </c>
      <c r="N73" s="75">
        <v>4.7</v>
      </c>
      <c r="O73" s="75">
        <v>4.7</v>
      </c>
      <c r="P73" s="75">
        <v>4.7</v>
      </c>
      <c r="Q73" s="75">
        <v>4.7</v>
      </c>
      <c r="R73" s="75">
        <v>4.7</v>
      </c>
      <c r="S73" s="75">
        <v>4.7</v>
      </c>
      <c r="T73" s="75">
        <v>4.7</v>
      </c>
      <c r="U73" s="75">
        <v>4.7</v>
      </c>
      <c r="V73" s="75">
        <v>4.7</v>
      </c>
      <c r="W73" s="75">
        <v>4.7</v>
      </c>
      <c r="X73" s="75">
        <v>4.7</v>
      </c>
      <c r="Y73" s="75">
        <v>4.7</v>
      </c>
      <c r="Z73" s="75">
        <v>4.7</v>
      </c>
      <c r="AA73" s="75">
        <v>4.7</v>
      </c>
      <c r="AB73" s="75">
        <v>4.7</v>
      </c>
      <c r="AC73" s="75">
        <v>4.7</v>
      </c>
      <c r="AD73" s="75">
        <v>4.7</v>
      </c>
      <c r="AE73" s="75">
        <v>4.7</v>
      </c>
      <c r="AF73" s="75">
        <v>4.7</v>
      </c>
      <c r="AG73" s="65">
        <v>10.050000000000001</v>
      </c>
      <c r="AH73" s="48">
        <f t="shared" si="8"/>
        <v>4.7</v>
      </c>
      <c r="AI73" s="49">
        <f t="shared" si="9"/>
        <v>0</v>
      </c>
      <c r="AK73" s="51"/>
      <c r="AY73" s="1" t="s">
        <v>96</v>
      </c>
      <c r="AZ73" s="81">
        <f>ROUND(C91,0)</f>
        <v>61</v>
      </c>
      <c r="BA73" s="81">
        <f>D91</f>
        <v>62.6</v>
      </c>
      <c r="BB73" s="81">
        <f>E91</f>
        <v>65</v>
      </c>
      <c r="BC73" s="81">
        <f>F91</f>
        <v>54</v>
      </c>
      <c r="BD73" s="81">
        <f>G91</f>
        <v>63</v>
      </c>
      <c r="BE73" s="81">
        <f>I91</f>
        <v>51.1</v>
      </c>
      <c r="BF73" s="81">
        <f>K91</f>
        <v>59.4</v>
      </c>
      <c r="BG73" s="81">
        <f t="shared" ref="BG73:BP73" si="41">M91</f>
        <v>56.9</v>
      </c>
      <c r="BH73" s="81">
        <f t="shared" si="41"/>
        <v>60.1</v>
      </c>
      <c r="BI73" s="81">
        <f t="shared" si="41"/>
        <v>69.8</v>
      </c>
      <c r="BJ73" s="81">
        <f t="shared" si="41"/>
        <v>69</v>
      </c>
      <c r="BK73" s="81">
        <f t="shared" si="41"/>
        <v>69.5</v>
      </c>
      <c r="BL73" s="81">
        <f t="shared" si="41"/>
        <v>64.3</v>
      </c>
      <c r="BM73" s="81">
        <f t="shared" si="41"/>
        <v>73.400000000000006</v>
      </c>
      <c r="BN73" s="81">
        <f t="shared" si="41"/>
        <v>73.5</v>
      </c>
      <c r="BO73" s="81">
        <f t="shared" si="41"/>
        <v>73.400000000000006</v>
      </c>
      <c r="BP73" s="81">
        <f t="shared" si="41"/>
        <v>74.8</v>
      </c>
      <c r="BQ73" s="81">
        <f>X91</f>
        <v>62</v>
      </c>
      <c r="BR73" s="81">
        <f>Z91</f>
        <v>55.4</v>
      </c>
      <c r="BS73" s="81">
        <f>AB91</f>
        <v>0</v>
      </c>
      <c r="BT73" s="81">
        <f>AD91</f>
        <v>0</v>
      </c>
      <c r="BU73" s="81">
        <f>AE91</f>
        <v>0</v>
      </c>
      <c r="BV73" s="81">
        <f>AF91</f>
        <v>0</v>
      </c>
      <c r="BW73" s="81">
        <f>B91</f>
        <v>0</v>
      </c>
    </row>
    <row r="74" spans="1:75" x14ac:dyDescent="0.25">
      <c r="A74" s="64" t="s">
        <v>97</v>
      </c>
      <c r="B74" s="75">
        <v>4</v>
      </c>
      <c r="C74" s="75">
        <v>4</v>
      </c>
      <c r="D74" s="75">
        <v>4</v>
      </c>
      <c r="E74" s="75">
        <v>4</v>
      </c>
      <c r="F74" s="75">
        <v>4</v>
      </c>
      <c r="G74" s="75">
        <v>4</v>
      </c>
      <c r="H74" s="75">
        <v>4</v>
      </c>
      <c r="I74" s="75">
        <v>4</v>
      </c>
      <c r="J74" s="75">
        <v>4</v>
      </c>
      <c r="K74" s="75">
        <v>4</v>
      </c>
      <c r="L74" s="75">
        <v>4</v>
      </c>
      <c r="M74" s="75">
        <v>4</v>
      </c>
      <c r="N74" s="75">
        <v>4</v>
      </c>
      <c r="O74" s="75">
        <v>4</v>
      </c>
      <c r="P74" s="75">
        <v>4</v>
      </c>
      <c r="Q74" s="75">
        <v>4</v>
      </c>
      <c r="R74" s="75">
        <v>4</v>
      </c>
      <c r="S74" s="75">
        <v>4</v>
      </c>
      <c r="T74" s="75">
        <v>4</v>
      </c>
      <c r="U74" s="75">
        <v>4</v>
      </c>
      <c r="V74" s="75">
        <v>4</v>
      </c>
      <c r="W74" s="75">
        <v>4</v>
      </c>
      <c r="X74" s="75">
        <v>4</v>
      </c>
      <c r="Y74" s="75">
        <v>4</v>
      </c>
      <c r="Z74" s="75">
        <v>4</v>
      </c>
      <c r="AA74" s="75">
        <v>4</v>
      </c>
      <c r="AB74" s="75">
        <v>4</v>
      </c>
      <c r="AC74" s="75">
        <v>4</v>
      </c>
      <c r="AD74" s="75">
        <v>4</v>
      </c>
      <c r="AE74" s="75">
        <v>4</v>
      </c>
      <c r="AF74" s="75">
        <v>4</v>
      </c>
      <c r="AG74" s="65">
        <v>6.2</v>
      </c>
      <c r="AH74" s="48">
        <f t="shared" si="8"/>
        <v>4</v>
      </c>
      <c r="AI74" s="49">
        <f t="shared" si="9"/>
        <v>4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</row>
    <row r="75" spans="1:75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>
        <v>3.54</v>
      </c>
      <c r="W75" s="84">
        <v>3.54</v>
      </c>
      <c r="X75" s="84">
        <v>3.54</v>
      </c>
      <c r="Y75" s="84">
        <v>3.5</v>
      </c>
      <c r="Z75" s="84">
        <v>3.5</v>
      </c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8"/>
        <v>3.54</v>
      </c>
      <c r="AI75" s="49">
        <f t="shared" si="9"/>
        <v>3.5</v>
      </c>
      <c r="AK75" s="51"/>
      <c r="AZ75" s="81">
        <f>VALUE(AZ68)</f>
        <v>34</v>
      </c>
      <c r="BA75" s="81">
        <f t="shared" ref="BA75:BW75" si="42">VALUE(BA68)</f>
        <v>21.4</v>
      </c>
      <c r="BB75" s="81">
        <f t="shared" si="42"/>
        <v>27</v>
      </c>
      <c r="BC75" s="81">
        <f t="shared" si="42"/>
        <v>32.4</v>
      </c>
      <c r="BD75" s="81">
        <f t="shared" si="42"/>
        <v>40.700000000000003</v>
      </c>
      <c r="BE75" s="81">
        <f t="shared" si="42"/>
        <v>40.299999999999997</v>
      </c>
      <c r="BF75" s="81">
        <f t="shared" si="42"/>
        <v>32.1</v>
      </c>
      <c r="BG75" s="81">
        <f t="shared" si="42"/>
        <v>27.7</v>
      </c>
      <c r="BH75" s="81">
        <f t="shared" si="42"/>
        <v>36.4</v>
      </c>
      <c r="BI75" s="81">
        <f t="shared" si="42"/>
        <v>48.2</v>
      </c>
      <c r="BJ75" s="81">
        <f t="shared" si="42"/>
        <v>46.1</v>
      </c>
      <c r="BK75" s="81">
        <f t="shared" si="42"/>
        <v>44.6</v>
      </c>
      <c r="BL75" s="81">
        <f t="shared" si="42"/>
        <v>41.7</v>
      </c>
      <c r="BM75" s="81">
        <f t="shared" si="42"/>
        <v>37.4</v>
      </c>
      <c r="BN75" s="81">
        <f t="shared" si="42"/>
        <v>41.4</v>
      </c>
      <c r="BO75" s="81">
        <f t="shared" si="42"/>
        <v>45.1</v>
      </c>
      <c r="BP75" s="81">
        <f t="shared" si="42"/>
        <v>50.6</v>
      </c>
      <c r="BQ75" s="81">
        <f t="shared" si="42"/>
        <v>56.5</v>
      </c>
      <c r="BR75" s="81">
        <f t="shared" si="42"/>
        <v>64</v>
      </c>
      <c r="BS75" s="81">
        <f t="shared" si="42"/>
        <v>51</v>
      </c>
      <c r="BT75" s="81">
        <f t="shared" si="42"/>
        <v>58</v>
      </c>
      <c r="BU75" s="81">
        <f t="shared" si="42"/>
        <v>55.5</v>
      </c>
      <c r="BV75" s="81">
        <f t="shared" si="42"/>
        <v>53.7</v>
      </c>
      <c r="BW75" s="81">
        <f t="shared" si="42"/>
        <v>49.9</v>
      </c>
    </row>
    <row r="76" spans="1:75" ht="15.75" thickBot="1" x14ac:dyDescent="0.3">
      <c r="A76" s="86" t="s">
        <v>99</v>
      </c>
      <c r="B76" s="70">
        <f t="shared" ref="B76:C76" si="43">SUM(B63:B75)</f>
        <v>232.63999999999996</v>
      </c>
      <c r="C76" s="70">
        <f t="shared" si="43"/>
        <v>106.33999999999999</v>
      </c>
      <c r="D76" s="70">
        <f t="shared" ref="D76" si="44">SUM(D63:D75)</f>
        <v>110.54</v>
      </c>
      <c r="E76" s="70">
        <f t="shared" ref="E76:AG76" si="45">SUM(E63:E75)</f>
        <v>174.04</v>
      </c>
      <c r="F76" s="70">
        <f t="shared" si="45"/>
        <v>174.33999999999997</v>
      </c>
      <c r="G76" s="70">
        <f t="shared" si="45"/>
        <v>213.33999999999997</v>
      </c>
      <c r="H76" s="70">
        <f t="shared" si="45"/>
        <v>185.24</v>
      </c>
      <c r="I76" s="70">
        <f t="shared" si="45"/>
        <v>191.33999999999997</v>
      </c>
      <c r="J76" s="70">
        <f t="shared" si="45"/>
        <v>212.34</v>
      </c>
      <c r="K76" s="70">
        <f t="shared" si="45"/>
        <v>37.14</v>
      </c>
      <c r="L76" s="70">
        <f t="shared" si="45"/>
        <v>251.53999999999996</v>
      </c>
      <c r="M76" s="70">
        <f t="shared" si="45"/>
        <v>270.74</v>
      </c>
      <c r="N76" s="70">
        <f t="shared" si="45"/>
        <v>231.23999999999998</v>
      </c>
      <c r="O76" s="70">
        <f t="shared" si="45"/>
        <v>251.83999999999995</v>
      </c>
      <c r="P76" s="70">
        <f t="shared" si="45"/>
        <v>265.84000000000003</v>
      </c>
      <c r="Q76" s="70">
        <f t="shared" si="45"/>
        <v>266.84000000000003</v>
      </c>
      <c r="R76" s="70">
        <f t="shared" si="45"/>
        <v>265.14000000000004</v>
      </c>
      <c r="S76" s="70">
        <f t="shared" si="45"/>
        <v>210.14</v>
      </c>
      <c r="T76" s="70">
        <f t="shared" si="45"/>
        <v>211.73999999999998</v>
      </c>
      <c r="U76" s="70">
        <f t="shared" si="45"/>
        <v>225.83999999999997</v>
      </c>
      <c r="V76" s="70">
        <f t="shared" si="45"/>
        <v>208.04</v>
      </c>
      <c r="W76" s="70">
        <f t="shared" si="45"/>
        <v>206.14</v>
      </c>
      <c r="X76" s="70">
        <f t="shared" si="45"/>
        <v>223.03999999999996</v>
      </c>
      <c r="Y76" s="70">
        <f>SUM(Y63:Y75)</f>
        <v>312.60000000000002</v>
      </c>
      <c r="Z76" s="70">
        <f>SUM(Z63:Z75)</f>
        <v>343.2</v>
      </c>
      <c r="AA76" s="70">
        <f t="shared" si="45"/>
        <v>388.04</v>
      </c>
      <c r="AB76" s="70">
        <f t="shared" si="45"/>
        <v>347.44</v>
      </c>
      <c r="AC76" s="70">
        <f t="shared" ref="AC76" si="46">SUM(AC63:AC75)</f>
        <v>360.64000000000004</v>
      </c>
      <c r="AD76" s="70">
        <f t="shared" si="45"/>
        <v>298.14000000000004</v>
      </c>
      <c r="AE76" s="70">
        <f t="shared" ref="AE76:AF76" si="47">SUM(AE63:AE75)</f>
        <v>335.23999999999995</v>
      </c>
      <c r="AF76" s="70">
        <f t="shared" si="47"/>
        <v>305.13999999999993</v>
      </c>
      <c r="AG76" s="71">
        <f t="shared" si="45"/>
        <v>489.91</v>
      </c>
      <c r="AH76" s="48">
        <f t="shared" si="8"/>
        <v>388.04</v>
      </c>
      <c r="AI76" s="49">
        <f t="shared" si="9"/>
        <v>37.14</v>
      </c>
      <c r="AK76" s="51"/>
      <c r="AZ76" s="81">
        <f t="shared" ref="AZ76:BW80" si="48">VALUE(AZ69)</f>
        <v>0</v>
      </c>
      <c r="BA76" s="81">
        <f t="shared" si="48"/>
        <v>0</v>
      </c>
      <c r="BB76" s="81">
        <f t="shared" si="48"/>
        <v>0</v>
      </c>
      <c r="BC76" s="81">
        <f t="shared" si="48"/>
        <v>0</v>
      </c>
      <c r="BD76" s="81">
        <f t="shared" si="48"/>
        <v>0</v>
      </c>
      <c r="BE76" s="81">
        <f t="shared" si="48"/>
        <v>0</v>
      </c>
      <c r="BF76" s="81">
        <f t="shared" si="48"/>
        <v>0</v>
      </c>
      <c r="BG76" s="81">
        <f t="shared" si="48"/>
        <v>0</v>
      </c>
      <c r="BH76" s="81">
        <f t="shared" si="48"/>
        <v>0</v>
      </c>
      <c r="BI76" s="81">
        <f t="shared" si="48"/>
        <v>0</v>
      </c>
      <c r="BJ76" s="81">
        <f t="shared" si="48"/>
        <v>0</v>
      </c>
      <c r="BK76" s="81">
        <f t="shared" si="48"/>
        <v>0</v>
      </c>
      <c r="BL76" s="81">
        <f t="shared" si="48"/>
        <v>0</v>
      </c>
      <c r="BM76" s="81">
        <f t="shared" si="48"/>
        <v>0</v>
      </c>
      <c r="BN76" s="81">
        <f t="shared" si="48"/>
        <v>0</v>
      </c>
      <c r="BO76" s="81">
        <f t="shared" si="48"/>
        <v>0</v>
      </c>
      <c r="BP76" s="81">
        <f t="shared" si="48"/>
        <v>0</v>
      </c>
      <c r="BQ76" s="81">
        <f t="shared" si="48"/>
        <v>0</v>
      </c>
      <c r="BR76" s="81">
        <f t="shared" si="48"/>
        <v>0</v>
      </c>
      <c r="BS76" s="81">
        <f t="shared" si="48"/>
        <v>0</v>
      </c>
      <c r="BT76" s="81">
        <f t="shared" si="48"/>
        <v>0</v>
      </c>
      <c r="BU76" s="81">
        <f t="shared" si="48"/>
        <v>0</v>
      </c>
      <c r="BV76" s="81">
        <f t="shared" si="48"/>
        <v>0</v>
      </c>
      <c r="BW76" s="81">
        <f t="shared" si="48"/>
        <v>0</v>
      </c>
    </row>
    <row r="77" spans="1:75" x14ac:dyDescent="0.25">
      <c r="A77" s="45" t="s">
        <v>100</v>
      </c>
      <c r="B77" s="46">
        <v>0</v>
      </c>
      <c r="C77" s="46">
        <v>0</v>
      </c>
      <c r="D77" s="46">
        <v>0</v>
      </c>
      <c r="E77" s="46">
        <v>0</v>
      </c>
      <c r="F77" s="46">
        <v>0</v>
      </c>
      <c r="G77" s="46">
        <v>0</v>
      </c>
      <c r="H77" s="46">
        <v>0</v>
      </c>
      <c r="I77" s="46">
        <v>0</v>
      </c>
      <c r="J77" s="46">
        <v>0</v>
      </c>
      <c r="K77" s="46">
        <v>0</v>
      </c>
      <c r="L77" s="46">
        <v>0</v>
      </c>
      <c r="M77" s="46">
        <v>0</v>
      </c>
      <c r="N77" s="46">
        <v>0</v>
      </c>
      <c r="O77" s="46">
        <v>0</v>
      </c>
      <c r="P77" s="46">
        <v>0</v>
      </c>
      <c r="Q77" s="46">
        <v>0</v>
      </c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60">
        <v>60</v>
      </c>
      <c r="AH77" s="48">
        <f t="shared" si="8"/>
        <v>0</v>
      </c>
      <c r="AI77" s="49">
        <f t="shared" si="9"/>
        <v>0</v>
      </c>
      <c r="AK77" s="51"/>
      <c r="AZ77" s="81">
        <f t="shared" si="48"/>
        <v>294</v>
      </c>
      <c r="BA77" s="81">
        <f t="shared" si="48"/>
        <v>242.3</v>
      </c>
      <c r="BB77" s="81">
        <f t="shared" si="48"/>
        <v>338.5</v>
      </c>
      <c r="BC77" s="81">
        <f t="shared" si="48"/>
        <v>410.2</v>
      </c>
      <c r="BD77" s="81">
        <f t="shared" si="48"/>
        <v>375</v>
      </c>
      <c r="BE77" s="81">
        <f t="shared" si="48"/>
        <v>390.5</v>
      </c>
      <c r="BF77" s="81">
        <f t="shared" si="48"/>
        <v>280</v>
      </c>
      <c r="BG77" s="81">
        <f t="shared" si="48"/>
        <v>305</v>
      </c>
      <c r="BH77" s="81">
        <f t="shared" si="48"/>
        <v>252.9</v>
      </c>
      <c r="BI77" s="81">
        <f t="shared" si="48"/>
        <v>280</v>
      </c>
      <c r="BJ77" s="81">
        <f t="shared" si="48"/>
        <v>227.3</v>
      </c>
      <c r="BK77" s="81">
        <f t="shared" si="48"/>
        <v>231</v>
      </c>
      <c r="BL77" s="81">
        <f t="shared" si="48"/>
        <v>257</v>
      </c>
      <c r="BM77" s="81">
        <f t="shared" si="48"/>
        <v>289</v>
      </c>
      <c r="BN77" s="81">
        <f t="shared" si="48"/>
        <v>290</v>
      </c>
      <c r="BO77" s="81">
        <f t="shared" si="48"/>
        <v>287</v>
      </c>
      <c r="BP77" s="81">
        <f t="shared" si="48"/>
        <v>277</v>
      </c>
      <c r="BQ77" s="81">
        <f t="shared" si="48"/>
        <v>297</v>
      </c>
      <c r="BR77" s="81">
        <f t="shared" si="48"/>
        <v>216</v>
      </c>
      <c r="BS77" s="81">
        <f t="shared" si="48"/>
        <v>250</v>
      </c>
      <c r="BT77" s="81">
        <f t="shared" si="48"/>
        <v>331</v>
      </c>
      <c r="BU77" s="81">
        <f t="shared" si="48"/>
        <v>278</v>
      </c>
      <c r="BV77" s="81">
        <f t="shared" si="48"/>
        <v>280.89999999999998</v>
      </c>
      <c r="BW77" s="81">
        <f t="shared" si="48"/>
        <v>302.10000000000002</v>
      </c>
    </row>
    <row r="78" spans="1:75" x14ac:dyDescent="0.25">
      <c r="A78" s="64" t="s">
        <v>101</v>
      </c>
      <c r="B78" s="75">
        <v>0</v>
      </c>
      <c r="C78" s="75">
        <v>0</v>
      </c>
      <c r="D78" s="75">
        <v>0</v>
      </c>
      <c r="E78" s="75">
        <v>0</v>
      </c>
      <c r="F78" s="75">
        <v>0</v>
      </c>
      <c r="G78" s="75">
        <v>0</v>
      </c>
      <c r="H78" s="75">
        <v>0</v>
      </c>
      <c r="I78" s="75">
        <v>0</v>
      </c>
      <c r="J78" s="75">
        <v>0</v>
      </c>
      <c r="K78" s="75">
        <v>0</v>
      </c>
      <c r="L78" s="75">
        <v>0</v>
      </c>
      <c r="M78" s="75">
        <v>0</v>
      </c>
      <c r="N78" s="75">
        <v>0</v>
      </c>
      <c r="O78" s="75">
        <v>0</v>
      </c>
      <c r="P78" s="75">
        <v>0</v>
      </c>
      <c r="Q78" s="75">
        <v>0</v>
      </c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65">
        <v>32</v>
      </c>
      <c r="AH78" s="48">
        <f t="shared" si="8"/>
        <v>0</v>
      </c>
      <c r="AI78" s="49">
        <f t="shared" si="9"/>
        <v>0</v>
      </c>
      <c r="AK78" s="51"/>
      <c r="AZ78" s="81">
        <f t="shared" si="48"/>
        <v>53</v>
      </c>
      <c r="BA78" s="81">
        <f t="shared" si="48"/>
        <v>44.6</v>
      </c>
      <c r="BB78" s="81">
        <f t="shared" si="48"/>
        <v>9.5</v>
      </c>
      <c r="BC78" s="81">
        <f t="shared" si="48"/>
        <v>9.6</v>
      </c>
      <c r="BD78" s="81">
        <f t="shared" si="48"/>
        <v>9.5</v>
      </c>
      <c r="BE78" s="81">
        <f t="shared" si="48"/>
        <v>38.700000000000003</v>
      </c>
      <c r="BF78" s="81">
        <f t="shared" si="48"/>
        <v>29.8</v>
      </c>
      <c r="BG78" s="81">
        <f t="shared" si="48"/>
        <v>20.6</v>
      </c>
      <c r="BH78" s="81">
        <f t="shared" si="48"/>
        <v>38.6</v>
      </c>
      <c r="BI78" s="81">
        <f t="shared" si="48"/>
        <v>35</v>
      </c>
      <c r="BJ78" s="81">
        <f t="shared" si="48"/>
        <v>33.1</v>
      </c>
      <c r="BK78" s="81">
        <f t="shared" si="48"/>
        <v>40</v>
      </c>
      <c r="BL78" s="81">
        <f t="shared" si="48"/>
        <v>42.4</v>
      </c>
      <c r="BM78" s="81">
        <f t="shared" si="48"/>
        <v>31.8</v>
      </c>
      <c r="BN78" s="81">
        <f t="shared" si="48"/>
        <v>30.5</v>
      </c>
      <c r="BO78" s="81">
        <f t="shared" si="48"/>
        <v>31.7</v>
      </c>
      <c r="BP78" s="81">
        <f t="shared" si="48"/>
        <v>46.5</v>
      </c>
      <c r="BQ78" s="81">
        <f t="shared" si="48"/>
        <v>34.200000000000003</v>
      </c>
      <c r="BR78" s="81">
        <f t="shared" si="48"/>
        <v>0</v>
      </c>
      <c r="BS78" s="81">
        <f t="shared" si="48"/>
        <v>0</v>
      </c>
      <c r="BT78" s="81">
        <f t="shared" si="48"/>
        <v>0</v>
      </c>
      <c r="BU78" s="81">
        <f t="shared" si="48"/>
        <v>0</v>
      </c>
      <c r="BV78" s="81">
        <f t="shared" si="48"/>
        <v>0</v>
      </c>
      <c r="BW78" s="81">
        <f t="shared" si="48"/>
        <v>0</v>
      </c>
    </row>
    <row r="79" spans="1:75" ht="15.75" thickBot="1" x14ac:dyDescent="0.3">
      <c r="A79" s="83" t="s">
        <v>102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8">
        <v>14</v>
      </c>
      <c r="AH79" s="48">
        <f t="shared" si="8"/>
        <v>0</v>
      </c>
      <c r="AI79" s="49">
        <f t="shared" si="9"/>
        <v>0</v>
      </c>
      <c r="AK79" s="51"/>
      <c r="AZ79" s="81">
        <f t="shared" si="48"/>
        <v>0</v>
      </c>
      <c r="BA79" s="81">
        <f t="shared" si="48"/>
        <v>0</v>
      </c>
      <c r="BB79" s="81">
        <f t="shared" si="48"/>
        <v>0</v>
      </c>
      <c r="BC79" s="81">
        <f t="shared" si="48"/>
        <v>0</v>
      </c>
      <c r="BD79" s="81">
        <f t="shared" si="48"/>
        <v>0</v>
      </c>
      <c r="BE79" s="81">
        <f t="shared" si="48"/>
        <v>0</v>
      </c>
      <c r="BF79" s="81">
        <f t="shared" si="48"/>
        <v>0</v>
      </c>
      <c r="BG79" s="81">
        <f t="shared" si="48"/>
        <v>0</v>
      </c>
      <c r="BH79" s="81">
        <f t="shared" si="48"/>
        <v>0</v>
      </c>
      <c r="BI79" s="81">
        <f t="shared" si="48"/>
        <v>17.3</v>
      </c>
      <c r="BJ79" s="81">
        <f t="shared" si="48"/>
        <v>20</v>
      </c>
      <c r="BK79" s="81">
        <f t="shared" si="48"/>
        <v>20</v>
      </c>
      <c r="BL79" s="81">
        <f t="shared" si="48"/>
        <v>22.2</v>
      </c>
      <c r="BM79" s="81">
        <f t="shared" si="48"/>
        <v>21.2</v>
      </c>
      <c r="BN79" s="81">
        <f t="shared" si="48"/>
        <v>21.6</v>
      </c>
      <c r="BO79" s="81">
        <f t="shared" si="48"/>
        <v>17.399999999999999</v>
      </c>
      <c r="BP79" s="81">
        <f t="shared" si="48"/>
        <v>17</v>
      </c>
      <c r="BQ79" s="81">
        <f t="shared" si="48"/>
        <v>20</v>
      </c>
      <c r="BR79" s="81">
        <f t="shared" si="48"/>
        <v>0</v>
      </c>
      <c r="BS79" s="81">
        <f t="shared" si="48"/>
        <v>0</v>
      </c>
      <c r="BT79" s="81">
        <f t="shared" si="48"/>
        <v>0</v>
      </c>
      <c r="BU79" s="81">
        <f t="shared" si="48"/>
        <v>0</v>
      </c>
      <c r="BV79" s="81">
        <f t="shared" si="48"/>
        <v>0</v>
      </c>
      <c r="BW79" s="81">
        <f t="shared" si="48"/>
        <v>0</v>
      </c>
    </row>
    <row r="80" spans="1:75" ht="15.75" thickBot="1" x14ac:dyDescent="0.3">
      <c r="A80" s="86" t="s">
        <v>103</v>
      </c>
      <c r="B80" s="70">
        <f t="shared" ref="B80:C80" si="49">B77+B78+B79</f>
        <v>0</v>
      </c>
      <c r="C80" s="70">
        <f t="shared" si="49"/>
        <v>0</v>
      </c>
      <c r="D80" s="70">
        <f t="shared" ref="D80" si="50">D77+D78+D79</f>
        <v>0</v>
      </c>
      <c r="E80" s="70">
        <f t="shared" ref="E80:AD80" si="51">E77+E78+E79</f>
        <v>0</v>
      </c>
      <c r="F80" s="70">
        <f t="shared" si="51"/>
        <v>0</v>
      </c>
      <c r="G80" s="70">
        <f t="shared" si="51"/>
        <v>0</v>
      </c>
      <c r="H80" s="70">
        <f t="shared" si="51"/>
        <v>0</v>
      </c>
      <c r="I80" s="70">
        <f t="shared" si="51"/>
        <v>0</v>
      </c>
      <c r="J80" s="70">
        <f t="shared" si="51"/>
        <v>0</v>
      </c>
      <c r="K80" s="70">
        <f t="shared" si="51"/>
        <v>0</v>
      </c>
      <c r="L80" s="70">
        <f t="shared" si="51"/>
        <v>0</v>
      </c>
      <c r="M80" s="70">
        <f t="shared" si="51"/>
        <v>0</v>
      </c>
      <c r="N80" s="70">
        <f t="shared" si="51"/>
        <v>0</v>
      </c>
      <c r="O80" s="70">
        <f t="shared" si="51"/>
        <v>0</v>
      </c>
      <c r="P80" s="70">
        <f t="shared" si="51"/>
        <v>0</v>
      </c>
      <c r="Q80" s="70">
        <f t="shared" si="51"/>
        <v>0</v>
      </c>
      <c r="R80" s="70">
        <f t="shared" si="51"/>
        <v>0</v>
      </c>
      <c r="S80" s="70">
        <f t="shared" si="51"/>
        <v>0</v>
      </c>
      <c r="T80" s="70">
        <f t="shared" si="51"/>
        <v>0</v>
      </c>
      <c r="U80" s="70">
        <f t="shared" si="51"/>
        <v>0</v>
      </c>
      <c r="V80" s="70">
        <f t="shared" si="51"/>
        <v>0</v>
      </c>
      <c r="W80" s="70">
        <f t="shared" si="51"/>
        <v>0</v>
      </c>
      <c r="X80" s="70">
        <f t="shared" si="51"/>
        <v>0</v>
      </c>
      <c r="Y80" s="70">
        <f>Y77+Y78+Y79</f>
        <v>0</v>
      </c>
      <c r="Z80" s="70">
        <f>Z77+Z78+Z79</f>
        <v>0</v>
      </c>
      <c r="AA80" s="70">
        <f t="shared" si="51"/>
        <v>0</v>
      </c>
      <c r="AB80" s="70">
        <f t="shared" si="51"/>
        <v>0</v>
      </c>
      <c r="AC80" s="70">
        <f t="shared" ref="AC80" si="52">AC77+AC78+AC79</f>
        <v>0</v>
      </c>
      <c r="AD80" s="70">
        <f t="shared" si="51"/>
        <v>0</v>
      </c>
      <c r="AE80" s="70">
        <f t="shared" ref="AE80:AF80" si="53">AE77+AE78+AE79</f>
        <v>0</v>
      </c>
      <c r="AF80" s="70">
        <f t="shared" si="53"/>
        <v>0</v>
      </c>
      <c r="AG80" s="71">
        <f>SUM(AG77:AG79)</f>
        <v>106</v>
      </c>
      <c r="AH80" s="48">
        <f t="shared" si="8"/>
        <v>0</v>
      </c>
      <c r="AI80" s="49">
        <f t="shared" si="9"/>
        <v>0</v>
      </c>
      <c r="AK80" s="51"/>
      <c r="AZ80" s="81">
        <f t="shared" si="48"/>
        <v>61</v>
      </c>
      <c r="BA80" s="81">
        <f t="shared" si="48"/>
        <v>62.6</v>
      </c>
      <c r="BB80" s="81">
        <f t="shared" si="48"/>
        <v>65</v>
      </c>
      <c r="BC80" s="81">
        <f t="shared" si="48"/>
        <v>54</v>
      </c>
      <c r="BD80" s="81">
        <f t="shared" si="48"/>
        <v>63</v>
      </c>
      <c r="BE80" s="81">
        <f t="shared" si="48"/>
        <v>51.1</v>
      </c>
      <c r="BF80" s="81">
        <f t="shared" si="48"/>
        <v>59.4</v>
      </c>
      <c r="BG80" s="81">
        <f t="shared" si="48"/>
        <v>56.9</v>
      </c>
      <c r="BH80" s="81">
        <f t="shared" si="48"/>
        <v>60.1</v>
      </c>
      <c r="BI80" s="81">
        <f t="shared" si="48"/>
        <v>69.8</v>
      </c>
      <c r="BJ80" s="81">
        <f t="shared" si="48"/>
        <v>69</v>
      </c>
      <c r="BK80" s="81">
        <f t="shared" si="48"/>
        <v>69.5</v>
      </c>
      <c r="BL80" s="81">
        <f t="shared" si="48"/>
        <v>64.3</v>
      </c>
      <c r="BM80" s="81">
        <f t="shared" si="48"/>
        <v>73.400000000000006</v>
      </c>
      <c r="BN80" s="81">
        <f t="shared" si="48"/>
        <v>73.5</v>
      </c>
      <c r="BO80" s="81">
        <f t="shared" si="48"/>
        <v>73.400000000000006</v>
      </c>
      <c r="BP80" s="81">
        <f t="shared" si="48"/>
        <v>74.8</v>
      </c>
      <c r="BQ80" s="81">
        <f t="shared" si="48"/>
        <v>62</v>
      </c>
      <c r="BR80" s="81">
        <f t="shared" si="48"/>
        <v>55.4</v>
      </c>
      <c r="BS80" s="81">
        <f t="shared" si="48"/>
        <v>0</v>
      </c>
      <c r="BT80" s="81">
        <f t="shared" si="48"/>
        <v>0</v>
      </c>
      <c r="BU80" s="81">
        <f t="shared" si="48"/>
        <v>0</v>
      </c>
      <c r="BV80" s="81">
        <f t="shared" si="48"/>
        <v>0</v>
      </c>
      <c r="BW80" s="81">
        <f t="shared" si="48"/>
        <v>0</v>
      </c>
    </row>
    <row r="81" spans="1:64" x14ac:dyDescent="0.25">
      <c r="A81" s="45" t="s">
        <v>104</v>
      </c>
      <c r="B81" s="46">
        <v>49.9</v>
      </c>
      <c r="C81" s="46">
        <v>34.200000000000003</v>
      </c>
      <c r="D81" s="46">
        <v>21.4</v>
      </c>
      <c r="E81" s="46">
        <v>27</v>
      </c>
      <c r="F81" s="46">
        <v>32.4</v>
      </c>
      <c r="G81" s="46">
        <v>40.700000000000003</v>
      </c>
      <c r="H81" s="46">
        <v>31.1</v>
      </c>
      <c r="I81" s="46">
        <v>40.299999999999997</v>
      </c>
      <c r="J81" s="46">
        <v>34.9</v>
      </c>
      <c r="K81" s="46">
        <v>32.1</v>
      </c>
      <c r="L81" s="46">
        <v>36.1</v>
      </c>
      <c r="M81" s="46">
        <v>27.7</v>
      </c>
      <c r="N81" s="46">
        <v>36.4</v>
      </c>
      <c r="O81" s="46">
        <v>48.2</v>
      </c>
      <c r="P81" s="46">
        <v>46.1</v>
      </c>
      <c r="Q81" s="46">
        <v>44.6</v>
      </c>
      <c r="R81" s="46">
        <v>41.7</v>
      </c>
      <c r="S81" s="46">
        <v>37.4</v>
      </c>
      <c r="T81" s="46">
        <v>41.4</v>
      </c>
      <c r="U81" s="46">
        <v>45.1</v>
      </c>
      <c r="V81" s="46">
        <v>50.6</v>
      </c>
      <c r="W81" s="46">
        <v>56.7</v>
      </c>
      <c r="X81" s="46">
        <v>56.5</v>
      </c>
      <c r="Y81" s="46">
        <v>48.1</v>
      </c>
      <c r="Z81" s="46">
        <v>64</v>
      </c>
      <c r="AA81" s="46">
        <v>63</v>
      </c>
      <c r="AB81" s="46">
        <v>51</v>
      </c>
      <c r="AC81" s="46">
        <v>58</v>
      </c>
      <c r="AD81" s="46">
        <v>58</v>
      </c>
      <c r="AE81" s="46">
        <v>55.5</v>
      </c>
      <c r="AF81" s="46">
        <v>53.7</v>
      </c>
      <c r="AG81" s="60"/>
      <c r="AH81" s="48">
        <f t="shared" si="8"/>
        <v>64</v>
      </c>
      <c r="AI81" s="49">
        <f t="shared" si="9"/>
        <v>21.4</v>
      </c>
      <c r="AK81" s="51"/>
      <c r="AY81" s="81"/>
    </row>
    <row r="82" spans="1:64" x14ac:dyDescent="0.25">
      <c r="A82" s="64" t="s">
        <v>105</v>
      </c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65"/>
      <c r="AH82" s="48">
        <f t="shared" ref="AH82:AH125" si="54">MAX(B82:AF82)</f>
        <v>0</v>
      </c>
      <c r="AI82" s="49">
        <f t="shared" ref="AI82:AI125" si="55">MIN(B82:AF82)</f>
        <v>0</v>
      </c>
      <c r="AK82" s="51"/>
      <c r="AY82" s="81"/>
      <c r="BF82" s="81"/>
      <c r="BG82" s="81"/>
      <c r="BH82" s="81"/>
      <c r="BI82" s="81"/>
      <c r="BJ82" s="81"/>
      <c r="BK82" s="81"/>
    </row>
    <row r="83" spans="1:64" x14ac:dyDescent="0.25">
      <c r="A83" s="64" t="s">
        <v>106</v>
      </c>
      <c r="B83" s="75">
        <v>302.10000000000002</v>
      </c>
      <c r="C83" s="75">
        <v>293.7</v>
      </c>
      <c r="D83" s="75">
        <v>242.3</v>
      </c>
      <c r="E83" s="75">
        <v>338.5</v>
      </c>
      <c r="F83" s="75">
        <v>410.2</v>
      </c>
      <c r="G83" s="75">
        <v>375</v>
      </c>
      <c r="H83" s="75">
        <v>410.1</v>
      </c>
      <c r="I83" s="75">
        <v>390.5</v>
      </c>
      <c r="J83" s="75">
        <v>392.8</v>
      </c>
      <c r="K83" s="75">
        <v>280</v>
      </c>
      <c r="L83" s="75">
        <v>294.8</v>
      </c>
      <c r="M83" s="75">
        <v>305</v>
      </c>
      <c r="N83" s="75">
        <v>252.9</v>
      </c>
      <c r="O83" s="75">
        <v>280</v>
      </c>
      <c r="P83" s="75">
        <v>227.3</v>
      </c>
      <c r="Q83" s="75">
        <v>231</v>
      </c>
      <c r="R83" s="75">
        <v>257</v>
      </c>
      <c r="S83" s="75">
        <v>289</v>
      </c>
      <c r="T83" s="75">
        <v>290</v>
      </c>
      <c r="U83" s="75">
        <v>287</v>
      </c>
      <c r="V83" s="75">
        <v>277</v>
      </c>
      <c r="W83" s="75">
        <v>296</v>
      </c>
      <c r="X83" s="75">
        <v>297</v>
      </c>
      <c r="Y83" s="75">
        <v>306</v>
      </c>
      <c r="Z83" s="75">
        <v>216</v>
      </c>
      <c r="AA83" s="75">
        <v>172</v>
      </c>
      <c r="AB83" s="75">
        <v>250</v>
      </c>
      <c r="AC83" s="75">
        <v>250</v>
      </c>
      <c r="AD83" s="75">
        <v>331</v>
      </c>
      <c r="AE83" s="75">
        <v>278</v>
      </c>
      <c r="AF83" s="75">
        <v>280.89999999999998</v>
      </c>
      <c r="AG83" s="87"/>
      <c r="AH83" s="48">
        <f t="shared" si="54"/>
        <v>410.2</v>
      </c>
      <c r="AI83" s="49">
        <f t="shared" si="55"/>
        <v>172</v>
      </c>
      <c r="AK83" s="51"/>
      <c r="AY83" s="81"/>
      <c r="BF83" s="80"/>
      <c r="BG83" s="80"/>
      <c r="BH83" s="80"/>
      <c r="BI83" s="80"/>
      <c r="BJ83" s="80"/>
      <c r="BK83" s="81"/>
    </row>
    <row r="84" spans="1:64" x14ac:dyDescent="0.25">
      <c r="A84" s="64" t="s">
        <v>107</v>
      </c>
      <c r="B84" s="75">
        <v>0</v>
      </c>
      <c r="C84" s="75">
        <v>52.8</v>
      </c>
      <c r="D84" s="75">
        <v>44.6</v>
      </c>
      <c r="E84" s="88">
        <v>9.5</v>
      </c>
      <c r="F84" s="88">
        <v>9.6</v>
      </c>
      <c r="G84" s="88">
        <v>9.5</v>
      </c>
      <c r="H84" s="88">
        <v>9.1</v>
      </c>
      <c r="I84" s="88">
        <v>38.700000000000003</v>
      </c>
      <c r="J84" s="88">
        <v>40.4</v>
      </c>
      <c r="K84" s="88">
        <v>29.8</v>
      </c>
      <c r="L84" s="88">
        <v>28.3</v>
      </c>
      <c r="M84" s="88">
        <v>20.6</v>
      </c>
      <c r="N84" s="88">
        <v>38.6</v>
      </c>
      <c r="O84" s="88">
        <v>35</v>
      </c>
      <c r="P84" s="88">
        <v>33.1</v>
      </c>
      <c r="Q84" s="88">
        <v>40</v>
      </c>
      <c r="R84" s="88">
        <v>42.4</v>
      </c>
      <c r="S84" s="88">
        <v>31.8</v>
      </c>
      <c r="T84" s="88">
        <v>30.5</v>
      </c>
      <c r="U84" s="88">
        <v>31.7</v>
      </c>
      <c r="V84" s="88">
        <v>46.5</v>
      </c>
      <c r="W84" s="88">
        <v>42</v>
      </c>
      <c r="X84" s="88">
        <v>34.200000000000003</v>
      </c>
      <c r="Y84" s="88">
        <v>0</v>
      </c>
      <c r="Z84" s="88"/>
      <c r="AA84" s="88"/>
      <c r="AB84" s="88"/>
      <c r="AC84" s="88"/>
      <c r="AD84" s="88"/>
      <c r="AE84" s="88"/>
      <c r="AF84" s="88"/>
      <c r="AG84" s="87"/>
      <c r="AH84" s="48">
        <f t="shared" si="54"/>
        <v>52.8</v>
      </c>
      <c r="AI84" s="49">
        <f t="shared" si="55"/>
        <v>0</v>
      </c>
      <c r="AK84" s="51"/>
      <c r="AY84" s="81"/>
      <c r="BF84" s="80"/>
      <c r="BG84" s="81">
        <f t="array" ref="BG84:BL107">TRANSPOSE(AZ68:BW73)</f>
        <v>34</v>
      </c>
      <c r="BH84" s="81">
        <v>0</v>
      </c>
      <c r="BI84" s="81">
        <v>294</v>
      </c>
      <c r="BJ84" s="81">
        <v>53</v>
      </c>
      <c r="BK84" s="81">
        <v>0</v>
      </c>
      <c r="BL84" s="81">
        <v>61</v>
      </c>
    </row>
    <row r="85" spans="1:64" x14ac:dyDescent="0.25">
      <c r="A85" s="64" t="s">
        <v>108</v>
      </c>
      <c r="B85" s="46">
        <v>0</v>
      </c>
      <c r="C85" s="46">
        <v>0</v>
      </c>
      <c r="D85" s="46">
        <v>0</v>
      </c>
      <c r="E85" s="46">
        <v>0</v>
      </c>
      <c r="F85" s="46">
        <v>0</v>
      </c>
      <c r="G85" s="46">
        <v>0</v>
      </c>
      <c r="H85" s="46">
        <v>0</v>
      </c>
      <c r="I85" s="46">
        <v>0</v>
      </c>
      <c r="J85" s="46">
        <v>0</v>
      </c>
      <c r="K85" s="46">
        <v>0</v>
      </c>
      <c r="L85" s="46">
        <v>0</v>
      </c>
      <c r="M85" s="46">
        <v>0</v>
      </c>
      <c r="N85" s="46">
        <v>0</v>
      </c>
      <c r="O85" s="46">
        <v>17.3</v>
      </c>
      <c r="P85" s="46">
        <v>20</v>
      </c>
      <c r="Q85" s="46">
        <v>20</v>
      </c>
      <c r="R85" s="46">
        <v>22.2</v>
      </c>
      <c r="S85" s="46">
        <v>21.2</v>
      </c>
      <c r="T85" s="46">
        <v>21.6</v>
      </c>
      <c r="U85" s="46">
        <v>17.399999999999999</v>
      </c>
      <c r="V85" s="46">
        <v>17</v>
      </c>
      <c r="W85" s="46">
        <v>17</v>
      </c>
      <c r="X85" s="46">
        <v>20</v>
      </c>
      <c r="Y85" s="46">
        <v>0</v>
      </c>
      <c r="Z85" s="46"/>
      <c r="AA85" s="46"/>
      <c r="AB85" s="46"/>
      <c r="AC85" s="46"/>
      <c r="AD85" s="46"/>
      <c r="AE85" s="46"/>
      <c r="AF85" s="46"/>
      <c r="AG85" s="87"/>
      <c r="AH85" s="48">
        <f t="shared" si="54"/>
        <v>22.2</v>
      </c>
      <c r="AI85" s="49">
        <f t="shared" si="55"/>
        <v>0</v>
      </c>
      <c r="AK85" s="51"/>
      <c r="AY85" s="81"/>
      <c r="BF85" s="80"/>
      <c r="BG85" s="81">
        <v>21.4</v>
      </c>
      <c r="BH85" s="81">
        <v>0</v>
      </c>
      <c r="BI85" s="81">
        <v>242.3</v>
      </c>
      <c r="BJ85" s="81">
        <v>44.6</v>
      </c>
      <c r="BK85" s="81">
        <v>0</v>
      </c>
      <c r="BL85" s="81">
        <v>62.6</v>
      </c>
    </row>
    <row r="86" spans="1:64" x14ac:dyDescent="0.25">
      <c r="A86" s="64" t="s">
        <v>109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7"/>
      <c r="AH86" s="48">
        <f t="shared" si="54"/>
        <v>0</v>
      </c>
      <c r="AI86" s="49">
        <f t="shared" si="55"/>
        <v>0</v>
      </c>
      <c r="AK86" s="51"/>
      <c r="AY86" s="81"/>
      <c r="BF86" s="80"/>
      <c r="BG86" s="81">
        <v>27</v>
      </c>
      <c r="BH86" s="81">
        <v>0</v>
      </c>
      <c r="BI86" s="81">
        <v>338.5</v>
      </c>
      <c r="BJ86" s="81">
        <v>9.5</v>
      </c>
      <c r="BK86" s="81">
        <v>0</v>
      </c>
      <c r="BL86" s="81">
        <v>65</v>
      </c>
    </row>
    <row r="87" spans="1:64" ht="15.75" thickBot="1" x14ac:dyDescent="0.3">
      <c r="A87" s="64" t="s">
        <v>110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7"/>
      <c r="AH87" s="48">
        <f t="shared" si="54"/>
        <v>0</v>
      </c>
      <c r="AI87" s="49">
        <f t="shared" si="55"/>
        <v>0</v>
      </c>
      <c r="AK87" s="51"/>
      <c r="AL87" s="90" t="s">
        <v>111</v>
      </c>
      <c r="AM87" s="90"/>
      <c r="AY87" s="81"/>
      <c r="BF87" s="81"/>
      <c r="BG87" s="81">
        <v>32.4</v>
      </c>
      <c r="BH87" s="81">
        <v>0</v>
      </c>
      <c r="BI87" s="81">
        <v>410.2</v>
      </c>
      <c r="BJ87" s="81">
        <v>9.6</v>
      </c>
      <c r="BK87" s="81">
        <v>0</v>
      </c>
      <c r="BL87" s="81">
        <v>54</v>
      </c>
    </row>
    <row r="88" spans="1:64" x14ac:dyDescent="0.25">
      <c r="A88" s="64" t="s">
        <v>112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7"/>
      <c r="AH88" s="48">
        <f t="shared" si="54"/>
        <v>0</v>
      </c>
      <c r="AI88" s="49">
        <f t="shared" si="55"/>
        <v>0</v>
      </c>
      <c r="AK88" s="91"/>
      <c r="AL88" s="92"/>
      <c r="AM88" s="92"/>
      <c r="AN88" s="93"/>
      <c r="AY88" s="81"/>
      <c r="BF88" s="81"/>
      <c r="BG88" s="81">
        <v>40.700000000000003</v>
      </c>
      <c r="BH88" s="81">
        <v>0</v>
      </c>
      <c r="BI88" s="81">
        <v>375</v>
      </c>
      <c r="BJ88" s="81">
        <v>9.5</v>
      </c>
      <c r="BK88" s="81">
        <v>0</v>
      </c>
      <c r="BL88" s="81">
        <v>63</v>
      </c>
    </row>
    <row r="89" spans="1:64" x14ac:dyDescent="0.25">
      <c r="A89" s="64" t="s">
        <v>113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7"/>
      <c r="AH89" s="48">
        <f t="shared" si="54"/>
        <v>0</v>
      </c>
      <c r="AI89" s="49">
        <f t="shared" si="55"/>
        <v>0</v>
      </c>
      <c r="AK89" s="94" t="s">
        <v>114</v>
      </c>
      <c r="AL89" s="75"/>
      <c r="AM89" s="88"/>
      <c r="AN89" s="95"/>
      <c r="AY89" s="81"/>
      <c r="BF89" s="81"/>
      <c r="BG89" s="81">
        <v>40.299999999999997</v>
      </c>
      <c r="BH89" s="81">
        <v>0</v>
      </c>
      <c r="BI89" s="81">
        <v>390.5</v>
      </c>
      <c r="BJ89" s="81">
        <v>38.700000000000003</v>
      </c>
      <c r="BK89" s="81">
        <v>0</v>
      </c>
      <c r="BL89" s="81">
        <v>51.1</v>
      </c>
    </row>
    <row r="90" spans="1:64" x14ac:dyDescent="0.25">
      <c r="A90" s="96" t="s">
        <v>115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97"/>
      <c r="AH90" s="48">
        <f t="shared" si="54"/>
        <v>0</v>
      </c>
      <c r="AI90" s="49">
        <f t="shared" si="55"/>
        <v>0</v>
      </c>
      <c r="AK90" s="94" t="s">
        <v>116</v>
      </c>
      <c r="AL90" s="88"/>
      <c r="AM90" s="88"/>
      <c r="AN90" s="95"/>
      <c r="AY90" s="81"/>
      <c r="BF90" s="81"/>
      <c r="BG90" s="81">
        <v>32.1</v>
      </c>
      <c r="BH90" s="81">
        <v>0</v>
      </c>
      <c r="BI90" s="81">
        <v>280</v>
      </c>
      <c r="BJ90" s="81">
        <v>29.8</v>
      </c>
      <c r="BK90" s="81">
        <v>0</v>
      </c>
      <c r="BL90" s="81">
        <v>59.4</v>
      </c>
    </row>
    <row r="91" spans="1:64" ht="15.75" thickBot="1" x14ac:dyDescent="0.3">
      <c r="A91" s="96" t="s">
        <v>117</v>
      </c>
      <c r="B91" s="89">
        <v>0</v>
      </c>
      <c r="C91" s="89">
        <v>61.1</v>
      </c>
      <c r="D91" s="89">
        <v>62.6</v>
      </c>
      <c r="E91" s="89">
        <v>65</v>
      </c>
      <c r="F91" s="89">
        <v>54</v>
      </c>
      <c r="G91" s="89">
        <v>63</v>
      </c>
      <c r="H91" s="89">
        <v>57.3</v>
      </c>
      <c r="I91" s="89">
        <v>51.1</v>
      </c>
      <c r="J91" s="89">
        <v>66.400000000000006</v>
      </c>
      <c r="K91" s="89">
        <v>59.4</v>
      </c>
      <c r="L91" s="89">
        <v>60.1</v>
      </c>
      <c r="M91" s="89">
        <v>56.9</v>
      </c>
      <c r="N91" s="89">
        <v>60.1</v>
      </c>
      <c r="O91" s="89">
        <v>69.8</v>
      </c>
      <c r="P91" s="89">
        <v>69</v>
      </c>
      <c r="Q91" s="89">
        <v>69.5</v>
      </c>
      <c r="R91" s="89">
        <v>64.3</v>
      </c>
      <c r="S91" s="89">
        <v>73.400000000000006</v>
      </c>
      <c r="T91" s="89">
        <v>73.5</v>
      </c>
      <c r="U91" s="89">
        <v>73.400000000000006</v>
      </c>
      <c r="V91" s="89">
        <v>74.8</v>
      </c>
      <c r="W91" s="89">
        <v>73.599999999999994</v>
      </c>
      <c r="X91" s="89">
        <v>62</v>
      </c>
      <c r="Y91" s="89">
        <v>54.1</v>
      </c>
      <c r="Z91" s="89">
        <v>55.4</v>
      </c>
      <c r="AA91" s="89">
        <v>0</v>
      </c>
      <c r="AB91" s="89"/>
      <c r="AC91" s="89"/>
      <c r="AD91" s="89"/>
      <c r="AE91" s="89"/>
      <c r="AF91" s="89"/>
      <c r="AG91" s="97"/>
      <c r="AH91" s="48">
        <f t="shared" si="54"/>
        <v>74.8</v>
      </c>
      <c r="AI91" s="49">
        <f t="shared" si="55"/>
        <v>0</v>
      </c>
      <c r="AK91" s="98"/>
      <c r="AL91" s="46"/>
      <c r="AM91" s="46"/>
      <c r="AN91" s="99"/>
      <c r="AY91" s="81"/>
      <c r="BF91" s="81"/>
      <c r="BG91" s="81">
        <v>27.7</v>
      </c>
      <c r="BH91" s="81">
        <v>0</v>
      </c>
      <c r="BI91" s="81">
        <v>305</v>
      </c>
      <c r="BJ91" s="81">
        <v>20.6</v>
      </c>
      <c r="BK91" s="81">
        <v>0</v>
      </c>
      <c r="BL91" s="81">
        <v>56.9</v>
      </c>
    </row>
    <row r="92" spans="1:64" ht="15.75" thickBot="1" x14ac:dyDescent="0.3">
      <c r="A92" s="86" t="s">
        <v>118</v>
      </c>
      <c r="B92" s="70">
        <f t="shared" ref="B92:C92" si="56">SUMIF(B81:B91,"&gt;0")</f>
        <v>352</v>
      </c>
      <c r="C92" s="70">
        <f t="shared" si="56"/>
        <v>441.8</v>
      </c>
      <c r="D92" s="70">
        <f t="shared" ref="D92" si="57">SUMIF(D81:D91,"&gt;0")</f>
        <v>370.90000000000003</v>
      </c>
      <c r="E92" s="70">
        <f t="shared" ref="E92:AF92" si="58">SUMIF(E81:E91,"&gt;0")</f>
        <v>440</v>
      </c>
      <c r="F92" s="70">
        <f t="shared" si="58"/>
        <v>506.2</v>
      </c>
      <c r="G92" s="70">
        <f t="shared" si="58"/>
        <v>488.2</v>
      </c>
      <c r="H92" s="70">
        <f t="shared" si="58"/>
        <v>507.60000000000008</v>
      </c>
      <c r="I92" s="70">
        <f t="shared" si="58"/>
        <v>520.6</v>
      </c>
      <c r="J92" s="70">
        <f t="shared" si="58"/>
        <v>534.5</v>
      </c>
      <c r="K92" s="70">
        <f t="shared" si="58"/>
        <v>401.3</v>
      </c>
      <c r="L92" s="70">
        <f t="shared" si="58"/>
        <v>419.30000000000007</v>
      </c>
      <c r="M92" s="70">
        <f t="shared" si="58"/>
        <v>410.2</v>
      </c>
      <c r="N92" s="70">
        <f t="shared" si="58"/>
        <v>388.00000000000006</v>
      </c>
      <c r="O92" s="70">
        <f t="shared" si="58"/>
        <v>450.3</v>
      </c>
      <c r="P92" s="70">
        <f t="shared" si="58"/>
        <v>395.50000000000006</v>
      </c>
      <c r="Q92" s="70">
        <f t="shared" si="58"/>
        <v>405.1</v>
      </c>
      <c r="R92" s="70">
        <f t="shared" si="58"/>
        <v>427.59999999999997</v>
      </c>
      <c r="S92" s="70">
        <f t="shared" si="58"/>
        <v>452.79999999999995</v>
      </c>
      <c r="T92" s="70">
        <f t="shared" si="58"/>
        <v>457</v>
      </c>
      <c r="U92" s="70">
        <f t="shared" si="58"/>
        <v>454.6</v>
      </c>
      <c r="V92" s="70">
        <f t="shared" si="58"/>
        <v>465.90000000000003</v>
      </c>
      <c r="W92" s="70">
        <f t="shared" si="58"/>
        <v>485.29999999999995</v>
      </c>
      <c r="X92" s="70">
        <f t="shared" si="58"/>
        <v>469.7</v>
      </c>
      <c r="Y92" s="70">
        <f>SUMIF(Y81:Y91,"&gt;0")</f>
        <v>408.20000000000005</v>
      </c>
      <c r="Z92" s="70">
        <f>SUMIF(Z81:Z91,"&gt;0")</f>
        <v>335.4</v>
      </c>
      <c r="AA92" s="70">
        <f t="shared" si="58"/>
        <v>235</v>
      </c>
      <c r="AB92" s="70">
        <f t="shared" si="58"/>
        <v>301</v>
      </c>
      <c r="AC92" s="70">
        <f t="shared" ref="AC92" si="59">SUMIF(AC81:AC91,"&gt;0")</f>
        <v>308</v>
      </c>
      <c r="AD92" s="70">
        <f t="shared" si="58"/>
        <v>389</v>
      </c>
      <c r="AE92" s="70">
        <f t="shared" ref="AE92" si="60">SUMIF(AE81:AE91,"&gt;0")</f>
        <v>333.5</v>
      </c>
      <c r="AF92" s="70">
        <f t="shared" si="58"/>
        <v>334.59999999999997</v>
      </c>
      <c r="AG92" s="100">
        <f>SUM(AG81:AG91)</f>
        <v>0</v>
      </c>
      <c r="AH92" s="48">
        <f t="shared" si="54"/>
        <v>534.5</v>
      </c>
      <c r="AI92" s="49">
        <f t="shared" si="55"/>
        <v>235</v>
      </c>
      <c r="AK92" s="98"/>
      <c r="AL92" s="89"/>
      <c r="AM92" s="101"/>
      <c r="AN92" s="202"/>
      <c r="AY92" s="81"/>
      <c r="BF92" s="81"/>
      <c r="BG92" s="81">
        <v>36.4</v>
      </c>
      <c r="BH92" s="81">
        <v>0</v>
      </c>
      <c r="BI92" s="81">
        <v>252.9</v>
      </c>
      <c r="BJ92" s="81">
        <v>38.6</v>
      </c>
      <c r="BK92" s="81">
        <v>0</v>
      </c>
      <c r="BL92" s="81">
        <v>60.1</v>
      </c>
    </row>
    <row r="93" spans="1:64" x14ac:dyDescent="0.25">
      <c r="A93" s="45" t="s">
        <v>119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54"/>
        <v>0</v>
      </c>
      <c r="AI93" s="49">
        <f t="shared" si="55"/>
        <v>0</v>
      </c>
      <c r="AK93" s="98"/>
      <c r="AL93" s="89"/>
      <c r="AM93" s="89"/>
      <c r="AN93" s="203"/>
      <c r="BF93" s="81"/>
      <c r="BG93" s="81">
        <v>48.2</v>
      </c>
      <c r="BH93" s="81">
        <v>0</v>
      </c>
      <c r="BI93" s="81">
        <v>280</v>
      </c>
      <c r="BJ93" s="81">
        <v>35</v>
      </c>
      <c r="BK93" s="81">
        <v>17.3</v>
      </c>
      <c r="BL93" s="81">
        <v>69.8</v>
      </c>
    </row>
    <row r="94" spans="1:64" ht="15.75" thickBot="1" x14ac:dyDescent="0.3">
      <c r="A94" s="64" t="s">
        <v>120</v>
      </c>
      <c r="B94" s="89">
        <v>0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54"/>
        <v>0</v>
      </c>
      <c r="AI94" s="49">
        <f t="shared" si="55"/>
        <v>0</v>
      </c>
      <c r="AK94" s="103"/>
      <c r="AL94" s="104"/>
      <c r="AM94" s="104"/>
      <c r="AN94" s="105"/>
      <c r="BF94" s="81"/>
      <c r="BG94" s="81">
        <v>46.1</v>
      </c>
      <c r="BH94" s="81">
        <v>0</v>
      </c>
      <c r="BI94" s="81">
        <v>227.3</v>
      </c>
      <c r="BJ94" s="81">
        <v>33.1</v>
      </c>
      <c r="BK94" s="81">
        <v>20</v>
      </c>
      <c r="BL94" s="81">
        <v>69</v>
      </c>
    </row>
    <row r="95" spans="1:64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0</v>
      </c>
      <c r="Y95" s="106">
        <v>0</v>
      </c>
      <c r="Z95" s="106">
        <v>0</v>
      </c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54"/>
        <v>0</v>
      </c>
      <c r="AI95" s="49">
        <f t="shared" si="55"/>
        <v>0</v>
      </c>
      <c r="BF95" s="81"/>
      <c r="BG95" s="81">
        <v>44.6</v>
      </c>
      <c r="BH95" s="81">
        <v>0</v>
      </c>
      <c r="BI95" s="81">
        <v>231</v>
      </c>
      <c r="BJ95" s="81">
        <v>40</v>
      </c>
      <c r="BK95" s="81">
        <v>20</v>
      </c>
      <c r="BL95" s="81">
        <v>69.5</v>
      </c>
    </row>
    <row r="96" spans="1:64" ht="15.75" thickBot="1" x14ac:dyDescent="0.3">
      <c r="A96" s="86" t="s">
        <v>122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100">
        <f>SUM(AG93:AG95)</f>
        <v>55.4</v>
      </c>
      <c r="AH96" s="48">
        <f t="shared" si="54"/>
        <v>0</v>
      </c>
      <c r="AI96" s="49">
        <f t="shared" si="55"/>
        <v>0</v>
      </c>
      <c r="BF96" s="81"/>
      <c r="BG96" s="81">
        <v>41.7</v>
      </c>
      <c r="BH96" s="81">
        <v>0</v>
      </c>
      <c r="BI96" s="81">
        <v>257</v>
      </c>
      <c r="BJ96" s="81">
        <v>42.4</v>
      </c>
      <c r="BK96" s="81">
        <v>22.2</v>
      </c>
      <c r="BL96" s="81">
        <v>64.3</v>
      </c>
    </row>
    <row r="97" spans="1:64" ht="15.75" thickBot="1" x14ac:dyDescent="0.3">
      <c r="A97" s="86" t="s">
        <v>123</v>
      </c>
      <c r="B97" s="107">
        <f t="shared" ref="B97:C97" si="61">B58+B62+B80+B76+B92+B96</f>
        <v>1232.8899999999999</v>
      </c>
      <c r="C97" s="107">
        <f t="shared" si="61"/>
        <v>1192.99</v>
      </c>
      <c r="D97" s="107">
        <f t="shared" ref="D97" si="62">D58+D62+D80+D76+D92+D96</f>
        <v>1145.69</v>
      </c>
      <c r="E97" s="107">
        <f t="shared" ref="E97:AG97" si="63">E58+E62+E80+E76+E92+E96</f>
        <v>1174.69</v>
      </c>
      <c r="F97" s="107">
        <f t="shared" si="63"/>
        <v>1201.19</v>
      </c>
      <c r="G97" s="107">
        <f t="shared" si="63"/>
        <v>1226.8899999999999</v>
      </c>
      <c r="H97" s="107">
        <f t="shared" si="63"/>
        <v>1212.5900000000001</v>
      </c>
      <c r="I97" s="107">
        <f t="shared" si="63"/>
        <v>1232.69</v>
      </c>
      <c r="J97" s="107">
        <f t="shared" si="63"/>
        <v>1283.5900000000001</v>
      </c>
      <c r="K97" s="107">
        <f t="shared" si="63"/>
        <v>919.29</v>
      </c>
      <c r="L97" s="107">
        <f t="shared" si="63"/>
        <v>1268.69</v>
      </c>
      <c r="M97" s="107">
        <f t="shared" si="63"/>
        <v>1283.79</v>
      </c>
      <c r="N97" s="107">
        <f t="shared" si="63"/>
        <v>1169.29</v>
      </c>
      <c r="O97" s="107">
        <f t="shared" si="63"/>
        <v>1247.79</v>
      </c>
      <c r="P97" s="107">
        <f t="shared" si="63"/>
        <v>1225.2900000000002</v>
      </c>
      <c r="Q97" s="107">
        <f t="shared" si="63"/>
        <v>1196.5900000000001</v>
      </c>
      <c r="R97" s="107">
        <f t="shared" si="63"/>
        <v>1217.69</v>
      </c>
      <c r="S97" s="107">
        <f t="shared" si="63"/>
        <v>1224.0900000000001</v>
      </c>
      <c r="T97" s="107">
        <f t="shared" si="63"/>
        <v>1209.49</v>
      </c>
      <c r="U97" s="107">
        <f t="shared" si="63"/>
        <v>1223.8899999999999</v>
      </c>
      <c r="V97" s="107">
        <f t="shared" si="63"/>
        <v>1182.3900000000001</v>
      </c>
      <c r="W97" s="107">
        <f t="shared" si="63"/>
        <v>1285.99</v>
      </c>
      <c r="X97" s="107">
        <f t="shared" si="63"/>
        <v>1332.29</v>
      </c>
      <c r="Y97" s="107">
        <f>Y58+Y62+Y80+Y76+Y92+Y96</f>
        <v>1420.3500000000001</v>
      </c>
      <c r="Z97" s="107">
        <f>Z58+Z62+Z80+Z76+Z92+Z96</f>
        <v>1514.4500000000003</v>
      </c>
      <c r="AA97" s="107">
        <f t="shared" si="63"/>
        <v>1511.99</v>
      </c>
      <c r="AB97" s="107">
        <f t="shared" si="63"/>
        <v>1377.79</v>
      </c>
      <c r="AC97" s="107">
        <f t="shared" ref="AC97" si="64">AC58+AC62+AC80+AC76+AC92+AC96</f>
        <v>1378.7900000000002</v>
      </c>
      <c r="AD97" s="107">
        <f t="shared" si="63"/>
        <v>1305.8900000000001</v>
      </c>
      <c r="AE97" s="107">
        <f t="shared" ref="AE97" si="65">AE58+AE62+AE80+AE76+AE92+AE96</f>
        <v>1301.79</v>
      </c>
      <c r="AF97" s="107">
        <f t="shared" si="63"/>
        <v>1257.0899999999999</v>
      </c>
      <c r="AG97" s="71">
        <f t="shared" si="63"/>
        <v>2231.81</v>
      </c>
      <c r="AH97" s="48">
        <f t="shared" si="54"/>
        <v>1514.4500000000003</v>
      </c>
      <c r="AI97" s="49">
        <f t="shared" si="55"/>
        <v>919.29</v>
      </c>
      <c r="BF97" s="81"/>
      <c r="BG97" s="81">
        <v>37.4</v>
      </c>
      <c r="BH97" s="81">
        <v>0</v>
      </c>
      <c r="BI97" s="81">
        <v>289</v>
      </c>
      <c r="BJ97" s="81">
        <v>31.8</v>
      </c>
      <c r="BK97" s="81">
        <v>21.2</v>
      </c>
      <c r="BL97" s="81">
        <v>73.400000000000006</v>
      </c>
    </row>
    <row r="98" spans="1:64" ht="15.75" thickBot="1" x14ac:dyDescent="0.3">
      <c r="A98" s="108" t="s">
        <v>124</v>
      </c>
      <c r="B98" s="109"/>
      <c r="C98" s="109"/>
      <c r="D98" s="109"/>
      <c r="E98" s="109"/>
      <c r="F98" s="109"/>
      <c r="G98" s="109"/>
      <c r="H98" s="109"/>
      <c r="I98" s="109"/>
      <c r="J98" s="109"/>
      <c r="K98" s="109">
        <v>100</v>
      </c>
      <c r="L98" s="109">
        <v>100</v>
      </c>
      <c r="M98" s="109">
        <v>100</v>
      </c>
      <c r="N98" s="109">
        <v>200</v>
      </c>
      <c r="O98" s="109"/>
      <c r="P98" s="109">
        <v>100</v>
      </c>
      <c r="Q98" s="109">
        <v>100</v>
      </c>
      <c r="R98" s="109">
        <v>100</v>
      </c>
      <c r="S98" s="109">
        <v>50</v>
      </c>
      <c r="T98" s="109">
        <v>50</v>
      </c>
      <c r="U98" s="109">
        <v>30</v>
      </c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0"/>
      <c r="AH98" s="48">
        <f t="shared" si="54"/>
        <v>200</v>
      </c>
      <c r="AI98" s="49">
        <f t="shared" si="55"/>
        <v>30</v>
      </c>
      <c r="BF98" s="81"/>
      <c r="BG98" s="81">
        <v>41.4</v>
      </c>
      <c r="BH98" s="81">
        <v>0</v>
      </c>
      <c r="BI98" s="81">
        <v>290</v>
      </c>
      <c r="BJ98" s="81">
        <v>30.5</v>
      </c>
      <c r="BK98" s="81">
        <v>21.6</v>
      </c>
      <c r="BL98" s="81">
        <v>73.5</v>
      </c>
    </row>
    <row r="99" spans="1:64" ht="15.75" thickBot="1" x14ac:dyDescent="0.3">
      <c r="A99" s="86" t="s">
        <v>125</v>
      </c>
      <c r="B99" s="107">
        <f t="shared" ref="B99:D99" si="66">B97+B98</f>
        <v>1232.8899999999999</v>
      </c>
      <c r="C99" s="107">
        <f t="shared" si="66"/>
        <v>1192.99</v>
      </c>
      <c r="D99" s="107">
        <f t="shared" si="66"/>
        <v>1145.69</v>
      </c>
      <c r="E99" s="107">
        <f t="shared" ref="E99:AF99" si="67">E97+E98</f>
        <v>1174.69</v>
      </c>
      <c r="F99" s="107">
        <f t="shared" si="67"/>
        <v>1201.19</v>
      </c>
      <c r="G99" s="107">
        <f t="shared" si="67"/>
        <v>1226.8899999999999</v>
      </c>
      <c r="H99" s="107">
        <f t="shared" si="67"/>
        <v>1212.5900000000001</v>
      </c>
      <c r="I99" s="107">
        <f t="shared" si="67"/>
        <v>1232.69</v>
      </c>
      <c r="J99" s="107">
        <f t="shared" si="67"/>
        <v>1283.5900000000001</v>
      </c>
      <c r="K99" s="107">
        <f t="shared" si="67"/>
        <v>1019.29</v>
      </c>
      <c r="L99" s="107">
        <f t="shared" si="67"/>
        <v>1368.69</v>
      </c>
      <c r="M99" s="107">
        <f t="shared" si="67"/>
        <v>1383.79</v>
      </c>
      <c r="N99" s="107">
        <f t="shared" si="67"/>
        <v>1369.29</v>
      </c>
      <c r="O99" s="107">
        <f t="shared" si="67"/>
        <v>1247.79</v>
      </c>
      <c r="P99" s="107">
        <f t="shared" si="67"/>
        <v>1325.2900000000002</v>
      </c>
      <c r="Q99" s="107">
        <f t="shared" si="67"/>
        <v>1296.5900000000001</v>
      </c>
      <c r="R99" s="107">
        <f t="shared" si="67"/>
        <v>1317.69</v>
      </c>
      <c r="S99" s="107">
        <f t="shared" si="67"/>
        <v>1274.0900000000001</v>
      </c>
      <c r="T99" s="107">
        <f t="shared" si="67"/>
        <v>1259.49</v>
      </c>
      <c r="U99" s="107">
        <f t="shared" si="67"/>
        <v>1253.8899999999999</v>
      </c>
      <c r="V99" s="107">
        <f t="shared" si="67"/>
        <v>1182.3900000000001</v>
      </c>
      <c r="W99" s="107">
        <f t="shared" si="67"/>
        <v>1285.99</v>
      </c>
      <c r="X99" s="107">
        <f t="shared" si="67"/>
        <v>1332.29</v>
      </c>
      <c r="Y99" s="107">
        <f>Y97+Y98</f>
        <v>1420.3500000000001</v>
      </c>
      <c r="Z99" s="107">
        <f>Z97+Z98</f>
        <v>1514.4500000000003</v>
      </c>
      <c r="AA99" s="107">
        <f t="shared" si="67"/>
        <v>1511.99</v>
      </c>
      <c r="AB99" s="107">
        <f t="shared" si="67"/>
        <v>1377.79</v>
      </c>
      <c r="AC99" s="107">
        <f t="shared" ref="AC99" si="68">AC97+AC98</f>
        <v>1378.7900000000002</v>
      </c>
      <c r="AD99" s="107">
        <f t="shared" si="67"/>
        <v>1305.8900000000001</v>
      </c>
      <c r="AE99" s="107">
        <f t="shared" ref="AE99" si="69">AE97+AE98</f>
        <v>1301.79</v>
      </c>
      <c r="AF99" s="107">
        <f t="shared" si="67"/>
        <v>1257.0899999999999</v>
      </c>
      <c r="AG99" s="100">
        <f>AG96+AG92+AG80+AG76+AG58+AG98</f>
        <v>1693.71</v>
      </c>
      <c r="AH99" s="48">
        <f t="shared" si="54"/>
        <v>1514.4500000000003</v>
      </c>
      <c r="AI99" s="49">
        <f t="shared" si="55"/>
        <v>1019.29</v>
      </c>
      <c r="BF99" s="81"/>
      <c r="BG99" s="81">
        <v>45.1</v>
      </c>
      <c r="BH99" s="81">
        <v>0</v>
      </c>
      <c r="BI99" s="81">
        <v>287</v>
      </c>
      <c r="BJ99" s="81">
        <v>31.7</v>
      </c>
      <c r="BK99" s="81">
        <v>17.399999999999999</v>
      </c>
      <c r="BL99" s="81">
        <v>73.400000000000006</v>
      </c>
    </row>
    <row r="100" spans="1:64" ht="15.75" thickBot="1" x14ac:dyDescent="0.3">
      <c r="A100" s="86" t="s">
        <v>126</v>
      </c>
      <c r="B100" s="107">
        <f t="shared" ref="B100:C100" si="70">B99-(B107)</f>
        <v>1232.8899999999999</v>
      </c>
      <c r="C100" s="107">
        <f t="shared" si="70"/>
        <v>1192.99</v>
      </c>
      <c r="D100" s="107">
        <f t="shared" ref="D100" si="71">D99-(D107)</f>
        <v>1145.69</v>
      </c>
      <c r="E100" s="107">
        <f t="shared" ref="E100:M100" si="72">E99-(E107)</f>
        <v>1174.69</v>
      </c>
      <c r="F100" s="107">
        <f t="shared" si="72"/>
        <v>1201.19</v>
      </c>
      <c r="G100" s="107">
        <f t="shared" si="72"/>
        <v>1226.8899999999999</v>
      </c>
      <c r="H100" s="107">
        <f t="shared" si="72"/>
        <v>1212.5900000000001</v>
      </c>
      <c r="I100" s="107">
        <f t="shared" si="72"/>
        <v>1232.69</v>
      </c>
      <c r="J100" s="107">
        <f t="shared" si="72"/>
        <v>1283.5900000000001</v>
      </c>
      <c r="K100" s="107">
        <f t="shared" si="72"/>
        <v>1019.29</v>
      </c>
      <c r="L100" s="107">
        <f t="shared" si="72"/>
        <v>1368.69</v>
      </c>
      <c r="M100" s="107">
        <f t="shared" si="72"/>
        <v>1383.79</v>
      </c>
      <c r="N100" s="107">
        <f>N99-(N107)</f>
        <v>1369.29</v>
      </c>
      <c r="O100" s="107">
        <f t="shared" ref="O100:AF100" si="73">O99-(O107)</f>
        <v>1247.79</v>
      </c>
      <c r="P100" s="107">
        <f t="shared" si="73"/>
        <v>1325.2900000000002</v>
      </c>
      <c r="Q100" s="107">
        <f t="shared" si="73"/>
        <v>1296.5900000000001</v>
      </c>
      <c r="R100" s="107">
        <f t="shared" si="73"/>
        <v>1317.69</v>
      </c>
      <c r="S100" s="107">
        <f t="shared" si="73"/>
        <v>1274.0900000000001</v>
      </c>
      <c r="T100" s="107">
        <f t="shared" si="73"/>
        <v>1259.49</v>
      </c>
      <c r="U100" s="107">
        <f t="shared" si="73"/>
        <v>1253.8899999999999</v>
      </c>
      <c r="V100" s="107">
        <f t="shared" si="73"/>
        <v>1182.3900000000001</v>
      </c>
      <c r="W100" s="107">
        <f t="shared" si="73"/>
        <v>1285.99</v>
      </c>
      <c r="X100" s="107">
        <f t="shared" si="73"/>
        <v>1332.29</v>
      </c>
      <c r="Y100" s="107">
        <f t="shared" si="73"/>
        <v>1420.3500000000001</v>
      </c>
      <c r="Z100" s="107">
        <f t="shared" si="73"/>
        <v>1514.4500000000003</v>
      </c>
      <c r="AA100" s="107">
        <f t="shared" si="73"/>
        <v>1511.99</v>
      </c>
      <c r="AB100" s="107">
        <f t="shared" si="73"/>
        <v>1377.79</v>
      </c>
      <c r="AC100" s="107">
        <f t="shared" ref="AC100" si="74">AC99-(AC107)</f>
        <v>1377.7900000000002</v>
      </c>
      <c r="AD100" s="107">
        <f t="shared" si="73"/>
        <v>1305.8900000000001</v>
      </c>
      <c r="AE100" s="107">
        <f t="shared" ref="AE100" si="75">AE99-(AE107)</f>
        <v>1300.79</v>
      </c>
      <c r="AF100" s="107">
        <f t="shared" si="73"/>
        <v>1257.0899999999999</v>
      </c>
      <c r="AG100" s="100"/>
      <c r="AH100" s="48">
        <f t="shared" si="54"/>
        <v>1514.4500000000003</v>
      </c>
      <c r="AI100" s="49">
        <f t="shared" si="55"/>
        <v>1019.29</v>
      </c>
      <c r="BF100" s="81"/>
      <c r="BG100" s="81">
        <v>50.6</v>
      </c>
      <c r="BH100" s="81">
        <v>0</v>
      </c>
      <c r="BI100" s="81">
        <v>277</v>
      </c>
      <c r="BJ100" s="81">
        <v>46.5</v>
      </c>
      <c r="BK100" s="81">
        <v>17</v>
      </c>
      <c r="BL100" s="81">
        <v>74.8</v>
      </c>
    </row>
    <row r="101" spans="1:64" x14ac:dyDescent="0.25">
      <c r="A101" s="45" t="s">
        <v>107</v>
      </c>
      <c r="B101" s="88"/>
      <c r="C101" s="88"/>
      <c r="D101" s="88"/>
      <c r="E101" s="88">
        <f t="shared" ref="E101:AF101" si="76">IF(E84&lt;0,E84*-1,0)</f>
        <v>0</v>
      </c>
      <c r="F101" s="88">
        <f t="shared" si="76"/>
        <v>0</v>
      </c>
      <c r="G101" s="88">
        <f t="shared" si="76"/>
        <v>0</v>
      </c>
      <c r="H101" s="88">
        <f t="shared" si="76"/>
        <v>0</v>
      </c>
      <c r="I101" s="88">
        <f t="shared" si="76"/>
        <v>0</v>
      </c>
      <c r="J101" s="88">
        <f t="shared" si="76"/>
        <v>0</v>
      </c>
      <c r="K101" s="88">
        <f t="shared" si="76"/>
        <v>0</v>
      </c>
      <c r="L101" s="88">
        <f t="shared" si="76"/>
        <v>0</v>
      </c>
      <c r="M101" s="88">
        <f t="shared" si="76"/>
        <v>0</v>
      </c>
      <c r="N101" s="88">
        <f t="shared" si="76"/>
        <v>0</v>
      </c>
      <c r="O101" s="88">
        <f t="shared" si="76"/>
        <v>0</v>
      </c>
      <c r="P101" s="88">
        <f t="shared" si="76"/>
        <v>0</v>
      </c>
      <c r="Q101" s="88">
        <f t="shared" si="76"/>
        <v>0</v>
      </c>
      <c r="R101" s="88">
        <f t="shared" si="76"/>
        <v>0</v>
      </c>
      <c r="S101" s="88">
        <f t="shared" si="76"/>
        <v>0</v>
      </c>
      <c r="T101" s="88">
        <f t="shared" si="76"/>
        <v>0</v>
      </c>
      <c r="U101" s="88">
        <f t="shared" si="76"/>
        <v>0</v>
      </c>
      <c r="V101" s="88">
        <f t="shared" si="76"/>
        <v>0</v>
      </c>
      <c r="W101" s="88">
        <f t="shared" si="76"/>
        <v>0</v>
      </c>
      <c r="X101" s="88">
        <f t="shared" si="76"/>
        <v>0</v>
      </c>
      <c r="Y101" s="88">
        <f t="shared" si="76"/>
        <v>0</v>
      </c>
      <c r="Z101" s="88">
        <f t="shared" si="76"/>
        <v>0</v>
      </c>
      <c r="AA101" s="88">
        <f t="shared" si="76"/>
        <v>0</v>
      </c>
      <c r="AB101" s="88">
        <f t="shared" si="76"/>
        <v>0</v>
      </c>
      <c r="AC101" s="88">
        <f t="shared" ref="AC101" si="77">IF(AC84&lt;0,AC84*-1,0)</f>
        <v>0</v>
      </c>
      <c r="AD101" s="88">
        <f t="shared" si="76"/>
        <v>0</v>
      </c>
      <c r="AE101" s="88">
        <f t="shared" ref="AE101" si="78">IF(AE84&lt;0,AE84*-1,0)</f>
        <v>0</v>
      </c>
      <c r="AF101" s="88">
        <f t="shared" si="76"/>
        <v>0</v>
      </c>
      <c r="AG101" s="60"/>
      <c r="AH101" s="48">
        <f t="shared" si="54"/>
        <v>0</v>
      </c>
      <c r="AI101" s="49">
        <f t="shared" si="55"/>
        <v>0</v>
      </c>
      <c r="BF101" s="80"/>
      <c r="BG101" s="81">
        <v>56.5</v>
      </c>
      <c r="BH101" s="81">
        <v>0</v>
      </c>
      <c r="BI101" s="81">
        <v>297</v>
      </c>
      <c r="BJ101" s="81">
        <v>34.200000000000003</v>
      </c>
      <c r="BK101" s="81">
        <v>20</v>
      </c>
      <c r="BL101" s="81">
        <v>62</v>
      </c>
    </row>
    <row r="102" spans="1:64" x14ac:dyDescent="0.25">
      <c r="A102" s="64" t="s">
        <v>105</v>
      </c>
      <c r="B102" s="88"/>
      <c r="C102" s="88"/>
      <c r="D102" s="88"/>
      <c r="E102" s="88">
        <f t="shared" ref="E102:AF102" si="79">IF(E82&lt;0,E82*-1,0)</f>
        <v>0</v>
      </c>
      <c r="F102" s="88">
        <f t="shared" si="79"/>
        <v>0</v>
      </c>
      <c r="G102" s="88">
        <f t="shared" si="79"/>
        <v>0</v>
      </c>
      <c r="H102" s="88">
        <f t="shared" si="79"/>
        <v>0</v>
      </c>
      <c r="I102" s="88">
        <f t="shared" si="79"/>
        <v>0</v>
      </c>
      <c r="J102" s="88">
        <f t="shared" si="79"/>
        <v>0</v>
      </c>
      <c r="K102" s="88">
        <f t="shared" si="79"/>
        <v>0</v>
      </c>
      <c r="L102" s="88">
        <f t="shared" si="79"/>
        <v>0</v>
      </c>
      <c r="M102" s="88">
        <f t="shared" si="79"/>
        <v>0</v>
      </c>
      <c r="N102" s="88">
        <f t="shared" si="79"/>
        <v>0</v>
      </c>
      <c r="O102" s="88">
        <f t="shared" si="79"/>
        <v>0</v>
      </c>
      <c r="P102" s="88">
        <f t="shared" si="79"/>
        <v>0</v>
      </c>
      <c r="Q102" s="88">
        <f t="shared" si="79"/>
        <v>0</v>
      </c>
      <c r="R102" s="88">
        <f t="shared" si="79"/>
        <v>0</v>
      </c>
      <c r="S102" s="88">
        <f t="shared" si="79"/>
        <v>0</v>
      </c>
      <c r="T102" s="88">
        <f t="shared" si="79"/>
        <v>0</v>
      </c>
      <c r="U102" s="88">
        <f t="shared" si="79"/>
        <v>0</v>
      </c>
      <c r="V102" s="88">
        <f t="shared" si="79"/>
        <v>0</v>
      </c>
      <c r="W102" s="88">
        <f t="shared" si="79"/>
        <v>0</v>
      </c>
      <c r="X102" s="88">
        <f t="shared" si="79"/>
        <v>0</v>
      </c>
      <c r="Y102" s="88">
        <f t="shared" si="79"/>
        <v>0</v>
      </c>
      <c r="Z102" s="88">
        <f t="shared" si="79"/>
        <v>0</v>
      </c>
      <c r="AA102" s="88">
        <f t="shared" si="79"/>
        <v>0</v>
      </c>
      <c r="AB102" s="88">
        <f t="shared" si="79"/>
        <v>0</v>
      </c>
      <c r="AC102" s="88">
        <f t="shared" ref="AC102" si="80">IF(AC82&lt;0,AC82*-1,0)</f>
        <v>0</v>
      </c>
      <c r="AD102" s="88">
        <f t="shared" si="79"/>
        <v>0</v>
      </c>
      <c r="AE102" s="88">
        <f t="shared" ref="AE102" si="81">IF(AE82&lt;0,AE82*-1,0)</f>
        <v>0</v>
      </c>
      <c r="AF102" s="88">
        <f t="shared" si="79"/>
        <v>0</v>
      </c>
      <c r="AG102" s="65"/>
      <c r="AH102" s="48">
        <f t="shared" si="54"/>
        <v>0</v>
      </c>
      <c r="AI102" s="49">
        <f t="shared" si="55"/>
        <v>0</v>
      </c>
      <c r="BF102" s="80"/>
      <c r="BG102" s="81">
        <v>64</v>
      </c>
      <c r="BH102" s="81">
        <v>0</v>
      </c>
      <c r="BI102" s="81">
        <v>216</v>
      </c>
      <c r="BJ102" s="81">
        <v>0</v>
      </c>
      <c r="BK102" s="81">
        <v>0</v>
      </c>
      <c r="BL102" s="81">
        <v>55.4</v>
      </c>
    </row>
    <row r="103" spans="1:64" x14ac:dyDescent="0.25">
      <c r="A103" s="96" t="s">
        <v>127</v>
      </c>
      <c r="B103" s="88"/>
      <c r="C103" s="88"/>
      <c r="D103" s="88"/>
      <c r="E103" s="88">
        <f t="shared" ref="E103:AF103" si="82">IF(E85&lt;0,E85*-1,0)</f>
        <v>0</v>
      </c>
      <c r="F103" s="88">
        <f t="shared" si="82"/>
        <v>0</v>
      </c>
      <c r="G103" s="88">
        <f t="shared" si="82"/>
        <v>0</v>
      </c>
      <c r="H103" s="88">
        <f t="shared" si="82"/>
        <v>0</v>
      </c>
      <c r="I103" s="88">
        <f t="shared" si="82"/>
        <v>0</v>
      </c>
      <c r="J103" s="88">
        <f t="shared" si="82"/>
        <v>0</v>
      </c>
      <c r="K103" s="88">
        <f t="shared" si="82"/>
        <v>0</v>
      </c>
      <c r="L103" s="88">
        <f t="shared" si="82"/>
        <v>0</v>
      </c>
      <c r="M103" s="88">
        <f t="shared" si="82"/>
        <v>0</v>
      </c>
      <c r="N103" s="88">
        <f t="shared" si="82"/>
        <v>0</v>
      </c>
      <c r="O103" s="88">
        <f t="shared" si="82"/>
        <v>0</v>
      </c>
      <c r="P103" s="88">
        <f t="shared" si="82"/>
        <v>0</v>
      </c>
      <c r="Q103" s="88">
        <f t="shared" si="82"/>
        <v>0</v>
      </c>
      <c r="R103" s="88">
        <f t="shared" si="82"/>
        <v>0</v>
      </c>
      <c r="S103" s="88">
        <f t="shared" si="82"/>
        <v>0</v>
      </c>
      <c r="T103" s="88">
        <f t="shared" si="82"/>
        <v>0</v>
      </c>
      <c r="U103" s="88">
        <f t="shared" si="82"/>
        <v>0</v>
      </c>
      <c r="V103" s="88">
        <f t="shared" si="82"/>
        <v>0</v>
      </c>
      <c r="W103" s="88">
        <f t="shared" si="82"/>
        <v>0</v>
      </c>
      <c r="X103" s="88">
        <f t="shared" si="82"/>
        <v>0</v>
      </c>
      <c r="Y103" s="88">
        <f t="shared" si="82"/>
        <v>0</v>
      </c>
      <c r="Z103" s="88">
        <f t="shared" si="82"/>
        <v>0</v>
      </c>
      <c r="AA103" s="88">
        <f t="shared" si="82"/>
        <v>0</v>
      </c>
      <c r="AB103" s="88">
        <f t="shared" si="82"/>
        <v>0</v>
      </c>
      <c r="AC103" s="88">
        <f t="shared" ref="AC103" si="83">IF(AC85&lt;0,AC85*-1,0)</f>
        <v>0</v>
      </c>
      <c r="AD103" s="88">
        <f t="shared" si="82"/>
        <v>0</v>
      </c>
      <c r="AE103" s="88">
        <f t="shared" ref="AE103" si="84">IF(AE85&lt;0,AE85*-1,0)</f>
        <v>0</v>
      </c>
      <c r="AF103" s="88">
        <f t="shared" si="82"/>
        <v>0</v>
      </c>
      <c r="AG103" s="110"/>
      <c r="AH103" s="48">
        <f t="shared" si="54"/>
        <v>0</v>
      </c>
      <c r="AI103" s="49">
        <f t="shared" si="55"/>
        <v>0</v>
      </c>
      <c r="BF103" s="80"/>
      <c r="BG103" s="81">
        <v>51</v>
      </c>
      <c r="BH103" s="81">
        <v>0</v>
      </c>
      <c r="BI103" s="81">
        <v>250</v>
      </c>
      <c r="BJ103" s="81">
        <v>0</v>
      </c>
      <c r="BK103" s="81">
        <v>0</v>
      </c>
      <c r="BL103" s="81">
        <v>0</v>
      </c>
    </row>
    <row r="104" spans="1:64" x14ac:dyDescent="0.25">
      <c r="A104" s="96" t="s">
        <v>128</v>
      </c>
      <c r="B104" s="88"/>
      <c r="C104" s="88"/>
      <c r="D104" s="88"/>
      <c r="E104" s="88">
        <f t="shared" ref="E104:AF104" si="85">IF(E83&lt;0,E83*-1,0)</f>
        <v>0</v>
      </c>
      <c r="F104" s="88">
        <f t="shared" si="85"/>
        <v>0</v>
      </c>
      <c r="G104" s="88">
        <f t="shared" si="85"/>
        <v>0</v>
      </c>
      <c r="H104" s="88">
        <f t="shared" si="85"/>
        <v>0</v>
      </c>
      <c r="I104" s="88">
        <f t="shared" si="85"/>
        <v>0</v>
      </c>
      <c r="J104" s="88">
        <f t="shared" si="85"/>
        <v>0</v>
      </c>
      <c r="K104" s="88">
        <f t="shared" si="85"/>
        <v>0</v>
      </c>
      <c r="L104" s="88">
        <f t="shared" si="85"/>
        <v>0</v>
      </c>
      <c r="M104" s="88">
        <f t="shared" si="85"/>
        <v>0</v>
      </c>
      <c r="N104" s="88">
        <f t="shared" si="85"/>
        <v>0</v>
      </c>
      <c r="O104" s="88">
        <f t="shared" si="85"/>
        <v>0</v>
      </c>
      <c r="P104" s="88">
        <f t="shared" si="85"/>
        <v>0</v>
      </c>
      <c r="Q104" s="88">
        <f t="shared" si="85"/>
        <v>0</v>
      </c>
      <c r="R104" s="88">
        <f t="shared" si="85"/>
        <v>0</v>
      </c>
      <c r="S104" s="88">
        <f t="shared" si="85"/>
        <v>0</v>
      </c>
      <c r="T104" s="88">
        <f t="shared" si="85"/>
        <v>0</v>
      </c>
      <c r="U104" s="88">
        <f t="shared" si="85"/>
        <v>0</v>
      </c>
      <c r="V104" s="88">
        <f t="shared" si="85"/>
        <v>0</v>
      </c>
      <c r="W104" s="88">
        <f t="shared" si="85"/>
        <v>0</v>
      </c>
      <c r="X104" s="88">
        <f t="shared" si="85"/>
        <v>0</v>
      </c>
      <c r="Y104" s="88">
        <f t="shared" si="85"/>
        <v>0</v>
      </c>
      <c r="Z104" s="88">
        <f t="shared" si="85"/>
        <v>0</v>
      </c>
      <c r="AA104" s="88">
        <f t="shared" si="85"/>
        <v>0</v>
      </c>
      <c r="AB104" s="88">
        <f t="shared" si="85"/>
        <v>0</v>
      </c>
      <c r="AC104" s="88">
        <f t="shared" ref="AC104" si="86">IF(AC83&lt;0,AC83*-1,0)</f>
        <v>0</v>
      </c>
      <c r="AD104" s="88">
        <f t="shared" si="85"/>
        <v>0</v>
      </c>
      <c r="AE104" s="88">
        <f t="shared" ref="AE104" si="87">IF(AE83&lt;0,AE83*-1,0)</f>
        <v>0</v>
      </c>
      <c r="AF104" s="88">
        <f t="shared" si="85"/>
        <v>0</v>
      </c>
      <c r="AG104" s="110"/>
      <c r="AH104" s="48">
        <f t="shared" si="54"/>
        <v>0</v>
      </c>
      <c r="AI104" s="49">
        <f t="shared" si="55"/>
        <v>0</v>
      </c>
      <c r="BF104" s="80"/>
      <c r="BG104" s="81">
        <v>58</v>
      </c>
      <c r="BH104" s="81">
        <v>0</v>
      </c>
      <c r="BI104" s="81">
        <v>331</v>
      </c>
      <c r="BJ104" s="81">
        <v>0</v>
      </c>
      <c r="BK104" s="81">
        <v>0</v>
      </c>
      <c r="BL104" s="81">
        <v>0</v>
      </c>
    </row>
    <row r="105" spans="1:64" x14ac:dyDescent="0.25">
      <c r="A105" s="96" t="s">
        <v>104</v>
      </c>
      <c r="B105" s="88"/>
      <c r="C105" s="88"/>
      <c r="D105" s="88"/>
      <c r="E105" s="88">
        <f t="shared" ref="E105:AF105" si="88">IF(E81&lt;0,E81*-1,0)</f>
        <v>0</v>
      </c>
      <c r="F105" s="88">
        <f t="shared" si="88"/>
        <v>0</v>
      </c>
      <c r="G105" s="88">
        <f t="shared" si="88"/>
        <v>0</v>
      </c>
      <c r="H105" s="88">
        <f t="shared" si="88"/>
        <v>0</v>
      </c>
      <c r="I105" s="88">
        <f t="shared" si="88"/>
        <v>0</v>
      </c>
      <c r="J105" s="88">
        <f t="shared" si="88"/>
        <v>0</v>
      </c>
      <c r="K105" s="88">
        <f t="shared" si="88"/>
        <v>0</v>
      </c>
      <c r="L105" s="88">
        <f t="shared" si="88"/>
        <v>0</v>
      </c>
      <c r="M105" s="88">
        <f t="shared" si="88"/>
        <v>0</v>
      </c>
      <c r="N105" s="88">
        <f t="shared" si="88"/>
        <v>0</v>
      </c>
      <c r="O105" s="88">
        <f t="shared" si="88"/>
        <v>0</v>
      </c>
      <c r="P105" s="88">
        <f t="shared" si="88"/>
        <v>0</v>
      </c>
      <c r="Q105" s="88">
        <f t="shared" si="88"/>
        <v>0</v>
      </c>
      <c r="R105" s="88">
        <f t="shared" si="88"/>
        <v>0</v>
      </c>
      <c r="S105" s="88">
        <f t="shared" si="88"/>
        <v>0</v>
      </c>
      <c r="T105" s="88">
        <f t="shared" si="88"/>
        <v>0</v>
      </c>
      <c r="U105" s="88">
        <f t="shared" si="88"/>
        <v>0</v>
      </c>
      <c r="V105" s="88">
        <f t="shared" si="88"/>
        <v>0</v>
      </c>
      <c r="W105" s="88">
        <f t="shared" si="88"/>
        <v>0</v>
      </c>
      <c r="X105" s="88">
        <f t="shared" si="88"/>
        <v>0</v>
      </c>
      <c r="Y105" s="88">
        <f t="shared" si="88"/>
        <v>0</v>
      </c>
      <c r="Z105" s="88">
        <f t="shared" si="88"/>
        <v>0</v>
      </c>
      <c r="AA105" s="88">
        <f t="shared" si="88"/>
        <v>0</v>
      </c>
      <c r="AB105" s="88">
        <f t="shared" si="88"/>
        <v>0</v>
      </c>
      <c r="AC105" s="88">
        <f t="shared" ref="AC105" si="89">IF(AC81&lt;0,AC81*-1,0)</f>
        <v>0</v>
      </c>
      <c r="AD105" s="88">
        <f t="shared" si="88"/>
        <v>0</v>
      </c>
      <c r="AE105" s="88">
        <f t="shared" ref="AE105" si="90">IF(AE81&lt;0,AE81*-1,0)</f>
        <v>0</v>
      </c>
      <c r="AF105" s="88">
        <f t="shared" si="88"/>
        <v>0</v>
      </c>
      <c r="AG105" s="110"/>
      <c r="AH105" s="48">
        <f t="shared" si="54"/>
        <v>0</v>
      </c>
      <c r="AI105" s="49">
        <f t="shared" si="55"/>
        <v>0</v>
      </c>
      <c r="BF105" s="80"/>
      <c r="BG105" s="81">
        <v>55.5</v>
      </c>
      <c r="BH105" s="81">
        <v>0</v>
      </c>
      <c r="BI105" s="81">
        <v>278</v>
      </c>
      <c r="BJ105" s="81">
        <v>0</v>
      </c>
      <c r="BK105" s="81">
        <v>0</v>
      </c>
      <c r="BL105" s="81">
        <v>0</v>
      </c>
    </row>
    <row r="106" spans="1:64" ht="15.75" thickBot="1" x14ac:dyDescent="0.3">
      <c r="A106" s="96" t="s">
        <v>129</v>
      </c>
      <c r="B106" s="106"/>
      <c r="C106" s="106"/>
      <c r="D106" s="106"/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0</v>
      </c>
      <c r="Y106" s="106">
        <v>0</v>
      </c>
      <c r="Z106" s="106">
        <v>0</v>
      </c>
      <c r="AA106" s="106">
        <v>0</v>
      </c>
      <c r="AB106" s="106">
        <v>0</v>
      </c>
      <c r="AC106" s="106">
        <v>1</v>
      </c>
      <c r="AD106" s="106">
        <v>0</v>
      </c>
      <c r="AE106" s="106">
        <v>1</v>
      </c>
      <c r="AF106" s="106">
        <v>0</v>
      </c>
      <c r="AG106" s="97"/>
      <c r="AH106" s="48">
        <f t="shared" si="54"/>
        <v>1</v>
      </c>
      <c r="AI106" s="49">
        <f t="shared" si="55"/>
        <v>0</v>
      </c>
      <c r="BG106" s="81">
        <v>53.7</v>
      </c>
      <c r="BH106" s="81">
        <v>0</v>
      </c>
      <c r="BI106" s="81">
        <v>280.89999999999998</v>
      </c>
      <c r="BJ106" s="81">
        <v>0</v>
      </c>
      <c r="BK106" s="81">
        <v>0</v>
      </c>
      <c r="BL106" s="81">
        <v>0</v>
      </c>
    </row>
    <row r="107" spans="1:64" ht="15.75" thickBot="1" x14ac:dyDescent="0.3">
      <c r="A107" s="111" t="s">
        <v>130</v>
      </c>
      <c r="B107" s="70">
        <f t="shared" ref="B107:C107" si="91">SUM(B101:B106)</f>
        <v>0</v>
      </c>
      <c r="C107" s="70">
        <f t="shared" si="91"/>
        <v>0</v>
      </c>
      <c r="D107" s="70">
        <f t="shared" ref="D107" si="92">SUM(D101:D106)</f>
        <v>0</v>
      </c>
      <c r="E107" s="70">
        <f t="shared" ref="E107:AF107" si="93">SUM(E101:E106)</f>
        <v>0</v>
      </c>
      <c r="F107" s="70">
        <f t="shared" si="93"/>
        <v>0</v>
      </c>
      <c r="G107" s="70">
        <f t="shared" si="93"/>
        <v>0</v>
      </c>
      <c r="H107" s="70">
        <f t="shared" si="93"/>
        <v>0</v>
      </c>
      <c r="I107" s="70">
        <f t="shared" si="93"/>
        <v>0</v>
      </c>
      <c r="J107" s="70">
        <f t="shared" si="93"/>
        <v>0</v>
      </c>
      <c r="K107" s="70">
        <f t="shared" si="93"/>
        <v>0</v>
      </c>
      <c r="L107" s="70">
        <f t="shared" si="93"/>
        <v>0</v>
      </c>
      <c r="M107" s="70">
        <f t="shared" si="93"/>
        <v>0</v>
      </c>
      <c r="N107" s="70">
        <f t="shared" si="93"/>
        <v>0</v>
      </c>
      <c r="O107" s="70">
        <f t="shared" si="93"/>
        <v>0</v>
      </c>
      <c r="P107" s="70">
        <f t="shared" si="93"/>
        <v>0</v>
      </c>
      <c r="Q107" s="70">
        <f t="shared" si="93"/>
        <v>0</v>
      </c>
      <c r="R107" s="70">
        <f t="shared" si="93"/>
        <v>0</v>
      </c>
      <c r="S107" s="70">
        <f t="shared" si="93"/>
        <v>0</v>
      </c>
      <c r="T107" s="70">
        <f t="shared" si="93"/>
        <v>0</v>
      </c>
      <c r="U107" s="70">
        <f t="shared" si="93"/>
        <v>0</v>
      </c>
      <c r="V107" s="70">
        <f t="shared" si="93"/>
        <v>0</v>
      </c>
      <c r="W107" s="70">
        <f t="shared" si="93"/>
        <v>0</v>
      </c>
      <c r="X107" s="70">
        <f t="shared" si="93"/>
        <v>0</v>
      </c>
      <c r="Y107" s="70">
        <f t="shared" si="93"/>
        <v>0</v>
      </c>
      <c r="Z107" s="70">
        <f t="shared" si="93"/>
        <v>0</v>
      </c>
      <c r="AA107" s="70">
        <f t="shared" si="93"/>
        <v>0</v>
      </c>
      <c r="AB107" s="70">
        <f t="shared" si="93"/>
        <v>0</v>
      </c>
      <c r="AC107" s="70">
        <f t="shared" ref="AC107" si="94">SUM(AC101:AC106)</f>
        <v>1</v>
      </c>
      <c r="AD107" s="70">
        <f t="shared" si="93"/>
        <v>0</v>
      </c>
      <c r="AE107" s="70">
        <f t="shared" ref="AE107" si="95">SUM(AE101:AE106)</f>
        <v>1</v>
      </c>
      <c r="AF107" s="70">
        <f t="shared" si="93"/>
        <v>0</v>
      </c>
      <c r="AG107" s="100"/>
      <c r="AH107" s="48">
        <f t="shared" si="54"/>
        <v>1</v>
      </c>
      <c r="AI107" s="49">
        <f t="shared" si="55"/>
        <v>0</v>
      </c>
      <c r="AK107" s="51"/>
      <c r="BG107" s="81">
        <v>49.9</v>
      </c>
      <c r="BH107" s="81">
        <v>0</v>
      </c>
      <c r="BI107" s="81">
        <v>302.10000000000002</v>
      </c>
      <c r="BJ107" s="81">
        <v>0</v>
      </c>
      <c r="BK107" s="81">
        <v>0</v>
      </c>
      <c r="BL107" s="81">
        <v>0</v>
      </c>
    </row>
    <row r="108" spans="1:64" ht="15.75" thickBot="1" x14ac:dyDescent="0.3">
      <c r="A108" s="86" t="s">
        <v>131</v>
      </c>
      <c r="B108" s="70">
        <f t="shared" ref="B108:C108" si="96">B92-B107</f>
        <v>352</v>
      </c>
      <c r="C108" s="70">
        <f t="shared" si="96"/>
        <v>441.8</v>
      </c>
      <c r="D108" s="70">
        <f t="shared" ref="D108" si="97">D92-D107</f>
        <v>370.90000000000003</v>
      </c>
      <c r="E108" s="70">
        <f t="shared" ref="E108:AF108" si="98">E92-E107</f>
        <v>440</v>
      </c>
      <c r="F108" s="70">
        <f t="shared" si="98"/>
        <v>506.2</v>
      </c>
      <c r="G108" s="70">
        <f t="shared" si="98"/>
        <v>488.2</v>
      </c>
      <c r="H108" s="70">
        <f t="shared" si="98"/>
        <v>507.60000000000008</v>
      </c>
      <c r="I108" s="70">
        <f t="shared" si="98"/>
        <v>520.6</v>
      </c>
      <c r="J108" s="70">
        <f t="shared" si="98"/>
        <v>534.5</v>
      </c>
      <c r="K108" s="70">
        <f t="shared" si="98"/>
        <v>401.3</v>
      </c>
      <c r="L108" s="70">
        <f t="shared" si="98"/>
        <v>419.30000000000007</v>
      </c>
      <c r="M108" s="70">
        <f t="shared" si="98"/>
        <v>410.2</v>
      </c>
      <c r="N108" s="70">
        <f t="shared" si="98"/>
        <v>388.00000000000006</v>
      </c>
      <c r="O108" s="70">
        <f t="shared" si="98"/>
        <v>450.3</v>
      </c>
      <c r="P108" s="70">
        <f t="shared" si="98"/>
        <v>395.50000000000006</v>
      </c>
      <c r="Q108" s="70">
        <f t="shared" si="98"/>
        <v>405.1</v>
      </c>
      <c r="R108" s="70">
        <f t="shared" si="98"/>
        <v>427.59999999999997</v>
      </c>
      <c r="S108" s="70">
        <f t="shared" si="98"/>
        <v>452.79999999999995</v>
      </c>
      <c r="T108" s="70">
        <f t="shared" si="98"/>
        <v>457</v>
      </c>
      <c r="U108" s="70">
        <f t="shared" si="98"/>
        <v>454.6</v>
      </c>
      <c r="V108" s="70">
        <f t="shared" si="98"/>
        <v>465.90000000000003</v>
      </c>
      <c r="W108" s="70">
        <f t="shared" si="98"/>
        <v>485.29999999999995</v>
      </c>
      <c r="X108" s="70">
        <f t="shared" si="98"/>
        <v>469.7</v>
      </c>
      <c r="Y108" s="70">
        <f>Y92-Y107</f>
        <v>408.20000000000005</v>
      </c>
      <c r="Z108" s="70">
        <f>Z92-Z107</f>
        <v>335.4</v>
      </c>
      <c r="AA108" s="70">
        <f t="shared" si="98"/>
        <v>235</v>
      </c>
      <c r="AB108" s="70">
        <f t="shared" si="98"/>
        <v>301</v>
      </c>
      <c r="AC108" s="70">
        <f t="shared" ref="AC108" si="99">AC92-AC107</f>
        <v>307</v>
      </c>
      <c r="AD108" s="70">
        <f t="shared" si="98"/>
        <v>389</v>
      </c>
      <c r="AE108" s="70">
        <f t="shared" ref="AE108" si="100">AE92-AE107</f>
        <v>332.5</v>
      </c>
      <c r="AF108" s="70">
        <f t="shared" si="98"/>
        <v>334.59999999999997</v>
      </c>
      <c r="AG108" s="100"/>
      <c r="AH108" s="48">
        <f t="shared" si="54"/>
        <v>534.5</v>
      </c>
      <c r="AI108" s="49">
        <f t="shared" si="55"/>
        <v>235</v>
      </c>
    </row>
    <row r="109" spans="1:64" x14ac:dyDescent="0.25">
      <c r="A109" s="112" t="s">
        <v>132</v>
      </c>
      <c r="B109" s="113">
        <v>50.01</v>
      </c>
      <c r="C109" s="113">
        <v>49.98</v>
      </c>
      <c r="D109" s="113">
        <v>49.95</v>
      </c>
      <c r="E109" s="113">
        <v>50.015999999999998</v>
      </c>
      <c r="F109" s="113">
        <v>50.02</v>
      </c>
      <c r="G109" s="113">
        <v>50.03</v>
      </c>
      <c r="H109" s="113">
        <v>49.968000000000004</v>
      </c>
      <c r="I109" s="113">
        <v>50.035299999999999</v>
      </c>
      <c r="J109" s="113">
        <v>50.078000000000003</v>
      </c>
      <c r="K109" s="113">
        <v>50.078000000000003</v>
      </c>
      <c r="L109" s="113">
        <v>50.12</v>
      </c>
      <c r="M109" s="113">
        <v>49.991</v>
      </c>
      <c r="N109" s="113">
        <v>50.003999999999998</v>
      </c>
      <c r="O109" s="113">
        <v>50.012999999999998</v>
      </c>
      <c r="P109" s="113">
        <v>50.015999999999998</v>
      </c>
      <c r="Q109" s="113">
        <v>49.968000000000004</v>
      </c>
      <c r="R109" s="113">
        <v>50.122</v>
      </c>
      <c r="S109" s="113">
        <v>49.96</v>
      </c>
      <c r="T109" s="113">
        <v>49.908000000000001</v>
      </c>
      <c r="U109" s="113">
        <v>49.920999999999999</v>
      </c>
      <c r="V109" s="113">
        <v>50.018000000000001</v>
      </c>
      <c r="W109" s="113">
        <v>50.042999999999999</v>
      </c>
      <c r="X109" s="113">
        <v>50.017000000000003</v>
      </c>
      <c r="Y109" s="113">
        <v>50.072000000000003</v>
      </c>
      <c r="Z109" s="113">
        <v>50.042999999999999</v>
      </c>
      <c r="AA109" s="113">
        <v>49.935000000000002</v>
      </c>
      <c r="AB109" s="113">
        <v>50.021000000000001</v>
      </c>
      <c r="AC109" s="113">
        <v>50.021000000000001</v>
      </c>
      <c r="AD109" s="113">
        <v>50.033999999999999</v>
      </c>
      <c r="AE109" s="113">
        <v>50.07</v>
      </c>
      <c r="AF109" s="113">
        <v>49.914000000000001</v>
      </c>
      <c r="AG109" s="114"/>
      <c r="AH109" s="48">
        <f t="shared" si="54"/>
        <v>50.122</v>
      </c>
      <c r="AI109" s="49">
        <f t="shared" si="55"/>
        <v>49.908000000000001</v>
      </c>
    </row>
    <row r="110" spans="1:64" x14ac:dyDescent="0.25">
      <c r="A110" s="115" t="s">
        <v>133</v>
      </c>
      <c r="B110" s="75">
        <v>126.2</v>
      </c>
      <c r="C110" s="75">
        <v>126.3</v>
      </c>
      <c r="D110" s="75">
        <v>127.8</v>
      </c>
      <c r="E110" s="75">
        <v>126.7</v>
      </c>
      <c r="F110" s="75">
        <v>126.1</v>
      </c>
      <c r="G110" s="75">
        <v>128.1</v>
      </c>
      <c r="H110" s="75">
        <v>126.9</v>
      </c>
      <c r="I110" s="75">
        <v>127.8</v>
      </c>
      <c r="J110" s="75">
        <v>126.7</v>
      </c>
      <c r="K110" s="75">
        <v>126.7</v>
      </c>
      <c r="L110" s="75">
        <v>128</v>
      </c>
      <c r="M110" s="75">
        <v>128.4</v>
      </c>
      <c r="N110" s="75">
        <v>128.30000000000001</v>
      </c>
      <c r="O110" s="75">
        <v>125.6</v>
      </c>
      <c r="P110" s="75">
        <v>126.1</v>
      </c>
      <c r="Q110" s="75">
        <v>124.4</v>
      </c>
      <c r="R110" s="75">
        <v>123.5</v>
      </c>
      <c r="S110" s="75">
        <v>125.9</v>
      </c>
      <c r="T110" s="75">
        <v>125.4</v>
      </c>
      <c r="U110" s="75">
        <v>126.6</v>
      </c>
      <c r="V110" s="75">
        <v>128</v>
      </c>
      <c r="W110" s="75">
        <v>127.1</v>
      </c>
      <c r="X110" s="75">
        <v>126.4</v>
      </c>
      <c r="Y110" s="75">
        <v>123.6</v>
      </c>
      <c r="Z110" s="75">
        <v>122</v>
      </c>
      <c r="AA110" s="75">
        <v>123</v>
      </c>
      <c r="AB110" s="75">
        <v>126.4</v>
      </c>
      <c r="AC110" s="75">
        <v>126.4</v>
      </c>
      <c r="AD110" s="75">
        <v>124.1</v>
      </c>
      <c r="AE110" s="75">
        <v>127</v>
      </c>
      <c r="AF110" s="75">
        <v>128</v>
      </c>
      <c r="AG110" s="116"/>
      <c r="AH110" s="48">
        <f t="shared" si="54"/>
        <v>128.4</v>
      </c>
      <c r="AI110" s="49">
        <f t="shared" si="55"/>
        <v>122</v>
      </c>
    </row>
    <row r="111" spans="1:64" x14ac:dyDescent="0.25">
      <c r="A111" s="115" t="s">
        <v>134</v>
      </c>
      <c r="B111" s="75">
        <v>130.80000000000001</v>
      </c>
      <c r="C111" s="75">
        <v>130.80000000000001</v>
      </c>
      <c r="D111" s="75">
        <v>131.9</v>
      </c>
      <c r="E111" s="75">
        <v>131.19999999999999</v>
      </c>
      <c r="F111" s="75">
        <v>130.9</v>
      </c>
      <c r="G111" s="75">
        <v>132.1</v>
      </c>
      <c r="H111" s="75">
        <v>130.9</v>
      </c>
      <c r="I111" s="75">
        <v>131.19999999999999</v>
      </c>
      <c r="J111" s="75">
        <v>130.1</v>
      </c>
      <c r="K111" s="75">
        <v>130.1</v>
      </c>
      <c r="L111" s="75">
        <v>131.19999999999999</v>
      </c>
      <c r="M111" s="75">
        <v>131.1</v>
      </c>
      <c r="N111" s="75">
        <v>131</v>
      </c>
      <c r="O111" s="75">
        <v>129</v>
      </c>
      <c r="P111" s="75">
        <v>130</v>
      </c>
      <c r="Q111" s="75">
        <v>128.5</v>
      </c>
      <c r="R111" s="75">
        <v>127.5</v>
      </c>
      <c r="S111" s="75">
        <v>129</v>
      </c>
      <c r="T111" s="75">
        <v>129</v>
      </c>
      <c r="U111" s="75">
        <v>130.19999999999999</v>
      </c>
      <c r="V111" s="75">
        <v>131.4</v>
      </c>
      <c r="W111" s="75">
        <v>130.80000000000001</v>
      </c>
      <c r="X111" s="75">
        <v>130</v>
      </c>
      <c r="Y111" s="75">
        <v>127.9</v>
      </c>
      <c r="Z111" s="75">
        <v>126.3</v>
      </c>
      <c r="AA111" s="75">
        <v>127</v>
      </c>
      <c r="AB111" s="75">
        <v>130.30000000000001</v>
      </c>
      <c r="AC111" s="75">
        <v>130.30000000000001</v>
      </c>
      <c r="AD111" s="75">
        <v>128.30000000000001</v>
      </c>
      <c r="AE111" s="75">
        <v>131.4</v>
      </c>
      <c r="AF111" s="75">
        <v>132.4</v>
      </c>
      <c r="AG111" s="116"/>
      <c r="AH111" s="48">
        <f t="shared" si="54"/>
        <v>132.4</v>
      </c>
      <c r="AI111" s="49">
        <f t="shared" si="55"/>
        <v>126.3</v>
      </c>
    </row>
    <row r="112" spans="1:64" x14ac:dyDescent="0.25">
      <c r="A112" s="115" t="s">
        <v>135</v>
      </c>
      <c r="B112" s="75">
        <v>130.69999999999999</v>
      </c>
      <c r="C112" s="75">
        <v>130.69999999999999</v>
      </c>
      <c r="D112" s="75">
        <v>131.1</v>
      </c>
      <c r="E112" s="75">
        <v>130.1</v>
      </c>
      <c r="F112" s="75">
        <v>129</v>
      </c>
      <c r="G112" s="75">
        <v>129.5</v>
      </c>
      <c r="H112" s="75">
        <v>128.5</v>
      </c>
      <c r="I112" s="75">
        <v>129.19999999999999</v>
      </c>
      <c r="J112" s="75">
        <v>123.5</v>
      </c>
      <c r="K112" s="75">
        <v>123.5</v>
      </c>
      <c r="L112" s="75">
        <v>125.5</v>
      </c>
      <c r="M112" s="75">
        <v>129.6</v>
      </c>
      <c r="N112" s="75">
        <v>133.30000000000001</v>
      </c>
      <c r="O112" s="75">
        <v>130</v>
      </c>
      <c r="P112" s="75">
        <v>126.4</v>
      </c>
      <c r="Q112" s="75">
        <v>127.1</v>
      </c>
      <c r="R112" s="75">
        <v>126.5</v>
      </c>
      <c r="S112" s="75">
        <v>130.5</v>
      </c>
      <c r="T112" s="75">
        <v>129.69999999999999</v>
      </c>
      <c r="U112" s="75">
        <v>127.7</v>
      </c>
      <c r="V112" s="75">
        <v>129.1</v>
      </c>
      <c r="W112" s="75">
        <v>129.6</v>
      </c>
      <c r="X112" s="75">
        <v>128.30000000000001</v>
      </c>
      <c r="Y112" s="75">
        <v>122</v>
      </c>
      <c r="Z112" s="75">
        <v>126.7</v>
      </c>
      <c r="AA112" s="75">
        <v>128</v>
      </c>
      <c r="AB112" s="75">
        <v>130</v>
      </c>
      <c r="AC112" s="75">
        <v>130</v>
      </c>
      <c r="AD112" s="75">
        <v>128.69999999999999</v>
      </c>
      <c r="AE112" s="75">
        <v>130.19999999999999</v>
      </c>
      <c r="AF112" s="75">
        <v>131.80000000000001</v>
      </c>
      <c r="AG112" s="116"/>
      <c r="AH112" s="48">
        <f t="shared" si="54"/>
        <v>133.30000000000001</v>
      </c>
      <c r="AI112" s="49">
        <f t="shared" si="55"/>
        <v>122</v>
      </c>
    </row>
    <row r="113" spans="1:35" x14ac:dyDescent="0.25">
      <c r="A113" s="117" t="s">
        <v>136</v>
      </c>
      <c r="B113" s="75">
        <v>131.80000000000001</v>
      </c>
      <c r="C113" s="75">
        <v>131.80000000000001</v>
      </c>
      <c r="D113" s="75">
        <v>132.19999999999999</v>
      </c>
      <c r="E113" s="75">
        <v>131.69999999999999</v>
      </c>
      <c r="F113" s="75">
        <v>130.9</v>
      </c>
      <c r="G113" s="75">
        <v>130.69999999999999</v>
      </c>
      <c r="H113" s="75">
        <v>129.6</v>
      </c>
      <c r="I113" s="75">
        <v>130.9</v>
      </c>
      <c r="J113" s="75">
        <v>125.8</v>
      </c>
      <c r="K113" s="75">
        <v>125.8</v>
      </c>
      <c r="L113" s="75">
        <v>124.6</v>
      </c>
      <c r="M113" s="75">
        <v>127.7</v>
      </c>
      <c r="N113" s="75">
        <v>131.6</v>
      </c>
      <c r="O113" s="75">
        <v>131</v>
      </c>
      <c r="P113" s="75">
        <v>0</v>
      </c>
      <c r="Q113" s="75">
        <v>0</v>
      </c>
      <c r="R113" s="75">
        <v>0</v>
      </c>
      <c r="S113" s="75">
        <v>0</v>
      </c>
      <c r="T113" s="75">
        <v>0</v>
      </c>
      <c r="U113" s="75">
        <v>0</v>
      </c>
      <c r="V113" s="75">
        <v>127</v>
      </c>
      <c r="W113" s="75">
        <v>126.9</v>
      </c>
      <c r="X113" s="75">
        <v>124.9</v>
      </c>
      <c r="Y113" s="75">
        <v>123.3</v>
      </c>
      <c r="Z113" s="75">
        <v>125.3</v>
      </c>
      <c r="AA113" s="75">
        <v>127.2</v>
      </c>
      <c r="AB113" s="75">
        <v>131</v>
      </c>
      <c r="AC113" s="75">
        <v>131</v>
      </c>
      <c r="AD113" s="75">
        <v>131.1</v>
      </c>
      <c r="AE113" s="75">
        <v>132.19999999999999</v>
      </c>
      <c r="AF113" s="75">
        <v>133.69999999999999</v>
      </c>
      <c r="AG113" s="116"/>
      <c r="AH113" s="48">
        <f t="shared" si="54"/>
        <v>133.69999999999999</v>
      </c>
      <c r="AI113" s="49">
        <f t="shared" si="55"/>
        <v>0</v>
      </c>
    </row>
    <row r="114" spans="1:35" x14ac:dyDescent="0.25">
      <c r="A114" s="117" t="s">
        <v>137</v>
      </c>
      <c r="B114" s="118">
        <v>132.80000000000001</v>
      </c>
      <c r="C114" s="118">
        <v>132.80000000000001</v>
      </c>
      <c r="D114" s="118">
        <v>131.30000000000001</v>
      </c>
      <c r="E114" s="118">
        <v>130</v>
      </c>
      <c r="F114" s="118">
        <v>129.6</v>
      </c>
      <c r="G114" s="118">
        <v>134.6</v>
      </c>
      <c r="H114" s="118">
        <v>130.4</v>
      </c>
      <c r="I114" s="118">
        <v>134.1</v>
      </c>
      <c r="J114" s="118">
        <v>134.4</v>
      </c>
      <c r="K114" s="118">
        <v>134.4</v>
      </c>
      <c r="L114" s="118">
        <v>133.6</v>
      </c>
      <c r="M114" s="118">
        <v>133.6</v>
      </c>
      <c r="N114" s="118">
        <v>133.1</v>
      </c>
      <c r="O114" s="118">
        <v>134.30000000000001</v>
      </c>
      <c r="P114" s="118">
        <v>132.80000000000001</v>
      </c>
      <c r="Q114" s="118">
        <v>132.30000000000001</v>
      </c>
      <c r="R114" s="118">
        <v>132.19999999999999</v>
      </c>
      <c r="S114" s="118">
        <v>134.5</v>
      </c>
      <c r="T114" s="118">
        <v>133.69999999999999</v>
      </c>
      <c r="U114" s="118">
        <v>133.5</v>
      </c>
      <c r="V114" s="118">
        <v>136.4</v>
      </c>
      <c r="W114" s="118">
        <v>135.19999999999999</v>
      </c>
      <c r="X114" s="118">
        <v>135.6</v>
      </c>
      <c r="Y114" s="118">
        <v>136.5</v>
      </c>
      <c r="Z114" s="118">
        <v>134</v>
      </c>
      <c r="AA114" s="118">
        <v>133.19999999999999</v>
      </c>
      <c r="AB114" s="118">
        <v>134.6</v>
      </c>
      <c r="AC114" s="118">
        <v>134.6</v>
      </c>
      <c r="AD114" s="118">
        <v>129.4</v>
      </c>
      <c r="AE114" s="118">
        <v>132.80000000000001</v>
      </c>
      <c r="AF114" s="118">
        <v>133</v>
      </c>
      <c r="AG114" s="119"/>
      <c r="AH114" s="48">
        <f t="shared" si="54"/>
        <v>136.5</v>
      </c>
      <c r="AI114" s="49">
        <f t="shared" si="55"/>
        <v>129.4</v>
      </c>
    </row>
    <row r="115" spans="1:35" x14ac:dyDescent="0.25">
      <c r="A115" s="115" t="s">
        <v>138</v>
      </c>
      <c r="B115" s="75">
        <v>125.2</v>
      </c>
      <c r="C115" s="75">
        <v>125.2</v>
      </c>
      <c r="D115" s="75">
        <v>119.8</v>
      </c>
      <c r="E115" s="75">
        <v>129.4</v>
      </c>
      <c r="F115" s="75">
        <v>130.5</v>
      </c>
      <c r="G115" s="75">
        <v>132.5</v>
      </c>
      <c r="H115" s="75">
        <v>128.9</v>
      </c>
      <c r="I115" s="75">
        <v>131.4</v>
      </c>
      <c r="J115" s="75">
        <v>126.8</v>
      </c>
      <c r="K115" s="75">
        <v>126.8</v>
      </c>
      <c r="L115" s="75">
        <v>126.8</v>
      </c>
      <c r="M115" s="75">
        <v>125.9</v>
      </c>
      <c r="N115" s="75">
        <v>125</v>
      </c>
      <c r="O115" s="75">
        <v>124.3</v>
      </c>
      <c r="P115" s="75">
        <v>123.2</v>
      </c>
      <c r="Q115" s="75">
        <v>126.8</v>
      </c>
      <c r="R115" s="75">
        <v>126.1</v>
      </c>
      <c r="S115" s="75">
        <v>129.19999999999999</v>
      </c>
      <c r="T115" s="75">
        <v>129.5</v>
      </c>
      <c r="U115" s="75">
        <v>125.9</v>
      </c>
      <c r="V115" s="75">
        <v>126.5</v>
      </c>
      <c r="W115" s="75">
        <v>124.7</v>
      </c>
      <c r="X115" s="75">
        <v>122.4</v>
      </c>
      <c r="Y115" s="75">
        <v>120.3</v>
      </c>
      <c r="Z115" s="75">
        <v>121</v>
      </c>
      <c r="AA115" s="75">
        <v>127</v>
      </c>
      <c r="AB115" s="75">
        <v>131.30000000000001</v>
      </c>
      <c r="AC115" s="75">
        <v>131.30000000000001</v>
      </c>
      <c r="AD115" s="75">
        <v>130.69999999999999</v>
      </c>
      <c r="AE115" s="75">
        <v>130.69999999999999</v>
      </c>
      <c r="AF115" s="75">
        <v>128.69999999999999</v>
      </c>
      <c r="AG115" s="116"/>
      <c r="AH115" s="48">
        <f t="shared" si="54"/>
        <v>132.5</v>
      </c>
      <c r="AI115" s="49">
        <f t="shared" si="55"/>
        <v>119.8</v>
      </c>
    </row>
    <row r="116" spans="1:35" ht="15.75" thickBot="1" x14ac:dyDescent="0.3">
      <c r="A116" s="115" t="s">
        <v>139</v>
      </c>
      <c r="B116" s="104">
        <v>65.8</v>
      </c>
      <c r="C116" s="104">
        <v>65.8</v>
      </c>
      <c r="D116" s="104">
        <v>66.5</v>
      </c>
      <c r="E116" s="104">
        <v>66</v>
      </c>
      <c r="F116" s="104">
        <v>65.8</v>
      </c>
      <c r="G116" s="104">
        <v>66.400000000000006</v>
      </c>
      <c r="H116" s="104">
        <v>66</v>
      </c>
      <c r="I116" s="104">
        <v>66</v>
      </c>
      <c r="J116" s="104">
        <v>65.3</v>
      </c>
      <c r="K116" s="104">
        <v>65.3</v>
      </c>
      <c r="L116" s="104">
        <v>65.8</v>
      </c>
      <c r="M116" s="104">
        <v>65.599999999999994</v>
      </c>
      <c r="N116" s="104">
        <v>65.400000000000006</v>
      </c>
      <c r="O116" s="104">
        <v>64.5</v>
      </c>
      <c r="P116" s="104">
        <v>65.2</v>
      </c>
      <c r="Q116" s="104">
        <v>64.599999999999994</v>
      </c>
      <c r="R116" s="104">
        <v>64.3</v>
      </c>
      <c r="S116" s="104">
        <v>64.8</v>
      </c>
      <c r="T116" s="104">
        <v>64.400000000000006</v>
      </c>
      <c r="U116" s="104">
        <v>65.5</v>
      </c>
      <c r="V116" s="104">
        <v>66.2</v>
      </c>
      <c r="W116" s="104">
        <v>65.900000000000006</v>
      </c>
      <c r="X116" s="104">
        <v>65.3</v>
      </c>
      <c r="Y116" s="104">
        <v>64.2</v>
      </c>
      <c r="Z116" s="104">
        <v>63.5</v>
      </c>
      <c r="AA116" s="104">
        <v>63.4</v>
      </c>
      <c r="AB116" s="104">
        <v>65.2</v>
      </c>
      <c r="AC116" s="104">
        <v>65.2</v>
      </c>
      <c r="AD116" s="104">
        <v>64.2</v>
      </c>
      <c r="AE116" s="104">
        <v>66.099999999999994</v>
      </c>
      <c r="AF116" s="104">
        <v>66.599999999999994</v>
      </c>
      <c r="AG116" s="120"/>
      <c r="AH116" s="48">
        <f t="shared" si="54"/>
        <v>66.599999999999994</v>
      </c>
      <c r="AI116" s="49">
        <f t="shared" si="55"/>
        <v>63.4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 t="s">
        <v>140</v>
      </c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54"/>
        <v>0</v>
      </c>
      <c r="AI117" s="49">
        <f t="shared" si="55"/>
        <v>0</v>
      </c>
    </row>
    <row r="118" spans="1:35" ht="15.75" thickBot="1" x14ac:dyDescent="0.3">
      <c r="A118" s="122" t="s">
        <v>141</v>
      </c>
      <c r="B118" s="123">
        <f t="shared" ref="B118:C118" si="101">SUM(B22,B28,B31:B32,B66,B68:B69,B71,B73,B119:B123,B155,B161,B167,B176,B178,B190,B197,B200:B201,B208,B210,B212,B216:B218,B220:B222,B227,B233:B234,B236:B238,B246,B251)</f>
        <v>110.23999999999998</v>
      </c>
      <c r="C118" s="123">
        <f t="shared" si="101"/>
        <v>108.13999999999999</v>
      </c>
      <c r="D118" s="123">
        <f t="shared" ref="D118" si="102">SUM(D22,D28,D31:D32,D66,D68:D69,D71,D73,D119:D123,D155,D161,D167,D176,D178,D190,D197,D200:D201,D208,D210,D212,D216:D218,D220:D222,D227,D233:D234,D236:D238,D246,D251)</f>
        <v>92.239999999999966</v>
      </c>
      <c r="E118" s="123">
        <f t="shared" ref="E118:R118" si="103">SUM(E22,E28,E31:E32,E66,E68:E69,E71,E73,E119:E123,E155,E161,E167,E176,E178,E190,E197,E200:E201,E208,E210,E212,E216:E218,E220:E222,E227,E233:E234,E236:E238,E246,E251)</f>
        <v>94.34</v>
      </c>
      <c r="F118" s="123">
        <f t="shared" si="103"/>
        <v>101.83999999999997</v>
      </c>
      <c r="G118" s="123">
        <f t="shared" si="103"/>
        <v>119.23999999999998</v>
      </c>
      <c r="H118" s="123">
        <f t="shared" si="103"/>
        <v>136.54</v>
      </c>
      <c r="I118" s="123">
        <f t="shared" si="103"/>
        <v>170.93999999999997</v>
      </c>
      <c r="J118" s="123">
        <f t="shared" si="103"/>
        <v>202.54</v>
      </c>
      <c r="K118" s="123">
        <f t="shared" si="103"/>
        <v>153.84</v>
      </c>
      <c r="L118" s="123">
        <f t="shared" si="103"/>
        <v>263.63999999999993</v>
      </c>
      <c r="M118" s="123">
        <f t="shared" si="103"/>
        <v>280.14000000000004</v>
      </c>
      <c r="N118" s="123">
        <f t="shared" si="103"/>
        <v>291.83999999999997</v>
      </c>
      <c r="O118" s="123">
        <f t="shared" si="103"/>
        <v>277.64</v>
      </c>
      <c r="P118" s="123">
        <f t="shared" si="103"/>
        <v>238.94</v>
      </c>
      <c r="Q118" s="123">
        <f t="shared" si="103"/>
        <v>226.14</v>
      </c>
      <c r="R118" s="123">
        <f t="shared" si="103"/>
        <v>217.34</v>
      </c>
      <c r="S118" s="123">
        <f t="shared" ref="S118:AF118" si="104">SUM(S22,S28,S31:S32,S66,S68:S69,S71,S73,S119:S123,S155,S161,S167,S176,S178,S190,S197,S200:S201,S208,S210,S212,S216:S218,S220:S222,S227,S233:S234,S236:S238,S246,S251)</f>
        <v>212.04</v>
      </c>
      <c r="T118" s="123">
        <f t="shared" si="104"/>
        <v>214.83999999999997</v>
      </c>
      <c r="U118" s="123">
        <f t="shared" si="104"/>
        <v>205.54</v>
      </c>
      <c r="V118" s="123">
        <f t="shared" si="104"/>
        <v>204.94</v>
      </c>
      <c r="W118" s="123">
        <f t="shared" si="104"/>
        <v>231.73999999999998</v>
      </c>
      <c r="X118" s="123">
        <f t="shared" si="104"/>
        <v>261.04000000000002</v>
      </c>
      <c r="Y118" s="123">
        <f t="shared" ref="Y118:Z118" si="105">SUM(Y20,Y26,Y37:Y38,Y66,Y68:Y69,Y71,Y73,Y119:Y123,Y148,Y154,Y160,Y169,Y171,Y183,Y190,Y193:Y194,Y201,Y203,Y205,Y209:Y211,Y213:Y215,Y220,Y226:Y227,Y229:Y231,Y239,Y244)</f>
        <v>294.79999999999995</v>
      </c>
      <c r="Z118" s="123">
        <f t="shared" si="105"/>
        <v>326.3</v>
      </c>
      <c r="AA118" s="123">
        <f t="shared" si="104"/>
        <v>332.64</v>
      </c>
      <c r="AB118" s="123">
        <f t="shared" si="104"/>
        <v>187.94</v>
      </c>
      <c r="AC118" s="123">
        <f t="shared" ref="AC118" si="106">SUM(AC22,AC28,AC31:AC32,AC66,AC68:AC69,AC71,AC73,AC119:AC123,AC155,AC161,AC167,AC176,AC178,AC190,AC197,AC200:AC201,AC208,AC210,AC212,AC216:AC218,AC220:AC222,AC227,AC233:AC234,AC236:AC238,AC246,AC251)</f>
        <v>215.14</v>
      </c>
      <c r="AD118" s="123">
        <f t="shared" si="104"/>
        <v>167.84</v>
      </c>
      <c r="AE118" s="123">
        <f t="shared" ref="AE118" si="107">SUM(AE22,AE28,AE31:AE32,AE66,AE68:AE69,AE71,AE73,AE119:AE123,AE155,AE161,AE167,AE176,AE178,AE190,AE197,AE200:AE201,AE208,AE210,AE212,AE216:AE218,AE220:AE222,AE227,AE233:AE234,AE236:AE238,AE246,AE251)</f>
        <v>130.64000000000001</v>
      </c>
      <c r="AF118" s="123">
        <f t="shared" si="104"/>
        <v>105.54000000000002</v>
      </c>
      <c r="AG118" s="124"/>
      <c r="AH118" s="48">
        <f t="shared" si="54"/>
        <v>332.64</v>
      </c>
      <c r="AI118" s="49">
        <f t="shared" si="55"/>
        <v>92.239999999999966</v>
      </c>
    </row>
    <row r="119" spans="1:35" x14ac:dyDescent="0.25">
      <c r="A119" s="125" t="s">
        <v>142</v>
      </c>
      <c r="B119" s="126">
        <v>-1.4</v>
      </c>
      <c r="C119" s="126">
        <v>-9.1</v>
      </c>
      <c r="D119" s="126">
        <v>-9.4</v>
      </c>
      <c r="E119" s="126">
        <v>-5.0999999999999996</v>
      </c>
      <c r="F119" s="126">
        <v>-4.7</v>
      </c>
      <c r="G119" s="126">
        <v>5.5</v>
      </c>
      <c r="H119" s="126">
        <v>0.4</v>
      </c>
      <c r="I119" s="126">
        <v>10.6</v>
      </c>
      <c r="J119" s="126">
        <v>20.399999999999999</v>
      </c>
      <c r="K119" s="126">
        <v>20.399999999999999</v>
      </c>
      <c r="L119" s="126">
        <v>27</v>
      </c>
      <c r="M119" s="126">
        <v>25.1</v>
      </c>
      <c r="N119" s="126">
        <v>23.9</v>
      </c>
      <c r="O119" s="126">
        <v>25.5</v>
      </c>
      <c r="P119" s="126">
        <v>29.2</v>
      </c>
      <c r="Q119" s="126">
        <v>33.799999999999997</v>
      </c>
      <c r="R119" s="126">
        <v>28.9</v>
      </c>
      <c r="S119" s="126">
        <v>17.100000000000001</v>
      </c>
      <c r="T119" s="126">
        <v>15.1</v>
      </c>
      <c r="U119" s="126">
        <v>24</v>
      </c>
      <c r="V119" s="126">
        <v>37.1</v>
      </c>
      <c r="W119" s="126">
        <v>37.299999999999997</v>
      </c>
      <c r="X119" s="126">
        <v>45</v>
      </c>
      <c r="Y119" s="126">
        <v>73.400000000000006</v>
      </c>
      <c r="Z119" s="126">
        <v>62</v>
      </c>
      <c r="AA119" s="126">
        <v>67</v>
      </c>
      <c r="AB119" s="126">
        <v>55.6</v>
      </c>
      <c r="AC119" s="126">
        <v>47.4</v>
      </c>
      <c r="AD119" s="126">
        <v>50.5</v>
      </c>
      <c r="AE119" s="126">
        <v>43.3</v>
      </c>
      <c r="AF119" s="126">
        <v>37.700000000000003</v>
      </c>
      <c r="AG119" s="127">
        <v>75</v>
      </c>
      <c r="AH119" s="48">
        <f t="shared" si="54"/>
        <v>73.400000000000006</v>
      </c>
      <c r="AI119" s="49">
        <f t="shared" si="55"/>
        <v>-9.4</v>
      </c>
    </row>
    <row r="120" spans="1:35" x14ac:dyDescent="0.25">
      <c r="A120" s="128" t="s">
        <v>143</v>
      </c>
      <c r="B120" s="129">
        <v>4.2</v>
      </c>
      <c r="C120" s="129">
        <v>6.8</v>
      </c>
      <c r="D120" s="129">
        <v>-8.6999999999999993</v>
      </c>
      <c r="E120" s="129">
        <v>-2.5</v>
      </c>
      <c r="F120" s="129">
        <v>-1.7</v>
      </c>
      <c r="G120" s="129">
        <v>13.3</v>
      </c>
      <c r="H120" s="129">
        <v>4.5</v>
      </c>
      <c r="I120" s="129">
        <v>16.8</v>
      </c>
      <c r="J120" s="129">
        <v>28.6</v>
      </c>
      <c r="K120" s="129">
        <v>28.6</v>
      </c>
      <c r="L120" s="129">
        <v>41.1</v>
      </c>
      <c r="M120" s="129">
        <v>39.6</v>
      </c>
      <c r="N120" s="129">
        <v>36.6</v>
      </c>
      <c r="O120" s="129">
        <v>39</v>
      </c>
      <c r="P120" s="129">
        <v>45.8</v>
      </c>
      <c r="Q120" s="129">
        <v>49.6</v>
      </c>
      <c r="R120" s="129">
        <v>41.1</v>
      </c>
      <c r="S120" s="129">
        <v>26.7</v>
      </c>
      <c r="T120" s="129">
        <v>24</v>
      </c>
      <c r="U120" s="129">
        <v>39</v>
      </c>
      <c r="V120" s="129">
        <v>58</v>
      </c>
      <c r="W120" s="129">
        <v>60.6</v>
      </c>
      <c r="X120" s="129">
        <v>70.099999999999994</v>
      </c>
      <c r="Y120" s="129">
        <v>104.4</v>
      </c>
      <c r="Z120" s="129">
        <v>89</v>
      </c>
      <c r="AA120" s="129">
        <v>94</v>
      </c>
      <c r="AB120" s="129">
        <v>84.3</v>
      </c>
      <c r="AC120" s="129">
        <v>74.3</v>
      </c>
      <c r="AD120" s="129">
        <v>79.099999999999994</v>
      </c>
      <c r="AE120" s="129">
        <v>67.5</v>
      </c>
      <c r="AF120" s="129">
        <v>58.8</v>
      </c>
      <c r="AG120" s="127">
        <v>240</v>
      </c>
      <c r="AH120" s="48">
        <f t="shared" si="54"/>
        <v>104.4</v>
      </c>
      <c r="AI120" s="49">
        <f t="shared" si="55"/>
        <v>-8.6999999999999993</v>
      </c>
    </row>
    <row r="121" spans="1:35" x14ac:dyDescent="0.25">
      <c r="A121" s="128" t="s">
        <v>144</v>
      </c>
      <c r="B121" s="129">
        <v>-64.599999999999994</v>
      </c>
      <c r="C121" s="129">
        <v>-67.900000000000006</v>
      </c>
      <c r="D121" s="129">
        <v>-58</v>
      </c>
      <c r="E121" s="129">
        <v>-64</v>
      </c>
      <c r="F121" s="129">
        <v>-63</v>
      </c>
      <c r="G121" s="129">
        <v>-55.5</v>
      </c>
      <c r="H121" s="129">
        <v>-44</v>
      </c>
      <c r="I121" s="129">
        <v>-36.200000000000003</v>
      </c>
      <c r="J121" s="129">
        <f>-16.4-19.1</f>
        <v>-35.5</v>
      </c>
      <c r="K121" s="129">
        <f>-16.4-19.1</f>
        <v>-35.5</v>
      </c>
      <c r="L121" s="129">
        <v>-39.700000000000003</v>
      </c>
      <c r="M121" s="129">
        <v>-24</v>
      </c>
      <c r="N121" s="129">
        <v>-20</v>
      </c>
      <c r="O121" s="129">
        <v>-22</v>
      </c>
      <c r="P121" s="129">
        <v>-35</v>
      </c>
      <c r="Q121" s="129">
        <f>-17-20.5</f>
        <v>-37.5</v>
      </c>
      <c r="R121" s="129">
        <v>-36</v>
      </c>
      <c r="S121" s="129">
        <v>-32</v>
      </c>
      <c r="T121" s="129">
        <v>-29</v>
      </c>
      <c r="U121" s="129">
        <v>-30</v>
      </c>
      <c r="V121" s="129">
        <v>-34</v>
      </c>
      <c r="W121" s="129">
        <v>-37</v>
      </c>
      <c r="X121" s="129">
        <v>-36</v>
      </c>
      <c r="Y121" s="129">
        <v>-75</v>
      </c>
      <c r="Z121" s="129">
        <v>-57</v>
      </c>
      <c r="AA121" s="129">
        <v>-70</v>
      </c>
      <c r="AB121" s="129">
        <v>-107</v>
      </c>
      <c r="AC121" s="129">
        <v>-79</v>
      </c>
      <c r="AD121" s="129">
        <f>-30-35</f>
        <v>-65</v>
      </c>
      <c r="AE121" s="129">
        <f>-45-50.7</f>
        <v>-95.7</v>
      </c>
      <c r="AF121" s="129">
        <f>-44-49.5</f>
        <v>-93.5</v>
      </c>
      <c r="AG121" s="127">
        <v>240</v>
      </c>
      <c r="AH121" s="48">
        <f t="shared" si="54"/>
        <v>-20</v>
      </c>
      <c r="AI121" s="49">
        <f t="shared" si="55"/>
        <v>-107</v>
      </c>
    </row>
    <row r="122" spans="1:35" ht="15.75" thickBot="1" x14ac:dyDescent="0.3">
      <c r="A122" s="128" t="s">
        <v>145</v>
      </c>
      <c r="B122" s="129">
        <v>-12.4</v>
      </c>
      <c r="C122" s="129">
        <v>-11.6</v>
      </c>
      <c r="D122" s="129">
        <v>-11.4</v>
      </c>
      <c r="E122" s="129">
        <v>-14.6</v>
      </c>
      <c r="F122" s="129">
        <v>-14.9</v>
      </c>
      <c r="G122" s="129">
        <v>-10.6</v>
      </c>
      <c r="H122" s="129">
        <v>-8</v>
      </c>
      <c r="I122" s="129">
        <v>-6.1</v>
      </c>
      <c r="J122" s="129">
        <v>-6.3</v>
      </c>
      <c r="K122" s="129">
        <v>-6.3</v>
      </c>
      <c r="L122" s="129">
        <v>2.9</v>
      </c>
      <c r="M122" s="129">
        <v>5.8</v>
      </c>
      <c r="N122" s="129">
        <v>5.8</v>
      </c>
      <c r="O122" s="129">
        <v>0.6</v>
      </c>
      <c r="P122" s="129">
        <v>-4.5999999999999996</v>
      </c>
      <c r="Q122" s="129">
        <v>-5.9</v>
      </c>
      <c r="R122" s="129">
        <v>-6.2</v>
      </c>
      <c r="S122" s="129">
        <v>-7</v>
      </c>
      <c r="T122" s="129">
        <v>-5</v>
      </c>
      <c r="U122" s="129">
        <v>-5</v>
      </c>
      <c r="V122" s="129">
        <v>-6</v>
      </c>
      <c r="W122" s="129">
        <v>-3</v>
      </c>
      <c r="X122" s="129">
        <v>-4</v>
      </c>
      <c r="Y122" s="129">
        <v>-4</v>
      </c>
      <c r="Z122" s="129">
        <v>5.3</v>
      </c>
      <c r="AA122" s="129">
        <v>10</v>
      </c>
      <c r="AB122" s="129">
        <v>6</v>
      </c>
      <c r="AC122" s="129">
        <v>3</v>
      </c>
      <c r="AD122" s="129">
        <v>-0.5</v>
      </c>
      <c r="AE122" s="129">
        <v>-17.899999999999999</v>
      </c>
      <c r="AF122" s="129">
        <v>-19.3</v>
      </c>
      <c r="AG122" s="127">
        <v>60</v>
      </c>
      <c r="AH122" s="48">
        <f t="shared" si="54"/>
        <v>10</v>
      </c>
      <c r="AI122" s="49">
        <f t="shared" si="55"/>
        <v>-19.3</v>
      </c>
    </row>
    <row r="123" spans="1:35" x14ac:dyDescent="0.25">
      <c r="A123" s="125" t="s">
        <v>146</v>
      </c>
      <c r="B123" s="130">
        <v>98.7</v>
      </c>
      <c r="C123" s="130">
        <v>104.2</v>
      </c>
      <c r="D123" s="130">
        <v>94</v>
      </c>
      <c r="E123" s="130">
        <v>86.7</v>
      </c>
      <c r="F123" s="130">
        <v>92.3</v>
      </c>
      <c r="G123" s="130">
        <v>74.8</v>
      </c>
      <c r="H123" s="130">
        <v>91.9</v>
      </c>
      <c r="I123" s="130">
        <v>93.1</v>
      </c>
      <c r="J123" s="130">
        <v>99.2</v>
      </c>
      <c r="K123" s="130">
        <v>99.2</v>
      </c>
      <c r="L123" s="130">
        <v>132.19999999999999</v>
      </c>
      <c r="M123" s="130">
        <v>126.9</v>
      </c>
      <c r="N123" s="130">
        <v>134.69999999999999</v>
      </c>
      <c r="O123" s="130">
        <v>120.8</v>
      </c>
      <c r="P123" s="130">
        <v>94.9</v>
      </c>
      <c r="Q123" s="130">
        <v>80.5</v>
      </c>
      <c r="R123" s="130">
        <v>83.9</v>
      </c>
      <c r="S123" s="130">
        <v>103</v>
      </c>
      <c r="T123" s="130">
        <v>109</v>
      </c>
      <c r="U123" s="130">
        <v>80</v>
      </c>
      <c r="V123" s="130">
        <v>59</v>
      </c>
      <c r="W123" s="130">
        <v>67.400000000000006</v>
      </c>
      <c r="X123" s="130">
        <v>82</v>
      </c>
      <c r="Y123" s="130">
        <v>94</v>
      </c>
      <c r="Z123" s="130">
        <v>104.3</v>
      </c>
      <c r="AA123" s="130">
        <v>113</v>
      </c>
      <c r="AB123" s="130">
        <v>40</v>
      </c>
      <c r="AC123" s="130">
        <v>83</v>
      </c>
      <c r="AD123" s="130">
        <v>48</v>
      </c>
      <c r="AE123" s="130">
        <v>21.9</v>
      </c>
      <c r="AF123" s="130">
        <v>23.8</v>
      </c>
      <c r="AG123" s="131">
        <v>120</v>
      </c>
      <c r="AH123" s="48">
        <f t="shared" si="54"/>
        <v>134.69999999999999</v>
      </c>
      <c r="AI123" s="49">
        <f t="shared" si="55"/>
        <v>21.9</v>
      </c>
    </row>
    <row r="124" spans="1:35" x14ac:dyDescent="0.25">
      <c r="A124" s="128" t="s">
        <v>147</v>
      </c>
      <c r="B124" s="130">
        <v>71.2</v>
      </c>
      <c r="C124" s="130">
        <v>73</v>
      </c>
      <c r="D124" s="130">
        <v>68.400000000000006</v>
      </c>
      <c r="E124" s="130">
        <v>69.099999999999994</v>
      </c>
      <c r="F124" s="130">
        <v>71.099999999999994</v>
      </c>
      <c r="G124" s="130">
        <v>63.6</v>
      </c>
      <c r="H124" s="130">
        <v>72.099999999999994</v>
      </c>
      <c r="I124" s="130">
        <v>70.900000000000006</v>
      </c>
      <c r="J124" s="130">
        <v>73.400000000000006</v>
      </c>
      <c r="K124" s="130">
        <v>73.400000000000006</v>
      </c>
      <c r="L124" s="130">
        <v>89.1</v>
      </c>
      <c r="M124" s="130">
        <v>86.7</v>
      </c>
      <c r="N124" s="130">
        <v>90.5</v>
      </c>
      <c r="O124" s="130">
        <v>83.3</v>
      </c>
      <c r="P124" s="130">
        <v>70.900000000000006</v>
      </c>
      <c r="Q124" s="130">
        <v>63</v>
      </c>
      <c r="R124" s="130">
        <v>63.8</v>
      </c>
      <c r="S124" s="130">
        <v>73</v>
      </c>
      <c r="T124" s="130">
        <v>78</v>
      </c>
      <c r="U124" s="130">
        <v>63</v>
      </c>
      <c r="V124" s="130">
        <v>53</v>
      </c>
      <c r="W124" s="130">
        <v>56.3</v>
      </c>
      <c r="X124" s="130">
        <v>63</v>
      </c>
      <c r="Y124" s="130">
        <v>69</v>
      </c>
      <c r="Z124" s="130">
        <v>76</v>
      </c>
      <c r="AA124" s="130">
        <v>58</v>
      </c>
      <c r="AB124" s="130">
        <v>46</v>
      </c>
      <c r="AC124" s="130">
        <v>46</v>
      </c>
      <c r="AD124" s="130">
        <v>46.9</v>
      </c>
      <c r="AE124" s="130">
        <v>37.9</v>
      </c>
      <c r="AF124" s="130">
        <v>39.299999999999997</v>
      </c>
      <c r="AG124" s="131"/>
      <c r="AH124" s="48">
        <f t="shared" si="54"/>
        <v>90.5</v>
      </c>
      <c r="AI124" s="49">
        <f t="shared" si="55"/>
        <v>37.9</v>
      </c>
    </row>
    <row r="125" spans="1:35" x14ac:dyDescent="0.25">
      <c r="A125" s="128" t="s">
        <v>148</v>
      </c>
      <c r="B125" s="130">
        <v>72.099999999999994</v>
      </c>
      <c r="C125" s="130">
        <v>77.599999999999994</v>
      </c>
      <c r="D125" s="130">
        <v>76.8</v>
      </c>
      <c r="E125" s="130">
        <v>72.7</v>
      </c>
      <c r="F125" s="130">
        <v>67.599999999999994</v>
      </c>
      <c r="G125" s="130">
        <v>42.2</v>
      </c>
      <c r="H125" s="130">
        <v>49.4</v>
      </c>
      <c r="I125" s="130">
        <v>29.6</v>
      </c>
      <c r="J125" s="130">
        <v>14</v>
      </c>
      <c r="K125" s="130">
        <v>14</v>
      </c>
      <c r="L125" s="130">
        <v>0.1</v>
      </c>
      <c r="M125" s="130">
        <v>0.1</v>
      </c>
      <c r="N125" s="130">
        <v>0.1</v>
      </c>
      <c r="O125" s="130">
        <v>0.1</v>
      </c>
      <c r="P125" s="130">
        <v>0.1</v>
      </c>
      <c r="Q125" s="130">
        <v>2.6</v>
      </c>
      <c r="R125" s="130">
        <v>10.199999999999999</v>
      </c>
      <c r="S125" s="130">
        <v>28</v>
      </c>
      <c r="T125" s="130">
        <v>36</v>
      </c>
      <c r="U125" s="130">
        <v>7</v>
      </c>
      <c r="V125" s="130">
        <v>-17</v>
      </c>
      <c r="W125" s="130">
        <v>-20</v>
      </c>
      <c r="X125" s="130">
        <v>-28</v>
      </c>
      <c r="Y125" s="130">
        <v>-47</v>
      </c>
      <c r="Z125" s="130">
        <v>-42</v>
      </c>
      <c r="AA125" s="130">
        <v>-40</v>
      </c>
      <c r="AB125" s="130">
        <v>-37</v>
      </c>
      <c r="AC125" s="130">
        <v>-37</v>
      </c>
      <c r="AD125" s="130">
        <v>-36.4</v>
      </c>
      <c r="AE125" s="130">
        <v>-27.8</v>
      </c>
      <c r="AF125" s="130">
        <v>-6</v>
      </c>
      <c r="AG125" s="131"/>
      <c r="AH125" s="48">
        <f t="shared" si="54"/>
        <v>77.599999999999994</v>
      </c>
      <c r="AI125" s="49">
        <f t="shared" si="55"/>
        <v>-47</v>
      </c>
    </row>
    <row r="126" spans="1:35" ht="15.75" thickBot="1" x14ac:dyDescent="0.3">
      <c r="A126" s="128" t="s">
        <v>149</v>
      </c>
      <c r="B126" s="130">
        <v>100.5</v>
      </c>
      <c r="C126" s="130">
        <v>97.9</v>
      </c>
      <c r="D126" s="130">
        <v>90.9</v>
      </c>
      <c r="E126" s="130">
        <v>98.9</v>
      </c>
      <c r="F126" s="130">
        <v>105.2</v>
      </c>
      <c r="G126" s="130">
        <v>82.8</v>
      </c>
      <c r="H126" s="130">
        <v>98.8</v>
      </c>
      <c r="I126" s="130">
        <v>91.3</v>
      </c>
      <c r="J126" s="130">
        <v>93.2</v>
      </c>
      <c r="K126" s="130">
        <v>93.2</v>
      </c>
      <c r="L126" s="130" t="s">
        <v>316</v>
      </c>
      <c r="M126" s="130">
        <v>54</v>
      </c>
      <c r="N126" s="130">
        <v>67.7</v>
      </c>
      <c r="O126" s="130">
        <v>65.7</v>
      </c>
      <c r="P126" s="130">
        <v>63.2</v>
      </c>
      <c r="Q126" s="130">
        <v>69.099999999999994</v>
      </c>
      <c r="R126" s="130">
        <v>78.5</v>
      </c>
      <c r="S126" s="130">
        <v>91</v>
      </c>
      <c r="T126" s="130">
        <v>99</v>
      </c>
      <c r="U126" s="130">
        <v>74</v>
      </c>
      <c r="V126" s="130">
        <v>61</v>
      </c>
      <c r="W126" s="130">
        <v>66</v>
      </c>
      <c r="X126" s="130">
        <v>70</v>
      </c>
      <c r="Y126" s="130">
        <v>84</v>
      </c>
      <c r="Z126" s="130">
        <v>77</v>
      </c>
      <c r="AA126" s="130">
        <v>73</v>
      </c>
      <c r="AB126" s="130">
        <v>58</v>
      </c>
      <c r="AC126" s="130">
        <v>58</v>
      </c>
      <c r="AD126" s="130">
        <v>62.3</v>
      </c>
      <c r="AE126" s="130">
        <v>44.9</v>
      </c>
      <c r="AF126" s="130">
        <v>53.2</v>
      </c>
      <c r="AG126" s="127"/>
      <c r="AH126" s="48">
        <f>MAX(B126:AF126)</f>
        <v>105.2</v>
      </c>
      <c r="AI126" s="49">
        <f>MIN(B126:AF126)</f>
        <v>44.9</v>
      </c>
    </row>
    <row r="127" spans="1:35" x14ac:dyDescent="0.25">
      <c r="A127" s="125" t="s">
        <v>305</v>
      </c>
      <c r="B127" s="130">
        <v>-49.9</v>
      </c>
      <c r="C127" s="130">
        <v>-49</v>
      </c>
      <c r="D127" s="130">
        <v>-61.6</v>
      </c>
      <c r="E127" s="130">
        <v>-11.6</v>
      </c>
      <c r="F127" s="130">
        <v>10.8</v>
      </c>
      <c r="G127" s="130">
        <v>3.2</v>
      </c>
      <c r="H127" s="130">
        <v>14.5</v>
      </c>
      <c r="I127" s="130">
        <v>15.1</v>
      </c>
      <c r="J127" s="130">
        <v>8.4</v>
      </c>
      <c r="K127" s="130">
        <v>8.4</v>
      </c>
      <c r="L127" s="130">
        <v>-3.2</v>
      </c>
      <c r="M127" s="130">
        <v>-8.4</v>
      </c>
      <c r="N127" s="130">
        <v>22</v>
      </c>
      <c r="O127" s="130">
        <v>0</v>
      </c>
      <c r="P127" s="130">
        <v>-14.4</v>
      </c>
      <c r="Q127" s="130">
        <v>-4.5</v>
      </c>
      <c r="R127" s="130">
        <v>-14.5</v>
      </c>
      <c r="S127" s="130">
        <v>-6</v>
      </c>
      <c r="T127" s="130">
        <v>-2</v>
      </c>
      <c r="U127" s="130">
        <v>-16</v>
      </c>
      <c r="V127" s="130">
        <v>-8</v>
      </c>
      <c r="W127" s="130">
        <v>-5</v>
      </c>
      <c r="X127" s="130">
        <v>-20</v>
      </c>
      <c r="Y127" s="130">
        <v>-44</v>
      </c>
      <c r="Z127" s="130">
        <v>-107</v>
      </c>
      <c r="AA127" s="130">
        <v>-135</v>
      </c>
      <c r="AB127" s="130">
        <v>-79</v>
      </c>
      <c r="AC127" s="130">
        <v>-79</v>
      </c>
      <c r="AD127" s="130">
        <v>-18.5</v>
      </c>
      <c r="AE127" s="130">
        <v>-56</v>
      </c>
      <c r="AF127" s="130">
        <v>-52</v>
      </c>
      <c r="AG127" s="127"/>
      <c r="AH127" s="48">
        <f>MAX(B127:AF127)</f>
        <v>22</v>
      </c>
      <c r="AI127" s="49">
        <f>MIN(B127:AF127)</f>
        <v>-135</v>
      </c>
    </row>
    <row r="128" spans="1:35" x14ac:dyDescent="0.25">
      <c r="A128" s="128" t="s">
        <v>151</v>
      </c>
      <c r="B128" s="118">
        <v>3.4</v>
      </c>
      <c r="C128" s="118">
        <v>5.4</v>
      </c>
      <c r="D128" s="118">
        <v>7.3</v>
      </c>
      <c r="E128" s="118">
        <v>8.6</v>
      </c>
      <c r="F128" s="118">
        <v>8</v>
      </c>
      <c r="G128" s="118">
        <v>3</v>
      </c>
      <c r="H128" s="118">
        <v>0</v>
      </c>
      <c r="I128" s="118">
        <v>-5.4</v>
      </c>
      <c r="J128" s="118">
        <v>-11.7</v>
      </c>
      <c r="K128" s="118">
        <v>-11.7</v>
      </c>
      <c r="L128" s="118">
        <v>-20.399999999999999</v>
      </c>
      <c r="M128" s="118">
        <v>23.1</v>
      </c>
      <c r="N128" s="118">
        <v>-16</v>
      </c>
      <c r="O128" s="118">
        <v>0</v>
      </c>
      <c r="P128" s="118">
        <v>0</v>
      </c>
      <c r="Q128" s="118">
        <v>0</v>
      </c>
      <c r="R128" s="118">
        <v>0</v>
      </c>
      <c r="S128" s="118">
        <v>0</v>
      </c>
      <c r="T128" s="118">
        <v>0</v>
      </c>
      <c r="U128" s="118">
        <v>-22</v>
      </c>
      <c r="V128" s="118">
        <v>-35</v>
      </c>
      <c r="W128" s="118">
        <v>-44.1</v>
      </c>
      <c r="X128" s="118">
        <v>-52</v>
      </c>
      <c r="Y128" s="118">
        <v>-41</v>
      </c>
      <c r="Z128" s="118">
        <v>-34.200000000000003</v>
      </c>
      <c r="AA128" s="118">
        <v>-40</v>
      </c>
      <c r="AB128" s="118">
        <v>-38</v>
      </c>
      <c r="AC128" s="118">
        <v>-38</v>
      </c>
      <c r="AD128" s="118">
        <v>-17.8</v>
      </c>
      <c r="AE128" s="118">
        <v>-13.1</v>
      </c>
      <c r="AF128" s="118">
        <v>-4.3</v>
      </c>
      <c r="AG128" s="127"/>
      <c r="AH128" s="48">
        <f>MAX(B128:AF128)</f>
        <v>23.1</v>
      </c>
      <c r="AI128" s="49">
        <f>MIN(B128:AF128)</f>
        <v>-52</v>
      </c>
    </row>
    <row r="129" spans="1:37" x14ac:dyDescent="0.25">
      <c r="A129" s="128" t="s">
        <v>306</v>
      </c>
      <c r="B129" s="118">
        <v>76.2</v>
      </c>
      <c r="C129" s="118">
        <v>70.7</v>
      </c>
      <c r="D129" s="118">
        <v>70.7</v>
      </c>
      <c r="E129" s="118">
        <v>68.3</v>
      </c>
      <c r="F129" s="118">
        <v>71.5</v>
      </c>
      <c r="G129" s="118">
        <v>69.599999999999994</v>
      </c>
      <c r="H129" s="118">
        <v>71.2</v>
      </c>
      <c r="I129" s="118">
        <v>73.400000000000006</v>
      </c>
      <c r="J129" s="118">
        <v>85.4</v>
      </c>
      <c r="K129" s="118">
        <v>85.4</v>
      </c>
      <c r="L129" s="118">
        <v>89.3</v>
      </c>
      <c r="M129" s="118">
        <v>88.4</v>
      </c>
      <c r="N129" s="118">
        <v>36</v>
      </c>
      <c r="O129" s="118">
        <v>60.1</v>
      </c>
      <c r="P129" s="118">
        <v>67.599999999999994</v>
      </c>
      <c r="Q129" s="118">
        <v>61.8</v>
      </c>
      <c r="R129" s="118">
        <v>64.5</v>
      </c>
      <c r="S129" s="118">
        <v>61.2</v>
      </c>
      <c r="T129" s="118">
        <v>55</v>
      </c>
      <c r="U129" s="118">
        <v>78</v>
      </c>
      <c r="V129" s="118">
        <v>88</v>
      </c>
      <c r="W129" s="118">
        <v>90.3</v>
      </c>
      <c r="X129" s="118">
        <v>96</v>
      </c>
      <c r="Y129" s="118">
        <v>105</v>
      </c>
      <c r="Z129" s="118">
        <v>117</v>
      </c>
      <c r="AA129" s="118">
        <v>111</v>
      </c>
      <c r="AB129" s="118">
        <v>110</v>
      </c>
      <c r="AC129" s="118">
        <v>110</v>
      </c>
      <c r="AD129" s="118">
        <v>103</v>
      </c>
      <c r="AE129" s="118">
        <v>96</v>
      </c>
      <c r="AF129" s="118">
        <v>89.7</v>
      </c>
      <c r="AG129" s="127"/>
      <c r="AH129" s="48">
        <f>MAX(B129:AF129)</f>
        <v>117</v>
      </c>
      <c r="AI129" s="49">
        <f>MIN(B129:AF129)</f>
        <v>36</v>
      </c>
    </row>
    <row r="130" spans="1:37" ht="15.75" thickBot="1" x14ac:dyDescent="0.3">
      <c r="A130" s="128" t="s">
        <v>153</v>
      </c>
      <c r="B130" s="118">
        <v>82.9</v>
      </c>
      <c r="C130" s="118">
        <v>77.599999999999994</v>
      </c>
      <c r="D130" s="118">
        <v>79.8</v>
      </c>
      <c r="E130" s="118">
        <v>77</v>
      </c>
      <c r="F130" s="118">
        <v>80.099999999999994</v>
      </c>
      <c r="G130" s="118">
        <v>79.8</v>
      </c>
      <c r="H130" s="118">
        <v>83.1</v>
      </c>
      <c r="I130" s="118">
        <v>83.2</v>
      </c>
      <c r="J130" s="118">
        <v>85.9</v>
      </c>
      <c r="K130" s="118">
        <v>85.9</v>
      </c>
      <c r="L130" s="118">
        <v>94.2</v>
      </c>
      <c r="M130" s="118">
        <v>97.7</v>
      </c>
      <c r="N130" s="118">
        <v>0</v>
      </c>
      <c r="O130" s="118">
        <v>67.3</v>
      </c>
      <c r="P130" s="118">
        <v>72</v>
      </c>
      <c r="Q130" s="118">
        <v>65.3</v>
      </c>
      <c r="R130" s="118">
        <v>72.099999999999994</v>
      </c>
      <c r="S130" s="118">
        <v>71.599999999999994</v>
      </c>
      <c r="T130" s="118">
        <v>74</v>
      </c>
      <c r="U130" s="118">
        <v>91</v>
      </c>
      <c r="V130" s="118">
        <v>97</v>
      </c>
      <c r="W130" s="118">
        <v>99</v>
      </c>
      <c r="X130" s="118">
        <v>109.3</v>
      </c>
      <c r="Y130" s="118">
        <v>108</v>
      </c>
      <c r="Z130" s="118">
        <v>123</v>
      </c>
      <c r="AA130" s="118">
        <v>120</v>
      </c>
      <c r="AB130" s="118">
        <v>121</v>
      </c>
      <c r="AC130" s="118">
        <v>121</v>
      </c>
      <c r="AD130" s="118">
        <v>108.8</v>
      </c>
      <c r="AE130" s="118">
        <v>106.6</v>
      </c>
      <c r="AF130" s="118">
        <v>90.1</v>
      </c>
      <c r="AG130" s="127"/>
      <c r="AH130" s="48">
        <f>MAX(B130:AF130)</f>
        <v>123</v>
      </c>
      <c r="AI130" s="49">
        <f>MIN(B130:AF130)</f>
        <v>0</v>
      </c>
    </row>
    <row r="131" spans="1:37" x14ac:dyDescent="0.25">
      <c r="A131" s="132" t="s">
        <v>154</v>
      </c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4"/>
      <c r="AG131" s="44"/>
      <c r="AH131" s="48"/>
      <c r="AI131" s="49"/>
    </row>
    <row r="132" spans="1:37" x14ac:dyDescent="0.25">
      <c r="A132" s="135" t="s">
        <v>155</v>
      </c>
      <c r="B132" s="136">
        <v>1984.05</v>
      </c>
      <c r="C132" s="136">
        <v>1983.79</v>
      </c>
      <c r="D132" s="136">
        <v>1983.67</v>
      </c>
      <c r="E132" s="136">
        <v>1983.83</v>
      </c>
      <c r="F132" s="136">
        <v>1984.05</v>
      </c>
      <c r="G132" s="136">
        <v>1984.25</v>
      </c>
      <c r="H132" s="136"/>
      <c r="I132" s="136">
        <v>1984.45</v>
      </c>
      <c r="J132" s="136"/>
      <c r="K132" s="136">
        <v>1984.72</v>
      </c>
      <c r="L132" s="136"/>
      <c r="M132" s="136">
        <v>1984.02</v>
      </c>
      <c r="N132" s="136">
        <v>1984.76</v>
      </c>
      <c r="O132" s="136">
        <v>1984.87</v>
      </c>
      <c r="P132" s="136">
        <v>1984.98</v>
      </c>
      <c r="Q132" s="136">
        <v>1985</v>
      </c>
      <c r="R132" s="136">
        <v>1985.1</v>
      </c>
      <c r="S132" s="136">
        <v>1985.16</v>
      </c>
      <c r="T132" s="136">
        <v>1985.18</v>
      </c>
      <c r="U132" s="136">
        <v>1985.23</v>
      </c>
      <c r="V132" s="136">
        <v>1985.32</v>
      </c>
      <c r="W132" s="136"/>
      <c r="X132" s="136">
        <v>1985.48</v>
      </c>
      <c r="Y132" s="136"/>
      <c r="Z132" s="136">
        <v>1985.3</v>
      </c>
      <c r="AA132" s="136"/>
      <c r="AB132" s="136">
        <v>1984.8</v>
      </c>
      <c r="AC132" s="136"/>
      <c r="AD132" s="136">
        <v>1984.73</v>
      </c>
      <c r="AE132" s="136">
        <v>1984.92</v>
      </c>
      <c r="AF132" s="137">
        <v>1985.2</v>
      </c>
      <c r="AG132" s="138"/>
      <c r="AH132" s="48"/>
      <c r="AI132" s="49"/>
    </row>
    <row r="133" spans="1:37" x14ac:dyDescent="0.25">
      <c r="A133" s="135" t="s">
        <v>156</v>
      </c>
      <c r="B133" s="139">
        <v>521.30999999999995</v>
      </c>
      <c r="C133" s="139">
        <v>521.39</v>
      </c>
      <c r="D133" s="139">
        <v>521.58000000000004</v>
      </c>
      <c r="E133" s="139">
        <v>521.74</v>
      </c>
      <c r="F133" s="139">
        <v>521.85</v>
      </c>
      <c r="G133" s="139">
        <v>522.01</v>
      </c>
      <c r="H133" s="139"/>
      <c r="I133" s="139">
        <v>522.08000000000004</v>
      </c>
      <c r="J133" s="139"/>
      <c r="K133" s="139">
        <v>522.11</v>
      </c>
      <c r="L133" s="139"/>
      <c r="M133" s="139">
        <v>522.04999999999995</v>
      </c>
      <c r="N133" s="139">
        <v>522.02</v>
      </c>
      <c r="O133" s="139">
        <v>522.16999999999996</v>
      </c>
      <c r="P133" s="139">
        <v>522.29999999999995</v>
      </c>
      <c r="Q133" s="139">
        <v>522.4</v>
      </c>
      <c r="R133" s="139">
        <v>522.55999999999995</v>
      </c>
      <c r="S133" s="139">
        <v>522.82000000000005</v>
      </c>
      <c r="T133" s="139">
        <v>523.04</v>
      </c>
      <c r="U133" s="139">
        <v>523.16</v>
      </c>
      <c r="V133" s="139">
        <v>523.21</v>
      </c>
      <c r="W133" s="139"/>
      <c r="X133" s="139">
        <v>523.13</v>
      </c>
      <c r="Y133" s="139"/>
      <c r="Z133" s="139">
        <v>522.91999999999996</v>
      </c>
      <c r="AA133" s="139"/>
      <c r="AB133" s="139">
        <v>522.59</v>
      </c>
      <c r="AC133" s="139"/>
      <c r="AD133" s="139">
        <v>522.28</v>
      </c>
      <c r="AE133" s="139">
        <v>521.9</v>
      </c>
      <c r="AF133" s="140">
        <v>521.62</v>
      </c>
      <c r="AG133" s="138"/>
      <c r="AH133" s="48"/>
      <c r="AI133" s="49"/>
    </row>
    <row r="134" spans="1:37" x14ac:dyDescent="0.25">
      <c r="A134" s="135" t="s">
        <v>158</v>
      </c>
      <c r="B134" s="139">
        <v>622.09</v>
      </c>
      <c r="C134" s="139">
        <v>622.61</v>
      </c>
      <c r="D134" s="139">
        <v>623.14</v>
      </c>
      <c r="E134" s="139">
        <v>623.53</v>
      </c>
      <c r="F134" s="139">
        <v>623.95000000000005</v>
      </c>
      <c r="G134" s="139">
        <v>624.13</v>
      </c>
      <c r="H134" s="139"/>
      <c r="I134" s="139">
        <v>624.37</v>
      </c>
      <c r="J134" s="139"/>
      <c r="K134" s="139">
        <v>624.65</v>
      </c>
      <c r="L134" s="139"/>
      <c r="M134" s="139">
        <v>624.9</v>
      </c>
      <c r="N134" s="139">
        <v>624.95000000000005</v>
      </c>
      <c r="O134" s="139">
        <v>624.95000000000005</v>
      </c>
      <c r="P134" s="139">
        <v>624.9</v>
      </c>
      <c r="Q134" s="139">
        <v>624.85</v>
      </c>
      <c r="R134" s="139">
        <v>624.65</v>
      </c>
      <c r="S134" s="139">
        <v>624.6</v>
      </c>
      <c r="T134" s="139">
        <v>624.6</v>
      </c>
      <c r="U134" s="139">
        <v>624.61</v>
      </c>
      <c r="V134" s="139">
        <v>624.66999999999996</v>
      </c>
      <c r="W134" s="139"/>
      <c r="X134" s="139">
        <v>624.75</v>
      </c>
      <c r="Y134" s="139"/>
      <c r="Z134" s="139">
        <v>624.71</v>
      </c>
      <c r="AA134" s="139"/>
      <c r="AB134" s="139">
        <v>624.63</v>
      </c>
      <c r="AC134" s="139"/>
      <c r="AD134" s="139">
        <v>625.34</v>
      </c>
      <c r="AE134" s="139">
        <v>625.65</v>
      </c>
      <c r="AF134" s="140">
        <v>625.73</v>
      </c>
      <c r="AG134" s="138"/>
      <c r="AH134" s="48"/>
      <c r="AI134" s="49"/>
    </row>
    <row r="135" spans="1:37" x14ac:dyDescent="0.25">
      <c r="A135" s="135" t="s">
        <v>159</v>
      </c>
      <c r="B135" s="139">
        <v>335.91</v>
      </c>
      <c r="C135" s="139">
        <v>336.2</v>
      </c>
      <c r="D135" s="139">
        <v>336.62</v>
      </c>
      <c r="E135" s="139">
        <v>336.97</v>
      </c>
      <c r="F135" s="139">
        <v>337.01</v>
      </c>
      <c r="G135" s="139">
        <v>337.01</v>
      </c>
      <c r="H135" s="139"/>
      <c r="I135" s="139">
        <v>337.03</v>
      </c>
      <c r="J135" s="139"/>
      <c r="K135" s="139">
        <v>336.99</v>
      </c>
      <c r="L135" s="139"/>
      <c r="M135" s="139">
        <v>336.91</v>
      </c>
      <c r="N135" s="139">
        <v>336.77</v>
      </c>
      <c r="O135" s="139">
        <v>336.58</v>
      </c>
      <c r="P135" s="139">
        <v>336.42</v>
      </c>
      <c r="Q135" s="139">
        <v>336.22</v>
      </c>
      <c r="R135" s="139">
        <v>336.04</v>
      </c>
      <c r="S135" s="139">
        <v>335.91</v>
      </c>
      <c r="T135" s="139">
        <v>335.69</v>
      </c>
      <c r="U135" s="139">
        <v>336.01</v>
      </c>
      <c r="V135" s="139">
        <v>336.33</v>
      </c>
      <c r="W135" s="139"/>
      <c r="X135" s="139">
        <v>336.71</v>
      </c>
      <c r="Y135" s="139"/>
      <c r="Z135" s="139">
        <v>336.96</v>
      </c>
      <c r="AA135" s="139"/>
      <c r="AB135" s="139"/>
      <c r="AC135" s="139"/>
      <c r="AD135" s="139">
        <v>336.71</v>
      </c>
      <c r="AE135" s="139">
        <v>336.55</v>
      </c>
      <c r="AF135" s="140">
        <v>336.49</v>
      </c>
      <c r="AG135" s="138"/>
      <c r="AH135" s="48"/>
      <c r="AI135" s="49"/>
    </row>
    <row r="136" spans="1:37" x14ac:dyDescent="0.25">
      <c r="A136" s="135" t="s">
        <v>160</v>
      </c>
      <c r="B136" s="139">
        <v>883</v>
      </c>
      <c r="C136" s="139">
        <v>883.2</v>
      </c>
      <c r="D136" s="139"/>
      <c r="E136" s="139">
        <v>885.4</v>
      </c>
      <c r="F136" s="139">
        <v>886.2</v>
      </c>
      <c r="G136" s="139">
        <v>887.1</v>
      </c>
      <c r="H136" s="139"/>
      <c r="I136" s="139">
        <v>887.1</v>
      </c>
      <c r="J136" s="139"/>
      <c r="K136" s="139">
        <v>887.1</v>
      </c>
      <c r="L136" s="139"/>
      <c r="M136" s="139">
        <v>886.9</v>
      </c>
      <c r="N136" s="139">
        <v>886.3</v>
      </c>
      <c r="O136" s="139"/>
      <c r="P136" s="139">
        <v>886.7</v>
      </c>
      <c r="Q136" s="139">
        <v>886.7</v>
      </c>
      <c r="R136" s="139">
        <v>886.8</v>
      </c>
      <c r="S136" s="139">
        <v>886.9</v>
      </c>
      <c r="T136" s="139">
        <v>886.9</v>
      </c>
      <c r="U136" s="139">
        <v>886.9</v>
      </c>
      <c r="V136" s="139">
        <v>886.8</v>
      </c>
      <c r="W136" s="139"/>
      <c r="X136" s="139">
        <v>886.6</v>
      </c>
      <c r="Y136" s="139"/>
      <c r="Z136" s="139">
        <v>885.6</v>
      </c>
      <c r="AA136" s="139"/>
      <c r="AB136" s="139">
        <v>884.4</v>
      </c>
      <c r="AC136" s="139"/>
      <c r="AD136" s="139">
        <v>883</v>
      </c>
      <c r="AE136" s="139">
        <v>883</v>
      </c>
      <c r="AF136" s="140">
        <v>884.1</v>
      </c>
      <c r="AG136" s="138"/>
      <c r="AH136" s="48"/>
      <c r="AI136" s="49"/>
    </row>
    <row r="137" spans="1:37" ht="15.75" thickBot="1" x14ac:dyDescent="0.3">
      <c r="A137" s="135" t="s">
        <v>161</v>
      </c>
      <c r="B137" s="141">
        <v>1519.81</v>
      </c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>
        <v>1519.85</v>
      </c>
      <c r="W137" s="141"/>
      <c r="X137" s="141"/>
      <c r="Y137" s="141"/>
      <c r="Z137" s="141">
        <v>1519.85</v>
      </c>
      <c r="AA137" s="141"/>
      <c r="AB137" s="141">
        <v>1519.86</v>
      </c>
      <c r="AC137" s="141"/>
      <c r="AD137" s="141"/>
      <c r="AE137" s="141">
        <v>1519.86</v>
      </c>
      <c r="AF137" s="142"/>
      <c r="AG137" s="138"/>
      <c r="AH137" s="48"/>
      <c r="AI137" s="49"/>
    </row>
    <row r="138" spans="1:37" ht="15.75" thickBot="1" x14ac:dyDescent="0.3">
      <c r="A138" s="143" t="s">
        <v>162</v>
      </c>
      <c r="B138" s="144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108">SUM(B139:B243)</f>
        <v>0</v>
      </c>
      <c r="C244" s="160">
        <f t="shared" si="108"/>
        <v>0</v>
      </c>
      <c r="D244" s="160">
        <f t="shared" si="108"/>
        <v>0</v>
      </c>
      <c r="E244" s="160">
        <f t="shared" si="108"/>
        <v>0</v>
      </c>
      <c r="F244" s="160">
        <f t="shared" si="108"/>
        <v>0</v>
      </c>
      <c r="G244" s="160">
        <f t="shared" si="108"/>
        <v>0</v>
      </c>
      <c r="H244" s="160">
        <f t="shared" si="108"/>
        <v>0</v>
      </c>
      <c r="I244" s="160">
        <f t="shared" si="108"/>
        <v>0</v>
      </c>
      <c r="J244" s="160">
        <f t="shared" si="108"/>
        <v>0</v>
      </c>
      <c r="K244" s="160">
        <f t="shared" si="108"/>
        <v>0</v>
      </c>
      <c r="L244" s="160">
        <f t="shared" si="108"/>
        <v>0</v>
      </c>
      <c r="M244" s="160">
        <f t="shared" si="108"/>
        <v>0</v>
      </c>
      <c r="N244" s="160">
        <f t="shared" si="108"/>
        <v>0</v>
      </c>
      <c r="O244" s="160">
        <f t="shared" si="108"/>
        <v>0</v>
      </c>
      <c r="P244" s="160">
        <f t="shared" si="108"/>
        <v>0</v>
      </c>
      <c r="Q244" s="160">
        <f t="shared" si="108"/>
        <v>0</v>
      </c>
      <c r="R244" s="160">
        <f t="shared" si="108"/>
        <v>0</v>
      </c>
      <c r="S244" s="160">
        <f t="shared" si="108"/>
        <v>0</v>
      </c>
      <c r="T244" s="160">
        <f t="shared" si="108"/>
        <v>0</v>
      </c>
      <c r="U244" s="160">
        <f t="shared" si="108"/>
        <v>0</v>
      </c>
      <c r="V244" s="160">
        <f t="shared" si="108"/>
        <v>0</v>
      </c>
      <c r="W244" s="160">
        <f t="shared" si="108"/>
        <v>0</v>
      </c>
      <c r="X244" s="160">
        <f t="shared" si="108"/>
        <v>0</v>
      </c>
      <c r="Y244" s="160">
        <f t="shared" si="108"/>
        <v>0</v>
      </c>
      <c r="Z244" s="160">
        <f t="shared" si="108"/>
        <v>0</v>
      </c>
      <c r="AA244" s="160">
        <f t="shared" si="108"/>
        <v>0</v>
      </c>
      <c r="AB244" s="160">
        <f t="shared" si="108"/>
        <v>0</v>
      </c>
      <c r="AC244" s="160">
        <f t="shared" si="108"/>
        <v>0</v>
      </c>
      <c r="AD244" s="160">
        <f t="shared" si="108"/>
        <v>0</v>
      </c>
      <c r="AE244" s="160">
        <f t="shared" si="108"/>
        <v>0</v>
      </c>
      <c r="AF244" s="161">
        <f t="shared" si="108"/>
        <v>0</v>
      </c>
      <c r="AG244" s="162">
        <f t="shared" si="108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109">AF246</f>
        <v>0.3</v>
      </c>
      <c r="C246" s="165">
        <v>0.3</v>
      </c>
      <c r="D246" s="165">
        <f t="shared" ref="D246:S251" si="110">C246</f>
        <v>0.3</v>
      </c>
      <c r="E246" s="165">
        <f t="shared" si="110"/>
        <v>0.3</v>
      </c>
      <c r="F246" s="165">
        <f t="shared" si="110"/>
        <v>0.3</v>
      </c>
      <c r="G246" s="165">
        <f t="shared" si="110"/>
        <v>0.3</v>
      </c>
      <c r="H246" s="165">
        <f t="shared" si="110"/>
        <v>0.3</v>
      </c>
      <c r="I246" s="165">
        <f t="shared" si="110"/>
        <v>0.3</v>
      </c>
      <c r="J246" s="165">
        <f t="shared" si="110"/>
        <v>0.3</v>
      </c>
      <c r="K246" s="165">
        <f t="shared" si="110"/>
        <v>0.3</v>
      </c>
      <c r="L246" s="165">
        <f t="shared" si="110"/>
        <v>0.3</v>
      </c>
      <c r="M246" s="165">
        <f t="shared" si="110"/>
        <v>0.3</v>
      </c>
      <c r="N246" s="165">
        <f t="shared" si="110"/>
        <v>0.3</v>
      </c>
      <c r="O246" s="165">
        <f t="shared" si="110"/>
        <v>0.3</v>
      </c>
      <c r="P246" s="165">
        <f t="shared" si="110"/>
        <v>0.3</v>
      </c>
      <c r="Q246" s="165">
        <f t="shared" si="110"/>
        <v>0.3</v>
      </c>
      <c r="R246" s="165">
        <f t="shared" si="110"/>
        <v>0.3</v>
      </c>
      <c r="S246" s="165">
        <f t="shared" si="110"/>
        <v>0.3</v>
      </c>
      <c r="T246" s="165">
        <f t="shared" ref="T246:AF251" si="111">S246</f>
        <v>0.3</v>
      </c>
      <c r="U246" s="165">
        <f t="shared" si="111"/>
        <v>0.3</v>
      </c>
      <c r="V246" s="165">
        <f t="shared" si="111"/>
        <v>0.3</v>
      </c>
      <c r="W246" s="165">
        <f t="shared" si="111"/>
        <v>0.3</v>
      </c>
      <c r="X246" s="165">
        <f t="shared" si="111"/>
        <v>0.3</v>
      </c>
      <c r="Y246" s="165">
        <f t="shared" si="111"/>
        <v>0.3</v>
      </c>
      <c r="Z246" s="165">
        <f t="shared" si="111"/>
        <v>0.3</v>
      </c>
      <c r="AA246" s="165">
        <f t="shared" si="111"/>
        <v>0.3</v>
      </c>
      <c r="AB246" s="165">
        <f t="shared" si="111"/>
        <v>0.3</v>
      </c>
      <c r="AC246" s="165">
        <f t="shared" si="111"/>
        <v>0.3</v>
      </c>
      <c r="AD246" s="165">
        <f t="shared" si="111"/>
        <v>0.3</v>
      </c>
      <c r="AE246" s="165">
        <f t="shared" si="111"/>
        <v>0.3</v>
      </c>
      <c r="AF246" s="165">
        <f t="shared" si="111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109"/>
        <v>0.4</v>
      </c>
      <c r="C247" s="151">
        <v>0.4</v>
      </c>
      <c r="D247" s="151">
        <f t="shared" si="110"/>
        <v>0.4</v>
      </c>
      <c r="E247" s="151">
        <f t="shared" si="110"/>
        <v>0.4</v>
      </c>
      <c r="F247" s="151">
        <f t="shared" si="110"/>
        <v>0.4</v>
      </c>
      <c r="G247" s="151">
        <f t="shared" si="110"/>
        <v>0.4</v>
      </c>
      <c r="H247" s="151">
        <f t="shared" si="110"/>
        <v>0.4</v>
      </c>
      <c r="I247" s="151">
        <f t="shared" si="110"/>
        <v>0.4</v>
      </c>
      <c r="J247" s="151">
        <f t="shared" si="110"/>
        <v>0.4</v>
      </c>
      <c r="K247" s="151">
        <f t="shared" si="110"/>
        <v>0.4</v>
      </c>
      <c r="L247" s="151">
        <f t="shared" si="110"/>
        <v>0.4</v>
      </c>
      <c r="M247" s="151">
        <f t="shared" si="110"/>
        <v>0.4</v>
      </c>
      <c r="N247" s="151">
        <f t="shared" si="110"/>
        <v>0.4</v>
      </c>
      <c r="O247" s="151">
        <f t="shared" si="110"/>
        <v>0.4</v>
      </c>
      <c r="P247" s="151">
        <f t="shared" si="110"/>
        <v>0.4</v>
      </c>
      <c r="Q247" s="151">
        <f t="shared" si="110"/>
        <v>0.4</v>
      </c>
      <c r="R247" s="151">
        <f t="shared" si="110"/>
        <v>0.4</v>
      </c>
      <c r="S247" s="151">
        <f t="shared" si="110"/>
        <v>0.4</v>
      </c>
      <c r="T247" s="151">
        <f t="shared" si="111"/>
        <v>0.4</v>
      </c>
      <c r="U247" s="151">
        <f t="shared" si="111"/>
        <v>0.4</v>
      </c>
      <c r="V247" s="151">
        <f t="shared" si="111"/>
        <v>0.4</v>
      </c>
      <c r="W247" s="151">
        <f t="shared" si="111"/>
        <v>0.4</v>
      </c>
      <c r="X247" s="151">
        <f t="shared" si="111"/>
        <v>0.4</v>
      </c>
      <c r="Y247" s="151">
        <f t="shared" si="111"/>
        <v>0.4</v>
      </c>
      <c r="Z247" s="151">
        <f t="shared" si="111"/>
        <v>0.4</v>
      </c>
      <c r="AA247" s="151">
        <f t="shared" si="111"/>
        <v>0.4</v>
      </c>
      <c r="AB247" s="151">
        <f t="shared" si="111"/>
        <v>0.4</v>
      </c>
      <c r="AC247" s="151">
        <f t="shared" si="111"/>
        <v>0.4</v>
      </c>
      <c r="AD247" s="151">
        <f t="shared" si="111"/>
        <v>0.4</v>
      </c>
      <c r="AE247" s="151">
        <f t="shared" si="111"/>
        <v>0.4</v>
      </c>
      <c r="AF247" s="151">
        <f t="shared" si="111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109"/>
        <v>1.5</v>
      </c>
      <c r="C248" s="151">
        <v>1.5</v>
      </c>
      <c r="D248" s="151">
        <f t="shared" si="110"/>
        <v>1.5</v>
      </c>
      <c r="E248" s="151">
        <f t="shared" si="110"/>
        <v>1.5</v>
      </c>
      <c r="F248" s="151">
        <f t="shared" si="110"/>
        <v>1.5</v>
      </c>
      <c r="G248" s="151">
        <f t="shared" si="110"/>
        <v>1.5</v>
      </c>
      <c r="H248" s="151">
        <f t="shared" si="110"/>
        <v>1.5</v>
      </c>
      <c r="I248" s="151">
        <f t="shared" si="110"/>
        <v>1.5</v>
      </c>
      <c r="J248" s="151">
        <f t="shared" si="110"/>
        <v>1.5</v>
      </c>
      <c r="K248" s="151">
        <f t="shared" si="110"/>
        <v>1.5</v>
      </c>
      <c r="L248" s="151">
        <f t="shared" si="110"/>
        <v>1.5</v>
      </c>
      <c r="M248" s="151">
        <f t="shared" si="110"/>
        <v>1.5</v>
      </c>
      <c r="N248" s="151">
        <f t="shared" si="110"/>
        <v>1.5</v>
      </c>
      <c r="O248" s="151">
        <f t="shared" si="110"/>
        <v>1.5</v>
      </c>
      <c r="P248" s="151">
        <f t="shared" si="110"/>
        <v>1.5</v>
      </c>
      <c r="Q248" s="151">
        <f t="shared" si="110"/>
        <v>1.5</v>
      </c>
      <c r="R248" s="151">
        <f t="shared" si="110"/>
        <v>1.5</v>
      </c>
      <c r="S248" s="151">
        <f t="shared" si="110"/>
        <v>1.5</v>
      </c>
      <c r="T248" s="151">
        <f t="shared" si="111"/>
        <v>1.5</v>
      </c>
      <c r="U248" s="151">
        <f t="shared" si="111"/>
        <v>1.5</v>
      </c>
      <c r="V248" s="151">
        <f t="shared" si="111"/>
        <v>1.5</v>
      </c>
      <c r="W248" s="151">
        <f t="shared" si="111"/>
        <v>1.5</v>
      </c>
      <c r="X248" s="151">
        <f t="shared" si="111"/>
        <v>1.5</v>
      </c>
      <c r="Y248" s="151">
        <f t="shared" si="111"/>
        <v>1.5</v>
      </c>
      <c r="Z248" s="151">
        <f t="shared" si="111"/>
        <v>1.5</v>
      </c>
      <c r="AA248" s="151">
        <f t="shared" si="111"/>
        <v>1.5</v>
      </c>
      <c r="AB248" s="151">
        <f t="shared" si="111"/>
        <v>1.5</v>
      </c>
      <c r="AC248" s="151">
        <f t="shared" si="111"/>
        <v>1.5</v>
      </c>
      <c r="AD248" s="151">
        <f t="shared" si="111"/>
        <v>1.5</v>
      </c>
      <c r="AE248" s="151">
        <f t="shared" si="111"/>
        <v>1.5</v>
      </c>
      <c r="AF248" s="151">
        <f t="shared" si="111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109"/>
        <v>0.3</v>
      </c>
      <c r="C249" s="151">
        <v>0.3</v>
      </c>
      <c r="D249" s="151">
        <f t="shared" si="110"/>
        <v>0.3</v>
      </c>
      <c r="E249" s="151">
        <f t="shared" si="110"/>
        <v>0.3</v>
      </c>
      <c r="F249" s="151">
        <f t="shared" si="110"/>
        <v>0.3</v>
      </c>
      <c r="G249" s="151">
        <f t="shared" si="110"/>
        <v>0.3</v>
      </c>
      <c r="H249" s="151">
        <f t="shared" si="110"/>
        <v>0.3</v>
      </c>
      <c r="I249" s="151">
        <f t="shared" si="110"/>
        <v>0.3</v>
      </c>
      <c r="J249" s="151">
        <f t="shared" si="110"/>
        <v>0.3</v>
      </c>
      <c r="K249" s="151">
        <f t="shared" si="110"/>
        <v>0.3</v>
      </c>
      <c r="L249" s="151">
        <f t="shared" si="110"/>
        <v>0.3</v>
      </c>
      <c r="M249" s="151">
        <f t="shared" si="110"/>
        <v>0.3</v>
      </c>
      <c r="N249" s="151">
        <f t="shared" si="110"/>
        <v>0.3</v>
      </c>
      <c r="O249" s="151">
        <f t="shared" si="110"/>
        <v>0.3</v>
      </c>
      <c r="P249" s="151">
        <f t="shared" si="110"/>
        <v>0.3</v>
      </c>
      <c r="Q249" s="151">
        <f t="shared" si="110"/>
        <v>0.3</v>
      </c>
      <c r="R249" s="151">
        <f t="shared" si="110"/>
        <v>0.3</v>
      </c>
      <c r="S249" s="151">
        <f t="shared" si="110"/>
        <v>0.3</v>
      </c>
      <c r="T249" s="151">
        <f t="shared" si="111"/>
        <v>0.3</v>
      </c>
      <c r="U249" s="151">
        <f t="shared" si="111"/>
        <v>0.3</v>
      </c>
      <c r="V249" s="151">
        <f t="shared" si="111"/>
        <v>0.3</v>
      </c>
      <c r="W249" s="151">
        <f t="shared" si="111"/>
        <v>0.3</v>
      </c>
      <c r="X249" s="151">
        <f t="shared" si="111"/>
        <v>0.3</v>
      </c>
      <c r="Y249" s="151">
        <f t="shared" si="111"/>
        <v>0.3</v>
      </c>
      <c r="Z249" s="151">
        <f t="shared" si="111"/>
        <v>0.3</v>
      </c>
      <c r="AA249" s="151">
        <f t="shared" si="111"/>
        <v>0.3</v>
      </c>
      <c r="AB249" s="151">
        <f t="shared" si="111"/>
        <v>0.3</v>
      </c>
      <c r="AC249" s="151">
        <f t="shared" si="111"/>
        <v>0.3</v>
      </c>
      <c r="AD249" s="151">
        <f t="shared" si="111"/>
        <v>0.3</v>
      </c>
      <c r="AE249" s="151">
        <f t="shared" si="111"/>
        <v>0.3</v>
      </c>
      <c r="AF249" s="151">
        <f t="shared" si="111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109"/>
        <v>0.4</v>
      </c>
      <c r="C250" s="151">
        <v>0.4</v>
      </c>
      <c r="D250" s="151">
        <f t="shared" si="110"/>
        <v>0.4</v>
      </c>
      <c r="E250" s="151">
        <f t="shared" si="110"/>
        <v>0.4</v>
      </c>
      <c r="F250" s="151">
        <f t="shared" si="110"/>
        <v>0.4</v>
      </c>
      <c r="G250" s="151">
        <f t="shared" si="110"/>
        <v>0.4</v>
      </c>
      <c r="H250" s="151">
        <f t="shared" si="110"/>
        <v>0.4</v>
      </c>
      <c r="I250" s="151">
        <f t="shared" si="110"/>
        <v>0.4</v>
      </c>
      <c r="J250" s="151">
        <f t="shared" si="110"/>
        <v>0.4</v>
      </c>
      <c r="K250" s="151">
        <f t="shared" si="110"/>
        <v>0.4</v>
      </c>
      <c r="L250" s="151">
        <f t="shared" si="110"/>
        <v>0.4</v>
      </c>
      <c r="M250" s="151">
        <f t="shared" si="110"/>
        <v>0.4</v>
      </c>
      <c r="N250" s="151">
        <f t="shared" si="110"/>
        <v>0.4</v>
      </c>
      <c r="O250" s="151">
        <f t="shared" si="110"/>
        <v>0.4</v>
      </c>
      <c r="P250" s="151">
        <f t="shared" si="110"/>
        <v>0.4</v>
      </c>
      <c r="Q250" s="151">
        <f t="shared" si="110"/>
        <v>0.4</v>
      </c>
      <c r="R250" s="151">
        <f t="shared" si="110"/>
        <v>0.4</v>
      </c>
      <c r="S250" s="151">
        <f t="shared" si="110"/>
        <v>0.4</v>
      </c>
      <c r="T250" s="151">
        <f t="shared" si="111"/>
        <v>0.4</v>
      </c>
      <c r="U250" s="151">
        <f t="shared" si="111"/>
        <v>0.4</v>
      </c>
      <c r="V250" s="151">
        <f t="shared" si="111"/>
        <v>0.4</v>
      </c>
      <c r="W250" s="151">
        <f t="shared" si="111"/>
        <v>0.4</v>
      </c>
      <c r="X250" s="151">
        <f t="shared" si="111"/>
        <v>0.4</v>
      </c>
      <c r="Y250" s="151">
        <f t="shared" si="111"/>
        <v>0.4</v>
      </c>
      <c r="Z250" s="151">
        <f t="shared" si="111"/>
        <v>0.4</v>
      </c>
      <c r="AA250" s="151">
        <f t="shared" si="111"/>
        <v>0.4</v>
      </c>
      <c r="AB250" s="151">
        <f t="shared" si="111"/>
        <v>0.4</v>
      </c>
      <c r="AC250" s="151">
        <f t="shared" si="111"/>
        <v>0.4</v>
      </c>
      <c r="AD250" s="151">
        <f t="shared" si="111"/>
        <v>0.4</v>
      </c>
      <c r="AE250" s="151">
        <f t="shared" si="111"/>
        <v>0.4</v>
      </c>
      <c r="AF250" s="151">
        <f t="shared" si="111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109"/>
        <v>0.64</v>
      </c>
      <c r="C251" s="156">
        <v>0.64</v>
      </c>
      <c r="D251" s="156">
        <f t="shared" si="110"/>
        <v>0.64</v>
      </c>
      <c r="E251" s="156">
        <f t="shared" si="110"/>
        <v>0.64</v>
      </c>
      <c r="F251" s="156">
        <f t="shared" si="110"/>
        <v>0.64</v>
      </c>
      <c r="G251" s="156">
        <f t="shared" si="110"/>
        <v>0.64</v>
      </c>
      <c r="H251" s="156">
        <f t="shared" si="110"/>
        <v>0.64</v>
      </c>
      <c r="I251" s="156">
        <f t="shared" si="110"/>
        <v>0.64</v>
      </c>
      <c r="J251" s="156">
        <f t="shared" si="110"/>
        <v>0.64</v>
      </c>
      <c r="K251" s="156">
        <f t="shared" si="110"/>
        <v>0.64</v>
      </c>
      <c r="L251" s="156">
        <f t="shared" si="110"/>
        <v>0.64</v>
      </c>
      <c r="M251" s="156">
        <f t="shared" si="110"/>
        <v>0.64</v>
      </c>
      <c r="N251" s="156">
        <f t="shared" si="110"/>
        <v>0.64</v>
      </c>
      <c r="O251" s="156">
        <f t="shared" si="110"/>
        <v>0.64</v>
      </c>
      <c r="P251" s="156">
        <f t="shared" si="110"/>
        <v>0.64</v>
      </c>
      <c r="Q251" s="156">
        <f t="shared" si="110"/>
        <v>0.64</v>
      </c>
      <c r="R251" s="156">
        <f t="shared" si="110"/>
        <v>0.64</v>
      </c>
      <c r="S251" s="156">
        <f t="shared" si="110"/>
        <v>0.64</v>
      </c>
      <c r="T251" s="156">
        <f t="shared" si="111"/>
        <v>0.64</v>
      </c>
      <c r="U251" s="156">
        <f t="shared" si="111"/>
        <v>0.64</v>
      </c>
      <c r="V251" s="156">
        <f t="shared" si="111"/>
        <v>0.64</v>
      </c>
      <c r="W251" s="156">
        <f t="shared" si="111"/>
        <v>0.64</v>
      </c>
      <c r="X251" s="156">
        <f t="shared" si="111"/>
        <v>0.64</v>
      </c>
      <c r="Y251" s="156">
        <f t="shared" si="111"/>
        <v>0.64</v>
      </c>
      <c r="Z251" s="156">
        <f t="shared" si="111"/>
        <v>0.64</v>
      </c>
      <c r="AA251" s="156">
        <f t="shared" si="111"/>
        <v>0.64</v>
      </c>
      <c r="AB251" s="156">
        <f t="shared" si="111"/>
        <v>0.64</v>
      </c>
      <c r="AC251" s="156">
        <f t="shared" si="111"/>
        <v>0.64</v>
      </c>
      <c r="AD251" s="156">
        <f t="shared" si="111"/>
        <v>0.64</v>
      </c>
      <c r="AE251" s="156">
        <f t="shared" si="111"/>
        <v>0.64</v>
      </c>
      <c r="AF251" s="156">
        <f t="shared" si="111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112">SUM(B246:B251)</f>
        <v>3.54</v>
      </c>
      <c r="C252" s="160">
        <f t="shared" si="112"/>
        <v>3.54</v>
      </c>
      <c r="D252" s="160">
        <f t="shared" si="112"/>
        <v>3.54</v>
      </c>
      <c r="E252" s="160">
        <f t="shared" si="112"/>
        <v>3.54</v>
      </c>
      <c r="F252" s="160">
        <f t="shared" si="112"/>
        <v>3.54</v>
      </c>
      <c r="G252" s="160">
        <f t="shared" si="112"/>
        <v>3.54</v>
      </c>
      <c r="H252" s="160">
        <f t="shared" si="112"/>
        <v>3.54</v>
      </c>
      <c r="I252" s="160">
        <f t="shared" si="112"/>
        <v>3.54</v>
      </c>
      <c r="J252" s="160">
        <f t="shared" si="112"/>
        <v>3.54</v>
      </c>
      <c r="K252" s="160">
        <f t="shared" si="112"/>
        <v>3.54</v>
      </c>
      <c r="L252" s="160">
        <f t="shared" si="112"/>
        <v>3.54</v>
      </c>
      <c r="M252" s="160">
        <f t="shared" si="112"/>
        <v>3.54</v>
      </c>
      <c r="N252" s="160">
        <f t="shared" si="112"/>
        <v>3.54</v>
      </c>
      <c r="O252" s="160">
        <f t="shared" si="112"/>
        <v>3.54</v>
      </c>
      <c r="P252" s="160">
        <f t="shared" si="112"/>
        <v>3.54</v>
      </c>
      <c r="Q252" s="160">
        <f t="shared" si="112"/>
        <v>3.54</v>
      </c>
      <c r="R252" s="160">
        <f t="shared" si="112"/>
        <v>3.54</v>
      </c>
      <c r="S252" s="160">
        <f t="shared" si="112"/>
        <v>3.54</v>
      </c>
      <c r="T252" s="160">
        <f t="shared" si="112"/>
        <v>3.54</v>
      </c>
      <c r="U252" s="160">
        <f t="shared" si="112"/>
        <v>3.54</v>
      </c>
      <c r="V252" s="160">
        <f t="shared" si="112"/>
        <v>3.54</v>
      </c>
      <c r="W252" s="160">
        <f t="shared" si="112"/>
        <v>3.54</v>
      </c>
      <c r="X252" s="160">
        <f t="shared" si="112"/>
        <v>3.54</v>
      </c>
      <c r="Y252" s="160">
        <f t="shared" si="112"/>
        <v>3.54</v>
      </c>
      <c r="Z252" s="160">
        <f t="shared" si="112"/>
        <v>3.54</v>
      </c>
      <c r="AA252" s="160">
        <f t="shared" si="112"/>
        <v>3.54</v>
      </c>
      <c r="AB252" s="160">
        <f t="shared" si="112"/>
        <v>3.54</v>
      </c>
      <c r="AC252" s="160">
        <f t="shared" si="112"/>
        <v>3.54</v>
      </c>
      <c r="AD252" s="160">
        <f t="shared" si="112"/>
        <v>3.54</v>
      </c>
      <c r="AE252" s="160">
        <f t="shared" si="112"/>
        <v>3.54</v>
      </c>
      <c r="AF252" s="160">
        <f t="shared" si="112"/>
        <v>3.54</v>
      </c>
      <c r="AG252" s="170">
        <f t="shared" si="112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1383.79</v>
      </c>
      <c r="C256" s="173">
        <f>INDEX(G9:N9,1,MATCH(MAX(G99:N99),G99:N99,0))</f>
        <v>0.33333333333333331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2080/10/17)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1878" priority="90">
      <formula>$AH11=0</formula>
    </cfRule>
  </conditionalFormatting>
  <conditionalFormatting sqref="A132:A253">
    <cfRule type="expression" dxfId="1877" priority="91">
      <formula>$AH132=0</formula>
    </cfRule>
  </conditionalFormatting>
  <conditionalFormatting sqref="B8">
    <cfRule type="expression" dxfId="1876" priority="149">
      <formula>AND(C$9&gt;=14/24,C$9&lt;20/24)</formula>
    </cfRule>
    <cfRule type="expression" dxfId="1875" priority="151">
      <formula>C$9&lt;8/24</formula>
    </cfRule>
    <cfRule type="expression" dxfId="1874" priority="150">
      <formula>AND(C$9&gt;=8/24,C$9&lt;14/24)</formula>
    </cfRule>
    <cfRule type="expression" dxfId="1873" priority="152">
      <formula>C$9&gt;=20/24</formula>
    </cfRule>
  </conditionalFormatting>
  <conditionalFormatting sqref="B11:P52 Q12:Y52 B59:D74 E68:G74 E69:AF74 B77:AF99 B9:AF10 B101:AF117 B119:AF137 B244:AF244 B246:B252">
    <cfRule type="expression" dxfId="1872" priority="41">
      <formula>B$9&gt;=20/24</formula>
    </cfRule>
  </conditionalFormatting>
  <conditionalFormatting sqref="B9:AF10 B11:P52 Q12:Y52 B59:D74 E68:G74 E69:AF74 B77:AF99 B101:AF117 B119:AF137 B244:AF244 B246:B252">
    <cfRule type="expression" dxfId="1871" priority="43">
      <formula>AND(B$9&gt;=8/24,B$9&lt;14/24)</formula>
    </cfRule>
    <cfRule type="expression" dxfId="1870" priority="42">
      <formula>AND(B$9&gt;=14/24,B$9&lt;20/24)</formula>
    </cfRule>
    <cfRule type="expression" dxfId="1869" priority="44">
      <formula>B$9&lt;8/24</formula>
    </cfRule>
  </conditionalFormatting>
  <conditionalFormatting sqref="D246:AF252">
    <cfRule type="expression" dxfId="1868" priority="137">
      <formula>D$9&lt;8/24</formula>
    </cfRule>
    <cfRule type="expression" dxfId="1867" priority="136">
      <formula>AND(D$9&gt;=8/24,D$9&lt;14/24)</formula>
    </cfRule>
    <cfRule type="expression" dxfId="1866" priority="135">
      <formula>AND(D$9&gt;=14/24,D$9&lt;20/24)</formula>
    </cfRule>
    <cfRule type="expression" dxfId="1865" priority="134">
      <formula>D$9&gt;=20/24</formula>
    </cfRule>
  </conditionalFormatting>
  <conditionalFormatting sqref="E63:I67 J64:J67 K67">
    <cfRule type="expression" dxfId="1864" priority="57">
      <formula>E$9&lt;8/24</formula>
    </cfRule>
    <cfRule type="expression" dxfId="1863" priority="56">
      <formula>AND(E$9&gt;=8/24,E$9&lt;14/24)</formula>
    </cfRule>
    <cfRule type="expression" dxfId="1862" priority="55">
      <formula>AND(E$9&gt;=14/24,E$9&lt;20/24)</formula>
    </cfRule>
    <cfRule type="expression" dxfId="1861" priority="54">
      <formula>E$9&gt;=20/24</formula>
    </cfRule>
  </conditionalFormatting>
  <conditionalFormatting sqref="E68:K68">
    <cfRule type="expression" dxfId="1860" priority="52">
      <formula>E$9&lt;8/24</formula>
    </cfRule>
    <cfRule type="expression" dxfId="1859" priority="51">
      <formula>AND(E$9&gt;=8/24,E$9&lt;14/24)</formula>
    </cfRule>
    <cfRule type="expression" dxfId="1858" priority="50">
      <formula>AND(E$9&gt;=14/24,E$9&lt;20/24)</formula>
    </cfRule>
    <cfRule type="expression" dxfId="1857" priority="49">
      <formula>E$9&gt;=20/24</formula>
    </cfRule>
  </conditionalFormatting>
  <conditionalFormatting sqref="E11:P55 B11:D80 Q12:Y55 C24:L24 E56:AF80 AG62 AG80">
    <cfRule type="expression" dxfId="1856" priority="40">
      <formula>B11&gt;$AG11</formula>
    </cfRule>
  </conditionalFormatting>
  <conditionalFormatting sqref="E53:Y56 B53:D57">
    <cfRule type="expression" dxfId="1855" priority="53">
      <formula>B$9&lt;8/24</formula>
    </cfRule>
  </conditionalFormatting>
  <conditionalFormatting sqref="E56:Y56">
    <cfRule type="expression" dxfId="1854" priority="48">
      <formula>AND(E$9&gt;=8/24,E$9&lt;14/24)</formula>
    </cfRule>
    <cfRule type="expression" dxfId="1853" priority="47">
      <formula>AND(E$9&gt;=14/24,E$9&lt;20/24)</formula>
    </cfRule>
    <cfRule type="expression" dxfId="1852" priority="46">
      <formula>E$9&gt;=20/24</formula>
    </cfRule>
  </conditionalFormatting>
  <conditionalFormatting sqref="E57:Y57">
    <cfRule type="expression" dxfId="1851" priority="67">
      <formula>E$9&lt;8/24</formula>
    </cfRule>
  </conditionalFormatting>
  <conditionalFormatting sqref="E59:AF62">
    <cfRule type="expression" dxfId="1850" priority="71">
      <formula>E$9&lt;8/24</formula>
    </cfRule>
    <cfRule type="expression" dxfId="1849" priority="68">
      <formula>E$9&gt;=20/24</formula>
    </cfRule>
    <cfRule type="expression" dxfId="1848" priority="69">
      <formula>AND(E$9&gt;=14/24,E$9&lt;20/24)</formula>
    </cfRule>
    <cfRule type="expression" dxfId="1847" priority="70">
      <formula>AND(E$9&gt;=8/24,E$9&lt;14/24)</formula>
    </cfRule>
  </conditionalFormatting>
  <conditionalFormatting sqref="F63:L65">
    <cfRule type="expression" dxfId="1846" priority="85">
      <formula>F$9&lt;8/24</formula>
    </cfRule>
    <cfRule type="expression" dxfId="1845" priority="84">
      <formula>AND(F$9&gt;=8/24,F$9&lt;14/24)</formula>
    </cfRule>
    <cfRule type="expression" dxfId="1844" priority="83">
      <formula>AND(F$9&gt;=14/24,F$9&lt;20/24)</formula>
    </cfRule>
    <cfRule type="expression" dxfId="1843" priority="82">
      <formula>F$9&gt;=20/24</formula>
    </cfRule>
  </conditionalFormatting>
  <conditionalFormatting sqref="L68:Y68">
    <cfRule type="expression" dxfId="1842" priority="79">
      <formula>AND(L$9&gt;=14/24,L$9&lt;20/24)</formula>
    </cfRule>
    <cfRule type="expression" dxfId="1841" priority="80">
      <formula>AND(L$9&gt;=8/24,L$9&lt;14/24)</formula>
    </cfRule>
    <cfRule type="expression" dxfId="1840" priority="81">
      <formula>L$9&lt;8/24</formula>
    </cfRule>
    <cfRule type="expression" dxfId="1839" priority="78">
      <formula>L$9&gt;=20/24</formula>
    </cfRule>
  </conditionalFormatting>
  <conditionalFormatting sqref="M8 S8 AB8">
    <cfRule type="expression" dxfId="1838" priority="141">
      <formula>AND(N$9&gt;=14/24,N$9&lt;20/24)</formula>
    </cfRule>
    <cfRule type="expression" dxfId="1837" priority="143">
      <formula>N$9&lt;8/24</formula>
    </cfRule>
    <cfRule type="expression" dxfId="1836" priority="142">
      <formula>AND(N$9&gt;=8/24,N$9&lt;14/24)</formula>
    </cfRule>
  </conditionalFormatting>
  <conditionalFormatting sqref="M63:Y67">
    <cfRule type="expression" dxfId="1835" priority="87">
      <formula>AND(M$9&gt;=14/24,M$9&lt;20/24)</formula>
    </cfRule>
    <cfRule type="expression" dxfId="1834" priority="88">
      <formula>AND(M$9&gt;=8/24,M$9&lt;14/24)</formula>
    </cfRule>
    <cfRule type="expression" dxfId="1833" priority="89">
      <formula>M$9&lt;8/24</formula>
    </cfRule>
    <cfRule type="expression" dxfId="1832" priority="86">
      <formula>M$9&gt;=20/24</formula>
    </cfRule>
  </conditionalFormatting>
  <conditionalFormatting sqref="O3:P3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Q11:AD11 AE11:AF43 Z12:AD43 Z44:AF52">
    <cfRule type="expression" dxfId="1831" priority="58">
      <formula>Q11&gt;$AG11</formula>
    </cfRule>
    <cfRule type="expression" dxfId="1830" priority="59">
      <formula>Q$9&gt;=20/24</formula>
    </cfRule>
    <cfRule type="expression" dxfId="1829" priority="60">
      <formula>AND(Q$9&gt;=14/24,Q$9&lt;20/24)</formula>
    </cfRule>
    <cfRule type="expression" dxfId="1828" priority="62">
      <formula>Q$9&lt;8/24</formula>
    </cfRule>
    <cfRule type="expression" dxfId="1827" priority="61">
      <formula>AND(Q$9&gt;=8/24,Q$9&lt;14/24)</formula>
    </cfRule>
  </conditionalFormatting>
  <conditionalFormatting sqref="S8 AB8 M8">
    <cfRule type="expression" dxfId="1826" priority="140">
      <formula>N$9&gt;=20/24</formula>
    </cfRule>
  </conditionalFormatting>
  <conditionalFormatting sqref="S8">
    <cfRule type="expression" dxfId="1825" priority="127">
      <formula>U$9&gt;=20/24</formula>
    </cfRule>
    <cfRule type="expression" dxfId="1824" priority="130">
      <formula>U$9&lt;8/24</formula>
    </cfRule>
    <cfRule type="expression" dxfId="1823" priority="129">
      <formula>AND(U$9&gt;=8/24,U$9&lt;14/24)</formula>
    </cfRule>
    <cfRule type="expression" dxfId="1822" priority="128">
      <formula>AND(U$9&gt;=14/24,U$9&lt;20/24)</formula>
    </cfRule>
  </conditionalFormatting>
  <conditionalFormatting sqref="T63:AF68">
    <cfRule type="expression" dxfId="1821" priority="74">
      <formula>AND(T$9&gt;=8/24,T$9&lt;14/24)</formula>
    </cfRule>
    <cfRule type="expression" dxfId="1820" priority="73">
      <formula>AND(T$9&gt;=14/24,T$9&lt;20/24)</formula>
    </cfRule>
    <cfRule type="expression" dxfId="1819" priority="72">
      <formula>T$9&gt;=20/24</formula>
    </cfRule>
    <cfRule type="expression" dxfId="1818" priority="75">
      <formula>T$9&lt;8/24</formula>
    </cfRule>
  </conditionalFormatting>
  <conditionalFormatting sqref="V3 AB3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Z55:AD56 AE55:AF57 E57:AD57">
    <cfRule type="expression" dxfId="1817" priority="65">
      <formula>AND(E$9&gt;=14/24,E$9&lt;20/24)</formula>
    </cfRule>
    <cfRule type="expression" dxfId="1816" priority="66">
      <formula>AND(E$9&gt;=8/24,E$9&lt;14/24)</formula>
    </cfRule>
    <cfRule type="expression" dxfId="1815" priority="64">
      <formula>E$9&gt;=20/24</formula>
    </cfRule>
  </conditionalFormatting>
  <conditionalFormatting sqref="Z53:AF54 E53:Y55 B53:D57">
    <cfRule type="expression" dxfId="1814" priority="38">
      <formula>AND(B$9&gt;=14/24,B$9&lt;20/24)</formula>
    </cfRule>
    <cfRule type="expression" dxfId="1813" priority="39">
      <formula>AND(B$9&gt;=8/24,B$9&lt;14/24)</formula>
    </cfRule>
    <cfRule type="expression" dxfId="1812" priority="37">
      <formula>B$9&gt;=20/24</formula>
    </cfRule>
  </conditionalFormatting>
  <conditionalFormatting sqref="Z53:AF55">
    <cfRule type="expression" dxfId="1811" priority="77">
      <formula>Z53&gt;$AG53</formula>
    </cfRule>
  </conditionalFormatting>
  <conditionalFormatting sqref="Z53:AF57">
    <cfRule type="expression" dxfId="1810" priority="76">
      <formula>Z$9&lt;8/24</formula>
    </cfRule>
  </conditionalFormatting>
  <conditionalFormatting sqref="AB8">
    <cfRule type="expression" dxfId="1809" priority="125">
      <formula>AND(AD$9&gt;=8/24,AD$9&lt;14/24)</formula>
    </cfRule>
    <cfRule type="expression" dxfId="1808" priority="123">
      <formula>AD$9&gt;=20/24</formula>
    </cfRule>
    <cfRule type="expression" dxfId="1807" priority="124">
      <formula>AND(AD$9&gt;=14/24,AD$9&lt;20/24)</formula>
    </cfRule>
    <cfRule type="expression" dxfId="1806" priority="126">
      <formula>AD$9&lt;8/24</formula>
    </cfRule>
  </conditionalFormatting>
  <conditionalFormatting sqref="AG58">
    <cfRule type="expression" dxfId="1805" priority="118">
      <formula>AG58&gt;$AG58</formula>
    </cfRule>
  </conditionalFormatting>
  <conditionalFormatting sqref="AG62">
    <cfRule type="expression" dxfId="1804" priority="101">
      <formula>AG$9&gt;=20/24</formula>
    </cfRule>
    <cfRule type="expression" dxfId="1803" priority="103">
      <formula>AND(AG$9&gt;=8/24,AG$9&lt;14/24)</formula>
    </cfRule>
    <cfRule type="expression" dxfId="1802" priority="102">
      <formula>AND(AG$9&gt;=14/24,AG$9&lt;20/24)</formula>
    </cfRule>
    <cfRule type="expression" dxfId="1801" priority="104">
      <formula>AG$9&lt;8/24</formula>
    </cfRule>
  </conditionalFormatting>
  <conditionalFormatting sqref="AG75:AG76">
    <cfRule type="expression" dxfId="1800" priority="96">
      <formula>AG75&gt;$AG75</formula>
    </cfRule>
  </conditionalFormatting>
  <conditionalFormatting sqref="AG80">
    <cfRule type="expression" dxfId="1799" priority="100">
      <formula>AG$9&lt;8/24</formula>
    </cfRule>
    <cfRule type="expression" dxfId="1798" priority="97">
      <formula>AG$9&gt;=20/24</formula>
    </cfRule>
    <cfRule type="expression" dxfId="1797" priority="98">
      <formula>AND(AG$9&gt;=14/24,AG$9&lt;20/24)</formula>
    </cfRule>
    <cfRule type="expression" dxfId="1796" priority="99">
      <formula>AND(AG$9&gt;=8/24,AG$9&lt;14/24)</formula>
    </cfRule>
  </conditionalFormatting>
  <conditionalFormatting sqref="AG97">
    <cfRule type="expression" dxfId="1795" priority="120">
      <formula>AND(AG$9&gt;=14/24,AG$9&lt;20/24)</formula>
    </cfRule>
    <cfRule type="expression" dxfId="1794" priority="121">
      <formula>AND(AG$9&gt;=8/24,AG$9&lt;14/24)</formula>
    </cfRule>
    <cfRule type="expression" dxfId="1793" priority="119">
      <formula>AG$9&gt;=20/24</formula>
    </cfRule>
    <cfRule type="expression" dxfId="1792" priority="122">
      <formula>AG$9&lt;8/24</formula>
    </cfRule>
  </conditionalFormatting>
  <conditionalFormatting sqref="AL4:AL6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791" priority="144">
      <formula>AJ$9&gt;=20/24</formula>
    </cfRule>
    <cfRule type="expression" dxfId="1790" priority="145">
      <formula>AND(AJ$9&gt;=14/24,AJ$9&lt;20/24)</formula>
    </cfRule>
    <cfRule type="expression" dxfId="1789" priority="146">
      <formula>AND(AJ$9&gt;=8/24,AJ$9&lt;14/24)</formula>
    </cfRule>
    <cfRule type="expression" dxfId="1788" priority="147">
      <formula>AJ$9&lt;8/24</formula>
    </cfRule>
  </conditionalFormatting>
  <conditionalFormatting sqref="AL88:AN88 AL94:AN94">
    <cfRule type="expression" dxfId="1787" priority="113">
      <formula>AND(AL$9&gt;=8/24,AL$9&lt;14/24)</formula>
    </cfRule>
    <cfRule type="expression" dxfId="1786" priority="114">
      <formula>AL$9&lt;8/24</formula>
    </cfRule>
    <cfRule type="expression" dxfId="1785" priority="111">
      <formula>AL$9&gt;=20/24</formula>
    </cfRule>
    <cfRule type="expression" dxfId="1784" priority="112">
      <formula>AND(AL$9&gt;=14/24,AL$9&lt;20/24)</formula>
    </cfRule>
  </conditionalFormatting>
  <conditionalFormatting sqref="AM15:AM21 AN16:AR21">
    <cfRule type="expression" dxfId="1783" priority="16">
      <formula>AX$9&lt;8/24</formula>
    </cfRule>
    <cfRule type="expression" dxfId="1782" priority="15">
      <formula>AND(AX$9&gt;=8/24,AX$9&lt;14/24)</formula>
    </cfRule>
    <cfRule type="expression" dxfId="1781" priority="14">
      <formula>AND(AX$9&gt;=14/24,AX$9&lt;20/24)</formula>
    </cfRule>
    <cfRule type="expression" dxfId="1780" priority="13">
      <formula>AX$9&gt;=20/24</formula>
    </cfRule>
  </conditionalFormatting>
  <conditionalFormatting sqref="AN89:AN92">
    <cfRule type="expression" dxfId="1779" priority="107">
      <formula>AN$9&gt;=20/24</formula>
    </cfRule>
    <cfRule type="expression" dxfId="1778" priority="108">
      <formula>AND(AN$9&gt;=14/24,AN$9&lt;20/24)</formula>
    </cfRule>
    <cfRule type="expression" dxfId="1777" priority="109">
      <formula>AND(AN$9&gt;=8/24,AN$9&lt;14/24)</formula>
    </cfRule>
    <cfRule type="expression" dxfId="1776" priority="110">
      <formula>AN$9&lt;8/24</formula>
    </cfRule>
  </conditionalFormatting>
  <conditionalFormatting sqref="AN15:AR15">
    <cfRule type="expression" dxfId="1775" priority="4">
      <formula>U$9&lt;8/24</formula>
    </cfRule>
    <cfRule type="expression" dxfId="1774" priority="2">
      <formula>AND(U$9&gt;=14/24,U$9&lt;20/24)</formula>
    </cfRule>
    <cfRule type="expression" dxfId="1773" priority="1">
      <formula>U$9&gt;=20/24</formula>
    </cfRule>
    <cfRule type="expression" dxfId="1772" priority="3">
      <formula>AND(U$9&gt;=8/24,U$9&lt;14/24)</formula>
    </cfRule>
  </conditionalFormatting>
  <conditionalFormatting sqref="AS15">
    <cfRule type="expression" dxfId="1771" priority="12">
      <formula>AA$9&lt;8/24</formula>
    </cfRule>
    <cfRule type="expression" dxfId="1770" priority="11">
      <formula>AND(AA$9&gt;=8/24,AA$9&lt;14/24)</formula>
    </cfRule>
    <cfRule type="expression" dxfId="1769" priority="10">
      <formula>AND(AA$9&gt;=14/24,AA$9&lt;20/24)</formula>
    </cfRule>
    <cfRule type="expression" dxfId="1768" priority="9">
      <formula>AA$9&gt;=20/24</formula>
    </cfRule>
  </conditionalFormatting>
  <conditionalFormatting sqref="AS16:AS21">
    <cfRule type="expression" dxfId="1767" priority="20">
      <formula>BE$9&lt;8/24</formula>
    </cfRule>
    <cfRule type="expression" dxfId="1766" priority="18">
      <formula>AND(BE$9&gt;=14/24,BE$9&lt;20/24)</formula>
    </cfRule>
    <cfRule type="expression" dxfId="1765" priority="17">
      <formula>BE$9&gt;=20/24</formula>
    </cfRule>
    <cfRule type="expression" dxfId="1764" priority="19">
      <formula>AND(BE$9&gt;=8/24,BE$9&lt;14/24)</formula>
    </cfRule>
  </conditionalFormatting>
  <conditionalFormatting sqref="AT15 AX15">
    <cfRule type="expression" dxfId="1763" priority="21">
      <formula>AC$9&gt;=20/24</formula>
    </cfRule>
    <cfRule type="expression" dxfId="1762" priority="22">
      <formula>AND(AC$9&gt;=14/24,AC$9&lt;20/24)</formula>
    </cfRule>
    <cfRule type="expression" dxfId="1761" priority="23">
      <formula>AND(AC$9&gt;=8/24,AC$9&lt;14/24)</formula>
    </cfRule>
    <cfRule type="expression" dxfId="1760" priority="24">
      <formula>AC$9&lt;8/24</formula>
    </cfRule>
  </conditionalFormatting>
  <conditionalFormatting sqref="AT16:AT21">
    <cfRule type="expression" dxfId="1759" priority="25">
      <formula>BG$9&gt;=20/24</formula>
    </cfRule>
    <cfRule type="expression" dxfId="1758" priority="26">
      <formula>AND(BG$9&gt;=14/24,BG$9&lt;20/24)</formula>
    </cfRule>
    <cfRule type="expression" dxfId="1757" priority="27">
      <formula>AND(BG$9&gt;=8/24,BG$9&lt;14/24)</formula>
    </cfRule>
    <cfRule type="expression" dxfId="1756" priority="28">
      <formula>BG$9&lt;8/24</formula>
    </cfRule>
  </conditionalFormatting>
  <conditionalFormatting sqref="AU15:AV15">
    <cfRule type="expression" dxfId="1755" priority="30">
      <formula>AND(AE$9&gt;=14/24,AE$9&lt;20/24)</formula>
    </cfRule>
    <cfRule type="expression" dxfId="1754" priority="32">
      <formula>AE$9&lt;8/24</formula>
    </cfRule>
    <cfRule type="expression" dxfId="1753" priority="31">
      <formula>AND(AE$9&gt;=8/24,AE$9&lt;14/24)</formula>
    </cfRule>
    <cfRule type="expression" dxfId="1752" priority="29">
      <formula>AE$9&gt;=20/24</formula>
    </cfRule>
  </conditionalFormatting>
  <conditionalFormatting sqref="AU16:AX21">
    <cfRule type="expression" dxfId="1751" priority="33">
      <formula>BI$9&gt;=20/24</formula>
    </cfRule>
    <cfRule type="expression" dxfId="1750" priority="34">
      <formula>AND(BI$9&gt;=14/24,BI$9&lt;20/24)</formula>
    </cfRule>
    <cfRule type="expression" dxfId="1749" priority="35">
      <formula>AND(BI$9&gt;=8/24,BI$9&lt;14/24)</formula>
    </cfRule>
    <cfRule type="expression" dxfId="1748" priority="36">
      <formula>BI$9&lt;8/24</formula>
    </cfRule>
  </conditionalFormatting>
  <conditionalFormatting sqref="AW15">
    <cfRule type="expression" dxfId="1747" priority="7">
      <formula>AND(B$9&gt;=8/24,B$9&lt;14/24)</formula>
    </cfRule>
    <cfRule type="expression" dxfId="1746" priority="6">
      <formula>AND(B$9&gt;=14/24,B$9&lt;20/24)</formula>
    </cfRule>
    <cfRule type="expression" dxfId="1745" priority="5">
      <formula>B$9&gt;=20/24</formula>
    </cfRule>
    <cfRule type="expression" dxfId="1744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49235-33D5-49D5-B067-06461C9A74E7}">
  <sheetPr codeName="Sheet19"/>
  <dimension ref="A1:CJ294"/>
  <sheetViews>
    <sheetView zoomScale="106" workbookViewId="0">
      <pane xSplit="1" ySplit="10" topLeftCell="J11" activePane="bottomRight" state="frozen"/>
      <selection activeCell="Z63" sqref="Z63"/>
      <selection pane="topRight" activeCell="Z63" sqref="Z63"/>
      <selection pane="bottomLeft" activeCell="Z63" sqref="Z63"/>
      <selection pane="bottomRight" activeCell="AC21" sqref="AC21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2080/10/18</v>
      </c>
      <c r="C4" s="214"/>
      <c r="D4" s="214"/>
      <c r="E4" s="215" t="str">
        <f ca="1">"2080/"&amp;"10/"&amp;INT(MID(CELL("filename",G6),FIND("]",CELL("filename",G6))+1,200))</f>
        <v>2080/10/18</v>
      </c>
      <c r="F4" s="215"/>
      <c r="G4" s="215"/>
      <c r="H4" s="215" t="str">
        <f ca="1">TEXT(E4,"dddd")</f>
        <v>Friday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264.7</v>
      </c>
      <c r="C5" s="30">
        <f t="shared" ref="C5:AE5" si="0">D92</f>
        <v>276.10000000000002</v>
      </c>
      <c r="D5" s="30">
        <f t="shared" si="0"/>
        <v>274.8</v>
      </c>
      <c r="E5" s="30">
        <f t="shared" si="0"/>
        <v>259.2</v>
      </c>
      <c r="F5" s="30">
        <f t="shared" si="0"/>
        <v>249.7</v>
      </c>
      <c r="G5" s="30">
        <f t="shared" si="0"/>
        <v>279.60000000000002</v>
      </c>
      <c r="H5" s="30">
        <f t="shared" si="0"/>
        <v>289.8</v>
      </c>
      <c r="I5" s="30">
        <f t="shared" si="0"/>
        <v>368</v>
      </c>
      <c r="J5" s="30">
        <f t="shared" si="0"/>
        <v>559.5</v>
      </c>
      <c r="K5" s="30">
        <f t="shared" si="0"/>
        <v>565.4</v>
      </c>
      <c r="L5" s="30">
        <f t="shared" si="0"/>
        <v>528.29999999999995</v>
      </c>
      <c r="M5" s="30">
        <f t="shared" si="0"/>
        <v>394</v>
      </c>
      <c r="N5" s="30">
        <f t="shared" si="0"/>
        <v>411</v>
      </c>
      <c r="O5" s="30">
        <f t="shared" si="0"/>
        <v>594.80000000000007</v>
      </c>
      <c r="P5" s="30">
        <f t="shared" si="0"/>
        <v>557.29999999999995</v>
      </c>
      <c r="Q5" s="30">
        <f t="shared" si="0"/>
        <v>557.29999999999995</v>
      </c>
      <c r="R5" s="30">
        <f t="shared" si="0"/>
        <v>556.40000000000009</v>
      </c>
      <c r="S5" s="30">
        <f t="shared" si="0"/>
        <v>614.4</v>
      </c>
      <c r="T5" s="30">
        <f t="shared" si="0"/>
        <v>643.5</v>
      </c>
      <c r="U5" s="30">
        <f t="shared" si="0"/>
        <v>588.5</v>
      </c>
      <c r="V5" s="30">
        <f t="shared" si="0"/>
        <v>561.19999999999993</v>
      </c>
      <c r="W5" s="30">
        <f t="shared" si="0"/>
        <v>428.79999999999995</v>
      </c>
      <c r="X5" s="30">
        <f t="shared" si="0"/>
        <v>92.3</v>
      </c>
      <c r="Y5" s="30">
        <f t="shared" si="0"/>
        <v>107.3</v>
      </c>
      <c r="Z5" s="30">
        <f t="shared" si="0"/>
        <v>110.5</v>
      </c>
      <c r="AA5" s="30">
        <f t="shared" si="0"/>
        <v>0</v>
      </c>
      <c r="AB5" s="30">
        <f t="shared" si="0"/>
        <v>0</v>
      </c>
      <c r="AC5" s="30">
        <f t="shared" si="0"/>
        <v>110.5</v>
      </c>
      <c r="AD5" s="30">
        <f t="shared" si="0"/>
        <v>106</v>
      </c>
      <c r="AE5" s="30">
        <f t="shared" si="0"/>
        <v>108</v>
      </c>
      <c r="AF5" s="30">
        <f>B92</f>
        <v>277.89999999999998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1508MW at 7:00hr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Load=154</v>
      </c>
      <c r="B7" s="35">
        <f>B100</f>
        <v>1254.0900000000001</v>
      </c>
      <c r="C7" s="35">
        <f t="shared" ref="C7:AF7" si="1">C100</f>
        <v>1169.6899999999998</v>
      </c>
      <c r="D7" s="35">
        <f t="shared" si="1"/>
        <v>1191.69</v>
      </c>
      <c r="E7" s="35">
        <f t="shared" si="1"/>
        <v>1188.5899999999999</v>
      </c>
      <c r="F7" s="35">
        <f t="shared" si="1"/>
        <v>1184.3899999999999</v>
      </c>
      <c r="G7" s="35">
        <f t="shared" si="1"/>
        <v>1175.5899999999999</v>
      </c>
      <c r="H7" s="35">
        <f t="shared" si="1"/>
        <v>1229.0899999999997</v>
      </c>
      <c r="I7" s="35">
        <f t="shared" si="1"/>
        <v>1289.3899999999999</v>
      </c>
      <c r="J7" s="35">
        <f t="shared" si="1"/>
        <v>1357.59</v>
      </c>
      <c r="K7" s="35">
        <f t="shared" si="1"/>
        <v>1508.29</v>
      </c>
      <c r="L7" s="35">
        <f t="shared" si="1"/>
        <v>1469.69</v>
      </c>
      <c r="M7" s="35">
        <f t="shared" si="1"/>
        <v>1458.3899999999999</v>
      </c>
      <c r="N7" s="35">
        <f t="shared" si="1"/>
        <v>1423.8899999999999</v>
      </c>
      <c r="O7" s="35">
        <f t="shared" si="1"/>
        <v>1509.79</v>
      </c>
      <c r="P7" s="35">
        <f t="shared" si="1"/>
        <v>1490.5900000000001</v>
      </c>
      <c r="Q7" s="35">
        <f t="shared" si="1"/>
        <v>1498.89</v>
      </c>
      <c r="R7" s="35">
        <f t="shared" si="1"/>
        <v>1498.89</v>
      </c>
      <c r="S7" s="35">
        <f t="shared" si="1"/>
        <v>1505.0900000000001</v>
      </c>
      <c r="T7" s="35">
        <f t="shared" si="1"/>
        <v>1431.29</v>
      </c>
      <c r="U7" s="35">
        <f t="shared" si="1"/>
        <v>1458.8899999999999</v>
      </c>
      <c r="V7" s="35">
        <f t="shared" si="1"/>
        <v>1440.69</v>
      </c>
      <c r="W7" s="35">
        <f t="shared" si="1"/>
        <v>1408.69</v>
      </c>
      <c r="X7" s="35">
        <f t="shared" si="1"/>
        <v>1335.99</v>
      </c>
      <c r="Y7" s="35">
        <f t="shared" si="1"/>
        <v>1657.25</v>
      </c>
      <c r="Z7" s="35">
        <f t="shared" si="1"/>
        <v>1713.65</v>
      </c>
      <c r="AA7" s="35">
        <f t="shared" si="1"/>
        <v>1610.0900000000001</v>
      </c>
      <c r="AB7" s="35">
        <f t="shared" si="1"/>
        <v>153.54</v>
      </c>
      <c r="AC7" s="35">
        <f t="shared" si="1"/>
        <v>153.54</v>
      </c>
      <c r="AD7" s="35">
        <f t="shared" si="1"/>
        <v>1610.0900000000001</v>
      </c>
      <c r="AE7" s="35">
        <f t="shared" si="1"/>
        <v>1388.5900000000001</v>
      </c>
      <c r="AF7" s="35">
        <f t="shared" si="1"/>
        <v>1282.69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1509.79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1509.79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30.5</v>
      </c>
      <c r="C11" s="46">
        <v>24</v>
      </c>
      <c r="D11" s="46">
        <v>29.6</v>
      </c>
      <c r="E11" s="46">
        <v>28.5</v>
      </c>
      <c r="F11" s="46">
        <v>29.3</v>
      </c>
      <c r="G11" s="46">
        <v>30.5</v>
      </c>
      <c r="H11" s="46">
        <v>30.4</v>
      </c>
      <c r="I11" s="46">
        <v>30.5</v>
      </c>
      <c r="J11" s="46">
        <v>30.5</v>
      </c>
      <c r="K11" s="46">
        <v>30.5</v>
      </c>
      <c r="L11" s="46">
        <v>30.5</v>
      </c>
      <c r="M11" s="46">
        <v>30.5</v>
      </c>
      <c r="N11" s="46">
        <v>30.5</v>
      </c>
      <c r="O11" s="46">
        <v>30.5</v>
      </c>
      <c r="P11" s="46">
        <v>26.9</v>
      </c>
      <c r="Q11" s="46">
        <v>27</v>
      </c>
      <c r="R11" s="46">
        <v>27</v>
      </c>
      <c r="S11" s="46">
        <v>27</v>
      </c>
      <c r="T11" s="46">
        <v>27</v>
      </c>
      <c r="U11" s="46">
        <v>30</v>
      </c>
      <c r="V11" s="46">
        <v>30.6</v>
      </c>
      <c r="W11" s="46">
        <v>30.6</v>
      </c>
      <c r="X11" s="46">
        <v>30.6</v>
      </c>
      <c r="Y11" s="46">
        <v>30.6</v>
      </c>
      <c r="Z11" s="46">
        <v>30.6</v>
      </c>
      <c r="AA11" s="46">
        <v>30.6</v>
      </c>
      <c r="AB11" s="46"/>
      <c r="AC11" s="46"/>
      <c r="AD11" s="46">
        <v>30.6</v>
      </c>
      <c r="AE11" s="46">
        <v>30.6</v>
      </c>
      <c r="AF11" s="46">
        <v>30.6</v>
      </c>
      <c r="AG11" s="47">
        <v>86</v>
      </c>
      <c r="AH11" s="48">
        <f t="shared" ref="AH11:AH16" si="2">MAX(B11:AF11)</f>
        <v>30.6</v>
      </c>
      <c r="AI11" s="49">
        <f t="shared" ref="AI11:AI16" si="3">MIN(B11:AF11)</f>
        <v>24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10.5</v>
      </c>
      <c r="C12" s="46">
        <v>10.5</v>
      </c>
      <c r="D12" s="46">
        <v>10.5</v>
      </c>
      <c r="E12" s="46">
        <v>10.5</v>
      </c>
      <c r="F12" s="46">
        <v>10.5</v>
      </c>
      <c r="G12" s="46">
        <v>10.5</v>
      </c>
      <c r="H12" s="46">
        <v>10.5</v>
      </c>
      <c r="I12" s="46">
        <v>10.5</v>
      </c>
      <c r="J12" s="46">
        <v>10.5</v>
      </c>
      <c r="K12" s="46">
        <v>10.5</v>
      </c>
      <c r="L12" s="46">
        <v>10.5</v>
      </c>
      <c r="M12" s="46">
        <v>10.5</v>
      </c>
      <c r="N12" s="46">
        <v>10.5</v>
      </c>
      <c r="O12" s="46">
        <v>10.5</v>
      </c>
      <c r="P12" s="46">
        <v>10.5</v>
      </c>
      <c r="Q12" s="46">
        <v>10.6</v>
      </c>
      <c r="R12" s="46">
        <v>10.6</v>
      </c>
      <c r="S12" s="46">
        <v>10.6</v>
      </c>
      <c r="T12" s="46">
        <v>10.6</v>
      </c>
      <c r="U12" s="46">
        <v>10.6</v>
      </c>
      <c r="V12" s="46">
        <v>11</v>
      </c>
      <c r="W12" s="46">
        <v>11</v>
      </c>
      <c r="X12" s="46">
        <v>11</v>
      </c>
      <c r="Y12" s="46">
        <v>11</v>
      </c>
      <c r="Z12" s="46">
        <v>11</v>
      </c>
      <c r="AA12" s="46">
        <v>11</v>
      </c>
      <c r="AB12" s="46"/>
      <c r="AC12" s="46"/>
      <c r="AD12" s="46">
        <v>11</v>
      </c>
      <c r="AE12" s="46">
        <v>11</v>
      </c>
      <c r="AF12" s="46">
        <v>11</v>
      </c>
      <c r="AG12" s="50">
        <v>54</v>
      </c>
      <c r="AH12" s="48">
        <f t="shared" si="2"/>
        <v>11</v>
      </c>
      <c r="AI12" s="49">
        <f t="shared" si="3"/>
        <v>10.5</v>
      </c>
      <c r="AK12" s="51"/>
      <c r="AL12" s="52" t="str">
        <f ca="1">MID(CELL("filename",C7),FIND("]",CELL("filename",C7))+1,600)</f>
        <v>18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24.9</v>
      </c>
      <c r="C13" s="46">
        <v>22</v>
      </c>
      <c r="D13" s="46">
        <v>20</v>
      </c>
      <c r="E13" s="46">
        <v>20</v>
      </c>
      <c r="F13" s="46">
        <v>20</v>
      </c>
      <c r="G13" s="46">
        <v>20</v>
      </c>
      <c r="H13" s="46">
        <v>20</v>
      </c>
      <c r="I13" s="46">
        <v>20</v>
      </c>
      <c r="J13" s="46">
        <v>20</v>
      </c>
      <c r="K13" s="46">
        <v>20</v>
      </c>
      <c r="L13" s="46">
        <v>20</v>
      </c>
      <c r="M13" s="46">
        <v>16</v>
      </c>
      <c r="N13" s="46">
        <v>15.5</v>
      </c>
      <c r="O13" s="46">
        <v>14.4</v>
      </c>
      <c r="P13" s="46">
        <v>14.4</v>
      </c>
      <c r="Q13" s="46">
        <v>14.4</v>
      </c>
      <c r="R13" s="46">
        <v>14.4</v>
      </c>
      <c r="S13" s="46">
        <v>14.4</v>
      </c>
      <c r="T13" s="46">
        <v>14.4</v>
      </c>
      <c r="U13" s="46">
        <v>26.8</v>
      </c>
      <c r="V13" s="46">
        <v>27</v>
      </c>
      <c r="W13" s="46">
        <v>27</v>
      </c>
      <c r="X13" s="46">
        <v>27.4</v>
      </c>
      <c r="Y13" s="46">
        <v>27.4</v>
      </c>
      <c r="Z13" s="46">
        <v>27.4</v>
      </c>
      <c r="AA13" s="46">
        <v>27.4</v>
      </c>
      <c r="AB13" s="46"/>
      <c r="AC13" s="46"/>
      <c r="AD13" s="46">
        <v>27.4</v>
      </c>
      <c r="AE13" s="46">
        <v>27.4</v>
      </c>
      <c r="AF13" s="46">
        <v>27.4</v>
      </c>
      <c r="AG13" s="50">
        <v>54</v>
      </c>
      <c r="AH13" s="48">
        <f t="shared" si="2"/>
        <v>27.4</v>
      </c>
      <c r="AI13" s="49">
        <f t="shared" si="3"/>
        <v>14.4</v>
      </c>
      <c r="AK13" s="51"/>
      <c r="AL13" s="52" t="str">
        <f ca="1">"Daily Load Curve(Excluding of Export) of Nepal ("&amp;A4&amp;" "&amp;B4&amp;")"</f>
        <v>Daily Load Curve(Excluding of Export) of Nepal (Nepali Date: 2080/10/18)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17.5</v>
      </c>
      <c r="C14" s="46">
        <v>17.5</v>
      </c>
      <c r="D14" s="46">
        <v>17.5</v>
      </c>
      <c r="E14" s="46">
        <v>17.5</v>
      </c>
      <c r="F14" s="46">
        <v>17.5</v>
      </c>
      <c r="G14" s="46">
        <v>17.5</v>
      </c>
      <c r="H14" s="46">
        <v>17.5</v>
      </c>
      <c r="I14" s="46">
        <v>17.5</v>
      </c>
      <c r="J14" s="46">
        <v>17.5</v>
      </c>
      <c r="K14" s="46">
        <v>17.5</v>
      </c>
      <c r="L14" s="46">
        <v>17.5</v>
      </c>
      <c r="M14" s="46">
        <v>17.5</v>
      </c>
      <c r="N14" s="46">
        <v>17.5</v>
      </c>
      <c r="O14" s="46">
        <v>17.5</v>
      </c>
      <c r="P14" s="46">
        <v>17.5</v>
      </c>
      <c r="Q14" s="46">
        <v>16</v>
      </c>
      <c r="R14" s="46">
        <v>16</v>
      </c>
      <c r="S14" s="46">
        <v>16</v>
      </c>
      <c r="T14" s="46">
        <v>16</v>
      </c>
      <c r="U14" s="46">
        <v>15.1</v>
      </c>
      <c r="V14" s="46">
        <v>15</v>
      </c>
      <c r="W14" s="46">
        <v>15</v>
      </c>
      <c r="X14" s="46">
        <v>14</v>
      </c>
      <c r="Y14" s="46">
        <v>14</v>
      </c>
      <c r="Z14" s="46">
        <v>14</v>
      </c>
      <c r="AA14" s="46">
        <v>0</v>
      </c>
      <c r="AB14" s="46"/>
      <c r="AC14" s="46"/>
      <c r="AD14" s="46">
        <v>0</v>
      </c>
      <c r="AE14" s="46">
        <v>0</v>
      </c>
      <c r="AF14" s="46">
        <v>0</v>
      </c>
      <c r="AG14" s="47">
        <v>52.4</v>
      </c>
      <c r="AH14" s="48">
        <f t="shared" si="2"/>
        <v>17.5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53">
        <v>49.8</v>
      </c>
      <c r="C15" s="53">
        <v>50</v>
      </c>
      <c r="D15" s="53">
        <v>49.7</v>
      </c>
      <c r="E15" s="53">
        <v>49.7</v>
      </c>
      <c r="F15" s="53">
        <v>49.7</v>
      </c>
      <c r="G15" s="53">
        <v>49.7</v>
      </c>
      <c r="H15" s="53">
        <v>49.7</v>
      </c>
      <c r="I15" s="53">
        <v>49.7</v>
      </c>
      <c r="J15" s="53">
        <v>49.7</v>
      </c>
      <c r="K15" s="53">
        <v>49.7</v>
      </c>
      <c r="L15" s="53">
        <v>49.7</v>
      </c>
      <c r="M15" s="53">
        <v>32</v>
      </c>
      <c r="N15" s="53">
        <v>44</v>
      </c>
      <c r="O15" s="53">
        <v>41</v>
      </c>
      <c r="P15" s="53">
        <v>41</v>
      </c>
      <c r="Q15" s="46">
        <v>41.5</v>
      </c>
      <c r="R15" s="46">
        <v>41.5</v>
      </c>
      <c r="S15" s="46">
        <v>35</v>
      </c>
      <c r="T15" s="46">
        <v>38</v>
      </c>
      <c r="U15" s="46">
        <v>40</v>
      </c>
      <c r="V15" s="46">
        <v>44.8</v>
      </c>
      <c r="W15" s="53">
        <v>50</v>
      </c>
      <c r="X15" s="53">
        <v>50</v>
      </c>
      <c r="Y15" s="53">
        <v>50</v>
      </c>
      <c r="Z15" s="53">
        <v>50</v>
      </c>
      <c r="AA15" s="53">
        <v>50</v>
      </c>
      <c r="AB15" s="53"/>
      <c r="AC15" s="53"/>
      <c r="AD15" s="53">
        <v>50</v>
      </c>
      <c r="AE15" s="53">
        <v>50</v>
      </c>
      <c r="AF15" s="53">
        <v>50</v>
      </c>
      <c r="AG15" s="50">
        <v>50</v>
      </c>
      <c r="AH15" s="48">
        <f t="shared" si="2"/>
        <v>50</v>
      </c>
      <c r="AI15" s="49">
        <f t="shared" si="3"/>
        <v>32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22.5</v>
      </c>
      <c r="C16" s="46">
        <v>22.5</v>
      </c>
      <c r="D16" s="46">
        <v>22.5</v>
      </c>
      <c r="E16" s="46">
        <v>22.5</v>
      </c>
      <c r="F16" s="46">
        <v>22.5</v>
      </c>
      <c r="G16" s="46">
        <v>22.5</v>
      </c>
      <c r="H16" s="46">
        <v>22.5</v>
      </c>
      <c r="I16" s="46">
        <v>22.5</v>
      </c>
      <c r="J16" s="46">
        <v>22.5</v>
      </c>
      <c r="K16" s="46">
        <v>22.5</v>
      </c>
      <c r="L16" s="46">
        <v>22.5</v>
      </c>
      <c r="M16" s="46">
        <v>22.5</v>
      </c>
      <c r="N16" s="46">
        <v>20</v>
      </c>
      <c r="O16" s="46">
        <v>18</v>
      </c>
      <c r="P16" s="46">
        <v>17.5</v>
      </c>
      <c r="Q16" s="46">
        <v>16.2</v>
      </c>
      <c r="R16" s="46">
        <v>16.2</v>
      </c>
      <c r="S16" s="46">
        <v>16.2</v>
      </c>
      <c r="T16" s="46">
        <v>16.2</v>
      </c>
      <c r="U16" s="46">
        <v>15.1</v>
      </c>
      <c r="V16" s="46">
        <v>15.1</v>
      </c>
      <c r="W16" s="46">
        <v>15.1</v>
      </c>
      <c r="X16" s="46">
        <v>15.1</v>
      </c>
      <c r="Y16" s="46">
        <v>15.1</v>
      </c>
      <c r="Z16" s="46">
        <v>15.1</v>
      </c>
      <c r="AA16" s="46">
        <v>0</v>
      </c>
      <c r="AB16" s="46"/>
      <c r="AC16" s="46"/>
      <c r="AD16" s="46">
        <v>0</v>
      </c>
      <c r="AE16" s="46">
        <v>0</v>
      </c>
      <c r="AF16" s="46">
        <v>0</v>
      </c>
      <c r="AG16" s="50">
        <v>45</v>
      </c>
      <c r="AH16" s="48">
        <f t="shared" si="2"/>
        <v>22.5</v>
      </c>
      <c r="AI16" s="49">
        <f t="shared" si="3"/>
        <v>0</v>
      </c>
      <c r="AK16" s="51"/>
      <c r="AL16" s="54" t="s">
        <v>7</v>
      </c>
      <c r="AM16" s="59">
        <f>B58</f>
        <v>580.15</v>
      </c>
      <c r="AN16" s="59">
        <f t="shared" ref="AN16:AR16" si="4">C58</f>
        <v>566.64999999999986</v>
      </c>
      <c r="AO16" s="59">
        <f t="shared" si="4"/>
        <v>565.84999999999991</v>
      </c>
      <c r="AP16" s="59">
        <f t="shared" si="4"/>
        <v>552.54999999999995</v>
      </c>
      <c r="AQ16" s="59">
        <f t="shared" si="4"/>
        <v>565.34999999999991</v>
      </c>
      <c r="AR16" s="59">
        <f t="shared" si="4"/>
        <v>566.54999999999995</v>
      </c>
      <c r="AS16" s="59">
        <f>I58</f>
        <v>566.54999999999995</v>
      </c>
      <c r="AT16" s="59">
        <f>K58</f>
        <v>576.04999999999995</v>
      </c>
      <c r="AU16" s="59">
        <f t="shared" ref="AU16:AX16" si="5">M58</f>
        <v>528.84999999999991</v>
      </c>
      <c r="AV16" s="59">
        <f t="shared" si="5"/>
        <v>537.84999999999991</v>
      </c>
      <c r="AW16" s="59">
        <f t="shared" si="5"/>
        <v>531.75</v>
      </c>
      <c r="AX16" s="59">
        <f t="shared" si="5"/>
        <v>527.65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44</v>
      </c>
      <c r="C17" s="46">
        <v>44</v>
      </c>
      <c r="D17" s="46">
        <v>44</v>
      </c>
      <c r="E17" s="46">
        <v>44</v>
      </c>
      <c r="F17" s="46">
        <v>44</v>
      </c>
      <c r="G17" s="46">
        <v>44</v>
      </c>
      <c r="H17" s="46">
        <v>44</v>
      </c>
      <c r="I17" s="46">
        <v>44</v>
      </c>
      <c r="J17" s="46">
        <v>44</v>
      </c>
      <c r="K17" s="46">
        <v>44</v>
      </c>
      <c r="L17" s="46">
        <v>44</v>
      </c>
      <c r="M17" s="46">
        <v>18.5</v>
      </c>
      <c r="N17" s="46">
        <v>18.5</v>
      </c>
      <c r="O17" s="46">
        <v>18.5</v>
      </c>
      <c r="P17" s="46">
        <v>18.5</v>
      </c>
      <c r="Q17" s="46">
        <v>18.5</v>
      </c>
      <c r="R17" s="46">
        <v>18.5</v>
      </c>
      <c r="S17" s="46">
        <v>18.5</v>
      </c>
      <c r="T17" s="46">
        <v>18.5</v>
      </c>
      <c r="U17" s="46">
        <v>18.5</v>
      </c>
      <c r="V17" s="46">
        <v>27</v>
      </c>
      <c r="W17" s="46">
        <v>27</v>
      </c>
      <c r="X17" s="46">
        <v>27</v>
      </c>
      <c r="Y17" s="46">
        <v>27</v>
      </c>
      <c r="Z17" s="46">
        <v>27</v>
      </c>
      <c r="AA17" s="46">
        <v>27</v>
      </c>
      <c r="AB17" s="46"/>
      <c r="AC17" s="46"/>
      <c r="AD17" s="46">
        <v>27</v>
      </c>
      <c r="AE17" s="46">
        <v>27</v>
      </c>
      <c r="AF17" s="46">
        <v>27</v>
      </c>
      <c r="AG17" s="50">
        <v>44</v>
      </c>
      <c r="AH17" s="48">
        <f>MAX(B17:AG17)</f>
        <v>44</v>
      </c>
      <c r="AI17" s="49">
        <f>MIN(B17:AG17)</f>
        <v>18.5</v>
      </c>
      <c r="AK17" s="51"/>
      <c r="AL17" s="54" t="s">
        <v>27</v>
      </c>
      <c r="AM17" s="59">
        <f>B62</f>
        <v>97.2</v>
      </c>
      <c r="AN17" s="59">
        <f t="shared" ref="AN17:AR17" si="6">C62</f>
        <v>96.199999999999989</v>
      </c>
      <c r="AO17" s="59">
        <f t="shared" si="6"/>
        <v>63.5</v>
      </c>
      <c r="AP17" s="59">
        <f t="shared" si="6"/>
        <v>74.400000000000006</v>
      </c>
      <c r="AQ17" s="59">
        <f t="shared" si="6"/>
        <v>74.5</v>
      </c>
      <c r="AR17" s="59">
        <f t="shared" si="6"/>
        <v>74.5</v>
      </c>
      <c r="AS17" s="59">
        <f>I62</f>
        <v>124.5</v>
      </c>
      <c r="AT17" s="59">
        <f>K62</f>
        <v>55.1</v>
      </c>
      <c r="AU17" s="59">
        <f t="shared" ref="AU17:AX17" si="7">M62</f>
        <v>85.4</v>
      </c>
      <c r="AV17" s="59">
        <f t="shared" si="7"/>
        <v>162.19999999999999</v>
      </c>
      <c r="AW17" s="59">
        <f t="shared" si="7"/>
        <v>250.2</v>
      </c>
      <c r="AX17" s="59">
        <f t="shared" si="7"/>
        <v>82.2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11</v>
      </c>
      <c r="C18" s="46">
        <v>11</v>
      </c>
      <c r="D18" s="46">
        <v>11</v>
      </c>
      <c r="E18" s="46">
        <v>11</v>
      </c>
      <c r="F18" s="46">
        <v>11</v>
      </c>
      <c r="G18" s="46">
        <v>11</v>
      </c>
      <c r="H18" s="46">
        <v>11</v>
      </c>
      <c r="I18" s="46">
        <v>11</v>
      </c>
      <c r="J18" s="46">
        <v>11</v>
      </c>
      <c r="K18" s="46">
        <v>11</v>
      </c>
      <c r="L18" s="46">
        <v>11</v>
      </c>
      <c r="M18" s="46">
        <v>11</v>
      </c>
      <c r="N18" s="46">
        <v>11</v>
      </c>
      <c r="O18" s="46">
        <v>11</v>
      </c>
      <c r="P18" s="46">
        <v>11</v>
      </c>
      <c r="Q18" s="46">
        <v>9</v>
      </c>
      <c r="R18" s="46">
        <v>9</v>
      </c>
      <c r="S18" s="46">
        <v>9</v>
      </c>
      <c r="T18" s="46">
        <v>9</v>
      </c>
      <c r="U18" s="46">
        <v>9.5</v>
      </c>
      <c r="V18" s="46">
        <v>10.5</v>
      </c>
      <c r="W18" s="46">
        <v>10.5</v>
      </c>
      <c r="X18" s="46">
        <v>11.5</v>
      </c>
      <c r="Y18" s="46">
        <v>11.5</v>
      </c>
      <c r="Z18" s="46">
        <v>11.5</v>
      </c>
      <c r="AA18" s="46">
        <v>11.5</v>
      </c>
      <c r="AB18" s="46"/>
      <c r="AC18" s="46"/>
      <c r="AD18" s="46">
        <v>11.5</v>
      </c>
      <c r="AE18" s="46">
        <v>11.5</v>
      </c>
      <c r="AF18" s="46">
        <v>11.5</v>
      </c>
      <c r="AG18" s="50">
        <v>42</v>
      </c>
      <c r="AH18" s="48">
        <f t="shared" ref="AH18:AH81" si="8">MAX(B18:AF18)</f>
        <v>11.5</v>
      </c>
      <c r="AI18" s="49">
        <f t="shared" ref="AI18:AI81" si="9">MIN(B18:AF18)</f>
        <v>9</v>
      </c>
      <c r="AK18" s="51"/>
      <c r="AL18" s="54" t="s">
        <v>29</v>
      </c>
      <c r="AM18" s="59">
        <f>B76</f>
        <v>298.83999999999997</v>
      </c>
      <c r="AN18" s="59">
        <f t="shared" ref="AN18:AR18" si="10">C76</f>
        <v>243.14000000000001</v>
      </c>
      <c r="AO18" s="59">
        <f t="shared" si="10"/>
        <v>286.23999999999995</v>
      </c>
      <c r="AP18" s="59">
        <f t="shared" si="10"/>
        <v>286.83999999999997</v>
      </c>
      <c r="AQ18" s="59">
        <f t="shared" si="10"/>
        <v>285.33999999999997</v>
      </c>
      <c r="AR18" s="59">
        <f t="shared" si="10"/>
        <v>284.83999999999997</v>
      </c>
      <c r="AS18" s="59">
        <f>I76</f>
        <v>308.53999999999996</v>
      </c>
      <c r="AT18" s="59">
        <f>K76</f>
        <v>317.64</v>
      </c>
      <c r="AU18" s="59">
        <f t="shared" ref="AU18:AX18" si="11">M76</f>
        <v>315.83999999999997</v>
      </c>
      <c r="AV18" s="59">
        <f t="shared" si="11"/>
        <v>329.84</v>
      </c>
      <c r="AW18" s="59">
        <f t="shared" si="11"/>
        <v>316.83999999999997</v>
      </c>
      <c r="AX18" s="59">
        <f t="shared" si="11"/>
        <v>285.94000000000005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15</v>
      </c>
      <c r="C19" s="46">
        <v>15</v>
      </c>
      <c r="D19" s="46">
        <v>15</v>
      </c>
      <c r="E19" s="46">
        <v>15</v>
      </c>
      <c r="F19" s="46">
        <v>15</v>
      </c>
      <c r="G19" s="46">
        <v>15</v>
      </c>
      <c r="H19" s="46">
        <v>15</v>
      </c>
      <c r="I19" s="46">
        <v>15</v>
      </c>
      <c r="J19" s="46">
        <v>15</v>
      </c>
      <c r="K19" s="46">
        <v>15</v>
      </c>
      <c r="L19" s="46">
        <v>15</v>
      </c>
      <c r="M19" s="46">
        <v>15</v>
      </c>
      <c r="N19" s="46">
        <v>15</v>
      </c>
      <c r="O19" s="46">
        <v>15</v>
      </c>
      <c r="P19" s="46">
        <v>15</v>
      </c>
      <c r="Q19" s="46">
        <v>14.2</v>
      </c>
      <c r="R19" s="46">
        <v>14.2</v>
      </c>
      <c r="S19" s="46">
        <v>14.2</v>
      </c>
      <c r="T19" s="46">
        <v>14.2</v>
      </c>
      <c r="U19" s="46">
        <v>14.2</v>
      </c>
      <c r="V19" s="46">
        <v>14.5</v>
      </c>
      <c r="W19" s="46">
        <v>14.5</v>
      </c>
      <c r="X19" s="46">
        <v>14.5</v>
      </c>
      <c r="Y19" s="46">
        <v>14.5</v>
      </c>
      <c r="Z19" s="46">
        <v>14.5</v>
      </c>
      <c r="AA19" s="46">
        <v>14.5</v>
      </c>
      <c r="AB19" s="46"/>
      <c r="AC19" s="46"/>
      <c r="AD19" s="46">
        <v>14.5</v>
      </c>
      <c r="AE19" s="46">
        <v>14.5</v>
      </c>
      <c r="AF19" s="46">
        <v>14.5</v>
      </c>
      <c r="AG19" s="50">
        <v>38.46</v>
      </c>
      <c r="AH19" s="48">
        <f t="shared" si="8"/>
        <v>15</v>
      </c>
      <c r="AI19" s="49">
        <f t="shared" si="9"/>
        <v>14.2</v>
      </c>
      <c r="AK19" s="51"/>
      <c r="AL19" s="54" t="s">
        <v>31</v>
      </c>
      <c r="AM19" s="59">
        <f>B92</f>
        <v>277.89999999999998</v>
      </c>
      <c r="AN19" s="59">
        <f t="shared" ref="AN19:AR19" si="12">C92</f>
        <v>264.7</v>
      </c>
      <c r="AO19" s="59">
        <f t="shared" si="12"/>
        <v>276.10000000000002</v>
      </c>
      <c r="AP19" s="59">
        <f t="shared" si="12"/>
        <v>274.8</v>
      </c>
      <c r="AQ19" s="59">
        <f t="shared" si="12"/>
        <v>259.2</v>
      </c>
      <c r="AR19" s="59">
        <f t="shared" si="12"/>
        <v>249.7</v>
      </c>
      <c r="AS19" s="59">
        <f>I92</f>
        <v>289.8</v>
      </c>
      <c r="AT19" s="59">
        <f>K92</f>
        <v>559.5</v>
      </c>
      <c r="AU19" s="59">
        <f t="shared" ref="AU19:AX19" si="13">M92</f>
        <v>528.29999999999995</v>
      </c>
      <c r="AV19" s="59">
        <f t="shared" si="13"/>
        <v>394</v>
      </c>
      <c r="AW19" s="59">
        <f t="shared" si="13"/>
        <v>411</v>
      </c>
      <c r="AX19" s="59">
        <f t="shared" si="13"/>
        <v>594.80000000000007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7.8</v>
      </c>
      <c r="C20" s="46">
        <v>7.8</v>
      </c>
      <c r="D20" s="46">
        <v>7.8</v>
      </c>
      <c r="E20" s="46">
        <v>7.8</v>
      </c>
      <c r="F20" s="46">
        <v>7.8</v>
      </c>
      <c r="G20" s="46">
        <v>7.8</v>
      </c>
      <c r="H20" s="46">
        <v>7.8</v>
      </c>
      <c r="I20" s="46">
        <v>7.8</v>
      </c>
      <c r="J20" s="46">
        <v>7.8</v>
      </c>
      <c r="K20" s="46">
        <v>7.8</v>
      </c>
      <c r="L20" s="46">
        <v>7.8</v>
      </c>
      <c r="M20" s="46">
        <v>7.8</v>
      </c>
      <c r="N20" s="46">
        <v>7.8</v>
      </c>
      <c r="O20" s="46">
        <v>7.8</v>
      </c>
      <c r="P20" s="46">
        <v>7.8</v>
      </c>
      <c r="Q20" s="46">
        <v>7.8</v>
      </c>
      <c r="R20" s="46">
        <v>7.8</v>
      </c>
      <c r="S20" s="46">
        <v>7.8</v>
      </c>
      <c r="T20" s="46">
        <v>7.8</v>
      </c>
      <c r="U20" s="46">
        <v>7.8</v>
      </c>
      <c r="V20" s="46">
        <v>7.8</v>
      </c>
      <c r="W20" s="46">
        <v>7.8</v>
      </c>
      <c r="X20" s="46">
        <v>7.8</v>
      </c>
      <c r="Y20" s="46">
        <v>7.8</v>
      </c>
      <c r="Z20" s="46">
        <v>7.8</v>
      </c>
      <c r="AA20" s="46">
        <v>7.8</v>
      </c>
      <c r="AB20" s="46"/>
      <c r="AC20" s="46"/>
      <c r="AD20" s="46">
        <v>7.8</v>
      </c>
      <c r="AE20" s="46">
        <v>7.8</v>
      </c>
      <c r="AF20" s="46">
        <v>7.8</v>
      </c>
      <c r="AG20" s="50">
        <v>38.46</v>
      </c>
      <c r="AH20" s="48">
        <f t="shared" si="8"/>
        <v>7.8</v>
      </c>
      <c r="AI20" s="49">
        <f t="shared" si="9"/>
        <v>7.8</v>
      </c>
      <c r="AK20" s="51"/>
      <c r="AL20" s="54" t="s">
        <v>33</v>
      </c>
      <c r="AM20" s="59">
        <f>B80</f>
        <v>0</v>
      </c>
      <c r="AN20" s="59">
        <f t="shared" ref="AN20:AR20" si="14">C80</f>
        <v>0</v>
      </c>
      <c r="AO20" s="59">
        <f t="shared" si="14"/>
        <v>0</v>
      </c>
      <c r="AP20" s="59">
        <f t="shared" si="14"/>
        <v>0</v>
      </c>
      <c r="AQ20" s="59">
        <f t="shared" si="14"/>
        <v>0</v>
      </c>
      <c r="AR20" s="59">
        <f t="shared" si="14"/>
        <v>0</v>
      </c>
      <c r="AS20" s="59">
        <f>I80</f>
        <v>0</v>
      </c>
      <c r="AT20" s="59">
        <f>K80</f>
        <v>0</v>
      </c>
      <c r="AU20" s="59">
        <f t="shared" ref="AU20:AX20" si="15">M80</f>
        <v>0</v>
      </c>
      <c r="AV20" s="59">
        <f t="shared" si="15"/>
        <v>0</v>
      </c>
      <c r="AW20" s="59">
        <f t="shared" si="15"/>
        <v>0</v>
      </c>
      <c r="AX20" s="59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13</v>
      </c>
      <c r="C21" s="46">
        <v>13</v>
      </c>
      <c r="D21" s="46">
        <v>13</v>
      </c>
      <c r="E21" s="46">
        <v>13</v>
      </c>
      <c r="F21" s="46">
        <v>13</v>
      </c>
      <c r="G21" s="46">
        <v>13</v>
      </c>
      <c r="H21" s="46">
        <v>13</v>
      </c>
      <c r="I21" s="46">
        <v>13</v>
      </c>
      <c r="J21" s="46">
        <v>13</v>
      </c>
      <c r="K21" s="46">
        <v>13</v>
      </c>
      <c r="L21" s="46">
        <v>13</v>
      </c>
      <c r="M21" s="46">
        <v>13</v>
      </c>
      <c r="N21" s="46">
        <v>13</v>
      </c>
      <c r="O21" s="46">
        <v>13</v>
      </c>
      <c r="P21" s="46">
        <v>13</v>
      </c>
      <c r="Q21" s="46">
        <v>13</v>
      </c>
      <c r="R21" s="46">
        <v>13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11</v>
      </c>
      <c r="Z21" s="46">
        <v>11</v>
      </c>
      <c r="AA21" s="46">
        <v>11</v>
      </c>
      <c r="AB21" s="46"/>
      <c r="AC21" s="46"/>
      <c r="AD21" s="46">
        <v>11</v>
      </c>
      <c r="AE21" s="46">
        <v>11</v>
      </c>
      <c r="AF21" s="46">
        <v>11</v>
      </c>
      <c r="AG21" s="50">
        <v>36</v>
      </c>
      <c r="AH21" s="48">
        <f t="shared" si="8"/>
        <v>13</v>
      </c>
      <c r="AI21" s="49">
        <f t="shared" si="9"/>
        <v>0</v>
      </c>
      <c r="AK21" s="51"/>
      <c r="AL21" s="54" t="s">
        <v>35</v>
      </c>
      <c r="AM21" s="59">
        <f>B98</f>
        <v>0</v>
      </c>
      <c r="AN21" s="59">
        <f t="shared" ref="AN21:AR21" si="16">C98</f>
        <v>0</v>
      </c>
      <c r="AO21" s="59">
        <f t="shared" si="16"/>
        <v>0</v>
      </c>
      <c r="AP21" s="59">
        <f t="shared" si="16"/>
        <v>0</v>
      </c>
      <c r="AQ21" s="59">
        <f t="shared" si="16"/>
        <v>0</v>
      </c>
      <c r="AR21" s="59">
        <f t="shared" si="16"/>
        <v>0</v>
      </c>
      <c r="AS21" s="59">
        <f>I98</f>
        <v>0</v>
      </c>
      <c r="AT21" s="59">
        <f>K98</f>
        <v>0</v>
      </c>
      <c r="AU21" s="59">
        <f t="shared" ref="AU21:AX21" si="17">M98</f>
        <v>0</v>
      </c>
      <c r="AV21" s="59">
        <f t="shared" si="17"/>
        <v>0</v>
      </c>
      <c r="AW21" s="59">
        <f t="shared" si="17"/>
        <v>0</v>
      </c>
      <c r="AX21" s="59">
        <f t="shared" si="17"/>
        <v>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16</v>
      </c>
      <c r="C22" s="46">
        <v>15.1</v>
      </c>
      <c r="D22" s="46">
        <v>13.1</v>
      </c>
      <c r="E22" s="46">
        <v>13.1</v>
      </c>
      <c r="F22" s="46">
        <v>13.1</v>
      </c>
      <c r="G22" s="46">
        <v>13.1</v>
      </c>
      <c r="H22" s="46">
        <v>13.1</v>
      </c>
      <c r="I22" s="46">
        <v>13.1</v>
      </c>
      <c r="J22" s="46">
        <v>13.1</v>
      </c>
      <c r="K22" s="46">
        <v>13.1</v>
      </c>
      <c r="L22" s="46">
        <v>13.1</v>
      </c>
      <c r="M22" s="46">
        <v>13.1</v>
      </c>
      <c r="N22" s="46">
        <v>13.1</v>
      </c>
      <c r="O22" s="46">
        <v>13.1</v>
      </c>
      <c r="P22" s="46">
        <v>13.1</v>
      </c>
      <c r="Q22" s="46">
        <v>13.1</v>
      </c>
      <c r="R22" s="46">
        <v>13.1</v>
      </c>
      <c r="S22" s="46">
        <v>13.1</v>
      </c>
      <c r="T22" s="46">
        <v>13.1</v>
      </c>
      <c r="U22" s="46">
        <v>15</v>
      </c>
      <c r="V22" s="46">
        <v>15</v>
      </c>
      <c r="W22" s="46">
        <v>15</v>
      </c>
      <c r="X22" s="46">
        <v>15</v>
      </c>
      <c r="Y22" s="46">
        <v>15</v>
      </c>
      <c r="Z22" s="46">
        <v>15</v>
      </c>
      <c r="AA22" s="46">
        <v>15</v>
      </c>
      <c r="AB22" s="46"/>
      <c r="AC22" s="46"/>
      <c r="AD22" s="46">
        <v>15</v>
      </c>
      <c r="AE22" s="46">
        <v>15</v>
      </c>
      <c r="AF22" s="46">
        <v>15</v>
      </c>
      <c r="AG22" s="60">
        <v>30</v>
      </c>
      <c r="AH22" s="48">
        <f t="shared" si="8"/>
        <v>16</v>
      </c>
      <c r="AI22" s="49">
        <f t="shared" si="9"/>
        <v>13.1</v>
      </c>
      <c r="AK22" s="51"/>
      <c r="AL22" s="61" t="s">
        <v>37</v>
      </c>
      <c r="AM22" s="62">
        <f>SUM(AM16:AM21)</f>
        <v>1254.0900000000001</v>
      </c>
      <c r="AN22" s="62">
        <f t="shared" ref="AN22:AX22" si="18">SUM(AN16:AN21)</f>
        <v>1170.6899999999998</v>
      </c>
      <c r="AO22" s="62">
        <f t="shared" si="18"/>
        <v>1191.69</v>
      </c>
      <c r="AP22" s="62">
        <f t="shared" si="18"/>
        <v>1188.5899999999999</v>
      </c>
      <c r="AQ22" s="62">
        <f t="shared" si="18"/>
        <v>1184.3899999999999</v>
      </c>
      <c r="AR22" s="62">
        <f t="shared" si="18"/>
        <v>1175.5899999999999</v>
      </c>
      <c r="AS22" s="62">
        <f t="shared" si="18"/>
        <v>1289.3899999999999</v>
      </c>
      <c r="AT22" s="62">
        <f t="shared" si="18"/>
        <v>1508.29</v>
      </c>
      <c r="AU22" s="62">
        <f t="shared" si="18"/>
        <v>1458.3899999999999</v>
      </c>
      <c r="AV22" s="62">
        <f t="shared" si="18"/>
        <v>1423.8899999999999</v>
      </c>
      <c r="AW22" s="62">
        <f t="shared" si="18"/>
        <v>1509.79</v>
      </c>
      <c r="AX22" s="62">
        <f t="shared" si="18"/>
        <v>1490.5900000000001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9</v>
      </c>
      <c r="C23" s="46">
        <v>9</v>
      </c>
      <c r="D23" s="46">
        <v>9</v>
      </c>
      <c r="E23" s="46">
        <v>9</v>
      </c>
      <c r="F23" s="46">
        <v>9</v>
      </c>
      <c r="G23" s="46">
        <v>9</v>
      </c>
      <c r="H23" s="46">
        <v>9</v>
      </c>
      <c r="I23" s="46">
        <v>9</v>
      </c>
      <c r="J23" s="46">
        <v>9</v>
      </c>
      <c r="K23" s="46">
        <v>9</v>
      </c>
      <c r="L23" s="46">
        <v>9</v>
      </c>
      <c r="M23" s="46">
        <v>9</v>
      </c>
      <c r="N23" s="46">
        <v>9</v>
      </c>
      <c r="O23" s="46">
        <v>9</v>
      </c>
      <c r="P23" s="46">
        <v>9</v>
      </c>
      <c r="Q23" s="46">
        <v>9</v>
      </c>
      <c r="R23" s="46">
        <v>9</v>
      </c>
      <c r="S23" s="46">
        <v>9</v>
      </c>
      <c r="T23" s="46">
        <v>9</v>
      </c>
      <c r="U23" s="46">
        <v>9</v>
      </c>
      <c r="V23" s="46">
        <v>9</v>
      </c>
      <c r="W23" s="46">
        <v>9</v>
      </c>
      <c r="X23" s="46">
        <v>9</v>
      </c>
      <c r="Y23" s="46">
        <v>9</v>
      </c>
      <c r="Z23" s="46">
        <v>9</v>
      </c>
      <c r="AA23" s="46">
        <v>9</v>
      </c>
      <c r="AB23" s="46"/>
      <c r="AC23" s="46"/>
      <c r="AD23" s="46">
        <v>9</v>
      </c>
      <c r="AE23" s="46">
        <v>9</v>
      </c>
      <c r="AF23" s="46">
        <v>9</v>
      </c>
      <c r="AG23" s="50">
        <v>24.2</v>
      </c>
      <c r="AH23" s="48">
        <f t="shared" si="8"/>
        <v>9</v>
      </c>
      <c r="AI23" s="49">
        <f t="shared" si="9"/>
        <v>9</v>
      </c>
      <c r="AK23" s="51"/>
      <c r="AL23" s="61" t="s">
        <v>39</v>
      </c>
      <c r="AM23" s="62">
        <f>B107*-1</f>
        <v>0</v>
      </c>
      <c r="AN23" s="62">
        <f t="shared" ref="AN23:AR23" si="19">C107*-1</f>
        <v>-1</v>
      </c>
      <c r="AO23" s="62">
        <f t="shared" si="19"/>
        <v>0</v>
      </c>
      <c r="AP23" s="62">
        <f t="shared" si="19"/>
        <v>0</v>
      </c>
      <c r="AQ23" s="62">
        <f t="shared" si="19"/>
        <v>0</v>
      </c>
      <c r="AR23" s="62">
        <f t="shared" si="19"/>
        <v>0</v>
      </c>
      <c r="AS23" s="62">
        <f>I107*-1</f>
        <v>0</v>
      </c>
      <c r="AT23" s="62">
        <f>K107*-1</f>
        <v>0</v>
      </c>
      <c r="AU23" s="62">
        <f t="shared" ref="AU23:AX23" si="20">M107*-1</f>
        <v>0</v>
      </c>
      <c r="AV23" s="62">
        <f t="shared" si="20"/>
        <v>0</v>
      </c>
      <c r="AW23" s="62">
        <f t="shared" si="20"/>
        <v>0</v>
      </c>
      <c r="AX23" s="62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0</v>
      </c>
      <c r="C24" s="46">
        <v>0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0</v>
      </c>
      <c r="J24" s="46">
        <v>0</v>
      </c>
      <c r="K24" s="46">
        <v>9.5</v>
      </c>
      <c r="L24" s="46">
        <v>9.5</v>
      </c>
      <c r="M24" s="46">
        <v>9.5</v>
      </c>
      <c r="N24" s="46">
        <v>9.5</v>
      </c>
      <c r="O24" s="46">
        <v>9.5</v>
      </c>
      <c r="P24" s="46">
        <v>9.5</v>
      </c>
      <c r="Q24" s="46">
        <v>9.5</v>
      </c>
      <c r="R24" s="46">
        <v>9.5</v>
      </c>
      <c r="S24" s="46">
        <v>9.5</v>
      </c>
      <c r="T24" s="46">
        <v>9.5</v>
      </c>
      <c r="U24" s="46">
        <v>9.5</v>
      </c>
      <c r="V24" s="46">
        <v>9.5</v>
      </c>
      <c r="W24" s="46">
        <v>9.5</v>
      </c>
      <c r="X24" s="46">
        <v>9.5</v>
      </c>
      <c r="Y24" s="46">
        <v>9.5</v>
      </c>
      <c r="Z24" s="46">
        <v>9.5</v>
      </c>
      <c r="AA24" s="46">
        <v>9.5</v>
      </c>
      <c r="AB24" s="46"/>
      <c r="AC24" s="46"/>
      <c r="AD24" s="46">
        <v>9.5</v>
      </c>
      <c r="AE24" s="46">
        <v>9.5</v>
      </c>
      <c r="AF24" s="46">
        <v>9.5</v>
      </c>
      <c r="AG24" s="50">
        <v>28</v>
      </c>
      <c r="AH24" s="48">
        <f t="shared" si="8"/>
        <v>9.5</v>
      </c>
      <c r="AI24" s="49">
        <f t="shared" si="9"/>
        <v>0</v>
      </c>
      <c r="AK24" s="51"/>
      <c r="AL24" s="61" t="s">
        <v>41</v>
      </c>
      <c r="AM24" s="62">
        <f>AM22+AM23</f>
        <v>1254.0900000000001</v>
      </c>
      <c r="AN24" s="62">
        <f t="shared" ref="AN24:AX24" si="21">AN22+AN23</f>
        <v>1169.6899999999998</v>
      </c>
      <c r="AO24" s="62">
        <f t="shared" si="21"/>
        <v>1191.69</v>
      </c>
      <c r="AP24" s="62">
        <f t="shared" si="21"/>
        <v>1188.5899999999999</v>
      </c>
      <c r="AQ24" s="62">
        <f t="shared" si="21"/>
        <v>1184.3899999999999</v>
      </c>
      <c r="AR24" s="62">
        <f t="shared" si="21"/>
        <v>1175.5899999999999</v>
      </c>
      <c r="AS24" s="62">
        <f t="shared" si="21"/>
        <v>1289.3899999999999</v>
      </c>
      <c r="AT24" s="62">
        <f t="shared" si="21"/>
        <v>1508.29</v>
      </c>
      <c r="AU24" s="62">
        <f t="shared" si="21"/>
        <v>1458.3899999999999</v>
      </c>
      <c r="AV24" s="62">
        <f t="shared" si="21"/>
        <v>1423.8899999999999</v>
      </c>
      <c r="AW24" s="62">
        <f t="shared" si="21"/>
        <v>1509.79</v>
      </c>
      <c r="AX24" s="62">
        <f t="shared" si="21"/>
        <v>1490.5900000000001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7.5</v>
      </c>
      <c r="C25" s="46">
        <v>10.199999999999999</v>
      </c>
      <c r="D25" s="46">
        <v>10.199999999999999</v>
      </c>
      <c r="E25" s="46">
        <v>10.199999999999999</v>
      </c>
      <c r="F25" s="46">
        <v>10.199999999999999</v>
      </c>
      <c r="G25" s="46">
        <v>10.199999999999999</v>
      </c>
      <c r="H25" s="46">
        <v>10.199999999999999</v>
      </c>
      <c r="I25" s="46">
        <v>10.199999999999999</v>
      </c>
      <c r="J25" s="46">
        <v>10.199999999999999</v>
      </c>
      <c r="K25" s="46">
        <v>10.199999999999999</v>
      </c>
      <c r="L25" s="46">
        <v>10.199999999999999</v>
      </c>
      <c r="M25" s="46">
        <v>10.199999999999999</v>
      </c>
      <c r="N25" s="46">
        <v>10.199999999999999</v>
      </c>
      <c r="O25" s="46">
        <v>10.199999999999999</v>
      </c>
      <c r="P25" s="46">
        <v>10.199999999999999</v>
      </c>
      <c r="Q25" s="46">
        <v>10.199999999999999</v>
      </c>
      <c r="R25" s="46">
        <v>10.199999999999999</v>
      </c>
      <c r="S25" s="46">
        <v>10.199999999999999</v>
      </c>
      <c r="T25" s="46">
        <v>10.199999999999999</v>
      </c>
      <c r="U25" s="46">
        <v>10.199999999999999</v>
      </c>
      <c r="V25" s="46">
        <v>11.5</v>
      </c>
      <c r="W25" s="46">
        <v>11.5</v>
      </c>
      <c r="X25" s="46">
        <v>11.5</v>
      </c>
      <c r="Y25" s="46">
        <v>11.5</v>
      </c>
      <c r="Z25" s="46">
        <v>11.5</v>
      </c>
      <c r="AA25" s="46">
        <v>11.5</v>
      </c>
      <c r="AB25" s="46"/>
      <c r="AC25" s="46"/>
      <c r="AD25" s="46">
        <v>11.5</v>
      </c>
      <c r="AE25" s="46">
        <v>11.5</v>
      </c>
      <c r="AF25" s="46">
        <v>11.5</v>
      </c>
      <c r="AG25" s="60">
        <v>30</v>
      </c>
      <c r="AH25" s="48">
        <f t="shared" si="8"/>
        <v>11.5</v>
      </c>
      <c r="AI25" s="49">
        <f t="shared" si="9"/>
        <v>7.5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24.1</v>
      </c>
      <c r="C26" s="46">
        <v>18.8</v>
      </c>
      <c r="D26" s="46">
        <v>17.2</v>
      </c>
      <c r="E26" s="46">
        <v>17.2</v>
      </c>
      <c r="F26" s="46">
        <v>17.2</v>
      </c>
      <c r="G26" s="46">
        <v>17.2</v>
      </c>
      <c r="H26" s="46">
        <v>17.2</v>
      </c>
      <c r="I26" s="46">
        <v>17.2</v>
      </c>
      <c r="J26" s="46">
        <v>17.2</v>
      </c>
      <c r="K26" s="46">
        <v>17.2</v>
      </c>
      <c r="L26" s="46">
        <v>17.2</v>
      </c>
      <c r="M26" s="46">
        <v>17.2</v>
      </c>
      <c r="N26" s="46">
        <v>17.2</v>
      </c>
      <c r="O26" s="46">
        <v>17.2</v>
      </c>
      <c r="P26" s="46">
        <v>17.2</v>
      </c>
      <c r="Q26" s="46">
        <v>17.2</v>
      </c>
      <c r="R26" s="46">
        <v>17.2</v>
      </c>
      <c r="S26" s="46">
        <v>11.7</v>
      </c>
      <c r="T26" s="46">
        <v>11.7</v>
      </c>
      <c r="U26" s="46">
        <v>11.7</v>
      </c>
      <c r="V26" s="46">
        <v>13</v>
      </c>
      <c r="W26" s="46">
        <v>13</v>
      </c>
      <c r="X26" s="46">
        <v>13</v>
      </c>
      <c r="Y26" s="46">
        <v>13</v>
      </c>
      <c r="Z26" s="46">
        <v>13</v>
      </c>
      <c r="AA26" s="46">
        <v>13</v>
      </c>
      <c r="AB26" s="46"/>
      <c r="AC26" s="46"/>
      <c r="AD26" s="46">
        <v>13</v>
      </c>
      <c r="AE26" s="46">
        <v>13</v>
      </c>
      <c r="AF26" s="46">
        <v>13</v>
      </c>
      <c r="AG26" s="50">
        <v>25</v>
      </c>
      <c r="AH26" s="48">
        <f t="shared" si="8"/>
        <v>24.1</v>
      </c>
      <c r="AI26" s="49">
        <f t="shared" si="9"/>
        <v>11.7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5</v>
      </c>
      <c r="N27" s="46">
        <v>5</v>
      </c>
      <c r="O27" s="46">
        <v>5</v>
      </c>
      <c r="P27" s="46">
        <v>5</v>
      </c>
      <c r="Q27" s="46">
        <v>5</v>
      </c>
      <c r="R27" s="46">
        <v>5</v>
      </c>
      <c r="S27" s="46">
        <v>5</v>
      </c>
      <c r="T27" s="46">
        <v>5</v>
      </c>
      <c r="U27" s="46">
        <v>5</v>
      </c>
      <c r="V27" s="46">
        <v>5</v>
      </c>
      <c r="W27" s="46">
        <v>5</v>
      </c>
      <c r="X27" s="46">
        <v>5</v>
      </c>
      <c r="Y27" s="46">
        <v>5</v>
      </c>
      <c r="Z27" s="46">
        <v>5</v>
      </c>
      <c r="AA27" s="46">
        <v>5</v>
      </c>
      <c r="AB27" s="46"/>
      <c r="AC27" s="46"/>
      <c r="AD27" s="46">
        <v>5</v>
      </c>
      <c r="AE27" s="46">
        <v>5</v>
      </c>
      <c r="AF27" s="46">
        <v>5</v>
      </c>
      <c r="AG27" s="50">
        <v>25</v>
      </c>
      <c r="AH27" s="48">
        <f t="shared" si="8"/>
        <v>5</v>
      </c>
      <c r="AI27" s="49">
        <f t="shared" si="9"/>
        <v>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0</v>
      </c>
      <c r="C28" s="46">
        <v>0</v>
      </c>
      <c r="D28" s="46">
        <v>0</v>
      </c>
      <c r="E28" s="46">
        <v>0</v>
      </c>
      <c r="F28" s="46">
        <v>0</v>
      </c>
      <c r="G28" s="46">
        <v>0</v>
      </c>
      <c r="H28" s="46">
        <v>0</v>
      </c>
      <c r="I28" s="46">
        <v>0</v>
      </c>
      <c r="J28" s="46">
        <v>0</v>
      </c>
      <c r="K28" s="46">
        <v>0</v>
      </c>
      <c r="L28" s="46">
        <v>0</v>
      </c>
      <c r="M28" s="46">
        <v>0</v>
      </c>
      <c r="N28" s="46">
        <v>0</v>
      </c>
      <c r="O28" s="46">
        <v>0</v>
      </c>
      <c r="P28" s="46">
        <v>0</v>
      </c>
      <c r="Q28" s="46">
        <v>0</v>
      </c>
      <c r="R28" s="46">
        <v>0</v>
      </c>
      <c r="S28" s="46">
        <v>10</v>
      </c>
      <c r="T28" s="46">
        <v>10</v>
      </c>
      <c r="U28" s="46">
        <v>10</v>
      </c>
      <c r="V28" s="46">
        <v>10</v>
      </c>
      <c r="W28" s="46">
        <v>10</v>
      </c>
      <c r="X28" s="46">
        <v>10</v>
      </c>
      <c r="Y28" s="46">
        <v>10</v>
      </c>
      <c r="Z28" s="46">
        <v>10</v>
      </c>
      <c r="AA28" s="46">
        <v>10</v>
      </c>
      <c r="AB28" s="46" t="s">
        <v>317</v>
      </c>
      <c r="AC28" s="46" t="s">
        <v>317</v>
      </c>
      <c r="AD28" s="46">
        <v>10</v>
      </c>
      <c r="AE28" s="46">
        <v>10</v>
      </c>
      <c r="AF28" s="46">
        <v>10</v>
      </c>
      <c r="AG28" s="50">
        <v>25</v>
      </c>
      <c r="AH28" s="48">
        <f t="shared" si="8"/>
        <v>10</v>
      </c>
      <c r="AI28" s="49">
        <f t="shared" si="9"/>
        <v>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8.1999999999999993</v>
      </c>
      <c r="C29" s="46">
        <v>8.1999999999999993</v>
      </c>
      <c r="D29" s="46">
        <v>8.1999999999999993</v>
      </c>
      <c r="E29" s="46">
        <v>8.1999999999999993</v>
      </c>
      <c r="F29" s="46">
        <v>8.1999999999999993</v>
      </c>
      <c r="G29" s="46">
        <v>8.1999999999999993</v>
      </c>
      <c r="H29" s="46">
        <v>8.1999999999999993</v>
      </c>
      <c r="I29" s="46">
        <v>8.1999999999999993</v>
      </c>
      <c r="J29" s="46">
        <v>8.1999999999999993</v>
      </c>
      <c r="K29" s="46">
        <v>8.1999999999999993</v>
      </c>
      <c r="L29" s="46">
        <v>8.1999999999999993</v>
      </c>
      <c r="M29" s="46">
        <v>8.1999999999999993</v>
      </c>
      <c r="N29" s="46">
        <v>8.1999999999999993</v>
      </c>
      <c r="O29" s="46">
        <v>8.1999999999999993</v>
      </c>
      <c r="P29" s="46">
        <v>8.1999999999999993</v>
      </c>
      <c r="Q29" s="46">
        <v>8.1999999999999993</v>
      </c>
      <c r="R29" s="46">
        <v>8.1999999999999993</v>
      </c>
      <c r="S29" s="46">
        <v>8.1999999999999993</v>
      </c>
      <c r="T29" s="46">
        <v>8.1999999999999993</v>
      </c>
      <c r="U29" s="46">
        <v>8.1999999999999993</v>
      </c>
      <c r="V29" s="46">
        <v>13.7</v>
      </c>
      <c r="W29" s="46">
        <v>13.7</v>
      </c>
      <c r="X29" s="46">
        <v>13.7</v>
      </c>
      <c r="Y29" s="46">
        <v>13.7</v>
      </c>
      <c r="Z29" s="46">
        <v>13.7</v>
      </c>
      <c r="AA29" s="46">
        <v>13.7</v>
      </c>
      <c r="AB29" s="46" t="s">
        <v>318</v>
      </c>
      <c r="AC29" s="46" t="s">
        <v>318</v>
      </c>
      <c r="AD29" s="46">
        <v>13.7</v>
      </c>
      <c r="AE29" s="46">
        <v>13.7</v>
      </c>
      <c r="AF29" s="46">
        <v>13.7</v>
      </c>
      <c r="AG29" s="50">
        <v>25</v>
      </c>
      <c r="AH29" s="48">
        <f t="shared" si="8"/>
        <v>13.7</v>
      </c>
      <c r="AI29" s="49">
        <f t="shared" si="9"/>
        <v>8.1999999999999993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7.9</v>
      </c>
      <c r="C30" s="46">
        <v>7.9</v>
      </c>
      <c r="D30" s="46">
        <v>7.9</v>
      </c>
      <c r="E30" s="46">
        <v>7.9</v>
      </c>
      <c r="F30" s="46">
        <v>7.9</v>
      </c>
      <c r="G30" s="46">
        <v>7.9</v>
      </c>
      <c r="H30" s="46">
        <v>7.9</v>
      </c>
      <c r="I30" s="46">
        <v>7.9</v>
      </c>
      <c r="J30" s="46">
        <v>7.9</v>
      </c>
      <c r="K30" s="46">
        <v>7.9</v>
      </c>
      <c r="L30" s="46">
        <v>7.9</v>
      </c>
      <c r="M30" s="46">
        <v>7.9</v>
      </c>
      <c r="N30" s="46">
        <v>7.9</v>
      </c>
      <c r="O30" s="46">
        <v>7.9</v>
      </c>
      <c r="P30" s="46">
        <v>7.9</v>
      </c>
      <c r="Q30" s="46">
        <v>7.9</v>
      </c>
      <c r="R30" s="46">
        <v>7.9</v>
      </c>
      <c r="S30" s="46">
        <v>10</v>
      </c>
      <c r="T30" s="46">
        <v>10</v>
      </c>
      <c r="U30" s="46">
        <v>10</v>
      </c>
      <c r="V30" s="46">
        <v>10</v>
      </c>
      <c r="W30" s="46">
        <v>10</v>
      </c>
      <c r="X30" s="46">
        <v>10</v>
      </c>
      <c r="Y30" s="46">
        <v>10</v>
      </c>
      <c r="Z30" s="46">
        <v>10</v>
      </c>
      <c r="AA30" s="46">
        <v>10</v>
      </c>
      <c r="AB30" s="46" t="s">
        <v>319</v>
      </c>
      <c r="AC30" s="46" t="s">
        <v>319</v>
      </c>
      <c r="AD30" s="46">
        <v>10</v>
      </c>
      <c r="AE30" s="46">
        <v>10</v>
      </c>
      <c r="AF30" s="46">
        <v>10</v>
      </c>
      <c r="AG30" s="50">
        <v>23.5</v>
      </c>
      <c r="AH30" s="48">
        <f t="shared" si="8"/>
        <v>10</v>
      </c>
      <c r="AI30" s="49">
        <f t="shared" si="9"/>
        <v>7.9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>
        <v>3</v>
      </c>
      <c r="V31" s="46">
        <v>3</v>
      </c>
      <c r="W31" s="46">
        <v>3</v>
      </c>
      <c r="X31" s="46">
        <v>3</v>
      </c>
      <c r="Y31" s="46">
        <v>3</v>
      </c>
      <c r="Z31" s="46">
        <v>3</v>
      </c>
      <c r="AA31" s="46">
        <v>3</v>
      </c>
      <c r="AB31" s="46" t="s">
        <v>318</v>
      </c>
      <c r="AC31" s="46" t="s">
        <v>318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8"/>
        <v>3</v>
      </c>
      <c r="AI31" s="49">
        <f t="shared" si="9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5.5</v>
      </c>
      <c r="Q32" s="46">
        <v>5.5</v>
      </c>
      <c r="R32" s="46">
        <v>5.5</v>
      </c>
      <c r="S32" s="46">
        <v>5.5</v>
      </c>
      <c r="T32" s="46">
        <v>5.5</v>
      </c>
      <c r="U32" s="46">
        <v>5.5</v>
      </c>
      <c r="V32" s="46">
        <v>5.5</v>
      </c>
      <c r="W32" s="46">
        <v>5.5</v>
      </c>
      <c r="X32" s="46">
        <v>5.5</v>
      </c>
      <c r="Y32" s="46">
        <v>5.5</v>
      </c>
      <c r="Z32" s="46">
        <v>5.5</v>
      </c>
      <c r="AA32" s="46">
        <v>5.5</v>
      </c>
      <c r="AB32" s="46"/>
      <c r="AC32" s="46"/>
      <c r="AD32" s="46">
        <v>5.5</v>
      </c>
      <c r="AE32" s="46">
        <v>5.5</v>
      </c>
      <c r="AF32" s="46">
        <v>5.5</v>
      </c>
      <c r="AG32" s="50">
        <v>22.1</v>
      </c>
      <c r="AH32" s="48">
        <f t="shared" si="8"/>
        <v>5.5</v>
      </c>
      <c r="AI32" s="49">
        <f t="shared" si="9"/>
        <v>5.5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8</v>
      </c>
      <c r="C33" s="46">
        <v>8</v>
      </c>
      <c r="D33" s="46">
        <v>8</v>
      </c>
      <c r="E33" s="46">
        <v>8</v>
      </c>
      <c r="F33" s="46">
        <v>8</v>
      </c>
      <c r="G33" s="46">
        <v>8</v>
      </c>
      <c r="H33" s="46">
        <v>8</v>
      </c>
      <c r="I33" s="46">
        <v>8</v>
      </c>
      <c r="J33" s="46">
        <v>8</v>
      </c>
      <c r="K33" s="46">
        <v>8</v>
      </c>
      <c r="L33" s="46">
        <v>8</v>
      </c>
      <c r="M33" s="46">
        <v>8</v>
      </c>
      <c r="N33" s="46">
        <v>8</v>
      </c>
      <c r="O33" s="46">
        <v>8</v>
      </c>
      <c r="P33" s="46">
        <v>8</v>
      </c>
      <c r="Q33" s="46">
        <v>8</v>
      </c>
      <c r="R33" s="46">
        <v>8</v>
      </c>
      <c r="S33" s="46">
        <v>8</v>
      </c>
      <c r="T33" s="46">
        <v>8</v>
      </c>
      <c r="U33" s="46">
        <v>8</v>
      </c>
      <c r="V33" s="46">
        <v>8</v>
      </c>
      <c r="W33" s="46">
        <v>8</v>
      </c>
      <c r="X33" s="46">
        <v>8</v>
      </c>
      <c r="Y33" s="46">
        <v>8</v>
      </c>
      <c r="Z33" s="46">
        <v>8</v>
      </c>
      <c r="AA33" s="46">
        <v>8</v>
      </c>
      <c r="AB33" s="46" t="s">
        <v>320</v>
      </c>
      <c r="AC33" s="46" t="s">
        <v>320</v>
      </c>
      <c r="AD33" s="46">
        <v>8</v>
      </c>
      <c r="AE33" s="46">
        <v>8</v>
      </c>
      <c r="AF33" s="46">
        <v>8</v>
      </c>
      <c r="AG33" s="50">
        <v>22</v>
      </c>
      <c r="AH33" s="48">
        <f t="shared" si="8"/>
        <v>8</v>
      </c>
      <c r="AI33" s="49">
        <f t="shared" si="9"/>
        <v>8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13.5</v>
      </c>
      <c r="C34" s="46">
        <v>12.7</v>
      </c>
      <c r="D34" s="46">
        <v>12.2</v>
      </c>
      <c r="E34" s="46">
        <v>0</v>
      </c>
      <c r="F34" s="46">
        <v>12</v>
      </c>
      <c r="G34" s="46">
        <v>12</v>
      </c>
      <c r="H34" s="46">
        <v>12</v>
      </c>
      <c r="I34" s="46">
        <v>12</v>
      </c>
      <c r="J34" s="46">
        <v>12</v>
      </c>
      <c r="K34" s="46">
        <v>12</v>
      </c>
      <c r="L34" s="46">
        <v>12</v>
      </c>
      <c r="M34" s="46">
        <v>12</v>
      </c>
      <c r="N34" s="46">
        <v>12</v>
      </c>
      <c r="O34" s="46">
        <v>12</v>
      </c>
      <c r="P34" s="46">
        <v>12</v>
      </c>
      <c r="Q34" s="46">
        <v>12</v>
      </c>
      <c r="R34" s="46">
        <v>12</v>
      </c>
      <c r="S34" s="46">
        <v>12</v>
      </c>
      <c r="T34" s="46">
        <v>12</v>
      </c>
      <c r="U34" s="46">
        <v>12</v>
      </c>
      <c r="V34" s="46">
        <v>12</v>
      </c>
      <c r="W34" s="46">
        <v>12</v>
      </c>
      <c r="X34" s="46">
        <v>12</v>
      </c>
      <c r="Y34" s="46">
        <v>12</v>
      </c>
      <c r="Z34" s="46">
        <v>12</v>
      </c>
      <c r="AA34" s="46">
        <v>12</v>
      </c>
      <c r="AB34" s="46" t="s">
        <v>321</v>
      </c>
      <c r="AC34" s="46" t="s">
        <v>321</v>
      </c>
      <c r="AD34" s="46">
        <v>12</v>
      </c>
      <c r="AE34" s="46">
        <v>12</v>
      </c>
      <c r="AF34" s="46">
        <v>12</v>
      </c>
      <c r="AG34" s="50">
        <v>22</v>
      </c>
      <c r="AH34" s="48">
        <f t="shared" si="8"/>
        <v>13.5</v>
      </c>
      <c r="AI34" s="49">
        <f t="shared" si="9"/>
        <v>0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 t="s">
        <v>318</v>
      </c>
      <c r="AC35" s="46" t="s">
        <v>318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8"/>
        <v>4</v>
      </c>
      <c r="AI35" s="49">
        <f t="shared" si="9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>
        <v>4</v>
      </c>
      <c r="V36" s="46">
        <v>4</v>
      </c>
      <c r="W36" s="46">
        <v>4</v>
      </c>
      <c r="X36" s="46">
        <v>4</v>
      </c>
      <c r="Y36" s="46">
        <v>4</v>
      </c>
      <c r="Z36" s="46">
        <v>4</v>
      </c>
      <c r="AA36" s="46">
        <v>4</v>
      </c>
      <c r="AB36" s="46" t="s">
        <v>322</v>
      </c>
      <c r="AC36" s="46" t="s">
        <v>322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8"/>
        <v>4</v>
      </c>
      <c r="AI36" s="49">
        <f t="shared" si="9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>
        <v>5.7</v>
      </c>
      <c r="V37" s="46">
        <v>5.7</v>
      </c>
      <c r="W37" s="46">
        <v>5.7</v>
      </c>
      <c r="X37" s="46">
        <v>5.7</v>
      </c>
      <c r="Y37" s="46">
        <v>5.7</v>
      </c>
      <c r="Z37" s="46">
        <v>5.7</v>
      </c>
      <c r="AA37" s="46">
        <v>5.7</v>
      </c>
      <c r="AB37" s="46" t="s">
        <v>323</v>
      </c>
      <c r="AC37" s="46" t="s">
        <v>323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8"/>
        <v>5.7</v>
      </c>
      <c r="AI37" s="49">
        <f t="shared" si="9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7.2</v>
      </c>
      <c r="Q38" s="46">
        <v>7.2</v>
      </c>
      <c r="R38" s="46">
        <v>7.2</v>
      </c>
      <c r="S38" s="46">
        <v>7.2</v>
      </c>
      <c r="T38" s="46">
        <v>7.2</v>
      </c>
      <c r="U38" s="46">
        <v>7.2</v>
      </c>
      <c r="V38" s="46">
        <v>7.2</v>
      </c>
      <c r="W38" s="46">
        <v>7.2</v>
      </c>
      <c r="X38" s="46">
        <v>7.2</v>
      </c>
      <c r="Y38" s="46">
        <v>7.2</v>
      </c>
      <c r="Z38" s="46">
        <v>7.2</v>
      </c>
      <c r="AA38" s="46">
        <v>7.2</v>
      </c>
      <c r="AB38" s="46" t="s">
        <v>324</v>
      </c>
      <c r="AC38" s="46" t="s">
        <v>324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8"/>
        <v>7.2</v>
      </c>
      <c r="AI38" s="49">
        <f t="shared" si="9"/>
        <v>7.2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 t="s">
        <v>325</v>
      </c>
      <c r="AC39" s="46" t="s">
        <v>325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8</v>
      </c>
      <c r="C40" s="46">
        <v>8</v>
      </c>
      <c r="D40" s="46">
        <v>8</v>
      </c>
      <c r="E40" s="46">
        <v>8</v>
      </c>
      <c r="F40" s="46">
        <v>8</v>
      </c>
      <c r="G40" s="46">
        <v>8</v>
      </c>
      <c r="H40" s="46">
        <v>8</v>
      </c>
      <c r="I40" s="46">
        <v>8</v>
      </c>
      <c r="J40" s="46">
        <v>8</v>
      </c>
      <c r="K40" s="46">
        <v>8</v>
      </c>
      <c r="L40" s="46">
        <v>8</v>
      </c>
      <c r="M40" s="46">
        <v>8</v>
      </c>
      <c r="N40" s="46">
        <v>8</v>
      </c>
      <c r="O40" s="46">
        <v>8</v>
      </c>
      <c r="P40" s="46">
        <v>8</v>
      </c>
      <c r="Q40" s="46">
        <v>8</v>
      </c>
      <c r="R40" s="46">
        <v>8</v>
      </c>
      <c r="S40" s="46">
        <v>8</v>
      </c>
      <c r="T40" s="46">
        <v>8</v>
      </c>
      <c r="U40" s="46">
        <v>8</v>
      </c>
      <c r="V40" s="46">
        <v>8</v>
      </c>
      <c r="W40" s="46">
        <v>8</v>
      </c>
      <c r="X40" s="46">
        <v>8</v>
      </c>
      <c r="Y40" s="46">
        <v>8</v>
      </c>
      <c r="Z40" s="46">
        <v>8</v>
      </c>
      <c r="AA40" s="46">
        <v>8</v>
      </c>
      <c r="AB40" s="46" t="s">
        <v>319</v>
      </c>
      <c r="AC40" s="46" t="s">
        <v>319</v>
      </c>
      <c r="AD40" s="46">
        <v>8</v>
      </c>
      <c r="AE40" s="46">
        <v>8</v>
      </c>
      <c r="AF40" s="46">
        <v>8</v>
      </c>
      <c r="AG40" s="50">
        <v>14.9</v>
      </c>
      <c r="AH40" s="48">
        <f t="shared" si="8"/>
        <v>8</v>
      </c>
      <c r="AI40" s="49">
        <f t="shared" si="9"/>
        <v>8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/>
      <c r="AC41" s="46"/>
      <c r="AD41" s="46">
        <v>4</v>
      </c>
      <c r="AE41" s="46">
        <v>4</v>
      </c>
      <c r="AF41" s="46">
        <v>4</v>
      </c>
      <c r="AG41" s="50">
        <v>14.9</v>
      </c>
      <c r="AH41" s="48">
        <f t="shared" si="8"/>
        <v>4</v>
      </c>
      <c r="AI41" s="49">
        <f t="shared" si="9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>
        <v>1.8</v>
      </c>
      <c r="V42" s="46">
        <v>1.8</v>
      </c>
      <c r="W42" s="46">
        <v>1.8</v>
      </c>
      <c r="X42" s="46">
        <v>1.8</v>
      </c>
      <c r="Y42" s="46">
        <v>1.8</v>
      </c>
      <c r="Z42" s="46">
        <v>1.8</v>
      </c>
      <c r="AA42" s="46">
        <v>1.8</v>
      </c>
      <c r="AB42" s="46"/>
      <c r="AC42" s="46"/>
      <c r="AD42" s="46">
        <v>1.8</v>
      </c>
      <c r="AE42" s="46">
        <v>1.8</v>
      </c>
      <c r="AF42" s="46">
        <v>1.8</v>
      </c>
      <c r="AG42" s="50">
        <v>13.6</v>
      </c>
      <c r="AH42" s="48">
        <f t="shared" si="8"/>
        <v>1.8</v>
      </c>
      <c r="AI42" s="49">
        <f t="shared" si="9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>
        <v>3.8</v>
      </c>
      <c r="V43" s="46">
        <v>3.8</v>
      </c>
      <c r="W43" s="46">
        <v>3.8</v>
      </c>
      <c r="X43" s="46">
        <v>3.8</v>
      </c>
      <c r="Y43" s="46">
        <v>3.8</v>
      </c>
      <c r="Z43" s="46">
        <v>3.8</v>
      </c>
      <c r="AA43" s="46">
        <v>3.8</v>
      </c>
      <c r="AB43" s="46"/>
      <c r="AC43" s="46"/>
      <c r="AD43" s="46">
        <v>3.8</v>
      </c>
      <c r="AE43" s="46">
        <v>3.8</v>
      </c>
      <c r="AF43" s="46">
        <v>3.8</v>
      </c>
      <c r="AG43" s="50">
        <v>13</v>
      </c>
      <c r="AH43" s="48">
        <f t="shared" si="8"/>
        <v>3.8</v>
      </c>
      <c r="AI43" s="49">
        <f t="shared" si="9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0</v>
      </c>
      <c r="C44" s="46">
        <v>0</v>
      </c>
      <c r="D44" s="46">
        <v>0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v>0</v>
      </c>
      <c r="O44" s="46">
        <v>0</v>
      </c>
      <c r="P44" s="46">
        <v>0</v>
      </c>
      <c r="Q44" s="46">
        <v>0</v>
      </c>
      <c r="R44" s="46">
        <v>0</v>
      </c>
      <c r="S44" s="46">
        <v>0</v>
      </c>
      <c r="T44" s="46">
        <v>0</v>
      </c>
      <c r="U44" s="46">
        <v>0</v>
      </c>
      <c r="V44" s="46">
        <v>0</v>
      </c>
      <c r="W44" s="46">
        <v>0</v>
      </c>
      <c r="X44" s="46">
        <v>0</v>
      </c>
      <c r="Y44" s="46">
        <v>0</v>
      </c>
      <c r="Z44" s="46">
        <v>0</v>
      </c>
      <c r="AA44" s="46">
        <v>0</v>
      </c>
      <c r="AB44" s="46"/>
      <c r="AC44" s="46"/>
      <c r="AD44" s="46">
        <v>0</v>
      </c>
      <c r="AE44" s="46">
        <v>0</v>
      </c>
      <c r="AF44" s="46">
        <v>0</v>
      </c>
      <c r="AG44" s="50">
        <v>12</v>
      </c>
      <c r="AH44" s="48">
        <f t="shared" si="8"/>
        <v>0</v>
      </c>
      <c r="AI44" s="49">
        <f t="shared" si="9"/>
        <v>0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>
        <v>9</v>
      </c>
      <c r="V45" s="46">
        <v>9</v>
      </c>
      <c r="W45" s="46">
        <v>9</v>
      </c>
      <c r="X45" s="46">
        <v>9</v>
      </c>
      <c r="Y45" s="46">
        <v>9</v>
      </c>
      <c r="Z45" s="46">
        <v>9</v>
      </c>
      <c r="AA45" s="46">
        <v>9</v>
      </c>
      <c r="AB45" s="46"/>
      <c r="AC45" s="46"/>
      <c r="AD45" s="46">
        <v>9</v>
      </c>
      <c r="AE45" s="46">
        <v>9</v>
      </c>
      <c r="AF45" s="46">
        <v>9</v>
      </c>
      <c r="AG45" s="50">
        <v>12</v>
      </c>
      <c r="AH45" s="48">
        <f t="shared" si="8"/>
        <v>9</v>
      </c>
      <c r="AI45" s="49">
        <f t="shared" si="9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/>
      <c r="AC46" s="46"/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>
        <v>3.5</v>
      </c>
      <c r="V47" s="46">
        <v>3.5</v>
      </c>
      <c r="W47" s="46">
        <v>3.5</v>
      </c>
      <c r="X47" s="46">
        <v>3.5</v>
      </c>
      <c r="Y47" s="46">
        <v>3.5</v>
      </c>
      <c r="Z47" s="46">
        <v>3.5</v>
      </c>
      <c r="AA47" s="46">
        <v>3.5</v>
      </c>
      <c r="AB47" s="46"/>
      <c r="AC47" s="46"/>
      <c r="AD47" s="46">
        <v>3.5</v>
      </c>
      <c r="AE47" s="46">
        <v>3.5</v>
      </c>
      <c r="AF47" s="46">
        <v>3.5</v>
      </c>
      <c r="AG47" s="63">
        <v>22</v>
      </c>
      <c r="AH47" s="48">
        <f t="shared" si="8"/>
        <v>3.5</v>
      </c>
      <c r="AI47" s="49">
        <f t="shared" si="9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>
        <v>5</v>
      </c>
      <c r="V48" s="46">
        <v>5</v>
      </c>
      <c r="W48" s="46">
        <v>5</v>
      </c>
      <c r="X48" s="46">
        <v>5</v>
      </c>
      <c r="Y48" s="46">
        <v>5</v>
      </c>
      <c r="Z48" s="46">
        <v>5</v>
      </c>
      <c r="AA48" s="46">
        <v>5</v>
      </c>
      <c r="AB48" s="46"/>
      <c r="AC48" s="46"/>
      <c r="AD48" s="46">
        <v>5</v>
      </c>
      <c r="AE48" s="46">
        <v>5</v>
      </c>
      <c r="AF48" s="46">
        <v>5</v>
      </c>
      <c r="AG48" s="60">
        <v>11.88</v>
      </c>
      <c r="AH48" s="48">
        <f t="shared" si="8"/>
        <v>5</v>
      </c>
      <c r="AI48" s="49">
        <f t="shared" si="9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/>
      <c r="AC49" s="46"/>
      <c r="AD49" s="46">
        <v>3</v>
      </c>
      <c r="AE49" s="46">
        <v>3</v>
      </c>
      <c r="AF49" s="46">
        <v>3</v>
      </c>
      <c r="AG49" s="65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4" t="s">
        <v>67</v>
      </c>
      <c r="B50" s="46">
        <v>2.4500000000000002</v>
      </c>
      <c r="C50" s="46">
        <v>2.4500000000000002</v>
      </c>
      <c r="D50" s="46">
        <v>2.4500000000000002</v>
      </c>
      <c r="E50" s="46">
        <v>2.4500000000000002</v>
      </c>
      <c r="F50" s="46">
        <v>2.4500000000000002</v>
      </c>
      <c r="G50" s="46">
        <v>2.4500000000000002</v>
      </c>
      <c r="H50" s="46">
        <v>2.4500000000000002</v>
      </c>
      <c r="I50" s="46">
        <v>2.4500000000000002</v>
      </c>
      <c r="J50" s="46">
        <v>2.4500000000000002</v>
      </c>
      <c r="K50" s="46">
        <v>2.4500000000000002</v>
      </c>
      <c r="L50" s="46">
        <v>2.4500000000000002</v>
      </c>
      <c r="M50" s="46">
        <v>2.4500000000000002</v>
      </c>
      <c r="N50" s="46">
        <v>2.4500000000000002</v>
      </c>
      <c r="O50" s="46">
        <v>2.4500000000000002</v>
      </c>
      <c r="P50" s="46">
        <v>2.4500000000000002</v>
      </c>
      <c r="Q50" s="46">
        <v>2.4500000000000002</v>
      </c>
      <c r="R50" s="46">
        <v>2.4500000000000002</v>
      </c>
      <c r="S50" s="46">
        <v>2.4500000000000002</v>
      </c>
      <c r="T50" s="46">
        <v>2.4500000000000002</v>
      </c>
      <c r="U50" s="46">
        <v>2.4500000000000002</v>
      </c>
      <c r="V50" s="46">
        <v>2.4500000000000002</v>
      </c>
      <c r="W50" s="46">
        <v>2.4500000000000002</v>
      </c>
      <c r="X50" s="46">
        <v>2.4500000000000002</v>
      </c>
      <c r="Y50" s="46">
        <v>2.4500000000000002</v>
      </c>
      <c r="Z50" s="46">
        <v>2.4500000000000002</v>
      </c>
      <c r="AA50" s="46">
        <v>2.4500000000000002</v>
      </c>
      <c r="AB50" s="46"/>
      <c r="AC50" s="46"/>
      <c r="AD50" s="46">
        <v>2.4500000000000002</v>
      </c>
      <c r="AE50" s="46">
        <v>2.4500000000000002</v>
      </c>
      <c r="AF50" s="46">
        <v>2.4500000000000002</v>
      </c>
      <c r="AG50" s="65">
        <v>11</v>
      </c>
      <c r="AH50" s="48">
        <f t="shared" si="8"/>
        <v>2.4500000000000002</v>
      </c>
      <c r="AI50" s="49">
        <f t="shared" si="9"/>
        <v>2.4500000000000002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/>
      <c r="AC51" s="46"/>
      <c r="AD51" s="46">
        <v>3</v>
      </c>
      <c r="AE51" s="46">
        <v>3</v>
      </c>
      <c r="AF51" s="46">
        <v>3</v>
      </c>
      <c r="AG51" s="65">
        <v>11</v>
      </c>
      <c r="AH51" s="48">
        <f t="shared" si="8"/>
        <v>3</v>
      </c>
      <c r="AI51" s="49">
        <f t="shared" si="9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/>
      <c r="AC52" s="46"/>
      <c r="AD52" s="46">
        <v>4</v>
      </c>
      <c r="AE52" s="46">
        <v>4</v>
      </c>
      <c r="AF52" s="46">
        <v>4</v>
      </c>
      <c r="AG52" s="65">
        <v>10</v>
      </c>
      <c r="AH52" s="48">
        <f t="shared" si="8"/>
        <v>4</v>
      </c>
      <c r="AI52" s="49">
        <f t="shared" si="9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>
        <v>4.5</v>
      </c>
      <c r="V53" s="46">
        <v>4.5</v>
      </c>
      <c r="W53" s="46">
        <v>4.5</v>
      </c>
      <c r="X53" s="46">
        <v>4.5</v>
      </c>
      <c r="Y53" s="46">
        <v>4.5</v>
      </c>
      <c r="Z53" s="46">
        <v>4.5</v>
      </c>
      <c r="AA53" s="46">
        <v>4.5</v>
      </c>
      <c r="AB53" s="46"/>
      <c r="AC53" s="46"/>
      <c r="AD53" s="46">
        <v>4.5</v>
      </c>
      <c r="AE53" s="46">
        <v>4.5</v>
      </c>
      <c r="AF53" s="46">
        <v>4.5</v>
      </c>
      <c r="AG53" s="65">
        <v>10</v>
      </c>
      <c r="AH53" s="48">
        <f t="shared" si="8"/>
        <v>4.5</v>
      </c>
      <c r="AI53" s="49">
        <f t="shared" si="9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/>
      <c r="AC54" s="46"/>
      <c r="AD54" s="46">
        <v>0</v>
      </c>
      <c r="AE54" s="46">
        <v>0</v>
      </c>
      <c r="AF54" s="46">
        <v>0</v>
      </c>
      <c r="AG54" s="65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/>
      <c r="AC55" s="46"/>
      <c r="AD55" s="46">
        <v>0</v>
      </c>
      <c r="AE55" s="46">
        <v>0</v>
      </c>
      <c r="AF55" s="46">
        <v>0</v>
      </c>
      <c r="AG55" s="65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>
        <v>150</v>
      </c>
      <c r="W56" s="67">
        <v>150</v>
      </c>
      <c r="X56" s="67">
        <v>150</v>
      </c>
      <c r="Y56" s="67">
        <v>150</v>
      </c>
      <c r="Z56" s="67">
        <v>150</v>
      </c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8" t="s">
        <v>74</v>
      </c>
      <c r="B57" s="67">
        <f>15.3+28.9</f>
        <v>44.2</v>
      </c>
      <c r="C57" s="67">
        <f>17.4+29.8</f>
        <v>47.2</v>
      </c>
      <c r="D57" s="67">
        <f>16.1+28.5</f>
        <v>44.6</v>
      </c>
      <c r="E57" s="67">
        <f>27+15.9</f>
        <v>42.9</v>
      </c>
      <c r="F57" s="67">
        <f>28.3+16.2</f>
        <v>44.5</v>
      </c>
      <c r="G57" s="67">
        <f>29+17</f>
        <v>46</v>
      </c>
      <c r="H57" s="67">
        <f>27.4+16.5</f>
        <v>43.9</v>
      </c>
      <c r="I57" s="67">
        <f>27.4+16.5</f>
        <v>43.9</v>
      </c>
      <c r="J57" s="67">
        <f>27.1+18.8</f>
        <v>45.900000000000006</v>
      </c>
      <c r="K57" s="53">
        <f>26.6+18.7</f>
        <v>45.3</v>
      </c>
      <c r="L57" s="53">
        <v>45.6</v>
      </c>
      <c r="M57" s="53">
        <v>45.6</v>
      </c>
      <c r="N57" s="53">
        <v>45.6</v>
      </c>
      <c r="O57" s="53">
        <v>45.6</v>
      </c>
      <c r="P57" s="53">
        <v>45.6</v>
      </c>
      <c r="Q57" s="53">
        <v>45</v>
      </c>
      <c r="R57" s="53">
        <v>45</v>
      </c>
      <c r="S57" s="53">
        <f>15.6+24.7</f>
        <v>40.299999999999997</v>
      </c>
      <c r="T57" s="53">
        <f>15.6+24.7</f>
        <v>40.299999999999997</v>
      </c>
      <c r="U57" s="53">
        <f>15.6+24.7</f>
        <v>40.299999999999997</v>
      </c>
      <c r="V57" s="53">
        <v>42</v>
      </c>
      <c r="W57" s="53">
        <v>42</v>
      </c>
      <c r="X57" s="53">
        <v>42</v>
      </c>
      <c r="Y57" s="53">
        <v>42</v>
      </c>
      <c r="Z57" s="53">
        <v>42</v>
      </c>
      <c r="AA57" s="53">
        <v>42</v>
      </c>
      <c r="AB57" s="67"/>
      <c r="AC57" s="67"/>
      <c r="AD57" s="67">
        <v>42</v>
      </c>
      <c r="AE57" s="67">
        <v>42</v>
      </c>
      <c r="AF57" s="67">
        <v>42</v>
      </c>
      <c r="AG57" s="65">
        <v>240</v>
      </c>
      <c r="AH57" s="48">
        <f t="shared" si="8"/>
        <v>47.2</v>
      </c>
      <c r="AI57" s="49">
        <f t="shared" si="9"/>
        <v>40.299999999999997</v>
      </c>
      <c r="AK57" s="51"/>
    </row>
    <row r="58" spans="1:88" ht="15.75" thickBot="1" x14ac:dyDescent="0.3">
      <c r="A58" s="69" t="s">
        <v>75</v>
      </c>
      <c r="B58" s="70">
        <f t="shared" ref="B58:C58" si="22">SUM(B11:B56)</f>
        <v>580.15</v>
      </c>
      <c r="C58" s="70">
        <f t="shared" si="22"/>
        <v>566.64999999999986</v>
      </c>
      <c r="D58" s="70">
        <f t="shared" ref="D58" si="23">SUM(D11:D56)</f>
        <v>565.84999999999991</v>
      </c>
      <c r="E58" s="70">
        <f t="shared" ref="E58:AE58" si="24">SUM(E11:E56)</f>
        <v>552.54999999999995</v>
      </c>
      <c r="F58" s="70">
        <f t="shared" si="24"/>
        <v>565.34999999999991</v>
      </c>
      <c r="G58" s="70">
        <f t="shared" si="24"/>
        <v>566.54999999999995</v>
      </c>
      <c r="H58" s="70">
        <f t="shared" si="24"/>
        <v>566.44999999999993</v>
      </c>
      <c r="I58" s="70">
        <f t="shared" si="24"/>
        <v>566.54999999999995</v>
      </c>
      <c r="J58" s="70">
        <f t="shared" si="24"/>
        <v>566.54999999999995</v>
      </c>
      <c r="K58" s="70">
        <f t="shared" si="24"/>
        <v>576.04999999999995</v>
      </c>
      <c r="L58" s="70">
        <f t="shared" si="24"/>
        <v>576.04999999999995</v>
      </c>
      <c r="M58" s="70">
        <f t="shared" si="24"/>
        <v>528.84999999999991</v>
      </c>
      <c r="N58" s="70">
        <f t="shared" ref="N58" si="25">SUM(N11:N56)</f>
        <v>537.84999999999991</v>
      </c>
      <c r="O58" s="70">
        <f t="shared" si="24"/>
        <v>531.75</v>
      </c>
      <c r="P58" s="70">
        <f t="shared" si="24"/>
        <v>527.65</v>
      </c>
      <c r="Q58" s="70">
        <f t="shared" si="24"/>
        <v>522.75</v>
      </c>
      <c r="R58" s="70">
        <f t="shared" si="24"/>
        <v>522.75</v>
      </c>
      <c r="S58" s="70">
        <f t="shared" si="24"/>
        <v>509.84999999999997</v>
      </c>
      <c r="T58" s="70">
        <f t="shared" si="24"/>
        <v>512.84999999999991</v>
      </c>
      <c r="U58" s="70">
        <f t="shared" si="24"/>
        <v>530.65</v>
      </c>
      <c r="V58" s="70">
        <f t="shared" si="24"/>
        <v>554.44999999999993</v>
      </c>
      <c r="W58" s="70">
        <f t="shared" si="24"/>
        <v>559.65</v>
      </c>
      <c r="X58" s="70">
        <f t="shared" si="24"/>
        <v>560.04999999999995</v>
      </c>
      <c r="Y58" s="70">
        <f t="shared" si="24"/>
        <v>571.04999999999995</v>
      </c>
      <c r="Z58" s="70">
        <f t="shared" si="24"/>
        <v>571.04999999999995</v>
      </c>
      <c r="AA58" s="70">
        <f t="shared" si="24"/>
        <v>541.95000000000005</v>
      </c>
      <c r="AB58" s="70">
        <f t="shared" si="24"/>
        <v>150</v>
      </c>
      <c r="AC58" s="70">
        <f t="shared" si="24"/>
        <v>150</v>
      </c>
      <c r="AD58" s="70">
        <v>541.95000000000005</v>
      </c>
      <c r="AE58" s="70">
        <f t="shared" si="24"/>
        <v>541.95000000000005</v>
      </c>
      <c r="AF58" s="70">
        <f t="shared" ref="AF58" si="26">SUM(AF11:AF56)</f>
        <v>541.95000000000005</v>
      </c>
      <c r="AG58" s="71">
        <f>SUM(AG14:AG56)</f>
        <v>1042.4000000000001</v>
      </c>
      <c r="AH58" s="48">
        <f t="shared" si="8"/>
        <v>580.15</v>
      </c>
      <c r="AI58" s="49">
        <f t="shared" si="9"/>
        <v>150</v>
      </c>
      <c r="AK58" s="51"/>
    </row>
    <row r="59" spans="1:88" x14ac:dyDescent="0.25">
      <c r="A59" s="72" t="s">
        <v>76</v>
      </c>
      <c r="B59" s="46">
        <v>50.3</v>
      </c>
      <c r="C59" s="46">
        <v>50.3</v>
      </c>
      <c r="D59" s="46">
        <v>15</v>
      </c>
      <c r="E59" s="46">
        <v>30</v>
      </c>
      <c r="F59" s="46">
        <v>30</v>
      </c>
      <c r="G59" s="46">
        <v>30</v>
      </c>
      <c r="H59" s="46">
        <v>50</v>
      </c>
      <c r="I59" s="46">
        <v>80</v>
      </c>
      <c r="J59" s="46">
        <v>60</v>
      </c>
      <c r="K59" s="46">
        <v>15</v>
      </c>
      <c r="L59" s="46">
        <v>30</v>
      </c>
      <c r="M59" s="46">
        <v>45.2</v>
      </c>
      <c r="N59" s="46">
        <v>122</v>
      </c>
      <c r="O59" s="73">
        <v>210</v>
      </c>
      <c r="P59" s="73">
        <v>40</v>
      </c>
      <c r="Q59" s="73">
        <v>80</v>
      </c>
      <c r="R59" s="73">
        <v>80</v>
      </c>
      <c r="S59" s="73">
        <v>80</v>
      </c>
      <c r="T59" s="73">
        <v>50</v>
      </c>
      <c r="U59" s="73">
        <v>30</v>
      </c>
      <c r="V59" s="73">
        <v>15</v>
      </c>
      <c r="W59" s="46">
        <v>15.1</v>
      </c>
      <c r="X59" s="46">
        <v>75</v>
      </c>
      <c r="Y59" s="46">
        <v>340</v>
      </c>
      <c r="Z59" s="46">
        <v>360</v>
      </c>
      <c r="AA59" s="46">
        <v>400</v>
      </c>
      <c r="AB59" s="46"/>
      <c r="AC59" s="46"/>
      <c r="AD59" s="46">
        <v>421</v>
      </c>
      <c r="AE59" s="46">
        <v>270</v>
      </c>
      <c r="AF59" s="46">
        <v>100</v>
      </c>
      <c r="AG59" s="60">
        <v>456</v>
      </c>
      <c r="AH59" s="48">
        <f t="shared" si="8"/>
        <v>421</v>
      </c>
      <c r="AI59" s="49">
        <f t="shared" si="9"/>
        <v>15</v>
      </c>
      <c r="AK59" s="51"/>
    </row>
    <row r="60" spans="1:88" x14ac:dyDescent="0.25">
      <c r="A60" s="74" t="s">
        <v>77</v>
      </c>
      <c r="B60" s="75">
        <v>24.7</v>
      </c>
      <c r="C60" s="75">
        <v>25.9</v>
      </c>
      <c r="D60" s="75">
        <v>28.5</v>
      </c>
      <c r="E60" s="75">
        <v>28</v>
      </c>
      <c r="F60" s="75">
        <v>28</v>
      </c>
      <c r="G60" s="75">
        <v>28</v>
      </c>
      <c r="H60" s="75">
        <v>28</v>
      </c>
      <c r="I60" s="75">
        <v>28</v>
      </c>
      <c r="J60" s="75">
        <v>28</v>
      </c>
      <c r="K60" s="75">
        <v>28</v>
      </c>
      <c r="L60" s="75">
        <v>28</v>
      </c>
      <c r="M60" s="75">
        <v>28</v>
      </c>
      <c r="N60" s="75">
        <v>28</v>
      </c>
      <c r="O60" s="75">
        <v>28</v>
      </c>
      <c r="P60" s="75">
        <v>28</v>
      </c>
      <c r="Q60" s="75">
        <v>27.4</v>
      </c>
      <c r="R60" s="75">
        <v>27.4</v>
      </c>
      <c r="S60" s="75">
        <v>26.8</v>
      </c>
      <c r="T60" s="75">
        <v>26.7</v>
      </c>
      <c r="U60" s="75">
        <v>25.4</v>
      </c>
      <c r="V60" s="75">
        <v>26</v>
      </c>
      <c r="W60" s="75">
        <v>23.7</v>
      </c>
      <c r="X60" s="75">
        <v>23.6</v>
      </c>
      <c r="Y60" s="75">
        <v>24.5</v>
      </c>
      <c r="Z60" s="75">
        <v>22.8</v>
      </c>
      <c r="AA60" s="75">
        <v>22.5</v>
      </c>
      <c r="AB60" s="75"/>
      <c r="AC60" s="75"/>
      <c r="AD60" s="75">
        <v>22.5</v>
      </c>
      <c r="AE60" s="75">
        <v>22.5</v>
      </c>
      <c r="AF60" s="75">
        <v>22.5</v>
      </c>
      <c r="AG60" s="65">
        <v>60</v>
      </c>
      <c r="AH60" s="48">
        <f t="shared" si="8"/>
        <v>28.5</v>
      </c>
      <c r="AI60" s="49">
        <f t="shared" si="9"/>
        <v>22.5</v>
      </c>
      <c r="AK60" s="51"/>
    </row>
    <row r="61" spans="1:88" ht="15.75" thickBot="1" x14ac:dyDescent="0.3">
      <c r="A61" s="76" t="s">
        <v>78</v>
      </c>
      <c r="B61" s="77">
        <v>22.2</v>
      </c>
      <c r="C61" s="77">
        <v>20</v>
      </c>
      <c r="D61" s="77">
        <v>20</v>
      </c>
      <c r="E61" s="77">
        <v>16.399999999999999</v>
      </c>
      <c r="F61" s="77">
        <v>16.5</v>
      </c>
      <c r="G61" s="77">
        <v>16.5</v>
      </c>
      <c r="H61" s="77">
        <v>16.5</v>
      </c>
      <c r="I61" s="77">
        <v>16.5</v>
      </c>
      <c r="J61" s="77">
        <v>16.5</v>
      </c>
      <c r="K61" s="77">
        <v>12.1</v>
      </c>
      <c r="L61" s="77">
        <v>12.2</v>
      </c>
      <c r="M61" s="77">
        <v>12.2</v>
      </c>
      <c r="N61" s="77">
        <v>12.2</v>
      </c>
      <c r="O61" s="77">
        <v>12.2</v>
      </c>
      <c r="P61" s="77">
        <v>14.2</v>
      </c>
      <c r="Q61" s="77">
        <v>14.2</v>
      </c>
      <c r="R61" s="77">
        <v>14.2</v>
      </c>
      <c r="S61" s="77">
        <v>14.2</v>
      </c>
      <c r="T61" s="77">
        <v>14.2</v>
      </c>
      <c r="U61" s="77">
        <v>14.2</v>
      </c>
      <c r="V61" s="77">
        <v>14.2</v>
      </c>
      <c r="W61" s="77">
        <v>16.100000000000001</v>
      </c>
      <c r="X61" s="77">
        <v>17.5</v>
      </c>
      <c r="Y61" s="77">
        <v>19.100000000000001</v>
      </c>
      <c r="Z61" s="77">
        <v>22.4</v>
      </c>
      <c r="AA61" s="77">
        <v>22.3</v>
      </c>
      <c r="AB61" s="77"/>
      <c r="AC61" s="77"/>
      <c r="AD61" s="77">
        <v>22.3</v>
      </c>
      <c r="AE61" s="77">
        <v>22.3</v>
      </c>
      <c r="AF61" s="77">
        <v>22.3</v>
      </c>
      <c r="AG61" s="78">
        <v>22.1</v>
      </c>
      <c r="AH61" s="48">
        <f t="shared" si="8"/>
        <v>22.4</v>
      </c>
      <c r="AI61" s="49">
        <f t="shared" si="9"/>
        <v>12.1</v>
      </c>
      <c r="AK61" s="51"/>
    </row>
    <row r="62" spans="1:88" ht="15.75" thickBot="1" x14ac:dyDescent="0.3">
      <c r="A62" s="79" t="s">
        <v>79</v>
      </c>
      <c r="B62" s="70">
        <f t="shared" ref="B62:C62" si="27">SUM(B59:B61)</f>
        <v>97.2</v>
      </c>
      <c r="C62" s="70">
        <f t="shared" si="27"/>
        <v>96.199999999999989</v>
      </c>
      <c r="D62" s="70">
        <f t="shared" ref="D62" si="28">SUM(D59:D61)</f>
        <v>63.5</v>
      </c>
      <c r="E62" s="70">
        <f t="shared" ref="E62:AG62" si="29">SUM(E59:E61)</f>
        <v>74.400000000000006</v>
      </c>
      <c r="F62" s="70">
        <f t="shared" si="29"/>
        <v>74.5</v>
      </c>
      <c r="G62" s="70">
        <f t="shared" si="29"/>
        <v>74.5</v>
      </c>
      <c r="H62" s="70">
        <f t="shared" si="29"/>
        <v>94.5</v>
      </c>
      <c r="I62" s="70">
        <f t="shared" si="29"/>
        <v>124.5</v>
      </c>
      <c r="J62" s="70">
        <f t="shared" si="29"/>
        <v>104.5</v>
      </c>
      <c r="K62" s="70">
        <f t="shared" si="29"/>
        <v>55.1</v>
      </c>
      <c r="L62" s="70">
        <f t="shared" si="29"/>
        <v>70.2</v>
      </c>
      <c r="M62" s="70">
        <f t="shared" si="29"/>
        <v>85.4</v>
      </c>
      <c r="N62" s="70">
        <f t="shared" ref="N62" si="30">SUM(N59:N61)</f>
        <v>162.19999999999999</v>
      </c>
      <c r="O62" s="70">
        <f t="shared" si="29"/>
        <v>250.2</v>
      </c>
      <c r="P62" s="70">
        <f t="shared" si="29"/>
        <v>82.2</v>
      </c>
      <c r="Q62" s="70">
        <f t="shared" si="29"/>
        <v>121.60000000000001</v>
      </c>
      <c r="R62" s="70">
        <f t="shared" si="29"/>
        <v>121.60000000000001</v>
      </c>
      <c r="S62" s="70">
        <f t="shared" si="29"/>
        <v>121</v>
      </c>
      <c r="T62" s="70">
        <f t="shared" si="29"/>
        <v>90.9</v>
      </c>
      <c r="U62" s="70">
        <f t="shared" si="29"/>
        <v>69.599999999999994</v>
      </c>
      <c r="V62" s="70">
        <f t="shared" si="29"/>
        <v>55.2</v>
      </c>
      <c r="W62" s="70">
        <f t="shared" si="29"/>
        <v>54.9</v>
      </c>
      <c r="X62" s="70">
        <f t="shared" si="29"/>
        <v>116.1</v>
      </c>
      <c r="Y62" s="70">
        <f t="shared" si="29"/>
        <v>383.6</v>
      </c>
      <c r="Z62" s="70">
        <f t="shared" si="29"/>
        <v>405.2</v>
      </c>
      <c r="AA62" s="70">
        <f t="shared" si="29"/>
        <v>444.8</v>
      </c>
      <c r="AB62" s="70">
        <f t="shared" si="29"/>
        <v>0</v>
      </c>
      <c r="AC62" s="70">
        <f t="shared" si="29"/>
        <v>0</v>
      </c>
      <c r="AD62" s="70">
        <v>444.8</v>
      </c>
      <c r="AE62" s="70">
        <f t="shared" si="29"/>
        <v>314.8</v>
      </c>
      <c r="AF62" s="70">
        <f t="shared" ref="AF62" si="31">SUM(AF59:AF61)</f>
        <v>144.80000000000001</v>
      </c>
      <c r="AG62" s="71">
        <f t="shared" si="29"/>
        <v>538.1</v>
      </c>
      <c r="AH62" s="48">
        <f t="shared" si="8"/>
        <v>444.8</v>
      </c>
      <c r="AI62" s="49">
        <f t="shared" si="9"/>
        <v>0</v>
      </c>
      <c r="AK62" s="51"/>
    </row>
    <row r="63" spans="1:88" x14ac:dyDescent="0.25">
      <c r="A63" s="45" t="s">
        <v>80</v>
      </c>
      <c r="B63" s="46">
        <v>101.2</v>
      </c>
      <c r="C63" s="46">
        <v>31.2</v>
      </c>
      <c r="D63" s="46">
        <v>41.9</v>
      </c>
      <c r="E63" s="46">
        <v>41.8</v>
      </c>
      <c r="F63" s="46">
        <v>41.6</v>
      </c>
      <c r="G63" s="46">
        <v>41.6</v>
      </c>
      <c r="H63" s="46">
        <v>45</v>
      </c>
      <c r="I63" s="46">
        <v>64</v>
      </c>
      <c r="J63" s="46">
        <v>74</v>
      </c>
      <c r="K63" s="46">
        <v>73.099999999999994</v>
      </c>
      <c r="L63" s="46">
        <v>73.3</v>
      </c>
      <c r="M63" s="46">
        <v>96.7</v>
      </c>
      <c r="N63" s="46">
        <v>96.7</v>
      </c>
      <c r="O63" s="46">
        <v>96.7</v>
      </c>
      <c r="P63" s="46">
        <v>68.400000000000006</v>
      </c>
      <c r="Q63" s="46">
        <v>71.3</v>
      </c>
      <c r="R63" s="46">
        <v>71.3</v>
      </c>
      <c r="S63" s="46">
        <v>95</v>
      </c>
      <c r="T63" s="46">
        <v>60</v>
      </c>
      <c r="U63" s="46">
        <v>60.8</v>
      </c>
      <c r="V63" s="46">
        <v>60.9</v>
      </c>
      <c r="W63" s="46">
        <v>61.1</v>
      </c>
      <c r="X63" s="46">
        <v>61.1</v>
      </c>
      <c r="Y63" s="46">
        <v>121.9</v>
      </c>
      <c r="Z63" s="46">
        <v>142</v>
      </c>
      <c r="AA63" s="46">
        <v>125.4</v>
      </c>
      <c r="AB63" s="46"/>
      <c r="AC63" s="46"/>
      <c r="AD63" s="46">
        <v>111</v>
      </c>
      <c r="AE63" s="46">
        <v>102</v>
      </c>
      <c r="AF63" s="46">
        <v>101</v>
      </c>
      <c r="AG63" s="60">
        <v>144</v>
      </c>
      <c r="AH63" s="48">
        <f t="shared" si="8"/>
        <v>142</v>
      </c>
      <c r="AI63" s="49">
        <f t="shared" si="9"/>
        <v>31.2</v>
      </c>
      <c r="AK63" s="51"/>
    </row>
    <row r="64" spans="1:88" x14ac:dyDescent="0.25">
      <c r="A64" s="64" t="s">
        <v>81</v>
      </c>
      <c r="B64" s="46">
        <v>71.7</v>
      </c>
      <c r="C64" s="46">
        <v>70.8</v>
      </c>
      <c r="D64" s="46">
        <v>70.3</v>
      </c>
      <c r="E64" s="75">
        <v>69.900000000000006</v>
      </c>
      <c r="F64" s="75">
        <v>70.3</v>
      </c>
      <c r="G64" s="75">
        <v>70.3</v>
      </c>
      <c r="H64" s="75">
        <v>71.8</v>
      </c>
      <c r="I64" s="75">
        <v>71.7</v>
      </c>
      <c r="J64" s="75">
        <v>71.7</v>
      </c>
      <c r="K64" s="75">
        <v>71.7</v>
      </c>
      <c r="L64" s="75">
        <v>25</v>
      </c>
      <c r="M64" s="75">
        <v>60</v>
      </c>
      <c r="N64" s="75">
        <v>60</v>
      </c>
      <c r="O64" s="75">
        <v>47</v>
      </c>
      <c r="P64" s="75">
        <v>34.799999999999997</v>
      </c>
      <c r="Q64" s="75">
        <v>34.799999999999997</v>
      </c>
      <c r="R64" s="75">
        <v>34.799999999999997</v>
      </c>
      <c r="S64" s="75">
        <v>34.799999999999997</v>
      </c>
      <c r="T64" s="75">
        <v>25.9</v>
      </c>
      <c r="U64" s="75">
        <v>25</v>
      </c>
      <c r="V64" s="75">
        <v>49</v>
      </c>
      <c r="W64" s="75">
        <v>56.7</v>
      </c>
      <c r="X64" s="46">
        <v>54.7</v>
      </c>
      <c r="Y64" s="46">
        <v>70</v>
      </c>
      <c r="Z64" s="46">
        <v>69.599999999999994</v>
      </c>
      <c r="AA64" s="46">
        <v>70.900000000000006</v>
      </c>
      <c r="AB64" s="46"/>
      <c r="AC64" s="46"/>
      <c r="AD64" s="46">
        <v>60</v>
      </c>
      <c r="AE64" s="46">
        <v>64</v>
      </c>
      <c r="AF64" s="46">
        <v>65.599999999999994</v>
      </c>
      <c r="AG64" s="65">
        <v>70</v>
      </c>
      <c r="AH64" s="48">
        <f t="shared" si="8"/>
        <v>71.8</v>
      </c>
      <c r="AI64" s="49">
        <f t="shared" si="9"/>
        <v>25</v>
      </c>
      <c r="AK64" s="51"/>
    </row>
    <row r="65" spans="1:75" x14ac:dyDescent="0.25">
      <c r="A65" s="64" t="s">
        <v>82</v>
      </c>
      <c r="B65" s="46">
        <v>32.200000000000003</v>
      </c>
      <c r="C65" s="46">
        <v>46.4</v>
      </c>
      <c r="D65" s="46">
        <v>69</v>
      </c>
      <c r="E65" s="75">
        <v>70.2</v>
      </c>
      <c r="F65" s="75">
        <v>70.3</v>
      </c>
      <c r="G65" s="75">
        <v>69.8</v>
      </c>
      <c r="H65" s="75">
        <v>70.599999999999994</v>
      </c>
      <c r="I65" s="75">
        <v>70</v>
      </c>
      <c r="J65" s="75">
        <v>70</v>
      </c>
      <c r="K65" s="75">
        <v>70</v>
      </c>
      <c r="L65" s="75">
        <v>70.599999999999994</v>
      </c>
      <c r="M65" s="75">
        <v>70</v>
      </c>
      <c r="N65" s="75">
        <v>70</v>
      </c>
      <c r="O65" s="75">
        <v>70</v>
      </c>
      <c r="P65" s="75">
        <v>70.400000000000006</v>
      </c>
      <c r="Q65" s="75">
        <v>70.2</v>
      </c>
      <c r="R65" s="75">
        <v>70.2</v>
      </c>
      <c r="S65" s="75">
        <v>70.2</v>
      </c>
      <c r="T65" s="75">
        <v>32.4</v>
      </c>
      <c r="U65" s="75">
        <v>39</v>
      </c>
      <c r="V65" s="75">
        <v>46</v>
      </c>
      <c r="W65" s="75">
        <v>33.1</v>
      </c>
      <c r="X65" s="46">
        <v>33</v>
      </c>
      <c r="Y65" s="46">
        <v>71.8</v>
      </c>
      <c r="Z65" s="46">
        <v>69.900000000000006</v>
      </c>
      <c r="AA65" s="46">
        <v>69.900000000000006</v>
      </c>
      <c r="AB65" s="46"/>
      <c r="AC65" s="46"/>
      <c r="AD65" s="46">
        <v>57</v>
      </c>
      <c r="AE65" s="46">
        <v>56.5</v>
      </c>
      <c r="AF65" s="46">
        <v>69</v>
      </c>
      <c r="AG65" s="65">
        <v>69</v>
      </c>
      <c r="AH65" s="48">
        <f t="shared" si="8"/>
        <v>71.8</v>
      </c>
      <c r="AI65" s="49">
        <f t="shared" si="9"/>
        <v>32.200000000000003</v>
      </c>
      <c r="AK65" s="51"/>
    </row>
    <row r="66" spans="1:75" x14ac:dyDescent="0.25">
      <c r="A66" s="64" t="s">
        <v>83</v>
      </c>
      <c r="B66" s="46">
        <v>60.9</v>
      </c>
      <c r="C66" s="46">
        <v>60.2</v>
      </c>
      <c r="D66" s="46">
        <v>55.4</v>
      </c>
      <c r="E66" s="75">
        <v>55.4</v>
      </c>
      <c r="F66" s="75">
        <v>55.2</v>
      </c>
      <c r="G66" s="75">
        <v>55.2</v>
      </c>
      <c r="H66" s="75">
        <v>55.2</v>
      </c>
      <c r="I66" s="75">
        <v>55.2</v>
      </c>
      <c r="J66" s="75">
        <v>55.2</v>
      </c>
      <c r="K66" s="75">
        <v>55.2</v>
      </c>
      <c r="L66" s="67">
        <v>52.1</v>
      </c>
      <c r="M66" s="75">
        <v>52.1</v>
      </c>
      <c r="N66" s="75">
        <v>52.1</v>
      </c>
      <c r="O66" s="75">
        <v>52.1</v>
      </c>
      <c r="P66" s="75">
        <v>48.1</v>
      </c>
      <c r="Q66" s="75">
        <v>48.1</v>
      </c>
      <c r="R66" s="75">
        <v>48.1</v>
      </c>
      <c r="S66" s="75">
        <v>48.1</v>
      </c>
      <c r="T66" s="75">
        <v>43.1</v>
      </c>
      <c r="U66" s="75">
        <v>45.3</v>
      </c>
      <c r="V66" s="75">
        <v>46.3</v>
      </c>
      <c r="W66" s="75">
        <v>43.1</v>
      </c>
      <c r="X66" s="46">
        <v>43.3</v>
      </c>
      <c r="Y66" s="46">
        <v>43.1</v>
      </c>
      <c r="Z66" s="46">
        <v>43.1</v>
      </c>
      <c r="AA66" s="46">
        <v>43.1</v>
      </c>
      <c r="AB66" s="46"/>
      <c r="AC66" s="46"/>
      <c r="AD66" s="46">
        <v>52</v>
      </c>
      <c r="AE66" s="46">
        <v>50</v>
      </c>
      <c r="AF66" s="46">
        <v>50</v>
      </c>
      <c r="AG66" s="65">
        <v>60</v>
      </c>
      <c r="AH66" s="48">
        <f t="shared" si="8"/>
        <v>60.9</v>
      </c>
      <c r="AI66" s="49">
        <f t="shared" si="9"/>
        <v>43.1</v>
      </c>
      <c r="AK66" s="51"/>
    </row>
    <row r="67" spans="1:75" x14ac:dyDescent="0.25">
      <c r="A67" s="64" t="s">
        <v>84</v>
      </c>
      <c r="B67" s="46">
        <v>0</v>
      </c>
      <c r="C67" s="46">
        <v>0</v>
      </c>
      <c r="D67" s="46">
        <v>14.8</v>
      </c>
      <c r="E67" s="75">
        <v>14.7</v>
      </c>
      <c r="F67" s="75">
        <v>13.1</v>
      </c>
      <c r="G67" s="75">
        <v>13.1</v>
      </c>
      <c r="H67" s="75">
        <v>13.1</v>
      </c>
      <c r="I67" s="75">
        <v>12.8</v>
      </c>
      <c r="J67" s="75">
        <v>12.8</v>
      </c>
      <c r="K67" s="75">
        <v>12.8</v>
      </c>
      <c r="L67" s="67">
        <v>0</v>
      </c>
      <c r="M67" s="75">
        <v>0</v>
      </c>
      <c r="N67" s="75">
        <v>14</v>
      </c>
      <c r="O67" s="75">
        <v>14</v>
      </c>
      <c r="P67" s="75">
        <v>14.8</v>
      </c>
      <c r="Q67" s="75">
        <v>22.8</v>
      </c>
      <c r="R67" s="75">
        <v>22.8</v>
      </c>
      <c r="S67" s="75">
        <v>14</v>
      </c>
      <c r="T67" s="75">
        <v>0</v>
      </c>
      <c r="U67" s="75">
        <v>0</v>
      </c>
      <c r="V67" s="75">
        <v>0</v>
      </c>
      <c r="W67" s="75">
        <v>0</v>
      </c>
      <c r="X67" s="46">
        <v>0</v>
      </c>
      <c r="Y67" s="46">
        <v>14.6</v>
      </c>
      <c r="Z67" s="46">
        <v>14.6</v>
      </c>
      <c r="AA67" s="46">
        <v>14.6</v>
      </c>
      <c r="AB67" s="46"/>
      <c r="AC67" s="46"/>
      <c r="AD67" s="46">
        <v>14.6</v>
      </c>
      <c r="AE67" s="46">
        <v>14.4</v>
      </c>
      <c r="AF67" s="46">
        <v>14.4</v>
      </c>
      <c r="AG67" s="65">
        <v>30</v>
      </c>
      <c r="AH67" s="48">
        <f t="shared" si="8"/>
        <v>22.8</v>
      </c>
      <c r="AI67" s="49">
        <f t="shared" si="9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</row>
    <row r="68" spans="1:75" x14ac:dyDescent="0.25">
      <c r="A68" s="64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75">
        <v>2.2000000000000002</v>
      </c>
      <c r="M68" s="75">
        <v>2.2000000000000002</v>
      </c>
      <c r="N68" s="75">
        <v>2.2000000000000002</v>
      </c>
      <c r="O68" s="75">
        <v>2.2000000000000002</v>
      </c>
      <c r="P68" s="75">
        <v>19.100000000000001</v>
      </c>
      <c r="Q68" s="75">
        <v>19.7</v>
      </c>
      <c r="R68" s="75">
        <v>19.7</v>
      </c>
      <c r="S68" s="75">
        <v>15.8</v>
      </c>
      <c r="T68" s="75">
        <v>12.8</v>
      </c>
      <c r="U68" s="75">
        <v>6.1</v>
      </c>
      <c r="V68" s="75">
        <v>1.4</v>
      </c>
      <c r="W68" s="75">
        <v>0</v>
      </c>
      <c r="X68" s="46">
        <v>0</v>
      </c>
      <c r="Y68" s="46">
        <v>0</v>
      </c>
      <c r="Z68" s="46">
        <v>0</v>
      </c>
      <c r="AA68" s="46">
        <v>0</v>
      </c>
      <c r="AB68" s="46"/>
      <c r="AC68" s="46"/>
      <c r="AD68" s="46">
        <v>0</v>
      </c>
      <c r="AE68" s="46">
        <v>0</v>
      </c>
      <c r="AF68" s="46">
        <v>0</v>
      </c>
      <c r="AG68" s="65">
        <v>25</v>
      </c>
      <c r="AH68" s="48">
        <f t="shared" si="8"/>
        <v>19.7</v>
      </c>
      <c r="AI68" s="49">
        <f t="shared" si="9"/>
        <v>0</v>
      </c>
      <c r="AK68" s="51"/>
      <c r="AY68" s="1" t="s">
        <v>86</v>
      </c>
      <c r="AZ68" s="81">
        <f>ROUND(C81,0)</f>
        <v>35</v>
      </c>
      <c r="BA68" s="80">
        <f t="shared" ref="BA68:BD72" si="32">D81</f>
        <v>25</v>
      </c>
      <c r="BB68" s="80">
        <f t="shared" si="32"/>
        <v>13.8</v>
      </c>
      <c r="BC68" s="80">
        <f t="shared" si="32"/>
        <v>14.1</v>
      </c>
      <c r="BD68" s="80">
        <f t="shared" si="32"/>
        <v>13.5</v>
      </c>
      <c r="BE68" s="81">
        <f>I81</f>
        <v>13.8</v>
      </c>
      <c r="BF68" s="81">
        <f>K81</f>
        <v>38.299999999999997</v>
      </c>
      <c r="BG68" s="81">
        <f t="shared" ref="BG68:BP72" si="33">M81</f>
        <v>37.799999999999997</v>
      </c>
      <c r="BH68" s="81">
        <f t="shared" si="33"/>
        <v>50.4</v>
      </c>
      <c r="BI68" s="81">
        <f t="shared" si="33"/>
        <v>50</v>
      </c>
      <c r="BJ68" s="81">
        <f t="shared" si="33"/>
        <v>52.3</v>
      </c>
      <c r="BK68" s="81">
        <f t="shared" si="33"/>
        <v>49.9</v>
      </c>
      <c r="BL68" s="81">
        <f t="shared" si="33"/>
        <v>49.9</v>
      </c>
      <c r="BM68" s="81">
        <f t="shared" si="33"/>
        <v>52.6</v>
      </c>
      <c r="BN68" s="81">
        <f t="shared" si="33"/>
        <v>48.8</v>
      </c>
      <c r="BO68" s="81">
        <f t="shared" si="33"/>
        <v>53.7</v>
      </c>
      <c r="BP68" s="81">
        <f t="shared" si="33"/>
        <v>45.2</v>
      </c>
      <c r="BQ68" s="81">
        <f>X81</f>
        <v>35.700000000000003</v>
      </c>
      <c r="BR68" s="81">
        <f>Z81</f>
        <v>38.5</v>
      </c>
      <c r="BS68" s="80">
        <f>AB81</f>
        <v>0</v>
      </c>
      <c r="BT68" s="80">
        <f>AD81</f>
        <v>40</v>
      </c>
      <c r="BU68" s="80">
        <f>AE81</f>
        <v>41</v>
      </c>
      <c r="BV68" s="80">
        <f>AF81</f>
        <v>36</v>
      </c>
      <c r="BW68" s="80">
        <f>B81</f>
        <v>58.9</v>
      </c>
    </row>
    <row r="69" spans="1:75" x14ac:dyDescent="0.25">
      <c r="A69" s="64" t="s">
        <v>87</v>
      </c>
      <c r="B69" s="75">
        <v>7</v>
      </c>
      <c r="C69" s="75">
        <v>7</v>
      </c>
      <c r="D69" s="75">
        <v>7</v>
      </c>
      <c r="E69" s="75">
        <v>7</v>
      </c>
      <c r="F69" s="75">
        <v>7</v>
      </c>
      <c r="G69" s="75">
        <v>7</v>
      </c>
      <c r="H69" s="75">
        <v>7</v>
      </c>
      <c r="I69" s="75">
        <v>7</v>
      </c>
      <c r="J69" s="75">
        <v>7</v>
      </c>
      <c r="K69" s="75">
        <v>7</v>
      </c>
      <c r="L69" s="75">
        <v>7</v>
      </c>
      <c r="M69" s="75">
        <v>7</v>
      </c>
      <c r="N69" s="75">
        <v>7</v>
      </c>
      <c r="O69" s="75">
        <v>7</v>
      </c>
      <c r="P69" s="75">
        <v>8</v>
      </c>
      <c r="Q69" s="75">
        <v>8</v>
      </c>
      <c r="R69" s="75">
        <v>8</v>
      </c>
      <c r="S69" s="75">
        <v>15</v>
      </c>
      <c r="T69" s="75">
        <v>15</v>
      </c>
      <c r="U69" s="75">
        <v>15</v>
      </c>
      <c r="V69" s="75">
        <v>15</v>
      </c>
      <c r="W69" s="75">
        <v>15</v>
      </c>
      <c r="X69" s="75">
        <v>15</v>
      </c>
      <c r="Y69" s="75">
        <v>15</v>
      </c>
      <c r="Z69" s="75">
        <v>15</v>
      </c>
      <c r="AA69" s="75">
        <v>15</v>
      </c>
      <c r="AB69" s="75"/>
      <c r="AC69" s="75"/>
      <c r="AD69" s="75">
        <v>15</v>
      </c>
      <c r="AE69" s="75">
        <v>15</v>
      </c>
      <c r="AF69" s="75">
        <v>15</v>
      </c>
      <c r="AG69" s="65">
        <v>24</v>
      </c>
      <c r="AH69" s="48">
        <f t="shared" si="8"/>
        <v>15</v>
      </c>
      <c r="AI69" s="49">
        <f t="shared" si="9"/>
        <v>7</v>
      </c>
      <c r="AK69" s="51"/>
      <c r="AY69" s="1" t="s">
        <v>88</v>
      </c>
      <c r="AZ69" s="81">
        <f>ROUND(C82,0)</f>
        <v>129</v>
      </c>
      <c r="BA69" s="80">
        <f t="shared" si="32"/>
        <v>129</v>
      </c>
      <c r="BB69" s="80">
        <f t="shared" si="32"/>
        <v>128.9</v>
      </c>
      <c r="BC69" s="80">
        <f t="shared" si="32"/>
        <v>125</v>
      </c>
      <c r="BD69" s="80">
        <f t="shared" si="32"/>
        <v>122.1</v>
      </c>
      <c r="BE69" s="81">
        <f t="shared" ref="BE69:BE72" si="34">I82</f>
        <v>133.80000000000001</v>
      </c>
      <c r="BF69" s="81">
        <f t="shared" ref="BF69:BF72" si="35">K82</f>
        <v>0</v>
      </c>
      <c r="BG69" s="81">
        <f t="shared" si="33"/>
        <v>0</v>
      </c>
      <c r="BH69" s="81">
        <f t="shared" si="33"/>
        <v>0</v>
      </c>
      <c r="BI69" s="81">
        <f t="shared" si="33"/>
        <v>0</v>
      </c>
      <c r="BJ69" s="81">
        <f t="shared" si="33"/>
        <v>0</v>
      </c>
      <c r="BK69" s="81">
        <f t="shared" si="33"/>
        <v>0</v>
      </c>
      <c r="BL69" s="81">
        <f t="shared" si="33"/>
        <v>0</v>
      </c>
      <c r="BM69" s="81">
        <f t="shared" si="33"/>
        <v>0</v>
      </c>
      <c r="BN69" s="81">
        <f t="shared" si="33"/>
        <v>0</v>
      </c>
      <c r="BO69" s="81">
        <f t="shared" si="33"/>
        <v>0</v>
      </c>
      <c r="BP69" s="81">
        <f t="shared" si="33"/>
        <v>0</v>
      </c>
      <c r="BQ69" s="81">
        <f t="shared" ref="BQ69:BQ72" si="36">X82</f>
        <v>0</v>
      </c>
      <c r="BR69" s="81">
        <f t="shared" ref="BR69:BR72" si="37">Z82</f>
        <v>0</v>
      </c>
      <c r="BS69" s="80">
        <f t="shared" ref="BS69:BS72" si="38">AB82</f>
        <v>0</v>
      </c>
      <c r="BT69" s="80">
        <f t="shared" ref="BT69:BV72" si="39">AD82</f>
        <v>0</v>
      </c>
      <c r="BU69" s="80">
        <f t="shared" si="39"/>
        <v>0</v>
      </c>
      <c r="BV69" s="80">
        <f t="shared" si="39"/>
        <v>0</v>
      </c>
      <c r="BW69" s="80">
        <f t="shared" ref="BW69:BW72" si="40">B82</f>
        <v>0</v>
      </c>
    </row>
    <row r="70" spans="1:75" x14ac:dyDescent="0.25">
      <c r="A70" s="64" t="s">
        <v>89</v>
      </c>
      <c r="B70" s="75">
        <v>0</v>
      </c>
      <c r="C70" s="75">
        <v>0</v>
      </c>
      <c r="D70" s="75">
        <v>0</v>
      </c>
      <c r="E70" s="75">
        <v>0</v>
      </c>
      <c r="F70" s="75">
        <v>0</v>
      </c>
      <c r="G70" s="75">
        <v>0</v>
      </c>
      <c r="H70" s="75">
        <v>0</v>
      </c>
      <c r="I70" s="75">
        <v>0</v>
      </c>
      <c r="J70" s="75">
        <v>0</v>
      </c>
      <c r="K70" s="75">
        <v>0</v>
      </c>
      <c r="L70" s="75">
        <v>0</v>
      </c>
      <c r="M70" s="75">
        <v>0</v>
      </c>
      <c r="N70" s="75">
        <v>0</v>
      </c>
      <c r="O70" s="75">
        <v>0</v>
      </c>
      <c r="P70" s="75">
        <v>0</v>
      </c>
      <c r="Q70" s="75">
        <v>0</v>
      </c>
      <c r="R70" s="75">
        <v>0</v>
      </c>
      <c r="S70" s="75">
        <v>0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5">
        <v>0</v>
      </c>
      <c r="Z70" s="75">
        <v>0</v>
      </c>
      <c r="AA70" s="75">
        <v>0</v>
      </c>
      <c r="AB70" s="75"/>
      <c r="AC70" s="75"/>
      <c r="AD70" s="75">
        <v>0</v>
      </c>
      <c r="AE70" s="75">
        <v>0</v>
      </c>
      <c r="AF70" s="75">
        <v>0</v>
      </c>
      <c r="AG70" s="65">
        <v>15</v>
      </c>
      <c r="AH70" s="48">
        <f t="shared" si="8"/>
        <v>0</v>
      </c>
      <c r="AI70" s="49">
        <f t="shared" si="9"/>
        <v>0</v>
      </c>
      <c r="AK70" s="51"/>
      <c r="AL70" s="82"/>
      <c r="AO70" s="82"/>
      <c r="AY70" s="1" t="s">
        <v>90</v>
      </c>
      <c r="AZ70" s="81">
        <f>ROUND(C83,0)</f>
        <v>5</v>
      </c>
      <c r="BA70" s="80">
        <f t="shared" si="32"/>
        <v>0</v>
      </c>
      <c r="BB70" s="80">
        <f t="shared" si="32"/>
        <v>10</v>
      </c>
      <c r="BC70" s="80">
        <f t="shared" si="32"/>
        <v>0</v>
      </c>
      <c r="BD70" s="80">
        <f t="shared" si="32"/>
        <v>0</v>
      </c>
      <c r="BE70" s="81">
        <f t="shared" si="34"/>
        <v>1</v>
      </c>
      <c r="BF70" s="81">
        <f t="shared" si="35"/>
        <v>325</v>
      </c>
      <c r="BG70" s="81">
        <f t="shared" si="33"/>
        <v>325</v>
      </c>
      <c r="BH70" s="81">
        <f t="shared" si="33"/>
        <v>134</v>
      </c>
      <c r="BI70" s="81">
        <f t="shared" si="33"/>
        <v>123</v>
      </c>
      <c r="BJ70" s="81">
        <f t="shared" si="33"/>
        <v>296</v>
      </c>
      <c r="BK70" s="81">
        <f t="shared" si="33"/>
        <v>306</v>
      </c>
      <c r="BL70" s="81">
        <f t="shared" si="33"/>
        <v>306</v>
      </c>
      <c r="BM70" s="81">
        <f t="shared" si="33"/>
        <v>292.60000000000002</v>
      </c>
      <c r="BN70" s="81">
        <f t="shared" si="33"/>
        <v>358</v>
      </c>
      <c r="BO70" s="81">
        <f t="shared" si="33"/>
        <v>351.5</v>
      </c>
      <c r="BP70" s="81">
        <f t="shared" si="33"/>
        <v>327</v>
      </c>
      <c r="BQ70" s="81">
        <f t="shared" si="36"/>
        <v>218</v>
      </c>
      <c r="BR70" s="81">
        <f t="shared" si="37"/>
        <v>0</v>
      </c>
      <c r="BS70" s="80">
        <f t="shared" si="38"/>
        <v>0</v>
      </c>
      <c r="BT70" s="80">
        <f t="shared" si="39"/>
        <v>0</v>
      </c>
      <c r="BU70" s="80">
        <f t="shared" si="39"/>
        <v>0</v>
      </c>
      <c r="BV70" s="80">
        <f t="shared" si="39"/>
        <v>0</v>
      </c>
      <c r="BW70" s="80">
        <f t="shared" si="40"/>
        <v>219</v>
      </c>
    </row>
    <row r="71" spans="1:75" s="82" customFormat="1" x14ac:dyDescent="0.25">
      <c r="A71" s="64" t="s">
        <v>91</v>
      </c>
      <c r="B71" s="75">
        <v>5.2</v>
      </c>
      <c r="C71" s="75">
        <v>6.9</v>
      </c>
      <c r="D71" s="75">
        <v>7.2</v>
      </c>
      <c r="E71" s="75">
        <v>7.2</v>
      </c>
      <c r="F71" s="75">
        <v>7.2</v>
      </c>
      <c r="G71" s="75">
        <v>7.2</v>
      </c>
      <c r="H71" s="75">
        <v>7.2</v>
      </c>
      <c r="I71" s="75">
        <v>7.2</v>
      </c>
      <c r="J71" s="75">
        <v>7.2</v>
      </c>
      <c r="K71" s="75">
        <v>7.2</v>
      </c>
      <c r="L71" s="75">
        <v>7.2</v>
      </c>
      <c r="M71" s="75">
        <v>7.2</v>
      </c>
      <c r="N71" s="75">
        <v>7.2</v>
      </c>
      <c r="O71" s="75">
        <v>7.2</v>
      </c>
      <c r="P71" s="75">
        <v>4.8</v>
      </c>
      <c r="Q71" s="75">
        <v>4.8</v>
      </c>
      <c r="R71" s="75">
        <v>4.8</v>
      </c>
      <c r="S71" s="75">
        <v>8</v>
      </c>
      <c r="T71" s="75">
        <v>7.1</v>
      </c>
      <c r="U71" s="75">
        <v>7.1</v>
      </c>
      <c r="V71" s="75">
        <v>7.1</v>
      </c>
      <c r="W71" s="75">
        <v>7.1</v>
      </c>
      <c r="X71" s="75">
        <v>7.1</v>
      </c>
      <c r="Y71" s="75">
        <v>7.1</v>
      </c>
      <c r="Z71" s="75">
        <v>7.1</v>
      </c>
      <c r="AA71" s="75">
        <v>7.1</v>
      </c>
      <c r="AB71" s="75"/>
      <c r="AC71" s="75"/>
      <c r="AD71" s="75">
        <v>7.1</v>
      </c>
      <c r="AE71" s="75">
        <v>7.1</v>
      </c>
      <c r="AF71" s="75">
        <v>7.1</v>
      </c>
      <c r="AG71" s="65">
        <v>14.1</v>
      </c>
      <c r="AH71" s="48">
        <f t="shared" si="8"/>
        <v>8</v>
      </c>
      <c r="AI71" s="49">
        <f t="shared" si="9"/>
        <v>4.8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21</v>
      </c>
      <c r="BA71" s="80">
        <f t="shared" si="32"/>
        <v>21.5</v>
      </c>
      <c r="BB71" s="80">
        <f t="shared" si="32"/>
        <v>22</v>
      </c>
      <c r="BC71" s="80">
        <f t="shared" si="32"/>
        <v>21</v>
      </c>
      <c r="BD71" s="80">
        <f t="shared" si="32"/>
        <v>21.5</v>
      </c>
      <c r="BE71" s="81">
        <f t="shared" si="34"/>
        <v>44.6</v>
      </c>
      <c r="BF71" s="81">
        <f t="shared" si="35"/>
        <v>33</v>
      </c>
      <c r="BG71" s="81">
        <f t="shared" si="33"/>
        <v>35.799999999999997</v>
      </c>
      <c r="BH71" s="81">
        <f t="shared" si="33"/>
        <v>43</v>
      </c>
      <c r="BI71" s="81">
        <f t="shared" si="33"/>
        <v>34</v>
      </c>
      <c r="BJ71" s="81">
        <f t="shared" si="33"/>
        <v>35.9</v>
      </c>
      <c r="BK71" s="81">
        <f t="shared" si="33"/>
        <v>38.200000000000003</v>
      </c>
      <c r="BL71" s="81">
        <f t="shared" si="33"/>
        <v>38.200000000000003</v>
      </c>
      <c r="BM71" s="81">
        <f t="shared" si="33"/>
        <v>48</v>
      </c>
      <c r="BN71" s="81">
        <f t="shared" si="33"/>
        <v>46.7</v>
      </c>
      <c r="BO71" s="81">
        <f t="shared" si="33"/>
        <v>55.6</v>
      </c>
      <c r="BP71" s="81">
        <f t="shared" si="33"/>
        <v>50.6</v>
      </c>
      <c r="BQ71" s="81">
        <f t="shared" si="36"/>
        <v>25</v>
      </c>
      <c r="BR71" s="81">
        <f t="shared" si="37"/>
        <v>0</v>
      </c>
      <c r="BS71" s="80">
        <f t="shared" si="38"/>
        <v>0</v>
      </c>
      <c r="BT71" s="80">
        <f t="shared" si="39"/>
        <v>0</v>
      </c>
      <c r="BU71" s="80">
        <f t="shared" si="39"/>
        <v>0</v>
      </c>
      <c r="BV71" s="80">
        <f t="shared" si="39"/>
        <v>0</v>
      </c>
      <c r="BW71" s="80">
        <f t="shared" si="40"/>
        <v>0</v>
      </c>
    </row>
    <row r="72" spans="1:75" x14ac:dyDescent="0.25">
      <c r="A72" s="83" t="s">
        <v>93</v>
      </c>
      <c r="B72" s="75">
        <v>8.4</v>
      </c>
      <c r="C72" s="75">
        <v>8.4</v>
      </c>
      <c r="D72" s="75">
        <v>8.4</v>
      </c>
      <c r="E72" s="75">
        <v>8.4</v>
      </c>
      <c r="F72" s="75">
        <v>8.4</v>
      </c>
      <c r="G72" s="75">
        <v>8.4</v>
      </c>
      <c r="H72" s="75">
        <v>8.4</v>
      </c>
      <c r="I72" s="75">
        <v>8.4</v>
      </c>
      <c r="J72" s="75">
        <v>8.4</v>
      </c>
      <c r="K72" s="75">
        <v>8.4</v>
      </c>
      <c r="L72" s="75">
        <v>8.4</v>
      </c>
      <c r="M72" s="75">
        <v>8.4</v>
      </c>
      <c r="N72" s="75">
        <v>8.4</v>
      </c>
      <c r="O72" s="75">
        <v>8.4</v>
      </c>
      <c r="P72" s="75">
        <v>6</v>
      </c>
      <c r="Q72" s="75">
        <v>6</v>
      </c>
      <c r="R72" s="75">
        <v>6</v>
      </c>
      <c r="S72" s="75">
        <v>5.4</v>
      </c>
      <c r="T72" s="75">
        <v>5.3</v>
      </c>
      <c r="U72" s="75">
        <v>5.3</v>
      </c>
      <c r="V72" s="75">
        <v>5.3</v>
      </c>
      <c r="W72" s="75">
        <v>5.3</v>
      </c>
      <c r="X72" s="75">
        <v>5.3</v>
      </c>
      <c r="Y72" s="75">
        <v>5.3</v>
      </c>
      <c r="Z72" s="75">
        <v>5.3</v>
      </c>
      <c r="AA72" s="75">
        <v>5.3</v>
      </c>
      <c r="AB72" s="75"/>
      <c r="AC72" s="75"/>
      <c r="AD72" s="75">
        <v>5.3</v>
      </c>
      <c r="AE72" s="75">
        <v>5.3</v>
      </c>
      <c r="AF72" s="75">
        <v>5.3</v>
      </c>
      <c r="AG72" s="65">
        <v>14</v>
      </c>
      <c r="AH72" s="48">
        <f t="shared" si="8"/>
        <v>8.4</v>
      </c>
      <c r="AI72" s="49">
        <f t="shared" si="9"/>
        <v>5.3</v>
      </c>
      <c r="AK72" s="51"/>
      <c r="AY72" s="1" t="s">
        <v>94</v>
      </c>
      <c r="AZ72" s="81">
        <f>ROUND(C85,0)</f>
        <v>19</v>
      </c>
      <c r="BA72" s="80">
        <f t="shared" si="32"/>
        <v>20</v>
      </c>
      <c r="BB72" s="80">
        <f t="shared" si="32"/>
        <v>20.100000000000001</v>
      </c>
      <c r="BC72" s="80">
        <f t="shared" si="32"/>
        <v>19</v>
      </c>
      <c r="BD72" s="80">
        <f t="shared" si="32"/>
        <v>18</v>
      </c>
      <c r="BE72" s="81">
        <f t="shared" si="34"/>
        <v>20.6</v>
      </c>
      <c r="BF72" s="81">
        <f t="shared" si="35"/>
        <v>110</v>
      </c>
      <c r="BG72" s="81">
        <f t="shared" si="33"/>
        <v>86.2</v>
      </c>
      <c r="BH72" s="81">
        <f t="shared" si="33"/>
        <v>115</v>
      </c>
      <c r="BI72" s="81">
        <f t="shared" si="33"/>
        <v>148</v>
      </c>
      <c r="BJ72" s="81">
        <f t="shared" si="33"/>
        <v>155</v>
      </c>
      <c r="BK72" s="81">
        <f t="shared" si="33"/>
        <v>105</v>
      </c>
      <c r="BL72" s="81">
        <f t="shared" si="33"/>
        <v>105</v>
      </c>
      <c r="BM72" s="81">
        <f t="shared" si="33"/>
        <v>105</v>
      </c>
      <c r="BN72" s="81">
        <f t="shared" si="33"/>
        <v>101.1</v>
      </c>
      <c r="BO72" s="81">
        <f t="shared" si="33"/>
        <v>117.1</v>
      </c>
      <c r="BP72" s="81">
        <f t="shared" si="33"/>
        <v>106.4</v>
      </c>
      <c r="BQ72" s="81">
        <f t="shared" si="36"/>
        <v>101.1</v>
      </c>
      <c r="BR72" s="81">
        <f t="shared" si="37"/>
        <v>0</v>
      </c>
      <c r="BS72" s="80">
        <f t="shared" si="38"/>
        <v>0</v>
      </c>
      <c r="BT72" s="80">
        <f t="shared" si="39"/>
        <v>0</v>
      </c>
      <c r="BU72" s="80">
        <f t="shared" si="39"/>
        <v>0</v>
      </c>
      <c r="BV72" s="80">
        <f t="shared" si="39"/>
        <v>0</v>
      </c>
      <c r="BW72" s="80">
        <f t="shared" si="40"/>
        <v>0</v>
      </c>
    </row>
    <row r="73" spans="1:75" x14ac:dyDescent="0.25">
      <c r="A73" s="64" t="s">
        <v>95</v>
      </c>
      <c r="B73" s="75">
        <v>4.7</v>
      </c>
      <c r="C73" s="75">
        <v>4.7</v>
      </c>
      <c r="D73" s="75">
        <v>4.7</v>
      </c>
      <c r="E73" s="75">
        <v>4.7</v>
      </c>
      <c r="F73" s="75">
        <v>4.7</v>
      </c>
      <c r="G73" s="75">
        <v>4.7</v>
      </c>
      <c r="H73" s="75">
        <v>4.7</v>
      </c>
      <c r="I73" s="75">
        <v>4.7</v>
      </c>
      <c r="J73" s="75">
        <v>4.7</v>
      </c>
      <c r="K73" s="75">
        <v>4.7</v>
      </c>
      <c r="L73" s="75">
        <v>4.7</v>
      </c>
      <c r="M73" s="75">
        <v>4.7</v>
      </c>
      <c r="N73" s="75">
        <v>4.7</v>
      </c>
      <c r="O73" s="75">
        <v>4.7</v>
      </c>
      <c r="P73" s="75">
        <v>4</v>
      </c>
      <c r="Q73" s="75">
        <v>4</v>
      </c>
      <c r="R73" s="75">
        <v>4</v>
      </c>
      <c r="S73" s="75">
        <v>4</v>
      </c>
      <c r="T73" s="75">
        <v>4</v>
      </c>
      <c r="U73" s="75">
        <v>4</v>
      </c>
      <c r="V73" s="75">
        <v>4</v>
      </c>
      <c r="W73" s="75">
        <v>4</v>
      </c>
      <c r="X73" s="75">
        <v>4</v>
      </c>
      <c r="Y73" s="75">
        <v>4</v>
      </c>
      <c r="Z73" s="75">
        <v>4</v>
      </c>
      <c r="AA73" s="75">
        <v>4</v>
      </c>
      <c r="AB73" s="75"/>
      <c r="AC73" s="75"/>
      <c r="AD73" s="75">
        <v>4</v>
      </c>
      <c r="AE73" s="75">
        <v>4</v>
      </c>
      <c r="AF73" s="75">
        <v>4</v>
      </c>
      <c r="AG73" s="65">
        <v>10.050000000000001</v>
      </c>
      <c r="AH73" s="48">
        <f t="shared" si="8"/>
        <v>4.7</v>
      </c>
      <c r="AI73" s="49">
        <f t="shared" si="9"/>
        <v>4</v>
      </c>
      <c r="AK73" s="51"/>
      <c r="AY73" s="1" t="s">
        <v>96</v>
      </c>
      <c r="AZ73" s="81">
        <f>ROUND(C91,0)</f>
        <v>56</v>
      </c>
      <c r="BA73" s="81">
        <f>D91</f>
        <v>80.599999999999994</v>
      </c>
      <c r="BB73" s="81">
        <f>E91</f>
        <v>80</v>
      </c>
      <c r="BC73" s="81">
        <f>F91</f>
        <v>80.099999999999994</v>
      </c>
      <c r="BD73" s="81">
        <f>G91</f>
        <v>74.599999999999994</v>
      </c>
      <c r="BE73" s="81">
        <f>I91</f>
        <v>76</v>
      </c>
      <c r="BF73" s="81">
        <f>K91</f>
        <v>53.2</v>
      </c>
      <c r="BG73" s="81">
        <f t="shared" ref="BG73:BP73" si="41">M91</f>
        <v>43.5</v>
      </c>
      <c r="BH73" s="81">
        <f t="shared" si="41"/>
        <v>51.6</v>
      </c>
      <c r="BI73" s="81">
        <f t="shared" si="41"/>
        <v>56</v>
      </c>
      <c r="BJ73" s="81">
        <f t="shared" si="41"/>
        <v>55.6</v>
      </c>
      <c r="BK73" s="81">
        <f t="shared" si="41"/>
        <v>58.2</v>
      </c>
      <c r="BL73" s="81">
        <f t="shared" si="41"/>
        <v>58.2</v>
      </c>
      <c r="BM73" s="81">
        <f t="shared" si="41"/>
        <v>58.2</v>
      </c>
      <c r="BN73" s="81">
        <f t="shared" si="41"/>
        <v>59.8</v>
      </c>
      <c r="BO73" s="81">
        <f t="shared" si="41"/>
        <v>65.599999999999994</v>
      </c>
      <c r="BP73" s="81">
        <f t="shared" si="41"/>
        <v>59.3</v>
      </c>
      <c r="BQ73" s="81">
        <f>X91</f>
        <v>49</v>
      </c>
      <c r="BR73" s="81">
        <f>Z91</f>
        <v>68.8</v>
      </c>
      <c r="BS73" s="81">
        <f>AB91</f>
        <v>0</v>
      </c>
      <c r="BT73" s="81">
        <f>AD91</f>
        <v>62</v>
      </c>
      <c r="BU73" s="81">
        <f>AE91</f>
        <v>65</v>
      </c>
      <c r="BV73" s="81">
        <f>AF91</f>
        <v>72</v>
      </c>
      <c r="BW73" s="81">
        <f>B91</f>
        <v>0</v>
      </c>
    </row>
    <row r="74" spans="1:75" x14ac:dyDescent="0.25">
      <c r="A74" s="64" t="s">
        <v>97</v>
      </c>
      <c r="B74" s="75">
        <v>4</v>
      </c>
      <c r="C74" s="75">
        <v>4</v>
      </c>
      <c r="D74" s="75">
        <v>4</v>
      </c>
      <c r="E74" s="75">
        <v>4</v>
      </c>
      <c r="F74" s="75">
        <v>4</v>
      </c>
      <c r="G74" s="75">
        <v>4</v>
      </c>
      <c r="H74" s="75">
        <v>4</v>
      </c>
      <c r="I74" s="75">
        <v>4</v>
      </c>
      <c r="J74" s="75">
        <v>4</v>
      </c>
      <c r="K74" s="75">
        <v>4</v>
      </c>
      <c r="L74" s="75">
        <v>4</v>
      </c>
      <c r="M74" s="75">
        <v>4</v>
      </c>
      <c r="N74" s="75">
        <v>4</v>
      </c>
      <c r="O74" s="75">
        <v>4</v>
      </c>
      <c r="P74" s="75">
        <v>4</v>
      </c>
      <c r="Q74" s="75">
        <v>4</v>
      </c>
      <c r="R74" s="75">
        <v>4</v>
      </c>
      <c r="S74" s="75">
        <v>4</v>
      </c>
      <c r="T74" s="75">
        <v>4</v>
      </c>
      <c r="U74" s="75">
        <v>4</v>
      </c>
      <c r="V74" s="75">
        <v>4</v>
      </c>
      <c r="W74" s="75">
        <v>4</v>
      </c>
      <c r="X74" s="75">
        <v>4</v>
      </c>
      <c r="Y74" s="75">
        <v>4</v>
      </c>
      <c r="Z74" s="75">
        <v>4</v>
      </c>
      <c r="AA74" s="75">
        <v>4</v>
      </c>
      <c r="AB74" s="75"/>
      <c r="AC74" s="75"/>
      <c r="AD74" s="75">
        <v>4</v>
      </c>
      <c r="AE74" s="75">
        <v>4</v>
      </c>
      <c r="AF74" s="75">
        <v>4</v>
      </c>
      <c r="AG74" s="65">
        <v>6.2</v>
      </c>
      <c r="AH74" s="48">
        <f t="shared" si="8"/>
        <v>4</v>
      </c>
      <c r="AI74" s="49">
        <f t="shared" si="9"/>
        <v>4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</row>
    <row r="75" spans="1:75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>
        <v>3.54</v>
      </c>
      <c r="W75" s="84">
        <v>3.54</v>
      </c>
      <c r="X75" s="84">
        <v>3.54</v>
      </c>
      <c r="Y75" s="84">
        <v>3.5</v>
      </c>
      <c r="Z75" s="84">
        <v>5.5</v>
      </c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8"/>
        <v>5.5</v>
      </c>
      <c r="AI75" s="49">
        <f t="shared" si="9"/>
        <v>3.5</v>
      </c>
      <c r="AK75" s="51"/>
      <c r="AZ75" s="81">
        <f>VALUE(AZ68)</f>
        <v>35</v>
      </c>
      <c r="BA75" s="81">
        <f t="shared" ref="BA75:BW75" si="42">VALUE(BA68)</f>
        <v>25</v>
      </c>
      <c r="BB75" s="81">
        <f t="shared" si="42"/>
        <v>13.8</v>
      </c>
      <c r="BC75" s="81">
        <f t="shared" si="42"/>
        <v>14.1</v>
      </c>
      <c r="BD75" s="81">
        <f t="shared" si="42"/>
        <v>13.5</v>
      </c>
      <c r="BE75" s="81">
        <f t="shared" si="42"/>
        <v>13.8</v>
      </c>
      <c r="BF75" s="81">
        <f t="shared" si="42"/>
        <v>38.299999999999997</v>
      </c>
      <c r="BG75" s="81">
        <f t="shared" si="42"/>
        <v>37.799999999999997</v>
      </c>
      <c r="BH75" s="81">
        <f t="shared" si="42"/>
        <v>50.4</v>
      </c>
      <c r="BI75" s="81">
        <f t="shared" si="42"/>
        <v>50</v>
      </c>
      <c r="BJ75" s="81">
        <f t="shared" si="42"/>
        <v>52.3</v>
      </c>
      <c r="BK75" s="81">
        <f t="shared" si="42"/>
        <v>49.9</v>
      </c>
      <c r="BL75" s="81">
        <f t="shared" si="42"/>
        <v>49.9</v>
      </c>
      <c r="BM75" s="81">
        <f t="shared" si="42"/>
        <v>52.6</v>
      </c>
      <c r="BN75" s="81">
        <f t="shared" si="42"/>
        <v>48.8</v>
      </c>
      <c r="BO75" s="81">
        <f t="shared" si="42"/>
        <v>53.7</v>
      </c>
      <c r="BP75" s="81">
        <f t="shared" si="42"/>
        <v>45.2</v>
      </c>
      <c r="BQ75" s="81">
        <f t="shared" si="42"/>
        <v>35.700000000000003</v>
      </c>
      <c r="BR75" s="81">
        <f t="shared" si="42"/>
        <v>38.5</v>
      </c>
      <c r="BS75" s="81">
        <f t="shared" si="42"/>
        <v>0</v>
      </c>
      <c r="BT75" s="81">
        <f t="shared" si="42"/>
        <v>40</v>
      </c>
      <c r="BU75" s="81">
        <f t="shared" si="42"/>
        <v>41</v>
      </c>
      <c r="BV75" s="81">
        <f t="shared" si="42"/>
        <v>36</v>
      </c>
      <c r="BW75" s="81">
        <f t="shared" si="42"/>
        <v>58.9</v>
      </c>
    </row>
    <row r="76" spans="1:75" ht="15.75" thickBot="1" x14ac:dyDescent="0.3">
      <c r="A76" s="86" t="s">
        <v>99</v>
      </c>
      <c r="B76" s="70">
        <f t="shared" ref="B76:C76" si="43">SUM(B63:B75)</f>
        <v>298.83999999999997</v>
      </c>
      <c r="C76" s="70">
        <f t="shared" si="43"/>
        <v>243.14000000000001</v>
      </c>
      <c r="D76" s="70">
        <f t="shared" ref="D76:AG76" si="44">SUM(D63:D75)</f>
        <v>286.23999999999995</v>
      </c>
      <c r="E76" s="70">
        <f t="shared" si="44"/>
        <v>286.83999999999997</v>
      </c>
      <c r="F76" s="70">
        <f t="shared" si="44"/>
        <v>285.33999999999997</v>
      </c>
      <c r="G76" s="70">
        <f t="shared" si="44"/>
        <v>284.83999999999997</v>
      </c>
      <c r="H76" s="70">
        <f t="shared" si="44"/>
        <v>290.53999999999991</v>
      </c>
      <c r="I76" s="70">
        <f t="shared" si="44"/>
        <v>308.53999999999996</v>
      </c>
      <c r="J76" s="70">
        <f t="shared" si="44"/>
        <v>318.53999999999996</v>
      </c>
      <c r="K76" s="70">
        <f t="shared" si="44"/>
        <v>317.64</v>
      </c>
      <c r="L76" s="70">
        <f t="shared" si="44"/>
        <v>258.03999999999996</v>
      </c>
      <c r="M76" s="70">
        <f t="shared" si="44"/>
        <v>315.83999999999997</v>
      </c>
      <c r="N76" s="70">
        <f t="shared" si="44"/>
        <v>329.84</v>
      </c>
      <c r="O76" s="70">
        <f t="shared" si="44"/>
        <v>316.83999999999997</v>
      </c>
      <c r="P76" s="70">
        <f t="shared" si="44"/>
        <v>285.94000000000005</v>
      </c>
      <c r="Q76" s="70">
        <f t="shared" si="44"/>
        <v>297.24000000000007</v>
      </c>
      <c r="R76" s="70">
        <f t="shared" si="44"/>
        <v>297.24000000000007</v>
      </c>
      <c r="S76" s="70">
        <f t="shared" si="44"/>
        <v>317.84000000000003</v>
      </c>
      <c r="T76" s="70">
        <f t="shared" si="44"/>
        <v>213.14000000000001</v>
      </c>
      <c r="U76" s="70">
        <f t="shared" si="44"/>
        <v>215.14</v>
      </c>
      <c r="V76" s="70">
        <f t="shared" si="44"/>
        <v>242.54</v>
      </c>
      <c r="W76" s="70">
        <f t="shared" si="44"/>
        <v>232.94</v>
      </c>
      <c r="X76" s="70">
        <f t="shared" si="44"/>
        <v>231.04000000000002</v>
      </c>
      <c r="Y76" s="70">
        <f>SUM(Y63:Y75)</f>
        <v>360.30000000000007</v>
      </c>
      <c r="Z76" s="70">
        <f>SUM(Z63:Z75)</f>
        <v>380.10000000000008</v>
      </c>
      <c r="AA76" s="70">
        <f t="shared" si="44"/>
        <v>362.84000000000015</v>
      </c>
      <c r="AB76" s="70">
        <f t="shared" si="44"/>
        <v>3.54</v>
      </c>
      <c r="AC76" s="70">
        <f t="shared" si="44"/>
        <v>3.54</v>
      </c>
      <c r="AD76" s="70">
        <v>362.84000000000015</v>
      </c>
      <c r="AE76" s="70">
        <f t="shared" si="44"/>
        <v>325.84000000000003</v>
      </c>
      <c r="AF76" s="70">
        <f t="shared" ref="AF76" si="45">SUM(AF63:AF75)</f>
        <v>338.94000000000005</v>
      </c>
      <c r="AG76" s="71">
        <f t="shared" si="44"/>
        <v>489.91</v>
      </c>
      <c r="AH76" s="48">
        <f t="shared" si="8"/>
        <v>380.10000000000008</v>
      </c>
      <c r="AI76" s="49">
        <f t="shared" si="9"/>
        <v>3.54</v>
      </c>
      <c r="AK76" s="51"/>
      <c r="AZ76" s="81">
        <f t="shared" ref="AZ76:BW80" si="46">VALUE(AZ69)</f>
        <v>129</v>
      </c>
      <c r="BA76" s="81">
        <f t="shared" si="46"/>
        <v>129</v>
      </c>
      <c r="BB76" s="81">
        <f t="shared" si="46"/>
        <v>128.9</v>
      </c>
      <c r="BC76" s="81">
        <f t="shared" si="46"/>
        <v>125</v>
      </c>
      <c r="BD76" s="81">
        <f t="shared" si="46"/>
        <v>122.1</v>
      </c>
      <c r="BE76" s="81">
        <f t="shared" si="46"/>
        <v>133.80000000000001</v>
      </c>
      <c r="BF76" s="81">
        <f t="shared" si="46"/>
        <v>0</v>
      </c>
      <c r="BG76" s="81">
        <f t="shared" si="46"/>
        <v>0</v>
      </c>
      <c r="BH76" s="81">
        <f t="shared" si="46"/>
        <v>0</v>
      </c>
      <c r="BI76" s="81">
        <f t="shared" si="46"/>
        <v>0</v>
      </c>
      <c r="BJ76" s="81">
        <f t="shared" si="46"/>
        <v>0</v>
      </c>
      <c r="BK76" s="81">
        <f t="shared" si="46"/>
        <v>0</v>
      </c>
      <c r="BL76" s="81">
        <f t="shared" si="46"/>
        <v>0</v>
      </c>
      <c r="BM76" s="81">
        <f t="shared" si="46"/>
        <v>0</v>
      </c>
      <c r="BN76" s="81">
        <f t="shared" si="46"/>
        <v>0</v>
      </c>
      <c r="BO76" s="81">
        <f t="shared" si="46"/>
        <v>0</v>
      </c>
      <c r="BP76" s="81">
        <f t="shared" si="46"/>
        <v>0</v>
      </c>
      <c r="BQ76" s="81">
        <f t="shared" si="46"/>
        <v>0</v>
      </c>
      <c r="BR76" s="81">
        <f t="shared" si="46"/>
        <v>0</v>
      </c>
      <c r="BS76" s="81">
        <f t="shared" si="46"/>
        <v>0</v>
      </c>
      <c r="BT76" s="81">
        <f t="shared" si="46"/>
        <v>0</v>
      </c>
      <c r="BU76" s="81">
        <f t="shared" si="46"/>
        <v>0</v>
      </c>
      <c r="BV76" s="81">
        <f t="shared" si="46"/>
        <v>0</v>
      </c>
      <c r="BW76" s="81">
        <f t="shared" si="46"/>
        <v>0</v>
      </c>
    </row>
    <row r="77" spans="1:75" x14ac:dyDescent="0.25">
      <c r="A77" s="45" t="s">
        <v>100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60">
        <v>60</v>
      </c>
      <c r="AH77" s="48">
        <f t="shared" si="8"/>
        <v>0</v>
      </c>
      <c r="AI77" s="49">
        <f t="shared" si="9"/>
        <v>0</v>
      </c>
      <c r="AK77" s="51"/>
      <c r="AZ77" s="81">
        <f t="shared" si="46"/>
        <v>5</v>
      </c>
      <c r="BA77" s="81">
        <f t="shared" si="46"/>
        <v>0</v>
      </c>
      <c r="BB77" s="81">
        <f t="shared" si="46"/>
        <v>10</v>
      </c>
      <c r="BC77" s="81">
        <f t="shared" si="46"/>
        <v>0</v>
      </c>
      <c r="BD77" s="81">
        <f t="shared" si="46"/>
        <v>0</v>
      </c>
      <c r="BE77" s="81">
        <f t="shared" si="46"/>
        <v>1</v>
      </c>
      <c r="BF77" s="81">
        <f t="shared" si="46"/>
        <v>325</v>
      </c>
      <c r="BG77" s="81">
        <f t="shared" si="46"/>
        <v>325</v>
      </c>
      <c r="BH77" s="81">
        <f t="shared" si="46"/>
        <v>134</v>
      </c>
      <c r="BI77" s="81">
        <f t="shared" si="46"/>
        <v>123</v>
      </c>
      <c r="BJ77" s="81">
        <f t="shared" si="46"/>
        <v>296</v>
      </c>
      <c r="BK77" s="81">
        <f t="shared" si="46"/>
        <v>306</v>
      </c>
      <c r="BL77" s="81">
        <f t="shared" si="46"/>
        <v>306</v>
      </c>
      <c r="BM77" s="81">
        <f t="shared" si="46"/>
        <v>292.60000000000002</v>
      </c>
      <c r="BN77" s="81">
        <f t="shared" si="46"/>
        <v>358</v>
      </c>
      <c r="BO77" s="81">
        <f t="shared" si="46"/>
        <v>351.5</v>
      </c>
      <c r="BP77" s="81">
        <f t="shared" si="46"/>
        <v>327</v>
      </c>
      <c r="BQ77" s="81">
        <f t="shared" si="46"/>
        <v>218</v>
      </c>
      <c r="BR77" s="81">
        <f t="shared" si="46"/>
        <v>0</v>
      </c>
      <c r="BS77" s="81">
        <f t="shared" si="46"/>
        <v>0</v>
      </c>
      <c r="BT77" s="81">
        <f t="shared" si="46"/>
        <v>0</v>
      </c>
      <c r="BU77" s="81">
        <f t="shared" si="46"/>
        <v>0</v>
      </c>
      <c r="BV77" s="81">
        <f t="shared" si="46"/>
        <v>0</v>
      </c>
      <c r="BW77" s="81">
        <f t="shared" si="46"/>
        <v>219</v>
      </c>
    </row>
    <row r="78" spans="1:75" x14ac:dyDescent="0.25">
      <c r="A78" s="64" t="s">
        <v>101</v>
      </c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65">
        <v>32</v>
      </c>
      <c r="AH78" s="48">
        <f t="shared" si="8"/>
        <v>0</v>
      </c>
      <c r="AI78" s="49">
        <f t="shared" si="9"/>
        <v>0</v>
      </c>
      <c r="AK78" s="51"/>
      <c r="AZ78" s="81">
        <f t="shared" si="46"/>
        <v>21</v>
      </c>
      <c r="BA78" s="81">
        <f t="shared" si="46"/>
        <v>21.5</v>
      </c>
      <c r="BB78" s="81">
        <f t="shared" si="46"/>
        <v>22</v>
      </c>
      <c r="BC78" s="81">
        <f t="shared" si="46"/>
        <v>21</v>
      </c>
      <c r="BD78" s="81">
        <f t="shared" si="46"/>
        <v>21.5</v>
      </c>
      <c r="BE78" s="81">
        <f t="shared" si="46"/>
        <v>44.6</v>
      </c>
      <c r="BF78" s="81">
        <f t="shared" si="46"/>
        <v>33</v>
      </c>
      <c r="BG78" s="81">
        <f t="shared" si="46"/>
        <v>35.799999999999997</v>
      </c>
      <c r="BH78" s="81">
        <f t="shared" si="46"/>
        <v>43</v>
      </c>
      <c r="BI78" s="81">
        <f t="shared" si="46"/>
        <v>34</v>
      </c>
      <c r="BJ78" s="81">
        <f t="shared" si="46"/>
        <v>35.9</v>
      </c>
      <c r="BK78" s="81">
        <f t="shared" si="46"/>
        <v>38.200000000000003</v>
      </c>
      <c r="BL78" s="81">
        <f t="shared" si="46"/>
        <v>38.200000000000003</v>
      </c>
      <c r="BM78" s="81">
        <f t="shared" si="46"/>
        <v>48</v>
      </c>
      <c r="BN78" s="81">
        <f t="shared" si="46"/>
        <v>46.7</v>
      </c>
      <c r="BO78" s="81">
        <f t="shared" si="46"/>
        <v>55.6</v>
      </c>
      <c r="BP78" s="81">
        <f t="shared" si="46"/>
        <v>50.6</v>
      </c>
      <c r="BQ78" s="81">
        <f t="shared" si="46"/>
        <v>25</v>
      </c>
      <c r="BR78" s="81">
        <f t="shared" si="46"/>
        <v>0</v>
      </c>
      <c r="BS78" s="81">
        <f t="shared" si="46"/>
        <v>0</v>
      </c>
      <c r="BT78" s="81">
        <f t="shared" si="46"/>
        <v>0</v>
      </c>
      <c r="BU78" s="81">
        <f t="shared" si="46"/>
        <v>0</v>
      </c>
      <c r="BV78" s="81">
        <f t="shared" si="46"/>
        <v>0</v>
      </c>
      <c r="BW78" s="81">
        <f t="shared" si="46"/>
        <v>0</v>
      </c>
    </row>
    <row r="79" spans="1:75" ht="15.75" thickBot="1" x14ac:dyDescent="0.3">
      <c r="A79" s="83" t="s">
        <v>102</v>
      </c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8">
        <v>14</v>
      </c>
      <c r="AH79" s="48">
        <f t="shared" si="8"/>
        <v>0</v>
      </c>
      <c r="AI79" s="49">
        <f t="shared" si="9"/>
        <v>0</v>
      </c>
      <c r="AK79" s="51"/>
      <c r="AZ79" s="81">
        <f t="shared" si="46"/>
        <v>19</v>
      </c>
      <c r="BA79" s="81">
        <f t="shared" si="46"/>
        <v>20</v>
      </c>
      <c r="BB79" s="81">
        <f t="shared" si="46"/>
        <v>20.100000000000001</v>
      </c>
      <c r="BC79" s="81">
        <f t="shared" si="46"/>
        <v>19</v>
      </c>
      <c r="BD79" s="81">
        <f t="shared" si="46"/>
        <v>18</v>
      </c>
      <c r="BE79" s="81">
        <f t="shared" si="46"/>
        <v>20.6</v>
      </c>
      <c r="BF79" s="81">
        <f t="shared" si="46"/>
        <v>110</v>
      </c>
      <c r="BG79" s="81">
        <f t="shared" si="46"/>
        <v>86.2</v>
      </c>
      <c r="BH79" s="81">
        <f t="shared" si="46"/>
        <v>115</v>
      </c>
      <c r="BI79" s="81">
        <f t="shared" si="46"/>
        <v>148</v>
      </c>
      <c r="BJ79" s="81">
        <f t="shared" si="46"/>
        <v>155</v>
      </c>
      <c r="BK79" s="81">
        <f t="shared" si="46"/>
        <v>105</v>
      </c>
      <c r="BL79" s="81">
        <f t="shared" si="46"/>
        <v>105</v>
      </c>
      <c r="BM79" s="81">
        <f t="shared" si="46"/>
        <v>105</v>
      </c>
      <c r="BN79" s="81">
        <f t="shared" si="46"/>
        <v>101.1</v>
      </c>
      <c r="BO79" s="81">
        <f t="shared" si="46"/>
        <v>117.1</v>
      </c>
      <c r="BP79" s="81">
        <f t="shared" si="46"/>
        <v>106.4</v>
      </c>
      <c r="BQ79" s="81">
        <f t="shared" si="46"/>
        <v>101.1</v>
      </c>
      <c r="BR79" s="81">
        <f t="shared" si="46"/>
        <v>0</v>
      </c>
      <c r="BS79" s="81">
        <f t="shared" si="46"/>
        <v>0</v>
      </c>
      <c r="BT79" s="81">
        <f t="shared" si="46"/>
        <v>0</v>
      </c>
      <c r="BU79" s="81">
        <f t="shared" si="46"/>
        <v>0</v>
      </c>
      <c r="BV79" s="81">
        <f t="shared" si="46"/>
        <v>0</v>
      </c>
      <c r="BW79" s="81">
        <f t="shared" si="46"/>
        <v>0</v>
      </c>
    </row>
    <row r="80" spans="1:75" ht="15.75" thickBot="1" x14ac:dyDescent="0.3">
      <c r="A80" s="86" t="s">
        <v>103</v>
      </c>
      <c r="B80" s="70">
        <f t="shared" ref="B80:C80" si="47">B77+B78+B79</f>
        <v>0</v>
      </c>
      <c r="C80" s="70">
        <f t="shared" si="47"/>
        <v>0</v>
      </c>
      <c r="D80" s="70">
        <f t="shared" ref="D80:AE80" si="48">D77+D78+D79</f>
        <v>0</v>
      </c>
      <c r="E80" s="70">
        <f t="shared" si="48"/>
        <v>0</v>
      </c>
      <c r="F80" s="70">
        <f t="shared" si="48"/>
        <v>0</v>
      </c>
      <c r="G80" s="70">
        <f t="shared" si="48"/>
        <v>0</v>
      </c>
      <c r="H80" s="70">
        <f t="shared" si="48"/>
        <v>0</v>
      </c>
      <c r="I80" s="70">
        <f t="shared" si="48"/>
        <v>0</v>
      </c>
      <c r="J80" s="70">
        <f t="shared" si="48"/>
        <v>0</v>
      </c>
      <c r="K80" s="70">
        <f t="shared" si="48"/>
        <v>0</v>
      </c>
      <c r="L80" s="70">
        <f t="shared" si="48"/>
        <v>0</v>
      </c>
      <c r="M80" s="70">
        <f t="shared" si="48"/>
        <v>0</v>
      </c>
      <c r="N80" s="70">
        <f t="shared" si="48"/>
        <v>0</v>
      </c>
      <c r="O80" s="70">
        <f t="shared" si="48"/>
        <v>0</v>
      </c>
      <c r="P80" s="70">
        <f t="shared" si="48"/>
        <v>0</v>
      </c>
      <c r="Q80" s="70">
        <f t="shared" si="48"/>
        <v>0</v>
      </c>
      <c r="R80" s="70">
        <f t="shared" si="48"/>
        <v>0</v>
      </c>
      <c r="S80" s="70">
        <f t="shared" si="48"/>
        <v>0</v>
      </c>
      <c r="T80" s="70">
        <f t="shared" si="48"/>
        <v>0</v>
      </c>
      <c r="U80" s="70">
        <f t="shared" si="48"/>
        <v>0</v>
      </c>
      <c r="V80" s="70">
        <f t="shared" si="48"/>
        <v>0</v>
      </c>
      <c r="W80" s="70">
        <f t="shared" si="48"/>
        <v>0</v>
      </c>
      <c r="X80" s="70">
        <f t="shared" si="48"/>
        <v>0</v>
      </c>
      <c r="Y80" s="70">
        <f>Y77+Y78+Y79</f>
        <v>0</v>
      </c>
      <c r="Z80" s="70">
        <f>Z77+Z78+Z79</f>
        <v>0</v>
      </c>
      <c r="AA80" s="70">
        <f t="shared" si="48"/>
        <v>0</v>
      </c>
      <c r="AB80" s="70">
        <f t="shared" si="48"/>
        <v>0</v>
      </c>
      <c r="AC80" s="70">
        <f t="shared" si="48"/>
        <v>0</v>
      </c>
      <c r="AD80" s="70">
        <v>0</v>
      </c>
      <c r="AE80" s="70">
        <f t="shared" si="48"/>
        <v>0</v>
      </c>
      <c r="AF80" s="70">
        <f t="shared" ref="AF80" si="49">AF77+AF78+AF79</f>
        <v>0</v>
      </c>
      <c r="AG80" s="71">
        <f>SUM(AG77:AG79)</f>
        <v>106</v>
      </c>
      <c r="AH80" s="48">
        <f t="shared" si="8"/>
        <v>0</v>
      </c>
      <c r="AI80" s="49">
        <f t="shared" si="9"/>
        <v>0</v>
      </c>
      <c r="AK80" s="51"/>
      <c r="AZ80" s="81">
        <f t="shared" si="46"/>
        <v>56</v>
      </c>
      <c r="BA80" s="81">
        <f t="shared" si="46"/>
        <v>80.599999999999994</v>
      </c>
      <c r="BB80" s="81">
        <f t="shared" si="46"/>
        <v>80</v>
      </c>
      <c r="BC80" s="81">
        <f t="shared" si="46"/>
        <v>80.099999999999994</v>
      </c>
      <c r="BD80" s="81">
        <f t="shared" si="46"/>
        <v>74.599999999999994</v>
      </c>
      <c r="BE80" s="81">
        <f t="shared" si="46"/>
        <v>76</v>
      </c>
      <c r="BF80" s="81">
        <f t="shared" si="46"/>
        <v>53.2</v>
      </c>
      <c r="BG80" s="81">
        <f t="shared" si="46"/>
        <v>43.5</v>
      </c>
      <c r="BH80" s="81">
        <f t="shared" si="46"/>
        <v>51.6</v>
      </c>
      <c r="BI80" s="81">
        <f t="shared" si="46"/>
        <v>56</v>
      </c>
      <c r="BJ80" s="81">
        <f t="shared" si="46"/>
        <v>55.6</v>
      </c>
      <c r="BK80" s="81">
        <f t="shared" si="46"/>
        <v>58.2</v>
      </c>
      <c r="BL80" s="81">
        <f t="shared" si="46"/>
        <v>58.2</v>
      </c>
      <c r="BM80" s="81">
        <f t="shared" si="46"/>
        <v>58.2</v>
      </c>
      <c r="BN80" s="81">
        <f t="shared" si="46"/>
        <v>59.8</v>
      </c>
      <c r="BO80" s="81">
        <f t="shared" si="46"/>
        <v>65.599999999999994</v>
      </c>
      <c r="BP80" s="81">
        <f t="shared" si="46"/>
        <v>59.3</v>
      </c>
      <c r="BQ80" s="81">
        <f t="shared" si="46"/>
        <v>49</v>
      </c>
      <c r="BR80" s="81">
        <f t="shared" si="46"/>
        <v>68.8</v>
      </c>
      <c r="BS80" s="81">
        <f t="shared" si="46"/>
        <v>0</v>
      </c>
      <c r="BT80" s="81">
        <f t="shared" si="46"/>
        <v>62</v>
      </c>
      <c r="BU80" s="81">
        <f t="shared" si="46"/>
        <v>65</v>
      </c>
      <c r="BV80" s="81">
        <f t="shared" si="46"/>
        <v>72</v>
      </c>
      <c r="BW80" s="81">
        <f t="shared" si="46"/>
        <v>0</v>
      </c>
    </row>
    <row r="81" spans="1:64" x14ac:dyDescent="0.25">
      <c r="A81" s="45" t="s">
        <v>104</v>
      </c>
      <c r="B81" s="46">
        <v>58.9</v>
      </c>
      <c r="C81" s="46">
        <v>35</v>
      </c>
      <c r="D81" s="46">
        <v>25</v>
      </c>
      <c r="E81" s="46">
        <v>13.8</v>
      </c>
      <c r="F81" s="46">
        <v>14.1</v>
      </c>
      <c r="G81" s="46">
        <v>13.5</v>
      </c>
      <c r="H81" s="46">
        <v>13.9</v>
      </c>
      <c r="I81" s="46">
        <v>13.8</v>
      </c>
      <c r="J81" s="46">
        <v>40</v>
      </c>
      <c r="K81" s="46">
        <v>38.299999999999997</v>
      </c>
      <c r="L81" s="46">
        <v>36.4</v>
      </c>
      <c r="M81" s="46">
        <v>37.799999999999997</v>
      </c>
      <c r="N81" s="46">
        <v>50.4</v>
      </c>
      <c r="O81" s="46">
        <v>50</v>
      </c>
      <c r="P81" s="46">
        <v>52.3</v>
      </c>
      <c r="Q81" s="46">
        <v>49.9</v>
      </c>
      <c r="R81" s="46">
        <v>49.9</v>
      </c>
      <c r="S81" s="46">
        <v>52.6</v>
      </c>
      <c r="T81" s="46">
        <v>48.8</v>
      </c>
      <c r="U81" s="46">
        <v>53.7</v>
      </c>
      <c r="V81" s="46">
        <v>45.2</v>
      </c>
      <c r="W81" s="46">
        <v>36.299999999999997</v>
      </c>
      <c r="X81" s="46">
        <v>35.700000000000003</v>
      </c>
      <c r="Y81" s="46">
        <v>22.1</v>
      </c>
      <c r="Z81" s="46">
        <v>38.5</v>
      </c>
      <c r="AA81" s="46">
        <v>38</v>
      </c>
      <c r="AB81" s="46"/>
      <c r="AC81" s="46"/>
      <c r="AD81" s="46">
        <v>40</v>
      </c>
      <c r="AE81" s="46">
        <v>41</v>
      </c>
      <c r="AF81" s="46">
        <v>36</v>
      </c>
      <c r="AG81" s="60"/>
      <c r="AH81" s="48">
        <f t="shared" si="8"/>
        <v>58.9</v>
      </c>
      <c r="AI81" s="49">
        <f t="shared" si="9"/>
        <v>13.5</v>
      </c>
      <c r="AK81" s="51"/>
      <c r="AY81" s="81"/>
    </row>
    <row r="82" spans="1:64" x14ac:dyDescent="0.25">
      <c r="A82" s="64" t="s">
        <v>105</v>
      </c>
      <c r="B82" s="75"/>
      <c r="C82" s="75">
        <v>129.30000000000001</v>
      </c>
      <c r="D82" s="75">
        <v>129</v>
      </c>
      <c r="E82" s="75">
        <v>128.9</v>
      </c>
      <c r="F82" s="75">
        <v>125</v>
      </c>
      <c r="G82" s="75">
        <v>122.1</v>
      </c>
      <c r="H82" s="75">
        <v>132</v>
      </c>
      <c r="I82" s="75">
        <v>133.80000000000001</v>
      </c>
      <c r="J82" s="75">
        <v>0</v>
      </c>
      <c r="K82" s="75">
        <v>0</v>
      </c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>
        <v>0</v>
      </c>
      <c r="AE82" s="75">
        <v>0</v>
      </c>
      <c r="AF82" s="75">
        <v>0</v>
      </c>
      <c r="AG82" s="65"/>
      <c r="AH82" s="48">
        <f t="shared" ref="AH82:AH125" si="50">MAX(B82:AF82)</f>
        <v>133.80000000000001</v>
      </c>
      <c r="AI82" s="49">
        <f t="shared" ref="AI82:AI125" si="51">MIN(B82:AF82)</f>
        <v>0</v>
      </c>
      <c r="AK82" s="51"/>
      <c r="AY82" s="81"/>
      <c r="BF82" s="81"/>
      <c r="BG82" s="81"/>
      <c r="BH82" s="81"/>
      <c r="BI82" s="81"/>
      <c r="BJ82" s="81"/>
      <c r="BK82" s="81"/>
    </row>
    <row r="83" spans="1:64" x14ac:dyDescent="0.25">
      <c r="A83" s="64" t="s">
        <v>106</v>
      </c>
      <c r="B83" s="75">
        <v>219</v>
      </c>
      <c r="C83" s="75">
        <v>5</v>
      </c>
      <c r="D83" s="75">
        <v>0</v>
      </c>
      <c r="E83" s="75">
        <v>10</v>
      </c>
      <c r="F83" s="75">
        <v>0</v>
      </c>
      <c r="G83" s="75">
        <v>0</v>
      </c>
      <c r="H83" s="75">
        <v>-2</v>
      </c>
      <c r="I83" s="75">
        <v>1</v>
      </c>
      <c r="J83" s="75">
        <v>148</v>
      </c>
      <c r="K83" s="75">
        <v>325</v>
      </c>
      <c r="L83" s="75">
        <v>344</v>
      </c>
      <c r="M83" s="75">
        <v>325</v>
      </c>
      <c r="N83" s="75">
        <v>134</v>
      </c>
      <c r="O83" s="75">
        <v>123</v>
      </c>
      <c r="P83" s="75">
        <v>296</v>
      </c>
      <c r="Q83" s="75">
        <v>306</v>
      </c>
      <c r="R83" s="75">
        <v>306</v>
      </c>
      <c r="S83" s="75">
        <v>292.60000000000002</v>
      </c>
      <c r="T83" s="75">
        <v>358</v>
      </c>
      <c r="U83" s="75">
        <v>351.5</v>
      </c>
      <c r="V83" s="75">
        <v>327</v>
      </c>
      <c r="W83" s="75">
        <v>345.4</v>
      </c>
      <c r="X83" s="75">
        <v>218</v>
      </c>
      <c r="Y83" s="75">
        <v>1.9</v>
      </c>
      <c r="Z83" s="75">
        <v>0</v>
      </c>
      <c r="AA83" s="75"/>
      <c r="AB83" s="75"/>
      <c r="AC83" s="75"/>
      <c r="AD83" s="75">
        <v>0</v>
      </c>
      <c r="AE83" s="75">
        <v>0</v>
      </c>
      <c r="AF83" s="75">
        <v>0</v>
      </c>
      <c r="AG83" s="87"/>
      <c r="AH83" s="48">
        <f t="shared" si="50"/>
        <v>358</v>
      </c>
      <c r="AI83" s="49">
        <f t="shared" si="51"/>
        <v>-2</v>
      </c>
      <c r="AK83" s="51"/>
      <c r="AY83" s="81"/>
      <c r="BF83" s="80"/>
      <c r="BG83" s="80"/>
      <c r="BH83" s="80"/>
      <c r="BI83" s="80"/>
      <c r="BJ83" s="80"/>
      <c r="BK83" s="81"/>
    </row>
    <row r="84" spans="1:64" x14ac:dyDescent="0.25">
      <c r="A84" s="64" t="s">
        <v>107</v>
      </c>
      <c r="B84" s="88"/>
      <c r="C84" s="88">
        <v>20.9</v>
      </c>
      <c r="D84" s="75">
        <v>21.5</v>
      </c>
      <c r="E84" s="88">
        <v>22</v>
      </c>
      <c r="F84" s="88">
        <v>21</v>
      </c>
      <c r="G84" s="88">
        <v>21.5</v>
      </c>
      <c r="H84" s="88">
        <v>40</v>
      </c>
      <c r="I84" s="88">
        <v>44.6</v>
      </c>
      <c r="J84" s="88">
        <v>40</v>
      </c>
      <c r="K84" s="88">
        <v>33</v>
      </c>
      <c r="L84" s="88">
        <v>42</v>
      </c>
      <c r="M84" s="88">
        <v>35.799999999999997</v>
      </c>
      <c r="N84" s="88">
        <v>43</v>
      </c>
      <c r="O84" s="88">
        <v>34</v>
      </c>
      <c r="P84" s="88">
        <v>35.9</v>
      </c>
      <c r="Q84" s="88">
        <v>38.200000000000003</v>
      </c>
      <c r="R84" s="88">
        <v>38.200000000000003</v>
      </c>
      <c r="S84" s="88">
        <v>48</v>
      </c>
      <c r="T84" s="88">
        <v>46.7</v>
      </c>
      <c r="U84" s="88">
        <v>55.6</v>
      </c>
      <c r="V84" s="88">
        <v>50.6</v>
      </c>
      <c r="W84" s="88">
        <v>41.2</v>
      </c>
      <c r="X84" s="88">
        <v>25</v>
      </c>
      <c r="Y84" s="88">
        <v>0</v>
      </c>
      <c r="Z84" s="88">
        <v>0</v>
      </c>
      <c r="AA84" s="88"/>
      <c r="AB84" s="88"/>
      <c r="AC84" s="88"/>
      <c r="AD84" s="88">
        <v>0</v>
      </c>
      <c r="AE84" s="88">
        <v>0</v>
      </c>
      <c r="AF84" s="88">
        <v>0</v>
      </c>
      <c r="AG84" s="87"/>
      <c r="AH84" s="48">
        <f t="shared" si="50"/>
        <v>55.6</v>
      </c>
      <c r="AI84" s="49">
        <f t="shared" si="51"/>
        <v>0</v>
      </c>
      <c r="AK84" s="51"/>
      <c r="AY84" s="81"/>
      <c r="BF84" s="80"/>
      <c r="BG84" s="81">
        <f t="array" ref="BG84:BL107">TRANSPOSE(AZ68:BW73)</f>
        <v>35</v>
      </c>
      <c r="BH84" s="81">
        <v>129</v>
      </c>
      <c r="BI84" s="81">
        <v>5</v>
      </c>
      <c r="BJ84" s="81">
        <v>21</v>
      </c>
      <c r="BK84" s="81">
        <v>19</v>
      </c>
      <c r="BL84" s="81">
        <v>56</v>
      </c>
    </row>
    <row r="85" spans="1:64" x14ac:dyDescent="0.25">
      <c r="A85" s="64" t="s">
        <v>108</v>
      </c>
      <c r="B85" s="46"/>
      <c r="C85" s="46">
        <v>18.600000000000001</v>
      </c>
      <c r="D85" s="46">
        <v>20</v>
      </c>
      <c r="E85" s="46">
        <v>20.100000000000001</v>
      </c>
      <c r="F85" s="46">
        <v>19</v>
      </c>
      <c r="G85" s="46">
        <v>18</v>
      </c>
      <c r="H85" s="46">
        <v>18</v>
      </c>
      <c r="I85" s="46">
        <v>20.6</v>
      </c>
      <c r="J85" s="46">
        <v>90</v>
      </c>
      <c r="K85" s="46">
        <v>110</v>
      </c>
      <c r="L85" s="46">
        <v>95</v>
      </c>
      <c r="M85" s="46">
        <v>86.2</v>
      </c>
      <c r="N85" s="46">
        <v>115</v>
      </c>
      <c r="O85" s="46">
        <v>148</v>
      </c>
      <c r="P85" s="46">
        <v>155</v>
      </c>
      <c r="Q85" s="46">
        <v>105</v>
      </c>
      <c r="R85" s="46">
        <v>105</v>
      </c>
      <c r="S85" s="46">
        <v>105</v>
      </c>
      <c r="T85" s="46">
        <v>101.1</v>
      </c>
      <c r="U85" s="46">
        <v>117.1</v>
      </c>
      <c r="V85" s="46">
        <v>106.4</v>
      </c>
      <c r="W85" s="46">
        <v>88.2</v>
      </c>
      <c r="X85" s="46">
        <v>101.1</v>
      </c>
      <c r="Y85" s="46">
        <v>0</v>
      </c>
      <c r="Z85" s="46">
        <v>0</v>
      </c>
      <c r="AA85" s="46"/>
      <c r="AB85" s="46"/>
      <c r="AC85" s="46"/>
      <c r="AD85" s="46">
        <v>0</v>
      </c>
      <c r="AE85" s="46">
        <v>0</v>
      </c>
      <c r="AF85" s="46">
        <v>0</v>
      </c>
      <c r="AG85" s="87"/>
      <c r="AH85" s="48">
        <f t="shared" si="50"/>
        <v>155</v>
      </c>
      <c r="AI85" s="49">
        <f t="shared" si="51"/>
        <v>0</v>
      </c>
      <c r="AK85" s="51"/>
      <c r="AY85" s="81"/>
      <c r="BF85" s="80"/>
      <c r="BG85" s="81">
        <v>25</v>
      </c>
      <c r="BH85" s="81">
        <v>129</v>
      </c>
      <c r="BI85" s="81">
        <v>0</v>
      </c>
      <c r="BJ85" s="81">
        <v>21.5</v>
      </c>
      <c r="BK85" s="81">
        <v>20</v>
      </c>
      <c r="BL85" s="81">
        <v>80.599999999999994</v>
      </c>
    </row>
    <row r="86" spans="1:64" x14ac:dyDescent="0.25">
      <c r="A86" s="64" t="s">
        <v>109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7"/>
      <c r="AH86" s="48">
        <f t="shared" si="50"/>
        <v>0</v>
      </c>
      <c r="AI86" s="49">
        <f t="shared" si="51"/>
        <v>0</v>
      </c>
      <c r="AK86" s="51"/>
      <c r="AY86" s="81"/>
      <c r="BF86" s="80"/>
      <c r="BG86" s="81">
        <v>13.8</v>
      </c>
      <c r="BH86" s="81">
        <v>128.9</v>
      </c>
      <c r="BI86" s="81">
        <v>10</v>
      </c>
      <c r="BJ86" s="81">
        <v>22</v>
      </c>
      <c r="BK86" s="81">
        <v>20.100000000000001</v>
      </c>
      <c r="BL86" s="81">
        <v>80</v>
      </c>
    </row>
    <row r="87" spans="1:64" ht="15.75" thickBot="1" x14ac:dyDescent="0.3">
      <c r="A87" s="64" t="s">
        <v>110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7"/>
      <c r="AH87" s="48">
        <f t="shared" si="50"/>
        <v>0</v>
      </c>
      <c r="AI87" s="49">
        <f t="shared" si="51"/>
        <v>0</v>
      </c>
      <c r="AK87" s="51"/>
      <c r="AL87" s="90" t="s">
        <v>111</v>
      </c>
      <c r="AM87" s="90"/>
      <c r="AY87" s="81"/>
      <c r="BF87" s="81"/>
      <c r="BG87" s="81">
        <v>14.1</v>
      </c>
      <c r="BH87" s="81">
        <v>125</v>
      </c>
      <c r="BI87" s="81">
        <v>0</v>
      </c>
      <c r="BJ87" s="81">
        <v>21</v>
      </c>
      <c r="BK87" s="81">
        <v>19</v>
      </c>
      <c r="BL87" s="81">
        <v>80.099999999999994</v>
      </c>
    </row>
    <row r="88" spans="1:64" x14ac:dyDescent="0.25">
      <c r="A88" s="64" t="s">
        <v>112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7"/>
      <c r="AH88" s="48">
        <f t="shared" si="50"/>
        <v>0</v>
      </c>
      <c r="AI88" s="49">
        <f t="shared" si="51"/>
        <v>0</v>
      </c>
      <c r="AK88" s="91"/>
      <c r="AL88" s="92"/>
      <c r="AM88" s="92"/>
      <c r="AN88" s="93"/>
      <c r="AY88" s="81"/>
      <c r="BF88" s="81"/>
      <c r="BG88" s="81">
        <v>13.5</v>
      </c>
      <c r="BH88" s="81">
        <v>122.1</v>
      </c>
      <c r="BI88" s="81">
        <v>0</v>
      </c>
      <c r="BJ88" s="81">
        <v>21.5</v>
      </c>
      <c r="BK88" s="81">
        <v>18</v>
      </c>
      <c r="BL88" s="81">
        <v>74.599999999999994</v>
      </c>
    </row>
    <row r="89" spans="1:64" x14ac:dyDescent="0.25">
      <c r="A89" s="64" t="s">
        <v>113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7"/>
      <c r="AH89" s="48">
        <f t="shared" si="50"/>
        <v>0</v>
      </c>
      <c r="AI89" s="49">
        <f t="shared" si="51"/>
        <v>0</v>
      </c>
      <c r="AK89" s="94" t="s">
        <v>114</v>
      </c>
      <c r="AL89" s="75"/>
      <c r="AM89" s="88"/>
      <c r="AN89" s="95"/>
      <c r="AY89" s="81"/>
      <c r="BF89" s="81"/>
      <c r="BG89" s="81">
        <v>13.8</v>
      </c>
      <c r="BH89" s="81">
        <v>133.80000000000001</v>
      </c>
      <c r="BI89" s="81">
        <v>1</v>
      </c>
      <c r="BJ89" s="81">
        <v>44.6</v>
      </c>
      <c r="BK89" s="81">
        <v>20.6</v>
      </c>
      <c r="BL89" s="81">
        <v>76</v>
      </c>
    </row>
    <row r="90" spans="1:64" x14ac:dyDescent="0.25">
      <c r="A90" s="96" t="s">
        <v>115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97"/>
      <c r="AH90" s="48">
        <f t="shared" si="50"/>
        <v>0</v>
      </c>
      <c r="AI90" s="49">
        <f t="shared" si="51"/>
        <v>0</v>
      </c>
      <c r="AK90" s="94" t="s">
        <v>116</v>
      </c>
      <c r="AL90" s="88"/>
      <c r="AM90" s="88"/>
      <c r="AN90" s="95"/>
      <c r="AY90" s="81"/>
      <c r="BF90" s="81"/>
      <c r="BG90" s="81">
        <v>38.299999999999997</v>
      </c>
      <c r="BH90" s="81">
        <v>0</v>
      </c>
      <c r="BI90" s="81">
        <v>325</v>
      </c>
      <c r="BJ90" s="81">
        <v>33</v>
      </c>
      <c r="BK90" s="81">
        <v>110</v>
      </c>
      <c r="BL90" s="81">
        <v>53.2</v>
      </c>
    </row>
    <row r="91" spans="1:64" ht="15.75" thickBot="1" x14ac:dyDescent="0.3">
      <c r="A91" s="96" t="s">
        <v>117</v>
      </c>
      <c r="B91" s="89"/>
      <c r="C91" s="89">
        <v>55.9</v>
      </c>
      <c r="D91" s="89">
        <v>80.599999999999994</v>
      </c>
      <c r="E91" s="89">
        <v>80</v>
      </c>
      <c r="F91" s="89">
        <v>80.099999999999994</v>
      </c>
      <c r="G91" s="89">
        <v>74.599999999999994</v>
      </c>
      <c r="H91" s="89">
        <v>75.7</v>
      </c>
      <c r="I91" s="89">
        <v>76</v>
      </c>
      <c r="J91" s="89">
        <v>50</v>
      </c>
      <c r="K91" s="89">
        <v>53.2</v>
      </c>
      <c r="L91" s="89">
        <v>48</v>
      </c>
      <c r="M91" s="89">
        <v>43.5</v>
      </c>
      <c r="N91" s="89">
        <v>51.6</v>
      </c>
      <c r="O91" s="89">
        <v>56</v>
      </c>
      <c r="P91" s="89">
        <v>55.6</v>
      </c>
      <c r="Q91" s="89">
        <v>58.2</v>
      </c>
      <c r="R91" s="89">
        <v>58.2</v>
      </c>
      <c r="S91" s="89">
        <v>58.2</v>
      </c>
      <c r="T91" s="89">
        <v>59.8</v>
      </c>
      <c r="U91" s="89">
        <v>65.599999999999994</v>
      </c>
      <c r="V91" s="89">
        <v>59.3</v>
      </c>
      <c r="W91" s="89">
        <v>50.1</v>
      </c>
      <c r="X91" s="89">
        <v>49</v>
      </c>
      <c r="Y91" s="89">
        <v>68.3</v>
      </c>
      <c r="Z91" s="89">
        <v>68.8</v>
      </c>
      <c r="AA91" s="89">
        <v>72.5</v>
      </c>
      <c r="AB91" s="89"/>
      <c r="AC91" s="89"/>
      <c r="AD91" s="89">
        <v>62</v>
      </c>
      <c r="AE91" s="89">
        <v>65</v>
      </c>
      <c r="AF91" s="89">
        <v>72</v>
      </c>
      <c r="AG91" s="97"/>
      <c r="AH91" s="48">
        <f t="shared" si="50"/>
        <v>80.599999999999994</v>
      </c>
      <c r="AI91" s="49">
        <f t="shared" si="51"/>
        <v>43.5</v>
      </c>
      <c r="AK91" s="98"/>
      <c r="AL91" s="46"/>
      <c r="AM91" s="46"/>
      <c r="AN91" s="99"/>
      <c r="AY91" s="81"/>
      <c r="BF91" s="81"/>
      <c r="BG91" s="81">
        <v>37.799999999999997</v>
      </c>
      <c r="BH91" s="81">
        <v>0</v>
      </c>
      <c r="BI91" s="81">
        <v>325</v>
      </c>
      <c r="BJ91" s="81">
        <v>35.799999999999997</v>
      </c>
      <c r="BK91" s="81">
        <v>86.2</v>
      </c>
      <c r="BL91" s="81">
        <v>43.5</v>
      </c>
    </row>
    <row r="92" spans="1:64" ht="15.75" thickBot="1" x14ac:dyDescent="0.3">
      <c r="A92" s="86" t="s">
        <v>118</v>
      </c>
      <c r="B92" s="70">
        <f t="shared" ref="B92:C92" si="52">SUMIF(B81:B91,"&gt;0")</f>
        <v>277.89999999999998</v>
      </c>
      <c r="C92" s="70">
        <f t="shared" si="52"/>
        <v>264.7</v>
      </c>
      <c r="D92" s="70">
        <f t="shared" ref="D92:AE92" si="53">SUMIF(D81:D91,"&gt;0")</f>
        <v>276.10000000000002</v>
      </c>
      <c r="E92" s="70">
        <f t="shared" si="53"/>
        <v>274.8</v>
      </c>
      <c r="F92" s="70">
        <f t="shared" si="53"/>
        <v>259.2</v>
      </c>
      <c r="G92" s="70">
        <f t="shared" si="53"/>
        <v>249.7</v>
      </c>
      <c r="H92" s="70">
        <f t="shared" si="53"/>
        <v>279.60000000000002</v>
      </c>
      <c r="I92" s="70">
        <f t="shared" si="53"/>
        <v>289.8</v>
      </c>
      <c r="J92" s="70">
        <f t="shared" si="53"/>
        <v>368</v>
      </c>
      <c r="K92" s="70">
        <f t="shared" si="53"/>
        <v>559.5</v>
      </c>
      <c r="L92" s="70">
        <f t="shared" si="53"/>
        <v>565.4</v>
      </c>
      <c r="M92" s="70">
        <f t="shared" si="53"/>
        <v>528.29999999999995</v>
      </c>
      <c r="N92" s="70">
        <f t="shared" si="53"/>
        <v>394</v>
      </c>
      <c r="O92" s="70">
        <f t="shared" si="53"/>
        <v>411</v>
      </c>
      <c r="P92" s="70">
        <f t="shared" si="53"/>
        <v>594.80000000000007</v>
      </c>
      <c r="Q92" s="70">
        <f t="shared" si="53"/>
        <v>557.29999999999995</v>
      </c>
      <c r="R92" s="70">
        <f t="shared" si="53"/>
        <v>557.29999999999995</v>
      </c>
      <c r="S92" s="70">
        <f t="shared" si="53"/>
        <v>556.40000000000009</v>
      </c>
      <c r="T92" s="70">
        <f t="shared" si="53"/>
        <v>614.4</v>
      </c>
      <c r="U92" s="70">
        <f t="shared" si="53"/>
        <v>643.5</v>
      </c>
      <c r="V92" s="70">
        <f t="shared" si="53"/>
        <v>588.5</v>
      </c>
      <c r="W92" s="70">
        <f t="shared" si="53"/>
        <v>561.19999999999993</v>
      </c>
      <c r="X92" s="70">
        <f t="shared" si="53"/>
        <v>428.79999999999995</v>
      </c>
      <c r="Y92" s="70">
        <f>SUMIF(Y81:Y91,"&gt;0")</f>
        <v>92.3</v>
      </c>
      <c r="Z92" s="70">
        <f>SUMIF(Z81:Z91,"&gt;0")</f>
        <v>107.3</v>
      </c>
      <c r="AA92" s="70">
        <f t="shared" si="53"/>
        <v>110.5</v>
      </c>
      <c r="AB92" s="70">
        <f t="shared" si="53"/>
        <v>0</v>
      </c>
      <c r="AC92" s="70">
        <f t="shared" si="53"/>
        <v>0</v>
      </c>
      <c r="AD92" s="70">
        <v>110.5</v>
      </c>
      <c r="AE92" s="70">
        <f t="shared" si="53"/>
        <v>106</v>
      </c>
      <c r="AF92" s="70">
        <f t="shared" ref="AF92" si="54">SUMIF(AF81:AF91,"&gt;0")</f>
        <v>108</v>
      </c>
      <c r="AG92" s="100">
        <f>SUM(AG81:AG91)</f>
        <v>0</v>
      </c>
      <c r="AH92" s="48">
        <f t="shared" si="50"/>
        <v>643.5</v>
      </c>
      <c r="AI92" s="49">
        <f t="shared" si="51"/>
        <v>0</v>
      </c>
      <c r="AK92" s="98"/>
      <c r="AL92" s="89"/>
      <c r="AM92" s="101"/>
      <c r="AN92" s="202"/>
      <c r="AY92" s="81"/>
      <c r="BF92" s="81"/>
      <c r="BG92" s="81">
        <v>50.4</v>
      </c>
      <c r="BH92" s="81">
        <v>0</v>
      </c>
      <c r="BI92" s="81">
        <v>134</v>
      </c>
      <c r="BJ92" s="81">
        <v>43</v>
      </c>
      <c r="BK92" s="81">
        <v>115</v>
      </c>
      <c r="BL92" s="81">
        <v>51.6</v>
      </c>
    </row>
    <row r="93" spans="1:64" x14ac:dyDescent="0.25">
      <c r="A93" s="45" t="s">
        <v>119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50"/>
        <v>0</v>
      </c>
      <c r="AI93" s="49">
        <f t="shared" si="51"/>
        <v>0</v>
      </c>
      <c r="AK93" s="98"/>
      <c r="AL93" s="89"/>
      <c r="AM93" s="89"/>
      <c r="AN93" s="203"/>
      <c r="BF93" s="81"/>
      <c r="BG93" s="81">
        <v>50</v>
      </c>
      <c r="BH93" s="81">
        <v>0</v>
      </c>
      <c r="BI93" s="81">
        <v>123</v>
      </c>
      <c r="BJ93" s="81">
        <v>34</v>
      </c>
      <c r="BK93" s="81">
        <v>148</v>
      </c>
      <c r="BL93" s="81">
        <v>56</v>
      </c>
    </row>
    <row r="94" spans="1:64" ht="15.75" thickBot="1" x14ac:dyDescent="0.3">
      <c r="A94" s="64" t="s">
        <v>120</v>
      </c>
      <c r="B94" s="89">
        <v>0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50"/>
        <v>0</v>
      </c>
      <c r="AI94" s="49">
        <f t="shared" si="51"/>
        <v>0</v>
      </c>
      <c r="AK94" s="103"/>
      <c r="AL94" s="104"/>
      <c r="AM94" s="104"/>
      <c r="AN94" s="105"/>
      <c r="BF94" s="81"/>
      <c r="BG94" s="81">
        <v>52.3</v>
      </c>
      <c r="BH94" s="81">
        <v>0</v>
      </c>
      <c r="BI94" s="81">
        <v>296</v>
      </c>
      <c r="BJ94" s="81">
        <v>35.9</v>
      </c>
      <c r="BK94" s="81">
        <v>155</v>
      </c>
      <c r="BL94" s="81">
        <v>55.6</v>
      </c>
    </row>
    <row r="95" spans="1:64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0</v>
      </c>
      <c r="Y95" s="106">
        <v>0</v>
      </c>
      <c r="Z95" s="106">
        <v>0</v>
      </c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50"/>
        <v>0</v>
      </c>
      <c r="AI95" s="49">
        <f t="shared" si="51"/>
        <v>0</v>
      </c>
      <c r="BF95" s="81"/>
      <c r="BG95" s="81">
        <v>49.9</v>
      </c>
      <c r="BH95" s="81">
        <v>0</v>
      </c>
      <c r="BI95" s="81">
        <v>306</v>
      </c>
      <c r="BJ95" s="81">
        <v>38.200000000000003</v>
      </c>
      <c r="BK95" s="81">
        <v>105</v>
      </c>
      <c r="BL95" s="81">
        <v>58.2</v>
      </c>
    </row>
    <row r="96" spans="1:64" ht="15.75" thickBot="1" x14ac:dyDescent="0.3">
      <c r="A96" s="86" t="s">
        <v>122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>
        <v>0</v>
      </c>
      <c r="Y96" s="70"/>
      <c r="Z96" s="70"/>
      <c r="AA96" s="70"/>
      <c r="AB96" s="70"/>
      <c r="AC96" s="70"/>
      <c r="AD96" s="70"/>
      <c r="AE96" s="70"/>
      <c r="AF96" s="70"/>
      <c r="AG96" s="100">
        <f>SUM(AG93:AG95)</f>
        <v>55.4</v>
      </c>
      <c r="AH96" s="48">
        <f t="shared" si="50"/>
        <v>0</v>
      </c>
      <c r="AI96" s="49">
        <f t="shared" si="51"/>
        <v>0</v>
      </c>
      <c r="BF96" s="81"/>
      <c r="BG96" s="81">
        <v>49.9</v>
      </c>
      <c r="BH96" s="81">
        <v>0</v>
      </c>
      <c r="BI96" s="81">
        <v>306</v>
      </c>
      <c r="BJ96" s="81">
        <v>38.200000000000003</v>
      </c>
      <c r="BK96" s="81">
        <v>105</v>
      </c>
      <c r="BL96" s="81">
        <v>58.2</v>
      </c>
    </row>
    <row r="97" spans="1:64" ht="15.75" thickBot="1" x14ac:dyDescent="0.3">
      <c r="A97" s="86" t="s">
        <v>123</v>
      </c>
      <c r="B97" s="107">
        <f t="shared" ref="B97:C97" si="55">B58+B62+B80+B76+B92+B96</f>
        <v>1254.0900000000001</v>
      </c>
      <c r="C97" s="107">
        <f t="shared" si="55"/>
        <v>1170.6899999999998</v>
      </c>
      <c r="D97" s="107">
        <f t="shared" ref="D97:AG97" si="56">D58+D62+D80+D76+D92+D96</f>
        <v>1191.69</v>
      </c>
      <c r="E97" s="107">
        <f t="shared" si="56"/>
        <v>1188.5899999999999</v>
      </c>
      <c r="F97" s="107">
        <f t="shared" si="56"/>
        <v>1184.3899999999999</v>
      </c>
      <c r="G97" s="107">
        <f t="shared" si="56"/>
        <v>1175.5899999999999</v>
      </c>
      <c r="H97" s="107">
        <f t="shared" si="56"/>
        <v>1231.0899999999997</v>
      </c>
      <c r="I97" s="107">
        <f t="shared" si="56"/>
        <v>1289.3899999999999</v>
      </c>
      <c r="J97" s="107">
        <f t="shared" si="56"/>
        <v>1357.59</v>
      </c>
      <c r="K97" s="107">
        <f t="shared" si="56"/>
        <v>1508.29</v>
      </c>
      <c r="L97" s="107">
        <f t="shared" si="56"/>
        <v>1469.69</v>
      </c>
      <c r="M97" s="107">
        <f t="shared" si="56"/>
        <v>1458.3899999999999</v>
      </c>
      <c r="N97" s="107">
        <f t="shared" si="56"/>
        <v>1423.8899999999999</v>
      </c>
      <c r="O97" s="107">
        <f t="shared" si="56"/>
        <v>1509.79</v>
      </c>
      <c r="P97" s="107">
        <f t="shared" si="56"/>
        <v>1490.5900000000001</v>
      </c>
      <c r="Q97" s="107">
        <f t="shared" si="56"/>
        <v>1498.89</v>
      </c>
      <c r="R97" s="107">
        <f t="shared" si="56"/>
        <v>1498.89</v>
      </c>
      <c r="S97" s="107">
        <f t="shared" si="56"/>
        <v>1505.0900000000001</v>
      </c>
      <c r="T97" s="107">
        <f t="shared" si="56"/>
        <v>1431.29</v>
      </c>
      <c r="U97" s="107">
        <f t="shared" si="56"/>
        <v>1458.8899999999999</v>
      </c>
      <c r="V97" s="107">
        <f t="shared" si="56"/>
        <v>1440.69</v>
      </c>
      <c r="W97" s="107">
        <f t="shared" si="56"/>
        <v>1408.69</v>
      </c>
      <c r="X97" s="107">
        <f t="shared" si="56"/>
        <v>1335.99</v>
      </c>
      <c r="Y97" s="107">
        <f>Y58+Y62+Y80+Y76+Y92+Y96</f>
        <v>1407.25</v>
      </c>
      <c r="Z97" s="107">
        <f>Z58+Z62+Z80+Z76+Z92+Z96</f>
        <v>1463.65</v>
      </c>
      <c r="AA97" s="107">
        <f t="shared" si="56"/>
        <v>1460.0900000000001</v>
      </c>
      <c r="AB97" s="107">
        <f t="shared" si="56"/>
        <v>153.54</v>
      </c>
      <c r="AC97" s="107">
        <f t="shared" si="56"/>
        <v>153.54</v>
      </c>
      <c r="AD97" s="107">
        <v>1460.0900000000001</v>
      </c>
      <c r="AE97" s="107">
        <f t="shared" si="56"/>
        <v>1288.5900000000001</v>
      </c>
      <c r="AF97" s="107">
        <f t="shared" ref="AF97" si="57">AF58+AF62+AF80+AF76+AF92+AF96</f>
        <v>1133.69</v>
      </c>
      <c r="AG97" s="71">
        <f t="shared" si="56"/>
        <v>2231.81</v>
      </c>
      <c r="AH97" s="48">
        <f t="shared" si="50"/>
        <v>1509.79</v>
      </c>
      <c r="AI97" s="49">
        <f t="shared" si="51"/>
        <v>153.54</v>
      </c>
      <c r="BF97" s="81"/>
      <c r="BG97" s="81">
        <v>52.6</v>
      </c>
      <c r="BH97" s="81">
        <v>0</v>
      </c>
      <c r="BI97" s="81">
        <v>292.60000000000002</v>
      </c>
      <c r="BJ97" s="81">
        <v>48</v>
      </c>
      <c r="BK97" s="81">
        <v>105</v>
      </c>
      <c r="BL97" s="81">
        <v>58.2</v>
      </c>
    </row>
    <row r="98" spans="1:64" ht="15.75" thickBot="1" x14ac:dyDescent="0.3">
      <c r="A98" s="108" t="s">
        <v>124</v>
      </c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>
        <v>250</v>
      </c>
      <c r="Z98" s="109">
        <v>250</v>
      </c>
      <c r="AA98" s="109">
        <v>150</v>
      </c>
      <c r="AB98" s="109"/>
      <c r="AC98" s="109"/>
      <c r="AD98" s="109">
        <v>100</v>
      </c>
      <c r="AE98" s="109">
        <v>100</v>
      </c>
      <c r="AF98" s="109">
        <v>150</v>
      </c>
      <c r="AG98" s="100"/>
      <c r="AH98" s="48">
        <f t="shared" si="50"/>
        <v>250</v>
      </c>
      <c r="AI98" s="49">
        <f t="shared" si="51"/>
        <v>100</v>
      </c>
      <c r="BF98" s="81"/>
      <c r="BG98" s="81">
        <v>48.8</v>
      </c>
      <c r="BH98" s="81">
        <v>0</v>
      </c>
      <c r="BI98" s="81">
        <v>358</v>
      </c>
      <c r="BJ98" s="81">
        <v>46.7</v>
      </c>
      <c r="BK98" s="81">
        <v>101.1</v>
      </c>
      <c r="BL98" s="81">
        <v>59.8</v>
      </c>
    </row>
    <row r="99" spans="1:64" ht="15.75" thickBot="1" x14ac:dyDescent="0.3">
      <c r="A99" s="86" t="s">
        <v>125</v>
      </c>
      <c r="B99" s="107">
        <f t="shared" ref="B99:C99" si="58">B97+B98</f>
        <v>1254.0900000000001</v>
      </c>
      <c r="C99" s="107">
        <f t="shared" si="58"/>
        <v>1170.6899999999998</v>
      </c>
      <c r="D99" s="107">
        <f t="shared" ref="D99:AE99" si="59">D97+D98</f>
        <v>1191.69</v>
      </c>
      <c r="E99" s="107">
        <f t="shared" si="59"/>
        <v>1188.5899999999999</v>
      </c>
      <c r="F99" s="107">
        <f t="shared" si="59"/>
        <v>1184.3899999999999</v>
      </c>
      <c r="G99" s="107">
        <f t="shared" si="59"/>
        <v>1175.5899999999999</v>
      </c>
      <c r="H99" s="107">
        <f t="shared" si="59"/>
        <v>1231.0899999999997</v>
      </c>
      <c r="I99" s="107">
        <f t="shared" si="59"/>
        <v>1289.3899999999999</v>
      </c>
      <c r="J99" s="107">
        <f t="shared" si="59"/>
        <v>1357.59</v>
      </c>
      <c r="K99" s="107">
        <f t="shared" si="59"/>
        <v>1508.29</v>
      </c>
      <c r="L99" s="107">
        <f t="shared" si="59"/>
        <v>1469.69</v>
      </c>
      <c r="M99" s="107">
        <f t="shared" si="59"/>
        <v>1458.3899999999999</v>
      </c>
      <c r="N99" s="107">
        <f t="shared" si="59"/>
        <v>1423.8899999999999</v>
      </c>
      <c r="O99" s="107">
        <f t="shared" si="59"/>
        <v>1509.79</v>
      </c>
      <c r="P99" s="107">
        <f t="shared" si="59"/>
        <v>1490.5900000000001</v>
      </c>
      <c r="Q99" s="107">
        <f t="shared" si="59"/>
        <v>1498.89</v>
      </c>
      <c r="R99" s="107">
        <f t="shared" si="59"/>
        <v>1498.89</v>
      </c>
      <c r="S99" s="107">
        <f t="shared" si="59"/>
        <v>1505.0900000000001</v>
      </c>
      <c r="T99" s="107">
        <f t="shared" si="59"/>
        <v>1431.29</v>
      </c>
      <c r="U99" s="107">
        <f t="shared" si="59"/>
        <v>1458.8899999999999</v>
      </c>
      <c r="V99" s="107">
        <f t="shared" si="59"/>
        <v>1440.69</v>
      </c>
      <c r="W99" s="107">
        <f t="shared" si="59"/>
        <v>1408.69</v>
      </c>
      <c r="X99" s="107">
        <f t="shared" si="59"/>
        <v>1335.99</v>
      </c>
      <c r="Y99" s="107">
        <f>Y97+Y98</f>
        <v>1657.25</v>
      </c>
      <c r="Z99" s="107">
        <f>Z97+Z98</f>
        <v>1713.65</v>
      </c>
      <c r="AA99" s="107">
        <f t="shared" si="59"/>
        <v>1610.0900000000001</v>
      </c>
      <c r="AB99" s="107">
        <f t="shared" si="59"/>
        <v>153.54</v>
      </c>
      <c r="AC99" s="107">
        <f t="shared" si="59"/>
        <v>153.54</v>
      </c>
      <c r="AD99" s="107">
        <v>1610.0900000000001</v>
      </c>
      <c r="AE99" s="107">
        <f t="shared" si="59"/>
        <v>1388.5900000000001</v>
      </c>
      <c r="AF99" s="107">
        <f t="shared" ref="AF99" si="60">AF97+AF98</f>
        <v>1283.69</v>
      </c>
      <c r="AG99" s="100">
        <f>AG96+AG92+AG80+AG76+AG58+AG98</f>
        <v>1693.71</v>
      </c>
      <c r="AH99" s="48">
        <f t="shared" si="50"/>
        <v>1713.65</v>
      </c>
      <c r="AI99" s="49">
        <f t="shared" si="51"/>
        <v>153.54</v>
      </c>
      <c r="BF99" s="81"/>
      <c r="BG99" s="81">
        <v>53.7</v>
      </c>
      <c r="BH99" s="81">
        <v>0</v>
      </c>
      <c r="BI99" s="81">
        <v>351.5</v>
      </c>
      <c r="BJ99" s="81">
        <v>55.6</v>
      </c>
      <c r="BK99" s="81">
        <v>117.1</v>
      </c>
      <c r="BL99" s="81">
        <v>65.599999999999994</v>
      </c>
    </row>
    <row r="100" spans="1:64" ht="15.75" thickBot="1" x14ac:dyDescent="0.3">
      <c r="A100" s="86" t="s">
        <v>126</v>
      </c>
      <c r="B100" s="107">
        <f t="shared" ref="B100:C100" si="61">B99-(B107)</f>
        <v>1254.0900000000001</v>
      </c>
      <c r="C100" s="107">
        <f t="shared" si="61"/>
        <v>1169.6899999999998</v>
      </c>
      <c r="D100" s="107">
        <f t="shared" ref="D100:M100" si="62">D99-(D107)</f>
        <v>1191.69</v>
      </c>
      <c r="E100" s="107">
        <f t="shared" si="62"/>
        <v>1188.5899999999999</v>
      </c>
      <c r="F100" s="107">
        <f t="shared" si="62"/>
        <v>1184.3899999999999</v>
      </c>
      <c r="G100" s="107">
        <f t="shared" si="62"/>
        <v>1175.5899999999999</v>
      </c>
      <c r="H100" s="107">
        <f t="shared" si="62"/>
        <v>1229.0899999999997</v>
      </c>
      <c r="I100" s="107">
        <f t="shared" si="62"/>
        <v>1289.3899999999999</v>
      </c>
      <c r="J100" s="107">
        <f t="shared" si="62"/>
        <v>1357.59</v>
      </c>
      <c r="K100" s="107">
        <f t="shared" si="62"/>
        <v>1508.29</v>
      </c>
      <c r="L100" s="107">
        <f t="shared" si="62"/>
        <v>1469.69</v>
      </c>
      <c r="M100" s="107">
        <f t="shared" si="62"/>
        <v>1458.3899999999999</v>
      </c>
      <c r="N100" s="107">
        <f>N99-(N107)</f>
        <v>1423.8899999999999</v>
      </c>
      <c r="O100" s="107">
        <f t="shared" ref="O100:AE100" si="63">O99-(O107)</f>
        <v>1509.79</v>
      </c>
      <c r="P100" s="107">
        <f t="shared" si="63"/>
        <v>1490.5900000000001</v>
      </c>
      <c r="Q100" s="107">
        <f t="shared" si="63"/>
        <v>1498.89</v>
      </c>
      <c r="R100" s="107">
        <f t="shared" si="63"/>
        <v>1498.89</v>
      </c>
      <c r="S100" s="107">
        <f t="shared" si="63"/>
        <v>1505.0900000000001</v>
      </c>
      <c r="T100" s="107">
        <f t="shared" si="63"/>
        <v>1431.29</v>
      </c>
      <c r="U100" s="107">
        <f t="shared" si="63"/>
        <v>1458.8899999999999</v>
      </c>
      <c r="V100" s="107">
        <f t="shared" si="63"/>
        <v>1440.69</v>
      </c>
      <c r="W100" s="107">
        <f t="shared" si="63"/>
        <v>1408.69</v>
      </c>
      <c r="X100" s="107">
        <f t="shared" si="63"/>
        <v>1335.99</v>
      </c>
      <c r="Y100" s="107">
        <f t="shared" si="63"/>
        <v>1657.25</v>
      </c>
      <c r="Z100" s="107">
        <f t="shared" si="63"/>
        <v>1713.65</v>
      </c>
      <c r="AA100" s="107">
        <f t="shared" si="63"/>
        <v>1610.0900000000001</v>
      </c>
      <c r="AB100" s="107">
        <f t="shared" si="63"/>
        <v>153.54</v>
      </c>
      <c r="AC100" s="107">
        <f t="shared" si="63"/>
        <v>153.54</v>
      </c>
      <c r="AD100" s="107">
        <v>1610.0900000000001</v>
      </c>
      <c r="AE100" s="107">
        <f t="shared" si="63"/>
        <v>1388.5900000000001</v>
      </c>
      <c r="AF100" s="107">
        <f t="shared" ref="AF100" si="64">AF99-(AF107)</f>
        <v>1282.69</v>
      </c>
      <c r="AG100" s="100"/>
      <c r="AH100" s="48">
        <f t="shared" si="50"/>
        <v>1713.65</v>
      </c>
      <c r="AI100" s="49">
        <f t="shared" si="51"/>
        <v>153.54</v>
      </c>
      <c r="BF100" s="81"/>
      <c r="BG100" s="81">
        <v>45.2</v>
      </c>
      <c r="BH100" s="81">
        <v>0</v>
      </c>
      <c r="BI100" s="81">
        <v>327</v>
      </c>
      <c r="BJ100" s="81">
        <v>50.6</v>
      </c>
      <c r="BK100" s="81">
        <v>106.4</v>
      </c>
      <c r="BL100" s="81">
        <v>59.3</v>
      </c>
    </row>
    <row r="101" spans="1:64" x14ac:dyDescent="0.25">
      <c r="A101" s="45" t="s">
        <v>107</v>
      </c>
      <c r="B101" s="88">
        <f t="shared" ref="B101:C101" si="65">IF(B84&lt;0,B84*-1,0)</f>
        <v>0</v>
      </c>
      <c r="C101" s="88">
        <f t="shared" si="65"/>
        <v>0</v>
      </c>
      <c r="D101" s="88">
        <f t="shared" ref="D101:AE101" si="66">IF(D84&lt;0,D84*-1,0)</f>
        <v>0</v>
      </c>
      <c r="E101" s="88">
        <f t="shared" si="66"/>
        <v>0</v>
      </c>
      <c r="F101" s="88">
        <f t="shared" si="66"/>
        <v>0</v>
      </c>
      <c r="G101" s="88">
        <f t="shared" si="66"/>
        <v>0</v>
      </c>
      <c r="H101" s="88">
        <f t="shared" si="66"/>
        <v>0</v>
      </c>
      <c r="I101" s="88">
        <f t="shared" si="66"/>
        <v>0</v>
      </c>
      <c r="J101" s="88">
        <f t="shared" si="66"/>
        <v>0</v>
      </c>
      <c r="K101" s="88">
        <f t="shared" si="66"/>
        <v>0</v>
      </c>
      <c r="L101" s="88">
        <f t="shared" si="66"/>
        <v>0</v>
      </c>
      <c r="M101" s="88">
        <f t="shared" si="66"/>
        <v>0</v>
      </c>
      <c r="N101" s="88">
        <f t="shared" si="66"/>
        <v>0</v>
      </c>
      <c r="O101" s="88">
        <f t="shared" si="66"/>
        <v>0</v>
      </c>
      <c r="P101" s="88">
        <f t="shared" si="66"/>
        <v>0</v>
      </c>
      <c r="Q101" s="88">
        <f t="shared" si="66"/>
        <v>0</v>
      </c>
      <c r="R101" s="88">
        <f t="shared" si="66"/>
        <v>0</v>
      </c>
      <c r="S101" s="88">
        <f t="shared" si="66"/>
        <v>0</v>
      </c>
      <c r="T101" s="88">
        <f t="shared" si="66"/>
        <v>0</v>
      </c>
      <c r="U101" s="88">
        <f t="shared" si="66"/>
        <v>0</v>
      </c>
      <c r="V101" s="88">
        <f t="shared" si="66"/>
        <v>0</v>
      </c>
      <c r="W101" s="88">
        <f t="shared" si="66"/>
        <v>0</v>
      </c>
      <c r="X101" s="88">
        <f t="shared" si="66"/>
        <v>0</v>
      </c>
      <c r="Y101" s="88">
        <f t="shared" si="66"/>
        <v>0</v>
      </c>
      <c r="Z101" s="88">
        <f t="shared" si="66"/>
        <v>0</v>
      </c>
      <c r="AA101" s="88">
        <f t="shared" si="66"/>
        <v>0</v>
      </c>
      <c r="AB101" s="88">
        <f t="shared" si="66"/>
        <v>0</v>
      </c>
      <c r="AC101" s="88">
        <f t="shared" si="66"/>
        <v>0</v>
      </c>
      <c r="AD101" s="88">
        <v>0</v>
      </c>
      <c r="AE101" s="88">
        <f t="shared" si="66"/>
        <v>0</v>
      </c>
      <c r="AF101" s="88">
        <f t="shared" ref="AF101" si="67">IF(AF84&lt;0,AF84*-1,0)</f>
        <v>0</v>
      </c>
      <c r="AG101" s="60"/>
      <c r="AH101" s="48">
        <f t="shared" si="50"/>
        <v>0</v>
      </c>
      <c r="AI101" s="49">
        <f t="shared" si="51"/>
        <v>0</v>
      </c>
      <c r="BF101" s="80"/>
      <c r="BG101" s="81">
        <v>35.700000000000003</v>
      </c>
      <c r="BH101" s="81">
        <v>0</v>
      </c>
      <c r="BI101" s="81">
        <v>218</v>
      </c>
      <c r="BJ101" s="81">
        <v>25</v>
      </c>
      <c r="BK101" s="81">
        <v>101.1</v>
      </c>
      <c r="BL101" s="81">
        <v>49</v>
      </c>
    </row>
    <row r="102" spans="1:64" x14ac:dyDescent="0.25">
      <c r="A102" s="64" t="s">
        <v>105</v>
      </c>
      <c r="B102" s="88">
        <f t="shared" ref="B102:C102" si="68">IF(B82&lt;0,B82*-1,0)</f>
        <v>0</v>
      </c>
      <c r="C102" s="88">
        <f t="shared" si="68"/>
        <v>0</v>
      </c>
      <c r="D102" s="88">
        <f t="shared" ref="D102:AE102" si="69">IF(D82&lt;0,D82*-1,0)</f>
        <v>0</v>
      </c>
      <c r="E102" s="88">
        <f t="shared" si="69"/>
        <v>0</v>
      </c>
      <c r="F102" s="88">
        <f t="shared" si="69"/>
        <v>0</v>
      </c>
      <c r="G102" s="88">
        <f t="shared" si="69"/>
        <v>0</v>
      </c>
      <c r="H102" s="88">
        <f t="shared" si="69"/>
        <v>0</v>
      </c>
      <c r="I102" s="88">
        <f t="shared" si="69"/>
        <v>0</v>
      </c>
      <c r="J102" s="88">
        <f t="shared" si="69"/>
        <v>0</v>
      </c>
      <c r="K102" s="88">
        <f t="shared" si="69"/>
        <v>0</v>
      </c>
      <c r="L102" s="88">
        <f t="shared" si="69"/>
        <v>0</v>
      </c>
      <c r="M102" s="88">
        <f t="shared" si="69"/>
        <v>0</v>
      </c>
      <c r="N102" s="88">
        <f t="shared" si="69"/>
        <v>0</v>
      </c>
      <c r="O102" s="88">
        <f t="shared" si="69"/>
        <v>0</v>
      </c>
      <c r="P102" s="88">
        <f t="shared" si="69"/>
        <v>0</v>
      </c>
      <c r="Q102" s="88">
        <f t="shared" si="69"/>
        <v>0</v>
      </c>
      <c r="R102" s="88">
        <f t="shared" si="69"/>
        <v>0</v>
      </c>
      <c r="S102" s="88">
        <f t="shared" si="69"/>
        <v>0</v>
      </c>
      <c r="T102" s="88">
        <f t="shared" si="69"/>
        <v>0</v>
      </c>
      <c r="U102" s="88">
        <f t="shared" si="69"/>
        <v>0</v>
      </c>
      <c r="V102" s="88">
        <f t="shared" si="69"/>
        <v>0</v>
      </c>
      <c r="W102" s="88">
        <f t="shared" si="69"/>
        <v>0</v>
      </c>
      <c r="X102" s="88">
        <f t="shared" si="69"/>
        <v>0</v>
      </c>
      <c r="Y102" s="88">
        <f t="shared" si="69"/>
        <v>0</v>
      </c>
      <c r="Z102" s="88">
        <f t="shared" si="69"/>
        <v>0</v>
      </c>
      <c r="AA102" s="88">
        <f t="shared" si="69"/>
        <v>0</v>
      </c>
      <c r="AB102" s="88">
        <f t="shared" si="69"/>
        <v>0</v>
      </c>
      <c r="AC102" s="88">
        <f t="shared" si="69"/>
        <v>0</v>
      </c>
      <c r="AD102" s="88">
        <v>0</v>
      </c>
      <c r="AE102" s="88">
        <f t="shared" si="69"/>
        <v>0</v>
      </c>
      <c r="AF102" s="88">
        <f t="shared" ref="AF102" si="70">IF(AF82&lt;0,AF82*-1,0)</f>
        <v>0</v>
      </c>
      <c r="AG102" s="65"/>
      <c r="AH102" s="48">
        <f t="shared" si="50"/>
        <v>0</v>
      </c>
      <c r="AI102" s="49">
        <f t="shared" si="51"/>
        <v>0</v>
      </c>
      <c r="BF102" s="80"/>
      <c r="BG102" s="81">
        <v>38.5</v>
      </c>
      <c r="BH102" s="81">
        <v>0</v>
      </c>
      <c r="BI102" s="81">
        <v>0</v>
      </c>
      <c r="BJ102" s="81">
        <v>0</v>
      </c>
      <c r="BK102" s="81">
        <v>0</v>
      </c>
      <c r="BL102" s="81">
        <v>68.8</v>
      </c>
    </row>
    <row r="103" spans="1:64" x14ac:dyDescent="0.25">
      <c r="A103" s="96" t="s">
        <v>127</v>
      </c>
      <c r="B103" s="88">
        <f t="shared" ref="B103:C103" si="71">IF(B85&lt;0,B85*-1,0)</f>
        <v>0</v>
      </c>
      <c r="C103" s="88">
        <f t="shared" si="71"/>
        <v>0</v>
      </c>
      <c r="D103" s="88">
        <f t="shared" ref="D103:AE103" si="72">IF(D85&lt;0,D85*-1,0)</f>
        <v>0</v>
      </c>
      <c r="E103" s="88">
        <f t="shared" si="72"/>
        <v>0</v>
      </c>
      <c r="F103" s="88">
        <f t="shared" si="72"/>
        <v>0</v>
      </c>
      <c r="G103" s="88">
        <f t="shared" si="72"/>
        <v>0</v>
      </c>
      <c r="H103" s="88">
        <f t="shared" si="72"/>
        <v>0</v>
      </c>
      <c r="I103" s="88">
        <f t="shared" si="72"/>
        <v>0</v>
      </c>
      <c r="J103" s="88">
        <f t="shared" si="72"/>
        <v>0</v>
      </c>
      <c r="K103" s="88">
        <f t="shared" si="72"/>
        <v>0</v>
      </c>
      <c r="L103" s="88">
        <f t="shared" si="72"/>
        <v>0</v>
      </c>
      <c r="M103" s="88">
        <f t="shared" si="72"/>
        <v>0</v>
      </c>
      <c r="N103" s="88">
        <f t="shared" si="72"/>
        <v>0</v>
      </c>
      <c r="O103" s="88">
        <f t="shared" si="72"/>
        <v>0</v>
      </c>
      <c r="P103" s="88">
        <f t="shared" si="72"/>
        <v>0</v>
      </c>
      <c r="Q103" s="88">
        <f t="shared" si="72"/>
        <v>0</v>
      </c>
      <c r="R103" s="88">
        <f t="shared" si="72"/>
        <v>0</v>
      </c>
      <c r="S103" s="88">
        <f t="shared" si="72"/>
        <v>0</v>
      </c>
      <c r="T103" s="88">
        <f t="shared" si="72"/>
        <v>0</v>
      </c>
      <c r="U103" s="88">
        <f t="shared" si="72"/>
        <v>0</v>
      </c>
      <c r="V103" s="88">
        <f t="shared" si="72"/>
        <v>0</v>
      </c>
      <c r="W103" s="88">
        <f t="shared" si="72"/>
        <v>0</v>
      </c>
      <c r="X103" s="88">
        <f t="shared" si="72"/>
        <v>0</v>
      </c>
      <c r="Y103" s="88">
        <f t="shared" si="72"/>
        <v>0</v>
      </c>
      <c r="Z103" s="88">
        <f t="shared" si="72"/>
        <v>0</v>
      </c>
      <c r="AA103" s="88">
        <f t="shared" si="72"/>
        <v>0</v>
      </c>
      <c r="AB103" s="88">
        <f t="shared" si="72"/>
        <v>0</v>
      </c>
      <c r="AC103" s="88">
        <f t="shared" si="72"/>
        <v>0</v>
      </c>
      <c r="AD103" s="88">
        <v>0</v>
      </c>
      <c r="AE103" s="88">
        <f t="shared" si="72"/>
        <v>0</v>
      </c>
      <c r="AF103" s="88">
        <f t="shared" ref="AF103" si="73">IF(AF85&lt;0,AF85*-1,0)</f>
        <v>0</v>
      </c>
      <c r="AG103" s="110"/>
      <c r="AH103" s="48">
        <f t="shared" si="50"/>
        <v>0</v>
      </c>
      <c r="AI103" s="49">
        <f t="shared" si="51"/>
        <v>0</v>
      </c>
      <c r="BF103" s="80"/>
      <c r="BG103" s="81">
        <v>0</v>
      </c>
      <c r="BH103" s="81">
        <v>0</v>
      </c>
      <c r="BI103" s="81">
        <v>0</v>
      </c>
      <c r="BJ103" s="81">
        <v>0</v>
      </c>
      <c r="BK103" s="81">
        <v>0</v>
      </c>
      <c r="BL103" s="81">
        <v>0</v>
      </c>
    </row>
    <row r="104" spans="1:64" x14ac:dyDescent="0.25">
      <c r="A104" s="96" t="s">
        <v>128</v>
      </c>
      <c r="B104" s="88">
        <f t="shared" ref="B104:C104" si="74">IF(B83&lt;0,B83*-1,0)</f>
        <v>0</v>
      </c>
      <c r="C104" s="88">
        <f t="shared" si="74"/>
        <v>0</v>
      </c>
      <c r="D104" s="88">
        <f t="shared" ref="D104:AE104" si="75">IF(D83&lt;0,D83*-1,0)</f>
        <v>0</v>
      </c>
      <c r="E104" s="88">
        <f t="shared" si="75"/>
        <v>0</v>
      </c>
      <c r="F104" s="88">
        <f t="shared" si="75"/>
        <v>0</v>
      </c>
      <c r="G104" s="88">
        <f t="shared" si="75"/>
        <v>0</v>
      </c>
      <c r="H104" s="88">
        <f t="shared" si="75"/>
        <v>2</v>
      </c>
      <c r="I104" s="88">
        <f t="shared" si="75"/>
        <v>0</v>
      </c>
      <c r="J104" s="88">
        <f t="shared" si="75"/>
        <v>0</v>
      </c>
      <c r="K104" s="88">
        <f t="shared" si="75"/>
        <v>0</v>
      </c>
      <c r="L104" s="88">
        <f t="shared" si="75"/>
        <v>0</v>
      </c>
      <c r="M104" s="88">
        <f t="shared" si="75"/>
        <v>0</v>
      </c>
      <c r="N104" s="88">
        <f t="shared" si="75"/>
        <v>0</v>
      </c>
      <c r="O104" s="88">
        <f t="shared" si="75"/>
        <v>0</v>
      </c>
      <c r="P104" s="88">
        <f t="shared" si="75"/>
        <v>0</v>
      </c>
      <c r="Q104" s="88">
        <f t="shared" si="75"/>
        <v>0</v>
      </c>
      <c r="R104" s="88">
        <f t="shared" si="75"/>
        <v>0</v>
      </c>
      <c r="S104" s="88">
        <f t="shared" si="75"/>
        <v>0</v>
      </c>
      <c r="T104" s="88">
        <f t="shared" si="75"/>
        <v>0</v>
      </c>
      <c r="U104" s="88">
        <f t="shared" si="75"/>
        <v>0</v>
      </c>
      <c r="V104" s="88">
        <f t="shared" si="75"/>
        <v>0</v>
      </c>
      <c r="W104" s="88">
        <f t="shared" si="75"/>
        <v>0</v>
      </c>
      <c r="X104" s="88">
        <f t="shared" si="75"/>
        <v>0</v>
      </c>
      <c r="Y104" s="88">
        <f t="shared" si="75"/>
        <v>0</v>
      </c>
      <c r="Z104" s="88">
        <f t="shared" si="75"/>
        <v>0</v>
      </c>
      <c r="AA104" s="88">
        <f t="shared" si="75"/>
        <v>0</v>
      </c>
      <c r="AB104" s="88">
        <f t="shared" si="75"/>
        <v>0</v>
      </c>
      <c r="AC104" s="88">
        <f t="shared" si="75"/>
        <v>0</v>
      </c>
      <c r="AD104" s="88">
        <v>0</v>
      </c>
      <c r="AE104" s="88">
        <f t="shared" si="75"/>
        <v>0</v>
      </c>
      <c r="AF104" s="88">
        <f t="shared" ref="AF104" si="76">IF(AF83&lt;0,AF83*-1,0)</f>
        <v>0</v>
      </c>
      <c r="AG104" s="110"/>
      <c r="AH104" s="48">
        <f t="shared" si="50"/>
        <v>2</v>
      </c>
      <c r="AI104" s="49">
        <f t="shared" si="51"/>
        <v>0</v>
      </c>
      <c r="BF104" s="80"/>
      <c r="BG104" s="81">
        <v>40</v>
      </c>
      <c r="BH104" s="81">
        <v>0</v>
      </c>
      <c r="BI104" s="81">
        <v>0</v>
      </c>
      <c r="BJ104" s="81">
        <v>0</v>
      </c>
      <c r="BK104" s="81">
        <v>0</v>
      </c>
      <c r="BL104" s="81">
        <v>62</v>
      </c>
    </row>
    <row r="105" spans="1:64" x14ac:dyDescent="0.25">
      <c r="A105" s="96" t="s">
        <v>104</v>
      </c>
      <c r="B105" s="88">
        <f t="shared" ref="B105:C105" si="77">IF(B81&lt;0,B81*-1,0)</f>
        <v>0</v>
      </c>
      <c r="C105" s="88">
        <f t="shared" si="77"/>
        <v>0</v>
      </c>
      <c r="D105" s="88">
        <f t="shared" ref="D105:AE105" si="78">IF(D81&lt;0,D81*-1,0)</f>
        <v>0</v>
      </c>
      <c r="E105" s="88">
        <f t="shared" si="78"/>
        <v>0</v>
      </c>
      <c r="F105" s="88">
        <f t="shared" si="78"/>
        <v>0</v>
      </c>
      <c r="G105" s="88">
        <f t="shared" si="78"/>
        <v>0</v>
      </c>
      <c r="H105" s="88">
        <f t="shared" si="78"/>
        <v>0</v>
      </c>
      <c r="I105" s="88">
        <f t="shared" si="78"/>
        <v>0</v>
      </c>
      <c r="J105" s="88">
        <f t="shared" si="78"/>
        <v>0</v>
      </c>
      <c r="K105" s="88">
        <f t="shared" si="78"/>
        <v>0</v>
      </c>
      <c r="L105" s="88">
        <f t="shared" si="78"/>
        <v>0</v>
      </c>
      <c r="M105" s="88">
        <f t="shared" si="78"/>
        <v>0</v>
      </c>
      <c r="N105" s="88">
        <f t="shared" si="78"/>
        <v>0</v>
      </c>
      <c r="O105" s="88">
        <f t="shared" si="78"/>
        <v>0</v>
      </c>
      <c r="P105" s="88">
        <f t="shared" si="78"/>
        <v>0</v>
      </c>
      <c r="Q105" s="88">
        <f t="shared" si="78"/>
        <v>0</v>
      </c>
      <c r="R105" s="88">
        <f t="shared" si="78"/>
        <v>0</v>
      </c>
      <c r="S105" s="88">
        <f t="shared" si="78"/>
        <v>0</v>
      </c>
      <c r="T105" s="88">
        <f t="shared" si="78"/>
        <v>0</v>
      </c>
      <c r="U105" s="88">
        <f t="shared" si="78"/>
        <v>0</v>
      </c>
      <c r="V105" s="88">
        <f t="shared" si="78"/>
        <v>0</v>
      </c>
      <c r="W105" s="88">
        <f t="shared" si="78"/>
        <v>0</v>
      </c>
      <c r="X105" s="88">
        <f t="shared" si="78"/>
        <v>0</v>
      </c>
      <c r="Y105" s="88">
        <f t="shared" si="78"/>
        <v>0</v>
      </c>
      <c r="Z105" s="88">
        <f t="shared" si="78"/>
        <v>0</v>
      </c>
      <c r="AA105" s="88">
        <f t="shared" si="78"/>
        <v>0</v>
      </c>
      <c r="AB105" s="88">
        <f t="shared" si="78"/>
        <v>0</v>
      </c>
      <c r="AC105" s="88">
        <f t="shared" si="78"/>
        <v>0</v>
      </c>
      <c r="AD105" s="88">
        <v>0</v>
      </c>
      <c r="AE105" s="88">
        <f t="shared" si="78"/>
        <v>0</v>
      </c>
      <c r="AF105" s="88">
        <f t="shared" ref="AF105" si="79">IF(AF81&lt;0,AF81*-1,0)</f>
        <v>0</v>
      </c>
      <c r="AG105" s="110"/>
      <c r="AH105" s="48">
        <f t="shared" si="50"/>
        <v>0</v>
      </c>
      <c r="AI105" s="49">
        <f t="shared" si="51"/>
        <v>0</v>
      </c>
      <c r="BF105" s="80"/>
      <c r="BG105" s="81">
        <v>41</v>
      </c>
      <c r="BH105" s="81">
        <v>0</v>
      </c>
      <c r="BI105" s="81">
        <v>0</v>
      </c>
      <c r="BJ105" s="81">
        <v>0</v>
      </c>
      <c r="BK105" s="81">
        <v>0</v>
      </c>
      <c r="BL105" s="81">
        <v>65</v>
      </c>
    </row>
    <row r="106" spans="1:64" ht="15.75" thickBot="1" x14ac:dyDescent="0.3">
      <c r="A106" s="96" t="s">
        <v>129</v>
      </c>
      <c r="B106" s="106">
        <v>0</v>
      </c>
      <c r="C106" s="106">
        <v>1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0</v>
      </c>
      <c r="Y106" s="106">
        <v>0</v>
      </c>
      <c r="Z106" s="106">
        <v>0</v>
      </c>
      <c r="AA106" s="106">
        <v>0</v>
      </c>
      <c r="AB106" s="106">
        <v>0</v>
      </c>
      <c r="AC106" s="106">
        <v>0</v>
      </c>
      <c r="AD106" s="106">
        <v>0</v>
      </c>
      <c r="AE106" s="106">
        <v>0</v>
      </c>
      <c r="AF106" s="106">
        <v>1</v>
      </c>
      <c r="AG106" s="97"/>
      <c r="AH106" s="48">
        <f t="shared" si="50"/>
        <v>1</v>
      </c>
      <c r="AI106" s="49">
        <f t="shared" si="51"/>
        <v>0</v>
      </c>
      <c r="BG106" s="81">
        <v>36</v>
      </c>
      <c r="BH106" s="81">
        <v>0</v>
      </c>
      <c r="BI106" s="81">
        <v>0</v>
      </c>
      <c r="BJ106" s="81">
        <v>0</v>
      </c>
      <c r="BK106" s="81">
        <v>0</v>
      </c>
      <c r="BL106" s="81">
        <v>72</v>
      </c>
    </row>
    <row r="107" spans="1:64" ht="15.75" thickBot="1" x14ac:dyDescent="0.3">
      <c r="A107" s="111" t="s">
        <v>130</v>
      </c>
      <c r="B107" s="70">
        <f t="shared" ref="B107:C107" si="80">SUM(B101:B106)</f>
        <v>0</v>
      </c>
      <c r="C107" s="70">
        <f t="shared" si="80"/>
        <v>1</v>
      </c>
      <c r="D107" s="70">
        <f t="shared" ref="D107:AE107" si="81">SUM(D101:D106)</f>
        <v>0</v>
      </c>
      <c r="E107" s="70">
        <f t="shared" si="81"/>
        <v>0</v>
      </c>
      <c r="F107" s="70">
        <f t="shared" si="81"/>
        <v>0</v>
      </c>
      <c r="G107" s="70">
        <f t="shared" si="81"/>
        <v>0</v>
      </c>
      <c r="H107" s="70">
        <f t="shared" si="81"/>
        <v>2</v>
      </c>
      <c r="I107" s="70">
        <f t="shared" si="81"/>
        <v>0</v>
      </c>
      <c r="J107" s="70">
        <f t="shared" si="81"/>
        <v>0</v>
      </c>
      <c r="K107" s="70">
        <f t="shared" si="81"/>
        <v>0</v>
      </c>
      <c r="L107" s="70">
        <f t="shared" si="81"/>
        <v>0</v>
      </c>
      <c r="M107" s="70">
        <f t="shared" si="81"/>
        <v>0</v>
      </c>
      <c r="N107" s="70">
        <f t="shared" si="81"/>
        <v>0</v>
      </c>
      <c r="O107" s="70">
        <f t="shared" si="81"/>
        <v>0</v>
      </c>
      <c r="P107" s="70">
        <f t="shared" si="81"/>
        <v>0</v>
      </c>
      <c r="Q107" s="70">
        <f t="shared" si="81"/>
        <v>0</v>
      </c>
      <c r="R107" s="70">
        <f t="shared" si="81"/>
        <v>0</v>
      </c>
      <c r="S107" s="70">
        <f t="shared" si="81"/>
        <v>0</v>
      </c>
      <c r="T107" s="70">
        <f t="shared" si="81"/>
        <v>0</v>
      </c>
      <c r="U107" s="70">
        <f t="shared" si="81"/>
        <v>0</v>
      </c>
      <c r="V107" s="70">
        <f t="shared" si="81"/>
        <v>0</v>
      </c>
      <c r="W107" s="70">
        <f t="shared" si="81"/>
        <v>0</v>
      </c>
      <c r="X107" s="70">
        <f t="shared" si="81"/>
        <v>0</v>
      </c>
      <c r="Y107" s="70">
        <f t="shared" si="81"/>
        <v>0</v>
      </c>
      <c r="Z107" s="70">
        <f t="shared" si="81"/>
        <v>0</v>
      </c>
      <c r="AA107" s="70">
        <f t="shared" si="81"/>
        <v>0</v>
      </c>
      <c r="AB107" s="70">
        <f t="shared" si="81"/>
        <v>0</v>
      </c>
      <c r="AC107" s="70">
        <f t="shared" si="81"/>
        <v>0</v>
      </c>
      <c r="AD107" s="70">
        <v>0</v>
      </c>
      <c r="AE107" s="70">
        <f t="shared" si="81"/>
        <v>0</v>
      </c>
      <c r="AF107" s="70">
        <f t="shared" ref="AF107" si="82">SUM(AF101:AF106)</f>
        <v>1</v>
      </c>
      <c r="AG107" s="100"/>
      <c r="AH107" s="48">
        <f t="shared" si="50"/>
        <v>2</v>
      </c>
      <c r="AI107" s="49">
        <f t="shared" si="51"/>
        <v>0</v>
      </c>
      <c r="AK107" s="51"/>
      <c r="BG107" s="81">
        <v>58.9</v>
      </c>
      <c r="BH107" s="81">
        <v>0</v>
      </c>
      <c r="BI107" s="81">
        <v>219</v>
      </c>
      <c r="BJ107" s="81">
        <v>0</v>
      </c>
      <c r="BK107" s="81">
        <v>0</v>
      </c>
      <c r="BL107" s="81">
        <v>0</v>
      </c>
    </row>
    <row r="108" spans="1:64" ht="15.75" thickBot="1" x14ac:dyDescent="0.3">
      <c r="A108" s="86" t="s">
        <v>131</v>
      </c>
      <c r="B108" s="70">
        <f t="shared" ref="B108:C108" si="83">B92-B107</f>
        <v>277.89999999999998</v>
      </c>
      <c r="C108" s="70">
        <f t="shared" si="83"/>
        <v>263.7</v>
      </c>
      <c r="D108" s="70">
        <f t="shared" ref="D108:AE108" si="84">D92-D107</f>
        <v>276.10000000000002</v>
      </c>
      <c r="E108" s="70">
        <f t="shared" si="84"/>
        <v>274.8</v>
      </c>
      <c r="F108" s="70">
        <f t="shared" si="84"/>
        <v>259.2</v>
      </c>
      <c r="G108" s="70">
        <f t="shared" si="84"/>
        <v>249.7</v>
      </c>
      <c r="H108" s="70">
        <f t="shared" si="84"/>
        <v>277.60000000000002</v>
      </c>
      <c r="I108" s="70">
        <f t="shared" si="84"/>
        <v>289.8</v>
      </c>
      <c r="J108" s="70">
        <f t="shared" si="84"/>
        <v>368</v>
      </c>
      <c r="K108" s="70">
        <f t="shared" si="84"/>
        <v>559.5</v>
      </c>
      <c r="L108" s="70">
        <f t="shared" si="84"/>
        <v>565.4</v>
      </c>
      <c r="M108" s="70">
        <f t="shared" si="84"/>
        <v>528.29999999999995</v>
      </c>
      <c r="N108" s="70">
        <f t="shared" si="84"/>
        <v>394</v>
      </c>
      <c r="O108" s="70">
        <f t="shared" si="84"/>
        <v>411</v>
      </c>
      <c r="P108" s="70">
        <f t="shared" si="84"/>
        <v>594.80000000000007</v>
      </c>
      <c r="Q108" s="70">
        <f t="shared" si="84"/>
        <v>557.29999999999995</v>
      </c>
      <c r="R108" s="70">
        <f t="shared" si="84"/>
        <v>557.29999999999995</v>
      </c>
      <c r="S108" s="70">
        <f t="shared" si="84"/>
        <v>556.40000000000009</v>
      </c>
      <c r="T108" s="70">
        <f t="shared" si="84"/>
        <v>614.4</v>
      </c>
      <c r="U108" s="70">
        <f t="shared" si="84"/>
        <v>643.5</v>
      </c>
      <c r="V108" s="70">
        <f t="shared" si="84"/>
        <v>588.5</v>
      </c>
      <c r="W108" s="70">
        <f t="shared" si="84"/>
        <v>561.19999999999993</v>
      </c>
      <c r="X108" s="70">
        <f t="shared" si="84"/>
        <v>428.79999999999995</v>
      </c>
      <c r="Y108" s="70">
        <f>Y92-Y107</f>
        <v>92.3</v>
      </c>
      <c r="Z108" s="70">
        <f>Z92-Z107</f>
        <v>107.3</v>
      </c>
      <c r="AA108" s="70">
        <f t="shared" si="84"/>
        <v>110.5</v>
      </c>
      <c r="AB108" s="70">
        <f t="shared" si="84"/>
        <v>0</v>
      </c>
      <c r="AC108" s="70">
        <f t="shared" si="84"/>
        <v>0</v>
      </c>
      <c r="AD108" s="70">
        <v>110.5</v>
      </c>
      <c r="AE108" s="70">
        <f t="shared" si="84"/>
        <v>106</v>
      </c>
      <c r="AF108" s="70">
        <f t="shared" ref="AF108" si="85">AF92-AF107</f>
        <v>107</v>
      </c>
      <c r="AG108" s="100"/>
      <c r="AH108" s="48">
        <f t="shared" si="50"/>
        <v>643.5</v>
      </c>
      <c r="AI108" s="49">
        <f t="shared" si="51"/>
        <v>0</v>
      </c>
    </row>
    <row r="109" spans="1:64" x14ac:dyDescent="0.25">
      <c r="A109" s="112" t="s">
        <v>132</v>
      </c>
      <c r="B109" s="113">
        <v>50.05</v>
      </c>
      <c r="C109" s="113">
        <v>49.96</v>
      </c>
      <c r="D109" s="113">
        <v>49.8</v>
      </c>
      <c r="E109" s="113">
        <v>50.05</v>
      </c>
      <c r="F109" s="113">
        <v>50.015999999999998</v>
      </c>
      <c r="G109" s="113">
        <v>49.95</v>
      </c>
      <c r="H109" s="113">
        <v>49.98</v>
      </c>
      <c r="I109" s="113">
        <v>50.061</v>
      </c>
      <c r="J109" s="113">
        <v>49.94</v>
      </c>
      <c r="K109" s="113">
        <v>50.113</v>
      </c>
      <c r="L109" s="113">
        <v>50.116</v>
      </c>
      <c r="M109" s="113">
        <v>49.957999999999998</v>
      </c>
      <c r="N109" s="113">
        <v>49.975999999999999</v>
      </c>
      <c r="O109" s="113">
        <v>49.86</v>
      </c>
      <c r="P109" s="113">
        <v>49.984000000000002</v>
      </c>
      <c r="Q109" s="113">
        <v>50.136000000000003</v>
      </c>
      <c r="R109" s="113">
        <v>50.136000000000003</v>
      </c>
      <c r="S109" s="113">
        <v>50.033000000000001</v>
      </c>
      <c r="T109" s="113">
        <v>49.875</v>
      </c>
      <c r="U109" s="113">
        <v>49.920999999999999</v>
      </c>
      <c r="V109" s="113">
        <v>49.978999999999999</v>
      </c>
      <c r="W109" s="113">
        <v>49.966000000000001</v>
      </c>
      <c r="X109" s="113">
        <v>49.970999999999997</v>
      </c>
      <c r="Y109" s="113">
        <v>50.027999999999999</v>
      </c>
      <c r="Z109" s="113">
        <v>49.981999999999999</v>
      </c>
      <c r="AA109" s="113">
        <v>49.951000000000001</v>
      </c>
      <c r="AB109" s="113"/>
      <c r="AC109" s="113"/>
      <c r="AD109" s="113">
        <v>49.94</v>
      </c>
      <c r="AE109" s="113"/>
      <c r="AF109" s="113">
        <v>50.01</v>
      </c>
      <c r="AG109" s="114"/>
      <c r="AH109" s="48">
        <f t="shared" si="50"/>
        <v>50.136000000000003</v>
      </c>
      <c r="AI109" s="49">
        <f t="shared" si="51"/>
        <v>49.8</v>
      </c>
    </row>
    <row r="110" spans="1:64" x14ac:dyDescent="0.25">
      <c r="A110" s="115" t="s">
        <v>133</v>
      </c>
      <c r="B110" s="75">
        <v>128.9</v>
      </c>
      <c r="C110" s="75">
        <v>128.19999999999999</v>
      </c>
      <c r="D110" s="75">
        <v>128</v>
      </c>
      <c r="E110" s="75">
        <v>128.9</v>
      </c>
      <c r="F110" s="75">
        <v>128.5</v>
      </c>
      <c r="G110" s="75">
        <v>128.5</v>
      </c>
      <c r="H110" s="75">
        <v>128.30000000000001</v>
      </c>
      <c r="I110" s="75">
        <v>128.30000000000001</v>
      </c>
      <c r="J110" s="75">
        <v>127.5</v>
      </c>
      <c r="K110" s="75">
        <v>127.1</v>
      </c>
      <c r="L110" s="75">
        <v>126.3</v>
      </c>
      <c r="M110" s="75">
        <v>126.1</v>
      </c>
      <c r="N110" s="75">
        <v>127.8</v>
      </c>
      <c r="O110" s="75">
        <v>126</v>
      </c>
      <c r="P110" s="75">
        <v>126.4</v>
      </c>
      <c r="Q110" s="75">
        <v>123.7</v>
      </c>
      <c r="R110" s="75">
        <v>123.7</v>
      </c>
      <c r="S110" s="75">
        <v>125.1</v>
      </c>
      <c r="T110" s="75">
        <v>124.1</v>
      </c>
      <c r="U110" s="75">
        <v>124.9</v>
      </c>
      <c r="V110" s="75">
        <v>126.5</v>
      </c>
      <c r="W110" s="75">
        <v>126.2</v>
      </c>
      <c r="X110" s="75">
        <v>128.5</v>
      </c>
      <c r="Y110" s="75">
        <v>124.2</v>
      </c>
      <c r="Z110" s="75">
        <v>124.3</v>
      </c>
      <c r="AA110" s="75">
        <v>124.1</v>
      </c>
      <c r="AB110" s="75"/>
      <c r="AC110" s="75"/>
      <c r="AD110" s="75">
        <v>125.5</v>
      </c>
      <c r="AE110" s="75"/>
      <c r="AF110" s="75">
        <v>129</v>
      </c>
      <c r="AG110" s="116"/>
      <c r="AH110" s="48">
        <f t="shared" si="50"/>
        <v>129</v>
      </c>
      <c r="AI110" s="49">
        <f t="shared" si="51"/>
        <v>123.7</v>
      </c>
    </row>
    <row r="111" spans="1:64" x14ac:dyDescent="0.25">
      <c r="A111" s="115" t="s">
        <v>134</v>
      </c>
      <c r="B111" s="75">
        <v>133.1</v>
      </c>
      <c r="C111" s="75">
        <v>133</v>
      </c>
      <c r="D111" s="75">
        <v>132.69999999999999</v>
      </c>
      <c r="E111" s="75">
        <v>133.4</v>
      </c>
      <c r="F111" s="75">
        <v>133.1</v>
      </c>
      <c r="G111" s="75">
        <v>132.80000000000001</v>
      </c>
      <c r="H111" s="75">
        <v>132</v>
      </c>
      <c r="I111" s="75">
        <v>131.9</v>
      </c>
      <c r="J111" s="75">
        <v>129.6</v>
      </c>
      <c r="K111" s="75">
        <v>129.4</v>
      </c>
      <c r="L111" s="75">
        <v>128.5</v>
      </c>
      <c r="M111" s="75">
        <v>128</v>
      </c>
      <c r="N111" s="75">
        <v>129.5</v>
      </c>
      <c r="O111" s="75">
        <v>128.5</v>
      </c>
      <c r="P111" s="75">
        <v>128.80000000000001</v>
      </c>
      <c r="Q111" s="75">
        <v>126.9</v>
      </c>
      <c r="R111" s="75">
        <v>126.9</v>
      </c>
      <c r="S111" s="75">
        <v>128.4</v>
      </c>
      <c r="T111" s="75">
        <v>127.6</v>
      </c>
      <c r="U111" s="75">
        <v>127.9</v>
      </c>
      <c r="V111" s="75">
        <v>129</v>
      </c>
      <c r="W111" s="75">
        <v>128.80000000000001</v>
      </c>
      <c r="X111" s="75">
        <v>130.69999999999999</v>
      </c>
      <c r="Y111" s="75">
        <v>127.9</v>
      </c>
      <c r="Z111" s="75">
        <v>128.1</v>
      </c>
      <c r="AA111" s="75">
        <v>127.7</v>
      </c>
      <c r="AB111" s="75"/>
      <c r="AC111" s="75"/>
      <c r="AD111" s="75">
        <v>130</v>
      </c>
      <c r="AE111" s="75"/>
      <c r="AF111" s="75">
        <v>132</v>
      </c>
      <c r="AG111" s="116"/>
      <c r="AH111" s="48">
        <f t="shared" si="50"/>
        <v>133.4</v>
      </c>
      <c r="AI111" s="49">
        <f t="shared" si="51"/>
        <v>126.9</v>
      </c>
    </row>
    <row r="112" spans="1:64" x14ac:dyDescent="0.25">
      <c r="A112" s="115" t="s">
        <v>135</v>
      </c>
      <c r="B112" s="75">
        <v>132.5</v>
      </c>
      <c r="C112" s="75">
        <v>131.19999999999999</v>
      </c>
      <c r="D112" s="75">
        <v>131</v>
      </c>
      <c r="E112" s="75">
        <v>131.6</v>
      </c>
      <c r="F112" s="75">
        <v>133.5</v>
      </c>
      <c r="G112" s="75">
        <v>132.5</v>
      </c>
      <c r="H112" s="75">
        <v>131.30000000000001</v>
      </c>
      <c r="I112" s="75">
        <v>131.6</v>
      </c>
      <c r="J112" s="75">
        <v>129.4</v>
      </c>
      <c r="K112" s="75">
        <v>127.8</v>
      </c>
      <c r="L112" s="75">
        <v>126.1</v>
      </c>
      <c r="M112" s="75">
        <v>126.6</v>
      </c>
      <c r="N112" s="75">
        <v>127.1</v>
      </c>
      <c r="O112" s="75">
        <v>127.1</v>
      </c>
      <c r="P112" s="75">
        <v>125.8</v>
      </c>
      <c r="Q112" s="75">
        <v>126.8</v>
      </c>
      <c r="R112" s="75">
        <v>126.8</v>
      </c>
      <c r="S112" s="75">
        <v>123.8</v>
      </c>
      <c r="T112" s="75">
        <v>126</v>
      </c>
      <c r="U112" s="75">
        <v>128</v>
      </c>
      <c r="V112" s="75">
        <v>127.6</v>
      </c>
      <c r="W112" s="75">
        <v>128.80000000000001</v>
      </c>
      <c r="X112" s="75">
        <v>128.5</v>
      </c>
      <c r="Y112" s="75">
        <v>125.4</v>
      </c>
      <c r="Z112" s="75">
        <v>129.4</v>
      </c>
      <c r="AA112" s="75">
        <v>129.19999999999999</v>
      </c>
      <c r="AB112" s="75"/>
      <c r="AC112" s="75"/>
      <c r="AD112" s="75">
        <v>128</v>
      </c>
      <c r="AE112" s="75"/>
      <c r="AF112" s="75">
        <v>130</v>
      </c>
      <c r="AG112" s="116"/>
      <c r="AH112" s="48">
        <f t="shared" si="50"/>
        <v>133.5</v>
      </c>
      <c r="AI112" s="49">
        <f t="shared" si="51"/>
        <v>123.8</v>
      </c>
    </row>
    <row r="113" spans="1:35" x14ac:dyDescent="0.25">
      <c r="A113" s="117" t="s">
        <v>136</v>
      </c>
      <c r="B113" s="75">
        <v>135.19999999999999</v>
      </c>
      <c r="C113" s="75">
        <v>134</v>
      </c>
      <c r="D113" s="75">
        <v>132.19999999999999</v>
      </c>
      <c r="E113" s="75">
        <v>132.4</v>
      </c>
      <c r="F113" s="75">
        <v>133.4</v>
      </c>
      <c r="G113" s="75">
        <v>133</v>
      </c>
      <c r="H113" s="75">
        <v>130.6</v>
      </c>
      <c r="I113" s="75">
        <v>130.6</v>
      </c>
      <c r="J113" s="75">
        <v>128.19999999999999</v>
      </c>
      <c r="K113" s="75">
        <v>123.6</v>
      </c>
      <c r="L113" s="75">
        <v>123.7</v>
      </c>
      <c r="M113" s="75">
        <v>124.9</v>
      </c>
      <c r="N113" s="75">
        <v>126.1</v>
      </c>
      <c r="O113" s="75">
        <v>125.5</v>
      </c>
      <c r="P113" s="75">
        <v>125.6</v>
      </c>
      <c r="Q113" s="75">
        <v>127.6</v>
      </c>
      <c r="R113" s="75">
        <v>127.6</v>
      </c>
      <c r="S113" s="75">
        <v>121.5</v>
      </c>
      <c r="T113" s="75">
        <v>125</v>
      </c>
      <c r="U113" s="75">
        <v>126.7</v>
      </c>
      <c r="V113" s="75">
        <v>126.9</v>
      </c>
      <c r="W113" s="75">
        <v>127.9</v>
      </c>
      <c r="X113" s="75">
        <v>127</v>
      </c>
      <c r="Y113" s="75">
        <v>123.6</v>
      </c>
      <c r="Z113" s="75">
        <v>129</v>
      </c>
      <c r="AA113" s="75">
        <v>127.8</v>
      </c>
      <c r="AB113" s="75"/>
      <c r="AC113" s="75"/>
      <c r="AD113" s="75">
        <v>128.6</v>
      </c>
      <c r="AE113" s="75"/>
      <c r="AF113" s="75">
        <v>130</v>
      </c>
      <c r="AG113" s="116"/>
      <c r="AH113" s="48">
        <f t="shared" si="50"/>
        <v>135.19999999999999</v>
      </c>
      <c r="AI113" s="49">
        <f t="shared" si="51"/>
        <v>121.5</v>
      </c>
    </row>
    <row r="114" spans="1:35" x14ac:dyDescent="0.25">
      <c r="A114" s="117" t="s">
        <v>137</v>
      </c>
      <c r="B114" s="118">
        <v>131.5</v>
      </c>
      <c r="C114" s="118">
        <v>135.30000000000001</v>
      </c>
      <c r="D114" s="118">
        <v>136.1</v>
      </c>
      <c r="E114" s="118">
        <v>134.5</v>
      </c>
      <c r="F114" s="118">
        <v>134.9</v>
      </c>
      <c r="G114" s="118">
        <v>134</v>
      </c>
      <c r="H114" s="118">
        <v>136</v>
      </c>
      <c r="I114" s="118">
        <v>134.19999999999999</v>
      </c>
      <c r="J114" s="118">
        <v>132.4</v>
      </c>
      <c r="K114" s="118">
        <v>132.5</v>
      </c>
      <c r="L114" s="118">
        <v>131.4</v>
      </c>
      <c r="M114" s="118">
        <v>133.69999999999999</v>
      </c>
      <c r="N114" s="118">
        <v>134.19999999999999</v>
      </c>
      <c r="O114" s="118">
        <v>134</v>
      </c>
      <c r="P114" s="118">
        <v>135.69999999999999</v>
      </c>
      <c r="Q114" s="118">
        <v>133</v>
      </c>
      <c r="R114" s="118">
        <v>133</v>
      </c>
      <c r="S114" s="118">
        <v>134.1</v>
      </c>
      <c r="T114" s="118">
        <v>131.30000000000001</v>
      </c>
      <c r="U114" s="118">
        <v>132.1</v>
      </c>
      <c r="V114" s="118">
        <v>133</v>
      </c>
      <c r="W114" s="118">
        <v>131.1</v>
      </c>
      <c r="X114" s="118">
        <v>133.80000000000001</v>
      </c>
      <c r="Y114" s="118">
        <v>133.5</v>
      </c>
      <c r="Z114" s="118">
        <v>134.5</v>
      </c>
      <c r="AA114" s="118">
        <v>134.4</v>
      </c>
      <c r="AB114" s="118"/>
      <c r="AC114" s="118"/>
      <c r="AD114" s="118">
        <v>131.5</v>
      </c>
      <c r="AE114" s="118"/>
      <c r="AF114" s="118">
        <v>131.69999999999999</v>
      </c>
      <c r="AG114" s="119"/>
      <c r="AH114" s="48">
        <f t="shared" si="50"/>
        <v>136.1</v>
      </c>
      <c r="AI114" s="49">
        <f t="shared" si="51"/>
        <v>131.1</v>
      </c>
    </row>
    <row r="115" spans="1:35" x14ac:dyDescent="0.25">
      <c r="A115" s="115" t="s">
        <v>138</v>
      </c>
      <c r="B115" s="75">
        <v>129.19999999999999</v>
      </c>
      <c r="C115" s="75">
        <v>132</v>
      </c>
      <c r="D115" s="75">
        <v>126.8</v>
      </c>
      <c r="E115" s="75">
        <v>129.30000000000001</v>
      </c>
      <c r="F115" s="75">
        <v>131.69999999999999</v>
      </c>
      <c r="G115" s="75">
        <v>125.8</v>
      </c>
      <c r="H115" s="75">
        <v>132.6</v>
      </c>
      <c r="I115" s="75">
        <v>129.9</v>
      </c>
      <c r="J115" s="75">
        <v>128.6</v>
      </c>
      <c r="K115" s="75">
        <v>128.19999999999999</v>
      </c>
      <c r="L115" s="75">
        <v>127.7</v>
      </c>
      <c r="M115" s="75">
        <v>123.2</v>
      </c>
      <c r="N115" s="75">
        <v>129.9</v>
      </c>
      <c r="O115" s="75">
        <v>125.9</v>
      </c>
      <c r="P115" s="75">
        <v>123.9</v>
      </c>
      <c r="Q115" s="75">
        <v>123.9</v>
      </c>
      <c r="R115" s="75">
        <v>123.9</v>
      </c>
      <c r="S115" s="75">
        <v>131.1</v>
      </c>
      <c r="T115" s="75">
        <v>132.80000000000001</v>
      </c>
      <c r="U115" s="75">
        <v>129.30000000000001</v>
      </c>
      <c r="V115" s="75">
        <v>131.9</v>
      </c>
      <c r="W115" s="75">
        <v>135.5</v>
      </c>
      <c r="X115" s="75">
        <v>130.30000000000001</v>
      </c>
      <c r="Y115" s="75">
        <v>128.69999999999999</v>
      </c>
      <c r="Z115" s="75">
        <v>134.9</v>
      </c>
      <c r="AA115" s="75">
        <v>134.6</v>
      </c>
      <c r="AB115" s="75"/>
      <c r="AC115" s="75"/>
      <c r="AD115" s="75">
        <v>127.5</v>
      </c>
      <c r="AE115" s="75"/>
      <c r="AF115" s="75">
        <v>126</v>
      </c>
      <c r="AG115" s="116"/>
      <c r="AH115" s="48">
        <f t="shared" si="50"/>
        <v>135.5</v>
      </c>
      <c r="AI115" s="49">
        <f t="shared" si="51"/>
        <v>123.2</v>
      </c>
    </row>
    <row r="116" spans="1:35" ht="15.75" thickBot="1" x14ac:dyDescent="0.3">
      <c r="A116" s="115" t="s">
        <v>139</v>
      </c>
      <c r="B116" s="104">
        <v>67</v>
      </c>
      <c r="C116" s="104">
        <v>67.099999999999994</v>
      </c>
      <c r="D116" s="104">
        <v>66.8</v>
      </c>
      <c r="E116" s="104">
        <v>67.2</v>
      </c>
      <c r="F116" s="104">
        <v>67.099999999999994</v>
      </c>
      <c r="G116" s="104">
        <v>67</v>
      </c>
      <c r="H116" s="104">
        <v>66.3</v>
      </c>
      <c r="I116" s="104">
        <v>66.5</v>
      </c>
      <c r="J116" s="104">
        <v>65.099999999999994</v>
      </c>
      <c r="K116" s="104">
        <v>64.8</v>
      </c>
      <c r="L116" s="104">
        <v>64.400000000000006</v>
      </c>
      <c r="M116" s="104">
        <v>64.3</v>
      </c>
      <c r="N116" s="104">
        <v>65.099999999999994</v>
      </c>
      <c r="O116" s="104">
        <v>64.599999999999994</v>
      </c>
      <c r="P116" s="104">
        <v>64.8</v>
      </c>
      <c r="Q116" s="104">
        <v>63.7</v>
      </c>
      <c r="R116" s="104">
        <v>63.7</v>
      </c>
      <c r="S116" s="104">
        <v>64.2</v>
      </c>
      <c r="T116" s="104">
        <v>64.099999999999994</v>
      </c>
      <c r="U116" s="104">
        <v>64.099999999999994</v>
      </c>
      <c r="V116" s="104">
        <v>64.900000000000006</v>
      </c>
      <c r="W116" s="104">
        <v>64.8</v>
      </c>
      <c r="X116" s="104">
        <v>65.599999999999994</v>
      </c>
      <c r="Y116" s="104">
        <v>64.3</v>
      </c>
      <c r="Z116" s="104">
        <v>64.5</v>
      </c>
      <c r="AA116" s="104">
        <v>64.400000000000006</v>
      </c>
      <c r="AB116" s="104"/>
      <c r="AC116" s="104"/>
      <c r="AD116" s="104">
        <v>65.7</v>
      </c>
      <c r="AE116" s="104"/>
      <c r="AF116" s="104">
        <v>66.599999999999994</v>
      </c>
      <c r="AG116" s="120"/>
      <c r="AH116" s="48">
        <f t="shared" si="50"/>
        <v>67.2</v>
      </c>
      <c r="AI116" s="49">
        <f t="shared" si="51"/>
        <v>63.7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 t="s">
        <v>140</v>
      </c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50"/>
        <v>0</v>
      </c>
      <c r="AI117" s="49">
        <f t="shared" si="51"/>
        <v>0</v>
      </c>
    </row>
    <row r="118" spans="1:35" ht="15.75" thickBot="1" x14ac:dyDescent="0.3">
      <c r="A118" s="122" t="s">
        <v>141</v>
      </c>
      <c r="B118" s="123">
        <f t="shared" ref="B118" si="86">SUM(B22,B28,B31:B32,B66,B68:B69,B71,B73,B119:B123,B155,B161,B167,B176,B178,B190,B197,B200:B201,B208,B210,B212,B216:B218,B220:B222,B227,B233:B234,B236:B238,B246,B251)</f>
        <v>93.04000000000002</v>
      </c>
      <c r="C118" s="123">
        <f>SUM(C22,C28,C31:C32,C66,C68:C69,C71,C73,C119:C123,C155,C161,C167,C176,C178,C190,C197,C200:C201,C208,C210,C212,C216:C218,C220:C222,C227,C233:C234,C236:C238,C246,C251)</f>
        <v>78.040000000000049</v>
      </c>
      <c r="D118" s="123">
        <f t="shared" ref="D118:O118" si="87">SUM(D22,D28,D31:D32,D66,D68:D69,D71,D73,D119:D123,D155,D161,D167,D176,D178,D190,D197,D200:D201,D208,D210,D212,D216:D218,D220:D222,D227,D233:D234,D236:D238,D246,D251)</f>
        <v>78.039999999999964</v>
      </c>
      <c r="E118" s="123">
        <f t="shared" si="87"/>
        <v>79.140000000000015</v>
      </c>
      <c r="F118" s="123">
        <f t="shared" si="87"/>
        <v>87.54</v>
      </c>
      <c r="G118" s="123">
        <f t="shared" si="87"/>
        <v>102.94000000000001</v>
      </c>
      <c r="H118" s="123">
        <f t="shared" si="87"/>
        <v>152.84000000000003</v>
      </c>
      <c r="I118" s="123">
        <f t="shared" si="87"/>
        <v>164.44</v>
      </c>
      <c r="J118" s="123">
        <f t="shared" si="87"/>
        <v>164.44</v>
      </c>
      <c r="K118" s="123">
        <f t="shared" si="87"/>
        <v>281.74</v>
      </c>
      <c r="L118" s="123">
        <f t="shared" si="87"/>
        <v>282.44</v>
      </c>
      <c r="M118" s="123">
        <f t="shared" si="87"/>
        <v>305.04000000000002</v>
      </c>
      <c r="N118" s="123">
        <f t="shared" si="87"/>
        <v>301.24</v>
      </c>
      <c r="O118" s="123">
        <f t="shared" si="87"/>
        <v>273.74</v>
      </c>
      <c r="P118" s="123">
        <v>42</v>
      </c>
      <c r="Q118" s="123">
        <f t="shared" ref="Q118:AE118" si="88">SUM(Q22,Q28,Q31:Q32,Q66,Q68:Q69,Q71,Q73,Q119:Q123,Q155,Q161,Q167,Q176,Q178,Q190,Q197,Q200:Q201,Q208,Q210,Q212,Q216:Q218,Q220:Q222,Q227,Q233:Q234,Q236:Q238,Q246,Q251)</f>
        <v>271.64</v>
      </c>
      <c r="R118" s="123">
        <f t="shared" si="88"/>
        <v>271.64</v>
      </c>
      <c r="S118" s="123">
        <f t="shared" si="88"/>
        <v>281.53999999999996</v>
      </c>
      <c r="T118" s="123">
        <f t="shared" si="88"/>
        <v>285.83999999999997</v>
      </c>
      <c r="U118" s="123">
        <f t="shared" si="88"/>
        <v>280.04000000000002</v>
      </c>
      <c r="V118" s="123">
        <f t="shared" si="88"/>
        <v>281.23999999999995</v>
      </c>
      <c r="W118" s="123">
        <f t="shared" si="88"/>
        <v>291.44</v>
      </c>
      <c r="X118" s="123">
        <f t="shared" si="88"/>
        <v>287.23999999999995</v>
      </c>
      <c r="Y118" s="123">
        <f t="shared" ref="Y118:Z118" si="89">SUM(Y20,Y26,Y37:Y38,Y66,Y68:Y69,Y71,Y73,Y119:Y123,Y148,Y154,Y160,Y169,Y171,Y183,Y190,Y193:Y194,Y201,Y203,Y205,Y209:Y211,Y213:Y215,Y220,Y226:Y227,Y229:Y231,Y239,Y244)</f>
        <v>369.6</v>
      </c>
      <c r="Z118" s="123">
        <f t="shared" si="89"/>
        <v>294.20000000000005</v>
      </c>
      <c r="AA118" s="123">
        <f t="shared" si="88"/>
        <v>337.44</v>
      </c>
      <c r="AB118" s="123">
        <f t="shared" si="88"/>
        <v>0.94</v>
      </c>
      <c r="AC118" s="123">
        <f t="shared" si="88"/>
        <v>0.94</v>
      </c>
      <c r="AD118" s="123">
        <v>337.44</v>
      </c>
      <c r="AE118" s="123">
        <f t="shared" si="88"/>
        <v>110.53999999999999</v>
      </c>
      <c r="AF118" s="123">
        <f t="shared" ref="AF118" si="90">SUM(AF22,AF28,AF31:AF32,AF66,AF68:AF69,AF71,AF73,AF119:AF123,AF155,AF161,AF167,AF176,AF178,AF190,AF197,AF200:AF201,AF208,AF210,AF212,AF216:AF218,AF220:AF222,AF227,AF233:AF234,AF236:AF238,AF246,AF251)</f>
        <v>117.54000000000002</v>
      </c>
      <c r="AG118" s="124"/>
      <c r="AH118" s="48">
        <f t="shared" si="50"/>
        <v>369.6</v>
      </c>
      <c r="AI118" s="49">
        <f t="shared" si="51"/>
        <v>0.94</v>
      </c>
    </row>
    <row r="119" spans="1:35" x14ac:dyDescent="0.25">
      <c r="A119" s="125" t="s">
        <v>142</v>
      </c>
      <c r="B119" s="126">
        <v>32.9</v>
      </c>
      <c r="C119" s="126">
        <v>46.7</v>
      </c>
      <c r="D119" s="126">
        <v>58.3</v>
      </c>
      <c r="E119" s="126">
        <v>49.1</v>
      </c>
      <c r="F119" s="126">
        <v>48.4</v>
      </c>
      <c r="G119" s="126">
        <v>43.9</v>
      </c>
      <c r="H119" s="126">
        <v>55.2</v>
      </c>
      <c r="I119" s="126">
        <v>53</v>
      </c>
      <c r="J119" s="126">
        <v>53</v>
      </c>
      <c r="K119" s="126">
        <v>32.6</v>
      </c>
      <c r="L119" s="126">
        <v>33.700000000000003</v>
      </c>
      <c r="M119" s="126">
        <v>34.6</v>
      </c>
      <c r="N119" s="126">
        <v>49.7</v>
      </c>
      <c r="O119" s="126">
        <v>42.8</v>
      </c>
      <c r="P119" s="126">
        <v>35.1</v>
      </c>
      <c r="Q119" s="126">
        <v>33</v>
      </c>
      <c r="R119" s="126">
        <v>33</v>
      </c>
      <c r="S119" s="126">
        <v>36.700000000000003</v>
      </c>
      <c r="T119" s="126">
        <v>22.4</v>
      </c>
      <c r="U119" s="126">
        <v>32.5</v>
      </c>
      <c r="V119" s="126">
        <v>35.9</v>
      </c>
      <c r="W119" s="126">
        <v>42.9</v>
      </c>
      <c r="X119" s="126">
        <v>45.3</v>
      </c>
      <c r="Y119" s="126">
        <v>82.1</v>
      </c>
      <c r="Z119" s="126">
        <v>84.2</v>
      </c>
      <c r="AA119" s="126">
        <v>86.5</v>
      </c>
      <c r="AB119" s="126"/>
      <c r="AC119" s="126"/>
      <c r="AD119" s="126">
        <v>57</v>
      </c>
      <c r="AE119" s="126"/>
      <c r="AF119" s="126">
        <v>70</v>
      </c>
      <c r="AG119" s="127">
        <v>75</v>
      </c>
      <c r="AH119" s="48">
        <f t="shared" si="50"/>
        <v>86.5</v>
      </c>
      <c r="AI119" s="49">
        <f t="shared" si="51"/>
        <v>22.4</v>
      </c>
    </row>
    <row r="120" spans="1:35" x14ac:dyDescent="0.25">
      <c r="A120" s="128" t="s">
        <v>143</v>
      </c>
      <c r="B120" s="129">
        <v>49.4</v>
      </c>
      <c r="C120" s="129">
        <v>65.900000000000006</v>
      </c>
      <c r="D120" s="129">
        <v>79</v>
      </c>
      <c r="E120" s="129">
        <v>67.8</v>
      </c>
      <c r="F120" s="129">
        <v>66.7</v>
      </c>
      <c r="G120" s="129">
        <v>61.1</v>
      </c>
      <c r="H120" s="129">
        <v>72.400000000000006</v>
      </c>
      <c r="I120" s="129">
        <v>70.8</v>
      </c>
      <c r="J120" s="129">
        <v>70.8</v>
      </c>
      <c r="K120" s="129">
        <v>40</v>
      </c>
      <c r="L120" s="129">
        <v>40.700000000000003</v>
      </c>
      <c r="M120" s="129">
        <v>45</v>
      </c>
      <c r="N120" s="129">
        <v>65.8</v>
      </c>
      <c r="O120" s="129">
        <v>56.6</v>
      </c>
      <c r="P120" s="129">
        <v>45.6</v>
      </c>
      <c r="Q120" s="129">
        <v>41.8</v>
      </c>
      <c r="R120" s="129">
        <v>41.8</v>
      </c>
      <c r="S120" s="129">
        <v>45.6</v>
      </c>
      <c r="T120" s="129">
        <v>28.7</v>
      </c>
      <c r="U120" s="129">
        <v>42.3</v>
      </c>
      <c r="V120" s="129">
        <v>56.4</v>
      </c>
      <c r="W120" s="129">
        <v>67.2</v>
      </c>
      <c r="X120" s="129">
        <v>69.599999999999994</v>
      </c>
      <c r="Y120" s="129">
        <v>116.1</v>
      </c>
      <c r="Z120" s="129">
        <v>119.7</v>
      </c>
      <c r="AA120" s="129">
        <v>123</v>
      </c>
      <c r="AB120" s="129"/>
      <c r="AC120" s="129"/>
      <c r="AD120" s="129">
        <v>87</v>
      </c>
      <c r="AE120" s="129"/>
      <c r="AF120" s="129">
        <v>99</v>
      </c>
      <c r="AG120" s="127">
        <v>240</v>
      </c>
      <c r="AH120" s="48">
        <f t="shared" si="50"/>
        <v>123</v>
      </c>
      <c r="AI120" s="49">
        <f t="shared" si="51"/>
        <v>28.7</v>
      </c>
    </row>
    <row r="121" spans="1:35" x14ac:dyDescent="0.25">
      <c r="A121" s="128" t="s">
        <v>144</v>
      </c>
      <c r="B121" s="129">
        <f>-46.4-53</f>
        <v>-99.4</v>
      </c>
      <c r="C121" s="129">
        <f>-48.8-55.4</f>
        <v>-104.19999999999999</v>
      </c>
      <c r="D121" s="129">
        <f>-51.2-57.1</f>
        <v>-108.30000000000001</v>
      </c>
      <c r="E121" s="129">
        <f>-48-54.2</f>
        <v>-102.2</v>
      </c>
      <c r="F121" s="129">
        <f>-47-54</f>
        <v>-101</v>
      </c>
      <c r="G121" s="129">
        <f>-41-47</f>
        <v>-88</v>
      </c>
      <c r="H121" s="129">
        <f>-35-41.2</f>
        <v>-76.2</v>
      </c>
      <c r="I121" s="129">
        <f>-33.6-37.9</f>
        <v>-71.5</v>
      </c>
      <c r="J121" s="129">
        <f>-33.6-37.9</f>
        <v>-71.5</v>
      </c>
      <c r="K121" s="129">
        <v>2</v>
      </c>
      <c r="L121" s="129">
        <v>1.1000000000000001</v>
      </c>
      <c r="M121" s="129">
        <v>6.8</v>
      </c>
      <c r="N121" s="129">
        <v>17</v>
      </c>
      <c r="O121" s="129">
        <v>-8</v>
      </c>
      <c r="P121" s="129">
        <v>-2.9</v>
      </c>
      <c r="Q121" s="129">
        <v>-19.3</v>
      </c>
      <c r="R121" s="129">
        <v>-19.3</v>
      </c>
      <c r="S121" s="129">
        <v>-13</v>
      </c>
      <c r="T121" s="129">
        <v>3.2</v>
      </c>
      <c r="U121" s="129">
        <v>-5.9</v>
      </c>
      <c r="V121" s="129">
        <v>-4.5999999999999996</v>
      </c>
      <c r="W121" s="129">
        <v>-15.6</v>
      </c>
      <c r="X121" s="129">
        <v>-15.5</v>
      </c>
      <c r="Y121" s="129">
        <v>-15.5</v>
      </c>
      <c r="Z121" s="129">
        <v>-92</v>
      </c>
      <c r="AA121" s="129">
        <v>-79</v>
      </c>
      <c r="AB121" s="129"/>
      <c r="AC121" s="129"/>
      <c r="AD121" s="129">
        <v>-96</v>
      </c>
      <c r="AE121" s="129"/>
      <c r="AF121" s="129">
        <v>-140</v>
      </c>
      <c r="AG121" s="127">
        <v>240</v>
      </c>
      <c r="AH121" s="48">
        <f t="shared" si="50"/>
        <v>17</v>
      </c>
      <c r="AI121" s="49">
        <f t="shared" si="51"/>
        <v>-140</v>
      </c>
    </row>
    <row r="122" spans="1:35" ht="15.75" thickBot="1" x14ac:dyDescent="0.3">
      <c r="A122" s="128" t="s">
        <v>145</v>
      </c>
      <c r="B122" s="129">
        <v>-19.2</v>
      </c>
      <c r="C122" s="129">
        <v>-17.600000000000001</v>
      </c>
      <c r="D122" s="129">
        <v>-20.399999999999999</v>
      </c>
      <c r="E122" s="129">
        <v>-24.8</v>
      </c>
      <c r="F122" s="129">
        <v>-17.399999999999999</v>
      </c>
      <c r="G122" s="129">
        <v>-8.6999999999999993</v>
      </c>
      <c r="H122" s="129">
        <v>-9.1999999999999993</v>
      </c>
      <c r="I122" s="129">
        <v>-6.2</v>
      </c>
      <c r="J122" s="129">
        <v>-6.2</v>
      </c>
      <c r="K122" s="129">
        <v>18</v>
      </c>
      <c r="L122" s="129">
        <v>18.3</v>
      </c>
      <c r="M122" s="129">
        <v>18.399999999999999</v>
      </c>
      <c r="N122" s="129">
        <v>17</v>
      </c>
      <c r="O122" s="129">
        <v>13</v>
      </c>
      <c r="P122" s="129">
        <v>7.6</v>
      </c>
      <c r="Q122" s="129">
        <v>0.8</v>
      </c>
      <c r="R122" s="129">
        <v>0.8</v>
      </c>
      <c r="S122" s="129">
        <v>0</v>
      </c>
      <c r="T122" s="129">
        <v>3.7</v>
      </c>
      <c r="U122" s="129">
        <v>-4.4000000000000004</v>
      </c>
      <c r="V122" s="129">
        <v>4.7</v>
      </c>
      <c r="W122" s="129">
        <v>3.2</v>
      </c>
      <c r="X122" s="129">
        <v>8.1</v>
      </c>
      <c r="Y122" s="129">
        <v>8.1</v>
      </c>
      <c r="Z122" s="129">
        <v>8</v>
      </c>
      <c r="AA122" s="129">
        <v>10.199999999999999</v>
      </c>
      <c r="AB122" s="129"/>
      <c r="AC122" s="129"/>
      <c r="AD122" s="129">
        <v>-7</v>
      </c>
      <c r="AE122" s="129"/>
      <c r="AF122" s="129">
        <v>19</v>
      </c>
      <c r="AG122" s="127">
        <v>60</v>
      </c>
      <c r="AH122" s="48">
        <f t="shared" si="50"/>
        <v>19</v>
      </c>
      <c r="AI122" s="49">
        <f t="shared" si="51"/>
        <v>-24.8</v>
      </c>
    </row>
    <row r="123" spans="1:35" x14ac:dyDescent="0.25">
      <c r="A123" s="125" t="s">
        <v>146</v>
      </c>
      <c r="B123" s="130">
        <v>26.1</v>
      </c>
      <c r="C123" s="130">
        <v>-16.100000000000001</v>
      </c>
      <c r="D123" s="130">
        <v>-27.4</v>
      </c>
      <c r="E123" s="130">
        <v>-7.6</v>
      </c>
      <c r="F123" s="130">
        <v>-5.8</v>
      </c>
      <c r="G123" s="130">
        <v>-2</v>
      </c>
      <c r="H123" s="130">
        <v>14</v>
      </c>
      <c r="I123" s="130">
        <v>21.7</v>
      </c>
      <c r="J123" s="130">
        <v>21.7</v>
      </c>
      <c r="K123" s="130">
        <v>92.5</v>
      </c>
      <c r="L123" s="130">
        <v>92.9</v>
      </c>
      <c r="M123" s="130">
        <v>104.5</v>
      </c>
      <c r="N123" s="130">
        <v>56</v>
      </c>
      <c r="O123" s="130">
        <v>73.599999999999994</v>
      </c>
      <c r="P123" s="130">
        <v>91.1</v>
      </c>
      <c r="Q123" s="130">
        <v>108.2</v>
      </c>
      <c r="R123" s="130">
        <v>108.2</v>
      </c>
      <c r="S123" s="130">
        <v>88.8</v>
      </c>
      <c r="T123" s="130">
        <v>113.3</v>
      </c>
      <c r="U123" s="130">
        <v>103.6</v>
      </c>
      <c r="V123" s="130">
        <v>80.599999999999994</v>
      </c>
      <c r="W123" s="130">
        <v>90.1</v>
      </c>
      <c r="X123" s="130">
        <v>75.900000000000006</v>
      </c>
      <c r="Y123" s="130">
        <v>75.900000000000006</v>
      </c>
      <c r="Z123" s="130">
        <v>71.400000000000006</v>
      </c>
      <c r="AA123" s="130">
        <v>93.1</v>
      </c>
      <c r="AB123" s="130"/>
      <c r="AC123" s="130"/>
      <c r="AD123" s="130">
        <v>85</v>
      </c>
      <c r="AE123" s="130"/>
      <c r="AF123" s="130">
        <v>-41</v>
      </c>
      <c r="AG123" s="131">
        <v>120</v>
      </c>
      <c r="AH123" s="48">
        <f t="shared" si="50"/>
        <v>113.3</v>
      </c>
      <c r="AI123" s="49">
        <f t="shared" si="51"/>
        <v>-41</v>
      </c>
    </row>
    <row r="124" spans="1:35" x14ac:dyDescent="0.25">
      <c r="A124" s="128" t="s">
        <v>147</v>
      </c>
      <c r="B124" s="130">
        <v>41.8</v>
      </c>
      <c r="C124" s="130">
        <v>18.899999999999999</v>
      </c>
      <c r="D124" s="130">
        <v>12</v>
      </c>
      <c r="E124" s="130">
        <v>22</v>
      </c>
      <c r="F124" s="130">
        <v>22.5</v>
      </c>
      <c r="G124" s="130">
        <v>24.5</v>
      </c>
      <c r="H124" s="130">
        <v>33.4</v>
      </c>
      <c r="I124" s="130">
        <v>37.299999999999997</v>
      </c>
      <c r="J124" s="130">
        <v>38</v>
      </c>
      <c r="K124" s="130">
        <v>71.2</v>
      </c>
      <c r="L124" s="130">
        <v>71.599999999999994</v>
      </c>
      <c r="M124" s="130">
        <v>71</v>
      </c>
      <c r="N124" s="130">
        <v>45</v>
      </c>
      <c r="O124" s="130">
        <v>54</v>
      </c>
      <c r="P124" s="130">
        <v>62.3</v>
      </c>
      <c r="Q124" s="130"/>
      <c r="R124" s="130"/>
      <c r="S124" s="130">
        <v>60.7</v>
      </c>
      <c r="T124" s="130">
        <v>73.400000000000006</v>
      </c>
      <c r="U124" s="130">
        <v>69.099999999999994</v>
      </c>
      <c r="V124" s="130">
        <v>57.7</v>
      </c>
      <c r="W124" s="130">
        <v>62.2</v>
      </c>
      <c r="X124" s="130">
        <v>55.7</v>
      </c>
      <c r="Y124" s="130">
        <v>55.7</v>
      </c>
      <c r="Z124" s="130">
        <v>59.6</v>
      </c>
      <c r="AA124" s="130">
        <v>48.1</v>
      </c>
      <c r="AB124" s="130"/>
      <c r="AC124" s="130"/>
      <c r="AD124" s="130">
        <v>62</v>
      </c>
      <c r="AE124" s="130"/>
      <c r="AF124" s="130">
        <v>3</v>
      </c>
      <c r="AG124" s="131"/>
      <c r="AH124" s="48">
        <f t="shared" si="50"/>
        <v>73.400000000000006</v>
      </c>
      <c r="AI124" s="49">
        <f t="shared" si="51"/>
        <v>3</v>
      </c>
    </row>
    <row r="125" spans="1:35" x14ac:dyDescent="0.25">
      <c r="A125" s="128" t="s">
        <v>148</v>
      </c>
      <c r="B125" s="130">
        <v>13.3</v>
      </c>
      <c r="C125" s="130">
        <v>-16.7</v>
      </c>
      <c r="D125" s="130">
        <v>-25.9</v>
      </c>
      <c r="E125" s="130">
        <v>-7.6</v>
      </c>
      <c r="F125" s="130">
        <v>-8.6999999999999993</v>
      </c>
      <c r="G125" s="130">
        <v>-14.2</v>
      </c>
      <c r="H125" s="130">
        <v>-26.9</v>
      </c>
      <c r="I125" s="130">
        <v>-25.7</v>
      </c>
      <c r="J125" s="130">
        <v>-12</v>
      </c>
      <c r="K125" s="130">
        <v>-23.1</v>
      </c>
      <c r="L125" s="130">
        <v>-21.8</v>
      </c>
      <c r="M125" s="130">
        <v>-30</v>
      </c>
      <c r="N125" s="130">
        <v>-54</v>
      </c>
      <c r="O125" s="130">
        <v>-11</v>
      </c>
      <c r="P125" s="130">
        <v>7.6</v>
      </c>
      <c r="Q125" s="130"/>
      <c r="R125" s="130"/>
      <c r="S125" s="130">
        <v>-1.9</v>
      </c>
      <c r="T125" s="130">
        <v>-11.2</v>
      </c>
      <c r="U125" s="130">
        <v>0.9</v>
      </c>
      <c r="V125" s="130">
        <v>-36</v>
      </c>
      <c r="W125" s="130">
        <v>-36.700000000000003</v>
      </c>
      <c r="X125" s="130">
        <v>-47.4</v>
      </c>
      <c r="Y125" s="130">
        <v>-47.4</v>
      </c>
      <c r="Z125" s="130">
        <v>-56.9</v>
      </c>
      <c r="AA125" s="130">
        <v>-79</v>
      </c>
      <c r="AB125" s="130"/>
      <c r="AC125" s="130"/>
      <c r="AD125" s="130">
        <v>-8</v>
      </c>
      <c r="AE125" s="130"/>
      <c r="AF125" s="130">
        <v>-52</v>
      </c>
      <c r="AG125" s="131"/>
      <c r="AH125" s="48">
        <f t="shared" si="50"/>
        <v>13.3</v>
      </c>
      <c r="AI125" s="49">
        <f t="shared" si="51"/>
        <v>-79</v>
      </c>
    </row>
    <row r="126" spans="1:35" ht="15.75" thickBot="1" x14ac:dyDescent="0.3">
      <c r="A126" s="128" t="s">
        <v>149</v>
      </c>
      <c r="B126" s="130">
        <v>53.5</v>
      </c>
      <c r="C126" s="130">
        <v>27.1</v>
      </c>
      <c r="D126" s="130">
        <v>18.7</v>
      </c>
      <c r="E126" s="130">
        <v>30.3</v>
      </c>
      <c r="F126" s="130">
        <v>30.4</v>
      </c>
      <c r="G126" s="130">
        <v>27.7</v>
      </c>
      <c r="H126" s="130">
        <v>34</v>
      </c>
      <c r="I126" s="130">
        <v>40.4</v>
      </c>
      <c r="J126" s="130">
        <v>40.4</v>
      </c>
      <c r="K126" s="130">
        <v>58.3</v>
      </c>
      <c r="L126" s="130">
        <v>55.6</v>
      </c>
      <c r="M126" s="130">
        <v>58</v>
      </c>
      <c r="N126" s="130">
        <v>26</v>
      </c>
      <c r="O126" s="130">
        <v>41</v>
      </c>
      <c r="P126" s="130">
        <v>50.3</v>
      </c>
      <c r="Q126" s="130">
        <v>67.599999999999994</v>
      </c>
      <c r="R126" s="130">
        <v>67.599999999999994</v>
      </c>
      <c r="S126" s="130">
        <v>62.4</v>
      </c>
      <c r="T126" s="130">
        <v>79.7</v>
      </c>
      <c r="U126" s="130">
        <v>72.900000000000006</v>
      </c>
      <c r="V126" s="130">
        <v>54.2</v>
      </c>
      <c r="W126" s="130">
        <v>61.7</v>
      </c>
      <c r="X126" s="130">
        <v>47.6</v>
      </c>
      <c r="Y126" s="130">
        <v>47.6</v>
      </c>
      <c r="Z126" s="130">
        <v>50.8</v>
      </c>
      <c r="AA126" s="130">
        <v>58.6</v>
      </c>
      <c r="AB126" s="130"/>
      <c r="AC126" s="130"/>
      <c r="AD126" s="130">
        <v>63</v>
      </c>
      <c r="AE126" s="130"/>
      <c r="AF126" s="130">
        <v>-10</v>
      </c>
      <c r="AG126" s="127"/>
      <c r="AH126" s="48">
        <f>MAX(B126:AF126)</f>
        <v>79.7</v>
      </c>
      <c r="AI126" s="49">
        <f>MIN(B126:AF126)</f>
        <v>-10</v>
      </c>
    </row>
    <row r="127" spans="1:35" x14ac:dyDescent="0.25">
      <c r="A127" s="125" t="s">
        <v>305</v>
      </c>
      <c r="B127" s="130">
        <v>-103</v>
      </c>
      <c r="C127" s="130">
        <v>-160</v>
      </c>
      <c r="D127" s="130">
        <v>-120</v>
      </c>
      <c r="E127" s="130">
        <v>-58.1</v>
      </c>
      <c r="F127" s="130">
        <v>-58.7</v>
      </c>
      <c r="G127" s="130">
        <v>-58.8</v>
      </c>
      <c r="H127" s="130">
        <v>-69</v>
      </c>
      <c r="I127" s="130">
        <v>-66.400000000000006</v>
      </c>
      <c r="J127" s="130">
        <v>-66.400000000000006</v>
      </c>
      <c r="K127" s="130">
        <v>1.1000000000000001</v>
      </c>
      <c r="L127" s="130">
        <v>-8.4</v>
      </c>
      <c r="M127" s="130">
        <v>-18</v>
      </c>
      <c r="N127" s="130">
        <v>-70</v>
      </c>
      <c r="O127" s="130">
        <v>-70</v>
      </c>
      <c r="P127" s="130">
        <v>-12.6</v>
      </c>
      <c r="Q127" s="130">
        <v>-27.7</v>
      </c>
      <c r="R127" s="130">
        <v>-27.7</v>
      </c>
      <c r="S127" s="130">
        <v>-30.3</v>
      </c>
      <c r="T127" s="130">
        <v>2</v>
      </c>
      <c r="U127" s="130">
        <v>-1.1000000000000001</v>
      </c>
      <c r="V127" s="130">
        <v>-4.0999999999999996</v>
      </c>
      <c r="W127" s="130">
        <v>1.8</v>
      </c>
      <c r="X127" s="130">
        <v>-34.5</v>
      </c>
      <c r="Y127" s="130">
        <v>-34.5</v>
      </c>
      <c r="Z127" s="130">
        <v>-156.19999999999999</v>
      </c>
      <c r="AA127" s="130">
        <v>-177</v>
      </c>
      <c r="AB127" s="130"/>
      <c r="AC127" s="130"/>
      <c r="AD127" s="130">
        <v>-198</v>
      </c>
      <c r="AE127" s="130"/>
      <c r="AF127" s="130">
        <v>-105</v>
      </c>
      <c r="AG127" s="127"/>
      <c r="AH127" s="48">
        <f>MAX(B127:AF127)</f>
        <v>2</v>
      </c>
      <c r="AI127" s="49">
        <f>MIN(B127:AF127)</f>
        <v>-198</v>
      </c>
    </row>
    <row r="128" spans="1:35" x14ac:dyDescent="0.25">
      <c r="A128" s="128" t="s">
        <v>151</v>
      </c>
      <c r="B128" s="118">
        <v>-3.4</v>
      </c>
      <c r="C128" s="118">
        <v>0</v>
      </c>
      <c r="D128" s="118">
        <v>0.6</v>
      </c>
      <c r="E128" s="118">
        <v>0</v>
      </c>
      <c r="F128" s="118">
        <v>1.2</v>
      </c>
      <c r="G128" s="118">
        <v>0.4</v>
      </c>
      <c r="H128" s="118">
        <v>-10.5</v>
      </c>
      <c r="I128" s="118">
        <v>-12.8</v>
      </c>
      <c r="J128" s="118">
        <v>-12.8</v>
      </c>
      <c r="K128" s="118">
        <v>-20</v>
      </c>
      <c r="L128" s="118">
        <v>-63.2</v>
      </c>
      <c r="M128" s="118">
        <v>-31</v>
      </c>
      <c r="N128" s="118">
        <v>-26</v>
      </c>
      <c r="O128" s="118">
        <v>-39</v>
      </c>
      <c r="P128" s="118">
        <v>-20.7</v>
      </c>
      <c r="Q128" s="118">
        <v>-17.63</v>
      </c>
      <c r="R128" s="118">
        <v>-17.63</v>
      </c>
      <c r="S128" s="118">
        <v>-27.3</v>
      </c>
      <c r="T128" s="118">
        <v>-27.3</v>
      </c>
      <c r="U128" s="118">
        <v>-29.9</v>
      </c>
      <c r="V128" s="118">
        <v>-22.7</v>
      </c>
      <c r="W128" s="118">
        <v>-24.2</v>
      </c>
      <c r="X128" s="118">
        <v>-33.6</v>
      </c>
      <c r="Y128" s="118">
        <v>-33.6</v>
      </c>
      <c r="Z128" s="118">
        <v>-43.5</v>
      </c>
      <c r="AA128" s="118">
        <v>-42.3</v>
      </c>
      <c r="AB128" s="118"/>
      <c r="AC128" s="118"/>
      <c r="AD128" s="118">
        <v>-26</v>
      </c>
      <c r="AE128" s="118"/>
      <c r="AF128" s="118">
        <v>-12</v>
      </c>
      <c r="AG128" s="127"/>
      <c r="AH128" s="48">
        <f>MAX(B128:AF128)</f>
        <v>1.2</v>
      </c>
      <c r="AI128" s="49">
        <f>MIN(B128:AF128)</f>
        <v>-63.2</v>
      </c>
    </row>
    <row r="129" spans="1:37" x14ac:dyDescent="0.25">
      <c r="A129" s="128" t="s">
        <v>306</v>
      </c>
      <c r="B129" s="118">
        <v>79.400000000000006</v>
      </c>
      <c r="C129" s="118">
        <v>6.2</v>
      </c>
      <c r="D129" s="118">
        <v>11.5</v>
      </c>
      <c r="E129" s="118">
        <v>10.5</v>
      </c>
      <c r="F129" s="118">
        <v>8.9</v>
      </c>
      <c r="G129" s="118">
        <v>7.5</v>
      </c>
      <c r="H129" s="118">
        <v>5.9</v>
      </c>
      <c r="I129" s="118">
        <v>5.8</v>
      </c>
      <c r="J129" s="118">
        <v>5.8</v>
      </c>
      <c r="K129" s="118"/>
      <c r="L129" s="118">
        <v>106.6</v>
      </c>
      <c r="M129" s="118">
        <v>94</v>
      </c>
      <c r="N129" s="118">
        <v>93</v>
      </c>
      <c r="O129" s="118">
        <v>105</v>
      </c>
      <c r="P129" s="118">
        <v>94.3</v>
      </c>
      <c r="Q129" s="118">
        <v>92.4</v>
      </c>
      <c r="R129" s="118">
        <v>92.4</v>
      </c>
      <c r="S129" s="118">
        <v>94.3</v>
      </c>
      <c r="T129" s="118">
        <v>81.3</v>
      </c>
      <c r="U129" s="118">
        <v>85.2</v>
      </c>
      <c r="V129" s="118">
        <v>87.7</v>
      </c>
      <c r="W129" s="118">
        <v>93.8</v>
      </c>
      <c r="X129" s="118">
        <v>74.5</v>
      </c>
      <c r="Y129" s="118">
        <v>74.5</v>
      </c>
      <c r="Z129" s="118">
        <v>106.3</v>
      </c>
      <c r="AA129" s="118">
        <v>100.7</v>
      </c>
      <c r="AB129" s="118"/>
      <c r="AC129" s="118"/>
      <c r="AD129" s="118">
        <v>105</v>
      </c>
      <c r="AE129" s="118"/>
      <c r="AF129" s="118">
        <v>84</v>
      </c>
      <c r="AG129" s="127"/>
      <c r="AH129" s="48">
        <f>MAX(B129:AF129)</f>
        <v>106.6</v>
      </c>
      <c r="AI129" s="49">
        <f>MIN(B129:AF129)</f>
        <v>5.8</v>
      </c>
    </row>
    <row r="130" spans="1:37" ht="15.75" thickBot="1" x14ac:dyDescent="0.3">
      <c r="A130" s="128" t="s">
        <v>153</v>
      </c>
      <c r="B130" s="118">
        <v>90.3</v>
      </c>
      <c r="C130" s="118">
        <v>18.7</v>
      </c>
      <c r="D130" s="118">
        <v>17.5</v>
      </c>
      <c r="E130" s="118">
        <v>17.3</v>
      </c>
      <c r="F130" s="118">
        <v>17.3</v>
      </c>
      <c r="G130" s="118">
        <v>17.3</v>
      </c>
      <c r="H130" s="118">
        <v>13.8</v>
      </c>
      <c r="I130" s="118">
        <v>13.8</v>
      </c>
      <c r="J130" s="118">
        <v>13.8</v>
      </c>
      <c r="K130" s="118"/>
      <c r="L130" s="118">
        <v>114.7</v>
      </c>
      <c r="M130" s="118">
        <v>105</v>
      </c>
      <c r="N130" s="118">
        <v>108</v>
      </c>
      <c r="O130" s="118">
        <v>119</v>
      </c>
      <c r="P130" s="118">
        <v>107.2</v>
      </c>
      <c r="Q130" s="118">
        <v>104.9</v>
      </c>
      <c r="R130" s="118">
        <v>104.9</v>
      </c>
      <c r="S130" s="118">
        <v>105.7</v>
      </c>
      <c r="T130" s="118">
        <v>89.4</v>
      </c>
      <c r="U130" s="118">
        <v>89.2</v>
      </c>
      <c r="V130" s="118">
        <v>98.5</v>
      </c>
      <c r="W130" s="118">
        <v>103.7</v>
      </c>
      <c r="X130" s="118">
        <v>93</v>
      </c>
      <c r="Y130" s="118">
        <v>93</v>
      </c>
      <c r="Z130" s="118">
        <v>118.6</v>
      </c>
      <c r="AA130" s="118">
        <v>115.1</v>
      </c>
      <c r="AB130" s="118"/>
      <c r="AC130" s="118"/>
      <c r="AD130" s="118">
        <v>121</v>
      </c>
      <c r="AE130" s="118"/>
      <c r="AF130" s="118">
        <v>97</v>
      </c>
      <c r="AG130" s="127"/>
      <c r="AH130" s="48">
        <f>MAX(B130:AF130)</f>
        <v>121</v>
      </c>
      <c r="AI130" s="49">
        <f>MIN(B130:AF130)</f>
        <v>13.8</v>
      </c>
    </row>
    <row r="131" spans="1:37" x14ac:dyDescent="0.25">
      <c r="A131" s="132" t="s">
        <v>154</v>
      </c>
      <c r="B131" s="134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4"/>
      <c r="AG131" s="44"/>
      <c r="AH131" s="48"/>
      <c r="AI131" s="49"/>
    </row>
    <row r="132" spans="1:37" x14ac:dyDescent="0.25">
      <c r="A132" s="135" t="s">
        <v>155</v>
      </c>
      <c r="B132" s="137">
        <v>1985.4</v>
      </c>
      <c r="C132" s="136">
        <v>1985.5</v>
      </c>
      <c r="D132" s="136">
        <v>1985.62</v>
      </c>
      <c r="E132" s="136">
        <v>1985.82</v>
      </c>
      <c r="F132" s="136">
        <v>1985.95</v>
      </c>
      <c r="G132" s="136">
        <v>1986</v>
      </c>
      <c r="H132" s="136"/>
      <c r="I132" s="136">
        <v>1986.15</v>
      </c>
      <c r="J132" s="136"/>
      <c r="K132" s="136">
        <v>1986.15</v>
      </c>
      <c r="L132" s="136"/>
      <c r="M132" s="136">
        <v>1986.3</v>
      </c>
      <c r="N132" s="136">
        <v>1986.3</v>
      </c>
      <c r="O132" s="136">
        <v>1986.12</v>
      </c>
      <c r="P132" s="136">
        <v>1986.03</v>
      </c>
      <c r="Q132" s="136">
        <v>1986.02</v>
      </c>
      <c r="R132" s="136"/>
      <c r="S132" s="136">
        <v>1986.06</v>
      </c>
      <c r="T132" s="136">
        <v>1986.1</v>
      </c>
      <c r="U132" s="136">
        <v>1986.19</v>
      </c>
      <c r="V132" s="136">
        <v>1986.4</v>
      </c>
      <c r="W132" s="136"/>
      <c r="X132" s="136">
        <v>1986.4</v>
      </c>
      <c r="Y132" s="136"/>
      <c r="Z132" s="136">
        <v>1985.95</v>
      </c>
      <c r="AA132" s="136">
        <v>1985.6</v>
      </c>
      <c r="AB132" s="136">
        <v>1985.1</v>
      </c>
      <c r="AC132" s="136"/>
      <c r="AD132" s="136">
        <v>1984.45</v>
      </c>
      <c r="AE132" s="136">
        <v>1983</v>
      </c>
      <c r="AF132" s="137">
        <v>1982.5</v>
      </c>
      <c r="AG132" s="138"/>
      <c r="AH132" s="48"/>
      <c r="AI132" s="49"/>
    </row>
    <row r="133" spans="1:37" x14ac:dyDescent="0.25">
      <c r="A133" s="135" t="s">
        <v>156</v>
      </c>
      <c r="B133" s="140">
        <v>521.37</v>
      </c>
      <c r="C133" s="139">
        <v>521.38</v>
      </c>
      <c r="D133" s="139">
        <v>521.6</v>
      </c>
      <c r="E133" s="139">
        <v>521.78</v>
      </c>
      <c r="F133" s="139">
        <v>521.96</v>
      </c>
      <c r="G133" s="139">
        <v>522.14</v>
      </c>
      <c r="H133" s="139"/>
      <c r="I133" s="139">
        <v>522.30999999999995</v>
      </c>
      <c r="J133" s="139"/>
      <c r="K133" s="139">
        <v>522.39</v>
      </c>
      <c r="L133" s="139"/>
      <c r="M133" s="139">
        <v>522.41999999999996</v>
      </c>
      <c r="N133" s="139">
        <v>522.34</v>
      </c>
      <c r="O133" s="139">
        <v>522.24</v>
      </c>
      <c r="P133" s="139">
        <v>522.20000000000005</v>
      </c>
      <c r="Q133" s="139"/>
      <c r="R133" s="139">
        <v>522.28</v>
      </c>
      <c r="S133" s="139">
        <v>522.16999999999996</v>
      </c>
      <c r="T133" s="139">
        <v>522.03</v>
      </c>
      <c r="U133" s="139">
        <v>522.1</v>
      </c>
      <c r="V133" s="139">
        <v>522.15</v>
      </c>
      <c r="W133" s="139"/>
      <c r="X133" s="139">
        <v>522.20000000000005</v>
      </c>
      <c r="Y133" s="139"/>
      <c r="Z133" s="139">
        <v>522.04</v>
      </c>
      <c r="AA133" s="139">
        <v>521.76</v>
      </c>
      <c r="AB133" s="139">
        <v>521.62</v>
      </c>
      <c r="AC133" s="139"/>
      <c r="AD133" s="139">
        <v>521.36</v>
      </c>
      <c r="AE133" s="139"/>
      <c r="AF133" s="140">
        <v>520.82000000000005</v>
      </c>
      <c r="AG133" s="138"/>
      <c r="AH133" s="48"/>
      <c r="AI133" s="49"/>
    </row>
    <row r="134" spans="1:37" x14ac:dyDescent="0.25">
      <c r="A134" s="135" t="s">
        <v>158</v>
      </c>
      <c r="B134" s="140">
        <v>625.69000000000005</v>
      </c>
      <c r="C134" s="139">
        <v>625.62</v>
      </c>
      <c r="D134" s="139">
        <v>625.47</v>
      </c>
      <c r="E134" s="139">
        <v>625.26</v>
      </c>
      <c r="F134" s="139">
        <v>625.07000000000005</v>
      </c>
      <c r="G134" s="139">
        <v>624.88</v>
      </c>
      <c r="H134" s="139"/>
      <c r="I134" s="139">
        <v>624.51</v>
      </c>
      <c r="J134" s="139"/>
      <c r="K134" s="139">
        <v>624.54999999999995</v>
      </c>
      <c r="L134" s="139"/>
      <c r="M134" s="139">
        <v>624.54</v>
      </c>
      <c r="N134" s="139">
        <v>624.09</v>
      </c>
      <c r="O134" s="139">
        <v>623.9</v>
      </c>
      <c r="P134" s="139">
        <v>623.96</v>
      </c>
      <c r="Q134" s="139">
        <v>624.11</v>
      </c>
      <c r="R134" s="139"/>
      <c r="S134" s="139">
        <v>624.33000000000004</v>
      </c>
      <c r="T134" s="139">
        <v>624.49</v>
      </c>
      <c r="U134" s="139">
        <v>624.62</v>
      </c>
      <c r="V134" s="139">
        <v>624.63</v>
      </c>
      <c r="W134" s="139"/>
      <c r="X134" s="139">
        <v>624.52</v>
      </c>
      <c r="Y134" s="139"/>
      <c r="Z134" s="139">
        <v>624.20000000000005</v>
      </c>
      <c r="AA134" s="139"/>
      <c r="AB134" s="139">
        <v>624.04999999999995</v>
      </c>
      <c r="AC134" s="139"/>
      <c r="AD134" s="139">
        <v>623.87</v>
      </c>
      <c r="AE134" s="139"/>
      <c r="AF134" s="140">
        <v>623.70000000000005</v>
      </c>
      <c r="AG134" s="138"/>
      <c r="AH134" s="48"/>
      <c r="AI134" s="49"/>
    </row>
    <row r="135" spans="1:37" x14ac:dyDescent="0.25">
      <c r="A135" s="135" t="s">
        <v>159</v>
      </c>
      <c r="B135" s="140">
        <v>336.44</v>
      </c>
      <c r="C135" s="139">
        <v>336.84</v>
      </c>
      <c r="D135" s="139">
        <v>337.05</v>
      </c>
      <c r="E135" s="139">
        <v>337.26</v>
      </c>
      <c r="F135" s="139">
        <v>337.44</v>
      </c>
      <c r="G135" s="139">
        <v>337.56</v>
      </c>
      <c r="H135" s="139"/>
      <c r="I135" s="139">
        <v>337.67</v>
      </c>
      <c r="J135" s="139"/>
      <c r="K135" s="139">
        <v>337.74</v>
      </c>
      <c r="L135" s="139"/>
      <c r="M135" s="139">
        <v>337.8</v>
      </c>
      <c r="N135" s="139">
        <v>337.83</v>
      </c>
      <c r="O135" s="139">
        <v>337.84</v>
      </c>
      <c r="P135" s="139">
        <v>337.75</v>
      </c>
      <c r="Q135" s="139">
        <v>337.6</v>
      </c>
      <c r="R135" s="139"/>
      <c r="S135" s="139">
        <v>337.26</v>
      </c>
      <c r="T135" s="139">
        <v>337.1</v>
      </c>
      <c r="U135" s="139">
        <v>337.21</v>
      </c>
      <c r="V135" s="139">
        <v>337.22</v>
      </c>
      <c r="W135" s="139"/>
      <c r="X135" s="139">
        <v>337.26</v>
      </c>
      <c r="Y135" s="139"/>
      <c r="Z135" s="139">
        <v>337.15</v>
      </c>
      <c r="AA135" s="139"/>
      <c r="AB135" s="139">
        <v>336.81</v>
      </c>
      <c r="AC135" s="139"/>
      <c r="AD135" s="139">
        <v>336.65</v>
      </c>
      <c r="AE135" s="139">
        <v>336.46</v>
      </c>
      <c r="AF135" s="140">
        <v>336.35</v>
      </c>
      <c r="AG135" s="138"/>
      <c r="AH135" s="48"/>
      <c r="AI135" s="49"/>
    </row>
    <row r="136" spans="1:37" x14ac:dyDescent="0.25">
      <c r="A136" s="135" t="s">
        <v>160</v>
      </c>
      <c r="B136" s="140">
        <v>884.7</v>
      </c>
      <c r="C136" s="139">
        <v>885.4</v>
      </c>
      <c r="D136" s="139">
        <v>885.9</v>
      </c>
      <c r="E136" s="139">
        <v>885.6</v>
      </c>
      <c r="F136" s="139">
        <v>885.5</v>
      </c>
      <c r="G136" s="139">
        <v>885.3</v>
      </c>
      <c r="H136" s="139"/>
      <c r="I136" s="139"/>
      <c r="J136" s="139"/>
      <c r="K136" s="139">
        <v>885.3</v>
      </c>
      <c r="L136" s="139"/>
      <c r="M136" s="139">
        <v>885.7</v>
      </c>
      <c r="N136" s="139">
        <v>886</v>
      </c>
      <c r="O136" s="139">
        <v>885.8</v>
      </c>
      <c r="P136" s="139">
        <v>885.5</v>
      </c>
      <c r="Q136" s="139"/>
      <c r="R136" s="139"/>
      <c r="S136" s="139">
        <v>882.9</v>
      </c>
      <c r="T136" s="139">
        <v>883</v>
      </c>
      <c r="U136" s="139">
        <v>883.9</v>
      </c>
      <c r="V136" s="139">
        <v>884.7</v>
      </c>
      <c r="W136" s="139"/>
      <c r="X136" s="139">
        <v>885.3</v>
      </c>
      <c r="Y136" s="139"/>
      <c r="Z136" s="139">
        <v>885.1</v>
      </c>
      <c r="AA136" s="139"/>
      <c r="AB136" s="139">
        <v>884.7</v>
      </c>
      <c r="AC136" s="139"/>
      <c r="AD136" s="139">
        <v>884.4</v>
      </c>
      <c r="AE136" s="139"/>
      <c r="AF136" s="140">
        <v>883.6</v>
      </c>
      <c r="AG136" s="138"/>
      <c r="AH136" s="48"/>
      <c r="AI136" s="49"/>
    </row>
    <row r="137" spans="1:37" ht="15.75" thickBot="1" x14ac:dyDescent="0.3">
      <c r="A137" s="135" t="s">
        <v>161</v>
      </c>
      <c r="B137" s="142">
        <v>1519.87</v>
      </c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>
        <v>1519.9</v>
      </c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  <c r="AF137" s="142"/>
      <c r="AG137" s="138"/>
      <c r="AH137" s="48"/>
      <c r="AI137" s="49"/>
    </row>
    <row r="138" spans="1:37" ht="15.75" thickBot="1" x14ac:dyDescent="0.3">
      <c r="A138" s="143" t="s">
        <v>162</v>
      </c>
      <c r="B138" s="144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91">SUM(B139:B243)</f>
        <v>0</v>
      </c>
      <c r="C244" s="160">
        <f t="shared" si="91"/>
        <v>0</v>
      </c>
      <c r="D244" s="160">
        <f t="shared" si="91"/>
        <v>0</v>
      </c>
      <c r="E244" s="160">
        <f t="shared" si="91"/>
        <v>0</v>
      </c>
      <c r="F244" s="160">
        <f t="shared" si="91"/>
        <v>0</v>
      </c>
      <c r="G244" s="160">
        <f t="shared" si="91"/>
        <v>0</v>
      </c>
      <c r="H244" s="160">
        <f t="shared" si="91"/>
        <v>0</v>
      </c>
      <c r="I244" s="160">
        <f t="shared" si="91"/>
        <v>0</v>
      </c>
      <c r="J244" s="160">
        <f t="shared" si="91"/>
        <v>0</v>
      </c>
      <c r="K244" s="160">
        <f t="shared" si="91"/>
        <v>0</v>
      </c>
      <c r="L244" s="160">
        <f t="shared" si="91"/>
        <v>0</v>
      </c>
      <c r="M244" s="160">
        <f t="shared" si="91"/>
        <v>0</v>
      </c>
      <c r="N244" s="160">
        <f t="shared" si="91"/>
        <v>0</v>
      </c>
      <c r="O244" s="160">
        <f t="shared" si="91"/>
        <v>0</v>
      </c>
      <c r="P244" s="160">
        <f t="shared" si="91"/>
        <v>0</v>
      </c>
      <c r="Q244" s="160">
        <f t="shared" si="91"/>
        <v>0</v>
      </c>
      <c r="R244" s="160">
        <f t="shared" si="91"/>
        <v>0</v>
      </c>
      <c r="S244" s="160">
        <f t="shared" si="91"/>
        <v>0</v>
      </c>
      <c r="T244" s="160">
        <f t="shared" si="91"/>
        <v>0</v>
      </c>
      <c r="U244" s="160">
        <f t="shared" si="91"/>
        <v>0</v>
      </c>
      <c r="V244" s="160">
        <f t="shared" si="91"/>
        <v>0</v>
      </c>
      <c r="W244" s="160">
        <f t="shared" si="91"/>
        <v>0</v>
      </c>
      <c r="X244" s="160">
        <f t="shared" si="91"/>
        <v>0</v>
      </c>
      <c r="Y244" s="160">
        <f t="shared" si="91"/>
        <v>0</v>
      </c>
      <c r="Z244" s="160">
        <f t="shared" si="91"/>
        <v>0</v>
      </c>
      <c r="AA244" s="160">
        <f t="shared" si="91"/>
        <v>0</v>
      </c>
      <c r="AB244" s="160">
        <f t="shared" si="91"/>
        <v>0</v>
      </c>
      <c r="AC244" s="160">
        <f t="shared" si="91"/>
        <v>0</v>
      </c>
      <c r="AD244" s="160">
        <f t="shared" si="91"/>
        <v>0</v>
      </c>
      <c r="AE244" s="160">
        <f t="shared" si="91"/>
        <v>0</v>
      </c>
      <c r="AF244" s="161">
        <f t="shared" si="91"/>
        <v>0</v>
      </c>
      <c r="AG244" s="162">
        <f t="shared" si="91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92">AF246</f>
        <v>0.3</v>
      </c>
      <c r="C246" s="165">
        <v>0.3</v>
      </c>
      <c r="D246" s="165">
        <f t="shared" ref="D246:S251" si="93">C246</f>
        <v>0.3</v>
      </c>
      <c r="E246" s="165">
        <f t="shared" si="93"/>
        <v>0.3</v>
      </c>
      <c r="F246" s="165">
        <f t="shared" si="93"/>
        <v>0.3</v>
      </c>
      <c r="G246" s="165">
        <f t="shared" si="93"/>
        <v>0.3</v>
      </c>
      <c r="H246" s="165">
        <f t="shared" si="93"/>
        <v>0.3</v>
      </c>
      <c r="I246" s="165">
        <f t="shared" si="93"/>
        <v>0.3</v>
      </c>
      <c r="J246" s="165">
        <f t="shared" si="93"/>
        <v>0.3</v>
      </c>
      <c r="K246" s="165">
        <f t="shared" si="93"/>
        <v>0.3</v>
      </c>
      <c r="L246" s="165">
        <f t="shared" si="93"/>
        <v>0.3</v>
      </c>
      <c r="M246" s="165">
        <f t="shared" si="93"/>
        <v>0.3</v>
      </c>
      <c r="N246" s="165">
        <f t="shared" si="93"/>
        <v>0.3</v>
      </c>
      <c r="O246" s="165">
        <f t="shared" si="93"/>
        <v>0.3</v>
      </c>
      <c r="P246" s="165">
        <f t="shared" si="93"/>
        <v>0.3</v>
      </c>
      <c r="Q246" s="165">
        <f t="shared" si="93"/>
        <v>0.3</v>
      </c>
      <c r="R246" s="165">
        <f t="shared" si="93"/>
        <v>0.3</v>
      </c>
      <c r="S246" s="165">
        <f t="shared" si="93"/>
        <v>0.3</v>
      </c>
      <c r="T246" s="165">
        <f t="shared" ref="T246:AF251" si="94">S246</f>
        <v>0.3</v>
      </c>
      <c r="U246" s="165">
        <f t="shared" si="94"/>
        <v>0.3</v>
      </c>
      <c r="V246" s="165">
        <f t="shared" si="94"/>
        <v>0.3</v>
      </c>
      <c r="W246" s="165">
        <f t="shared" si="94"/>
        <v>0.3</v>
      </c>
      <c r="X246" s="165">
        <f t="shared" si="94"/>
        <v>0.3</v>
      </c>
      <c r="Y246" s="165">
        <f t="shared" si="94"/>
        <v>0.3</v>
      </c>
      <c r="Z246" s="165">
        <f t="shared" si="94"/>
        <v>0.3</v>
      </c>
      <c r="AA246" s="165">
        <f t="shared" si="94"/>
        <v>0.3</v>
      </c>
      <c r="AB246" s="165">
        <f t="shared" si="94"/>
        <v>0.3</v>
      </c>
      <c r="AC246" s="165">
        <f t="shared" si="94"/>
        <v>0.3</v>
      </c>
      <c r="AD246" s="165">
        <f t="shared" si="94"/>
        <v>0.3</v>
      </c>
      <c r="AE246" s="165">
        <f t="shared" si="94"/>
        <v>0.3</v>
      </c>
      <c r="AF246" s="165">
        <f t="shared" si="94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92"/>
        <v>0.4</v>
      </c>
      <c r="C247" s="151">
        <v>0.4</v>
      </c>
      <c r="D247" s="151">
        <f t="shared" si="93"/>
        <v>0.4</v>
      </c>
      <c r="E247" s="151">
        <f t="shared" si="93"/>
        <v>0.4</v>
      </c>
      <c r="F247" s="151">
        <f t="shared" si="93"/>
        <v>0.4</v>
      </c>
      <c r="G247" s="151">
        <f t="shared" si="93"/>
        <v>0.4</v>
      </c>
      <c r="H247" s="151">
        <f t="shared" si="93"/>
        <v>0.4</v>
      </c>
      <c r="I247" s="151">
        <f t="shared" si="93"/>
        <v>0.4</v>
      </c>
      <c r="J247" s="151">
        <f t="shared" si="93"/>
        <v>0.4</v>
      </c>
      <c r="K247" s="151">
        <f t="shared" si="93"/>
        <v>0.4</v>
      </c>
      <c r="L247" s="151">
        <f t="shared" si="93"/>
        <v>0.4</v>
      </c>
      <c r="M247" s="151">
        <f t="shared" si="93"/>
        <v>0.4</v>
      </c>
      <c r="N247" s="151">
        <f t="shared" si="93"/>
        <v>0.4</v>
      </c>
      <c r="O247" s="151">
        <f t="shared" si="93"/>
        <v>0.4</v>
      </c>
      <c r="P247" s="151">
        <f t="shared" si="93"/>
        <v>0.4</v>
      </c>
      <c r="Q247" s="151">
        <f t="shared" si="93"/>
        <v>0.4</v>
      </c>
      <c r="R247" s="151">
        <f t="shared" si="93"/>
        <v>0.4</v>
      </c>
      <c r="S247" s="151">
        <f t="shared" si="93"/>
        <v>0.4</v>
      </c>
      <c r="T247" s="151">
        <f t="shared" si="94"/>
        <v>0.4</v>
      </c>
      <c r="U247" s="151">
        <f t="shared" si="94"/>
        <v>0.4</v>
      </c>
      <c r="V247" s="151">
        <f t="shared" si="94"/>
        <v>0.4</v>
      </c>
      <c r="W247" s="151">
        <f t="shared" si="94"/>
        <v>0.4</v>
      </c>
      <c r="X247" s="151">
        <f t="shared" si="94"/>
        <v>0.4</v>
      </c>
      <c r="Y247" s="151">
        <f t="shared" si="94"/>
        <v>0.4</v>
      </c>
      <c r="Z247" s="151">
        <f t="shared" si="94"/>
        <v>0.4</v>
      </c>
      <c r="AA247" s="151">
        <f t="shared" si="94"/>
        <v>0.4</v>
      </c>
      <c r="AB247" s="151">
        <f t="shared" si="94"/>
        <v>0.4</v>
      </c>
      <c r="AC247" s="151">
        <f t="shared" si="94"/>
        <v>0.4</v>
      </c>
      <c r="AD247" s="151">
        <f t="shared" si="94"/>
        <v>0.4</v>
      </c>
      <c r="AE247" s="151">
        <f t="shared" si="94"/>
        <v>0.4</v>
      </c>
      <c r="AF247" s="151">
        <f t="shared" si="94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92"/>
        <v>1.5</v>
      </c>
      <c r="C248" s="151">
        <v>1.5</v>
      </c>
      <c r="D248" s="151">
        <f t="shared" si="93"/>
        <v>1.5</v>
      </c>
      <c r="E248" s="151">
        <f t="shared" si="93"/>
        <v>1.5</v>
      </c>
      <c r="F248" s="151">
        <f t="shared" si="93"/>
        <v>1.5</v>
      </c>
      <c r="G248" s="151">
        <f t="shared" si="93"/>
        <v>1.5</v>
      </c>
      <c r="H248" s="151">
        <f t="shared" si="93"/>
        <v>1.5</v>
      </c>
      <c r="I248" s="151">
        <f t="shared" si="93"/>
        <v>1.5</v>
      </c>
      <c r="J248" s="151">
        <f t="shared" si="93"/>
        <v>1.5</v>
      </c>
      <c r="K248" s="151">
        <f t="shared" si="93"/>
        <v>1.5</v>
      </c>
      <c r="L248" s="151">
        <f t="shared" si="93"/>
        <v>1.5</v>
      </c>
      <c r="M248" s="151">
        <f t="shared" si="93"/>
        <v>1.5</v>
      </c>
      <c r="N248" s="151">
        <f t="shared" si="93"/>
        <v>1.5</v>
      </c>
      <c r="O248" s="151">
        <f t="shared" si="93"/>
        <v>1.5</v>
      </c>
      <c r="P248" s="151">
        <f t="shared" si="93"/>
        <v>1.5</v>
      </c>
      <c r="Q248" s="151">
        <f t="shared" si="93"/>
        <v>1.5</v>
      </c>
      <c r="R248" s="151">
        <f t="shared" si="93"/>
        <v>1.5</v>
      </c>
      <c r="S248" s="151">
        <f t="shared" si="93"/>
        <v>1.5</v>
      </c>
      <c r="T248" s="151">
        <f t="shared" si="94"/>
        <v>1.5</v>
      </c>
      <c r="U248" s="151">
        <f t="shared" si="94"/>
        <v>1.5</v>
      </c>
      <c r="V248" s="151">
        <f t="shared" si="94"/>
        <v>1.5</v>
      </c>
      <c r="W248" s="151">
        <f t="shared" si="94"/>
        <v>1.5</v>
      </c>
      <c r="X248" s="151">
        <f t="shared" si="94"/>
        <v>1.5</v>
      </c>
      <c r="Y248" s="151">
        <f t="shared" si="94"/>
        <v>1.5</v>
      </c>
      <c r="Z248" s="151">
        <f t="shared" si="94"/>
        <v>1.5</v>
      </c>
      <c r="AA248" s="151">
        <f t="shared" si="94"/>
        <v>1.5</v>
      </c>
      <c r="AB248" s="151">
        <f t="shared" si="94"/>
        <v>1.5</v>
      </c>
      <c r="AC248" s="151">
        <f t="shared" si="94"/>
        <v>1.5</v>
      </c>
      <c r="AD248" s="151">
        <f t="shared" si="94"/>
        <v>1.5</v>
      </c>
      <c r="AE248" s="151">
        <f t="shared" si="94"/>
        <v>1.5</v>
      </c>
      <c r="AF248" s="151">
        <f t="shared" si="94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92"/>
        <v>0.3</v>
      </c>
      <c r="C249" s="151">
        <v>0.3</v>
      </c>
      <c r="D249" s="151">
        <f t="shared" si="93"/>
        <v>0.3</v>
      </c>
      <c r="E249" s="151">
        <f t="shared" si="93"/>
        <v>0.3</v>
      </c>
      <c r="F249" s="151">
        <f t="shared" si="93"/>
        <v>0.3</v>
      </c>
      <c r="G249" s="151">
        <f t="shared" si="93"/>
        <v>0.3</v>
      </c>
      <c r="H249" s="151">
        <f t="shared" si="93"/>
        <v>0.3</v>
      </c>
      <c r="I249" s="151">
        <f t="shared" si="93"/>
        <v>0.3</v>
      </c>
      <c r="J249" s="151">
        <f t="shared" si="93"/>
        <v>0.3</v>
      </c>
      <c r="K249" s="151">
        <f t="shared" si="93"/>
        <v>0.3</v>
      </c>
      <c r="L249" s="151">
        <f t="shared" si="93"/>
        <v>0.3</v>
      </c>
      <c r="M249" s="151">
        <f t="shared" si="93"/>
        <v>0.3</v>
      </c>
      <c r="N249" s="151">
        <f t="shared" si="93"/>
        <v>0.3</v>
      </c>
      <c r="O249" s="151">
        <f t="shared" si="93"/>
        <v>0.3</v>
      </c>
      <c r="P249" s="151">
        <f t="shared" si="93"/>
        <v>0.3</v>
      </c>
      <c r="Q249" s="151">
        <f t="shared" si="93"/>
        <v>0.3</v>
      </c>
      <c r="R249" s="151">
        <f t="shared" si="93"/>
        <v>0.3</v>
      </c>
      <c r="S249" s="151">
        <f t="shared" si="93"/>
        <v>0.3</v>
      </c>
      <c r="T249" s="151">
        <f t="shared" si="94"/>
        <v>0.3</v>
      </c>
      <c r="U249" s="151">
        <f t="shared" si="94"/>
        <v>0.3</v>
      </c>
      <c r="V249" s="151">
        <f t="shared" si="94"/>
        <v>0.3</v>
      </c>
      <c r="W249" s="151">
        <f t="shared" si="94"/>
        <v>0.3</v>
      </c>
      <c r="X249" s="151">
        <f t="shared" si="94"/>
        <v>0.3</v>
      </c>
      <c r="Y249" s="151">
        <f t="shared" si="94"/>
        <v>0.3</v>
      </c>
      <c r="Z249" s="151">
        <f t="shared" si="94"/>
        <v>0.3</v>
      </c>
      <c r="AA249" s="151">
        <f t="shared" si="94"/>
        <v>0.3</v>
      </c>
      <c r="AB249" s="151">
        <f t="shared" si="94"/>
        <v>0.3</v>
      </c>
      <c r="AC249" s="151">
        <f t="shared" si="94"/>
        <v>0.3</v>
      </c>
      <c r="AD249" s="151">
        <f t="shared" si="94"/>
        <v>0.3</v>
      </c>
      <c r="AE249" s="151">
        <f t="shared" si="94"/>
        <v>0.3</v>
      </c>
      <c r="AF249" s="151">
        <f t="shared" si="94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92"/>
        <v>0.4</v>
      </c>
      <c r="C250" s="151">
        <v>0.4</v>
      </c>
      <c r="D250" s="151">
        <f t="shared" si="93"/>
        <v>0.4</v>
      </c>
      <c r="E250" s="151">
        <f t="shared" si="93"/>
        <v>0.4</v>
      </c>
      <c r="F250" s="151">
        <f t="shared" si="93"/>
        <v>0.4</v>
      </c>
      <c r="G250" s="151">
        <f t="shared" si="93"/>
        <v>0.4</v>
      </c>
      <c r="H250" s="151">
        <f t="shared" si="93"/>
        <v>0.4</v>
      </c>
      <c r="I250" s="151">
        <f t="shared" si="93"/>
        <v>0.4</v>
      </c>
      <c r="J250" s="151">
        <f t="shared" si="93"/>
        <v>0.4</v>
      </c>
      <c r="K250" s="151">
        <f t="shared" si="93"/>
        <v>0.4</v>
      </c>
      <c r="L250" s="151">
        <f t="shared" si="93"/>
        <v>0.4</v>
      </c>
      <c r="M250" s="151">
        <f t="shared" si="93"/>
        <v>0.4</v>
      </c>
      <c r="N250" s="151">
        <f t="shared" si="93"/>
        <v>0.4</v>
      </c>
      <c r="O250" s="151">
        <f t="shared" si="93"/>
        <v>0.4</v>
      </c>
      <c r="P250" s="151">
        <f t="shared" si="93"/>
        <v>0.4</v>
      </c>
      <c r="Q250" s="151">
        <f t="shared" si="93"/>
        <v>0.4</v>
      </c>
      <c r="R250" s="151">
        <f t="shared" si="93"/>
        <v>0.4</v>
      </c>
      <c r="S250" s="151">
        <f t="shared" si="93"/>
        <v>0.4</v>
      </c>
      <c r="T250" s="151">
        <f t="shared" si="94"/>
        <v>0.4</v>
      </c>
      <c r="U250" s="151">
        <f t="shared" si="94"/>
        <v>0.4</v>
      </c>
      <c r="V250" s="151">
        <f t="shared" si="94"/>
        <v>0.4</v>
      </c>
      <c r="W250" s="151">
        <f t="shared" si="94"/>
        <v>0.4</v>
      </c>
      <c r="X250" s="151">
        <f t="shared" si="94"/>
        <v>0.4</v>
      </c>
      <c r="Y250" s="151">
        <f t="shared" si="94"/>
        <v>0.4</v>
      </c>
      <c r="Z250" s="151">
        <f t="shared" si="94"/>
        <v>0.4</v>
      </c>
      <c r="AA250" s="151">
        <f t="shared" si="94"/>
        <v>0.4</v>
      </c>
      <c r="AB250" s="151">
        <f t="shared" si="94"/>
        <v>0.4</v>
      </c>
      <c r="AC250" s="151">
        <f t="shared" si="94"/>
        <v>0.4</v>
      </c>
      <c r="AD250" s="151">
        <f t="shared" si="94"/>
        <v>0.4</v>
      </c>
      <c r="AE250" s="151">
        <f t="shared" si="94"/>
        <v>0.4</v>
      </c>
      <c r="AF250" s="151">
        <f t="shared" si="94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92"/>
        <v>0.64</v>
      </c>
      <c r="C251" s="156">
        <v>0.64</v>
      </c>
      <c r="D251" s="156">
        <f t="shared" si="93"/>
        <v>0.64</v>
      </c>
      <c r="E251" s="156">
        <f t="shared" si="93"/>
        <v>0.64</v>
      </c>
      <c r="F251" s="156">
        <f t="shared" si="93"/>
        <v>0.64</v>
      </c>
      <c r="G251" s="156">
        <f t="shared" si="93"/>
        <v>0.64</v>
      </c>
      <c r="H251" s="156">
        <f t="shared" si="93"/>
        <v>0.64</v>
      </c>
      <c r="I251" s="156">
        <f t="shared" si="93"/>
        <v>0.64</v>
      </c>
      <c r="J251" s="156">
        <f t="shared" si="93"/>
        <v>0.64</v>
      </c>
      <c r="K251" s="156">
        <f t="shared" si="93"/>
        <v>0.64</v>
      </c>
      <c r="L251" s="156">
        <f t="shared" si="93"/>
        <v>0.64</v>
      </c>
      <c r="M251" s="156">
        <f t="shared" si="93"/>
        <v>0.64</v>
      </c>
      <c r="N251" s="156">
        <f t="shared" si="93"/>
        <v>0.64</v>
      </c>
      <c r="O251" s="156">
        <f t="shared" si="93"/>
        <v>0.64</v>
      </c>
      <c r="P251" s="156">
        <f t="shared" si="93"/>
        <v>0.64</v>
      </c>
      <c r="Q251" s="156">
        <f t="shared" si="93"/>
        <v>0.64</v>
      </c>
      <c r="R251" s="156">
        <f t="shared" si="93"/>
        <v>0.64</v>
      </c>
      <c r="S251" s="156">
        <f t="shared" si="93"/>
        <v>0.64</v>
      </c>
      <c r="T251" s="156">
        <f t="shared" si="94"/>
        <v>0.64</v>
      </c>
      <c r="U251" s="156">
        <f t="shared" si="94"/>
        <v>0.64</v>
      </c>
      <c r="V251" s="156">
        <f t="shared" si="94"/>
        <v>0.64</v>
      </c>
      <c r="W251" s="156">
        <f t="shared" si="94"/>
        <v>0.64</v>
      </c>
      <c r="X251" s="156">
        <f t="shared" si="94"/>
        <v>0.64</v>
      </c>
      <c r="Y251" s="156">
        <f t="shared" si="94"/>
        <v>0.64</v>
      </c>
      <c r="Z251" s="156">
        <f t="shared" si="94"/>
        <v>0.64</v>
      </c>
      <c r="AA251" s="156">
        <f t="shared" si="94"/>
        <v>0.64</v>
      </c>
      <c r="AB251" s="156">
        <f t="shared" si="94"/>
        <v>0.64</v>
      </c>
      <c r="AC251" s="156">
        <f t="shared" si="94"/>
        <v>0.64</v>
      </c>
      <c r="AD251" s="156">
        <f t="shared" si="94"/>
        <v>0.64</v>
      </c>
      <c r="AE251" s="156">
        <f t="shared" si="94"/>
        <v>0.64</v>
      </c>
      <c r="AF251" s="156">
        <f t="shared" si="94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95">SUM(B246:B251)</f>
        <v>3.54</v>
      </c>
      <c r="C252" s="160">
        <f t="shared" si="95"/>
        <v>3.54</v>
      </c>
      <c r="D252" s="160">
        <f t="shared" si="95"/>
        <v>3.54</v>
      </c>
      <c r="E252" s="160">
        <f t="shared" si="95"/>
        <v>3.54</v>
      </c>
      <c r="F252" s="160">
        <f t="shared" si="95"/>
        <v>3.54</v>
      </c>
      <c r="G252" s="160">
        <f t="shared" si="95"/>
        <v>3.54</v>
      </c>
      <c r="H252" s="160">
        <f t="shared" si="95"/>
        <v>3.54</v>
      </c>
      <c r="I252" s="160">
        <f t="shared" si="95"/>
        <v>3.54</v>
      </c>
      <c r="J252" s="160">
        <f t="shared" si="95"/>
        <v>3.54</v>
      </c>
      <c r="K252" s="160">
        <f t="shared" si="95"/>
        <v>3.54</v>
      </c>
      <c r="L252" s="160">
        <f t="shared" si="95"/>
        <v>3.54</v>
      </c>
      <c r="M252" s="160">
        <f t="shared" si="95"/>
        <v>3.54</v>
      </c>
      <c r="N252" s="160">
        <f t="shared" si="95"/>
        <v>3.54</v>
      </c>
      <c r="O252" s="160">
        <f t="shared" si="95"/>
        <v>3.54</v>
      </c>
      <c r="P252" s="160">
        <f t="shared" si="95"/>
        <v>3.54</v>
      </c>
      <c r="Q252" s="160">
        <f t="shared" si="95"/>
        <v>3.54</v>
      </c>
      <c r="R252" s="160">
        <f t="shared" si="95"/>
        <v>3.54</v>
      </c>
      <c r="S252" s="160">
        <f t="shared" si="95"/>
        <v>3.54</v>
      </c>
      <c r="T252" s="160">
        <f t="shared" si="95"/>
        <v>3.54</v>
      </c>
      <c r="U252" s="160">
        <f t="shared" si="95"/>
        <v>3.54</v>
      </c>
      <c r="V252" s="160">
        <f t="shared" si="95"/>
        <v>3.54</v>
      </c>
      <c r="W252" s="160">
        <f t="shared" si="95"/>
        <v>3.54</v>
      </c>
      <c r="X252" s="160">
        <f t="shared" si="95"/>
        <v>3.54</v>
      </c>
      <c r="Y252" s="160">
        <f t="shared" si="95"/>
        <v>3.54</v>
      </c>
      <c r="Z252" s="160">
        <f t="shared" si="95"/>
        <v>3.54</v>
      </c>
      <c r="AA252" s="160">
        <f t="shared" si="95"/>
        <v>3.54</v>
      </c>
      <c r="AB252" s="160">
        <f t="shared" si="95"/>
        <v>3.54</v>
      </c>
      <c r="AC252" s="160">
        <f t="shared" si="95"/>
        <v>3.54</v>
      </c>
      <c r="AD252" s="160">
        <f t="shared" si="95"/>
        <v>3.54</v>
      </c>
      <c r="AE252" s="160">
        <f t="shared" si="95"/>
        <v>3.54</v>
      </c>
      <c r="AF252" s="160">
        <f t="shared" si="95"/>
        <v>3.54</v>
      </c>
      <c r="AG252" s="170">
        <f t="shared" si="95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1508.29</v>
      </c>
      <c r="C256" s="173">
        <f>INDEX(G9:N9,1,MATCH(MAX(G99:N99),G99:N99,0))</f>
        <v>0.29166666666666669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2080/10/18)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1743" priority="126">
      <formula>$AH11=0</formula>
    </cfRule>
  </conditionalFormatting>
  <conditionalFormatting sqref="A132:A253">
    <cfRule type="expression" dxfId="1742" priority="127">
      <formula>$AH132=0</formula>
    </cfRule>
  </conditionalFormatting>
  <conditionalFormatting sqref="B8">
    <cfRule type="expression" dxfId="1741" priority="185">
      <formula>AND(C$9&gt;=14/24,C$9&lt;20/24)</formula>
    </cfRule>
    <cfRule type="expression" dxfId="1740" priority="186">
      <formula>AND(C$9&gt;=8/24,C$9&lt;14/24)</formula>
    </cfRule>
    <cfRule type="expression" dxfId="1739" priority="187">
      <formula>C$9&lt;8/24</formula>
    </cfRule>
    <cfRule type="expression" dxfId="1738" priority="188">
      <formula>C$9&gt;=20/24</formula>
    </cfRule>
  </conditionalFormatting>
  <conditionalFormatting sqref="B55:D57 E55:AA55">
    <cfRule type="expression" dxfId="1737" priority="24">
      <formula>B$9&gt;=20/24</formula>
    </cfRule>
  </conditionalFormatting>
  <conditionalFormatting sqref="B59:D68">
    <cfRule type="expression" dxfId="1736" priority="27">
      <formula>B$9&gt;=20/24</formula>
    </cfRule>
    <cfRule type="expression" dxfId="1735" priority="28">
      <formula>AND(B$9&gt;=14/24,B$9&lt;20/24)</formula>
    </cfRule>
    <cfRule type="expression" dxfId="1734" priority="29">
      <formula>AND(B$9&gt;=8/24,B$9&lt;14/24)</formula>
    </cfRule>
    <cfRule type="expression" dxfId="1733" priority="30">
      <formula>B$9&lt;8/24</formula>
    </cfRule>
  </conditionalFormatting>
  <conditionalFormatting sqref="B11:E43 F12:S12 F13:AA34 F35:K43 L35:AA52 B44:K52">
    <cfRule type="expression" dxfId="1732" priority="21">
      <formula>AND(B$9&gt;=8/24,B$9&lt;14/24)</formula>
    </cfRule>
    <cfRule type="expression" dxfId="1731" priority="18">
      <formula>B11&gt;$AG11</formula>
    </cfRule>
    <cfRule type="expression" dxfId="1730" priority="19">
      <formula>B$9&gt;=20/24</formula>
    </cfRule>
    <cfRule type="expression" dxfId="1729" priority="20">
      <formula>AND(B$9&gt;=14/24,B$9&lt;20/24)</formula>
    </cfRule>
    <cfRule type="expression" dxfId="1728" priority="22">
      <formula>B$9&lt;8/24</formula>
    </cfRule>
  </conditionalFormatting>
  <conditionalFormatting sqref="B69:O74 B77:C99 B101:AF117 B119:AF137">
    <cfRule type="expression" dxfId="1727" priority="14">
      <formula>B$9&gt;=20/24</formula>
    </cfRule>
    <cfRule type="expression" dxfId="1726" priority="15">
      <formula>AND(B$9&gt;=14/24,B$9&lt;20/24)</formula>
    </cfRule>
    <cfRule type="expression" dxfId="1725" priority="16">
      <formula>AND(B$9&gt;=8/24,B$9&lt;14/24)</formula>
    </cfRule>
    <cfRule type="expression" dxfId="1724" priority="17">
      <formula>B$9&lt;8/24</formula>
    </cfRule>
  </conditionalFormatting>
  <conditionalFormatting sqref="B53:AA55">
    <cfRule type="expression" dxfId="1723" priority="36">
      <formula>B53&gt;$AG53</formula>
    </cfRule>
  </conditionalFormatting>
  <conditionalFormatting sqref="B56:AA56">
    <cfRule type="expression" dxfId="1722" priority="23">
      <formula>B56&gt;$AG56</formula>
    </cfRule>
  </conditionalFormatting>
  <conditionalFormatting sqref="B9:AF10 P69:AF74 D77:AF99 B244:AF244 B246:B252">
    <cfRule type="expression" dxfId="1721" priority="78">
      <formula>AND(B$9&gt;=14/24,B$9&lt;20/24)</formula>
    </cfRule>
    <cfRule type="expression" dxfId="1720" priority="80">
      <formula>B$9&lt;8/24</formula>
    </cfRule>
    <cfRule type="expression" dxfId="1719" priority="79">
      <formula>AND(B$9&gt;=8/24,B$9&lt;14/24)</formula>
    </cfRule>
  </conditionalFormatting>
  <conditionalFormatting sqref="B53:AF54">
    <cfRule type="expression" dxfId="1718" priority="10">
      <formula>B$9&gt;=20/24</formula>
    </cfRule>
    <cfRule type="expression" dxfId="1717" priority="11">
      <formula>AND(B$9&gt;=14/24,B$9&lt;20/24)</formula>
    </cfRule>
    <cfRule type="expression" dxfId="1716" priority="12">
      <formula>AND(B$9&gt;=8/24,B$9&lt;14/24)</formula>
    </cfRule>
  </conditionalFormatting>
  <conditionalFormatting sqref="D57:D74 B57:C80 E68:K74 L69:O74">
    <cfRule type="expression" dxfId="1715" priority="13">
      <formula>B57&gt;$AG57</formula>
    </cfRule>
  </conditionalFormatting>
  <conditionalFormatting sqref="D246:AF252">
    <cfRule type="expression" dxfId="1714" priority="173">
      <formula>D$9&lt;8/24</formula>
    </cfRule>
    <cfRule type="expression" dxfId="1713" priority="172">
      <formula>AND(D$9&gt;=8/24,D$9&lt;14/24)</formula>
    </cfRule>
    <cfRule type="expression" dxfId="1712" priority="171">
      <formula>AND(D$9&gt;=14/24,D$9&lt;20/24)</formula>
    </cfRule>
    <cfRule type="expression" dxfId="1711" priority="170">
      <formula>D$9&gt;=20/24</formula>
    </cfRule>
  </conditionalFormatting>
  <conditionalFormatting sqref="E63:J67 K64:K67">
    <cfRule type="expression" dxfId="1710" priority="90">
      <formula>E$9&gt;=20/24</formula>
    </cfRule>
    <cfRule type="expression" dxfId="1709" priority="91">
      <formula>AND(E$9&gt;=14/24,E$9&lt;20/24)</formula>
    </cfRule>
    <cfRule type="expression" dxfId="1708" priority="92">
      <formula>AND(E$9&gt;=8/24,E$9&lt;14/24)</formula>
    </cfRule>
    <cfRule type="expression" dxfId="1707" priority="93">
      <formula>E$9&lt;8/24</formula>
    </cfRule>
  </conditionalFormatting>
  <conditionalFormatting sqref="E68:K68">
    <cfRule type="expression" dxfId="1706" priority="33">
      <formula>AND(E$9&gt;=8/24,E$9&lt;14/24)</formula>
    </cfRule>
    <cfRule type="expression" dxfId="1705" priority="34">
      <formula>E$9&lt;8/24</formula>
    </cfRule>
    <cfRule type="expression" dxfId="1704" priority="32">
      <formula>AND(E$9&gt;=14/24,E$9&lt;20/24)</formula>
    </cfRule>
    <cfRule type="expression" dxfId="1703" priority="31">
      <formula>E$9&gt;=20/24</formula>
    </cfRule>
  </conditionalFormatting>
  <conditionalFormatting sqref="E11:S11 T11:AA12 AB11:AF52">
    <cfRule type="expression" dxfId="1702" priority="94">
      <formula>E11&gt;$AG11</formula>
    </cfRule>
    <cfRule type="expression" dxfId="1701" priority="95">
      <formula>E$9&gt;=20/24</formula>
    </cfRule>
    <cfRule type="expression" dxfId="1700" priority="96">
      <formula>AND(E$9&gt;=14/24,E$9&lt;20/24)</formula>
    </cfRule>
    <cfRule type="expression" dxfId="1699" priority="97">
      <formula>AND(E$9&gt;=8/24,E$9&lt;14/24)</formula>
    </cfRule>
    <cfRule type="expression" dxfId="1698" priority="98">
      <formula>E$9&lt;8/24</formula>
    </cfRule>
  </conditionalFormatting>
  <conditionalFormatting sqref="E53:AA55 B53:D57">
    <cfRule type="expression" dxfId="1697" priority="35">
      <formula>B$9&lt;8/24</formula>
    </cfRule>
  </conditionalFormatting>
  <conditionalFormatting sqref="E55:AA55 B55:D57">
    <cfRule type="expression" dxfId="1696" priority="26">
      <formula>AND(B$9&gt;=8/24,B$9&lt;14/24)</formula>
    </cfRule>
    <cfRule type="expression" dxfId="1695" priority="25">
      <formula>AND(B$9&gt;=14/24,B$9&lt;20/24)</formula>
    </cfRule>
  </conditionalFormatting>
  <conditionalFormatting sqref="E56:AA57">
    <cfRule type="expression" dxfId="1694" priority="82">
      <formula>E$9&gt;=20/24</formula>
    </cfRule>
    <cfRule type="expression" dxfId="1693" priority="83">
      <formula>AND(E$9&gt;=14/24,E$9&lt;20/24)</formula>
    </cfRule>
    <cfRule type="expression" dxfId="1692" priority="84">
      <formula>AND(E$9&gt;=8/24,E$9&lt;14/24)</formula>
    </cfRule>
    <cfRule type="expression" dxfId="1691" priority="89">
      <formula>E$9&lt;8/24</formula>
    </cfRule>
  </conditionalFormatting>
  <conditionalFormatting sqref="E59:AF62">
    <cfRule type="expression" dxfId="1690" priority="104">
      <formula>E$9&gt;=20/24</formula>
    </cfRule>
    <cfRule type="expression" dxfId="1689" priority="106">
      <formula>AND(E$9&gt;=8/24,E$9&lt;14/24)</formula>
    </cfRule>
    <cfRule type="expression" dxfId="1688" priority="107">
      <formula>E$9&lt;8/24</formula>
    </cfRule>
    <cfRule type="expression" dxfId="1687" priority="105">
      <formula>AND(E$9&gt;=14/24,E$9&lt;20/24)</formula>
    </cfRule>
  </conditionalFormatting>
  <conditionalFormatting sqref="F63:S64 F65:L65">
    <cfRule type="expression" dxfId="1686" priority="121">
      <formula>F$9&lt;8/24</formula>
    </cfRule>
    <cfRule type="expression" dxfId="1685" priority="120">
      <formula>AND(F$9&gt;=8/24,F$9&lt;14/24)</formula>
    </cfRule>
    <cfRule type="expression" dxfId="1684" priority="119">
      <formula>AND(F$9&gt;=14/24,F$9&lt;20/24)</formula>
    </cfRule>
    <cfRule type="expression" dxfId="1683" priority="118">
      <formula>F$9&gt;=20/24</formula>
    </cfRule>
  </conditionalFormatting>
  <conditionalFormatting sqref="L68 Q68:W68">
    <cfRule type="expression" dxfId="1682" priority="117">
      <formula>L$9&lt;8/24</formula>
    </cfRule>
    <cfRule type="expression" dxfId="1681" priority="116">
      <formula>AND(L$9&gt;=8/24,L$9&lt;14/24)</formula>
    </cfRule>
    <cfRule type="expression" dxfId="1680" priority="115">
      <formula>AND(L$9&gt;=14/24,L$9&lt;20/24)</formula>
    </cfRule>
  </conditionalFormatting>
  <conditionalFormatting sqref="M8 S8 AB8">
    <cfRule type="expression" dxfId="1679" priority="177">
      <formula>AND(N$9&gt;=14/24,N$9&lt;20/24)</formula>
    </cfRule>
    <cfRule type="expression" dxfId="1678" priority="179">
      <formula>N$9&lt;8/24</formula>
    </cfRule>
    <cfRule type="expression" dxfId="1677" priority="178">
      <formula>AND(N$9&gt;=8/24,N$9&lt;14/24)</formula>
    </cfRule>
  </conditionalFormatting>
  <conditionalFormatting sqref="M65:O68">
    <cfRule type="expression" dxfId="1676" priority="1">
      <formula>M65&gt;$AG65</formula>
    </cfRule>
  </conditionalFormatting>
  <conditionalFormatting sqref="M65:P68">
    <cfRule type="expression" dxfId="1675" priority="2">
      <formula>M$9&gt;=20/24</formula>
    </cfRule>
    <cfRule type="expression" dxfId="1674" priority="3">
      <formula>AND(M$9&gt;=14/24,M$9&lt;20/24)</formula>
    </cfRule>
    <cfRule type="expression" dxfId="1673" priority="4">
      <formula>AND(M$9&gt;=8/24,M$9&lt;14/24)</formula>
    </cfRule>
    <cfRule type="expression" dxfId="1672" priority="5">
      <formula>M$9&lt;8/24</formula>
    </cfRule>
  </conditionalFormatting>
  <conditionalFormatting sqref="O3:P3">
    <cfRule type="iconSet" priority="174">
      <iconSet iconSet="3TrafficLights2" reverse="1">
        <cfvo type="percent" val="0"/>
        <cfvo type="num" val="1"/>
        <cfvo type="num" val="1"/>
      </iconSet>
    </cfRule>
  </conditionalFormatting>
  <conditionalFormatting sqref="P65:S74 AB56:AE57 AF56:AF80 L57:AA57 E57:M62 N57:N64 O58:AE62 AG62 K63:L63 M63:M64 O63:S64 E63:J67 T63:AE74 K64:K67 L64:L68 D75:AE80 AG80">
    <cfRule type="expression" dxfId="1671" priority="76">
      <formula>D56&gt;$AG56</formula>
    </cfRule>
  </conditionalFormatting>
  <conditionalFormatting sqref="P69:AF74 D77:AF99 B9:AF10 B244:AF244 B246:B252">
    <cfRule type="expression" dxfId="1670" priority="77">
      <formula>B$9&gt;=20/24</formula>
    </cfRule>
  </conditionalFormatting>
  <conditionalFormatting sqref="Q68:W68 L68">
    <cfRule type="expression" dxfId="1669" priority="114">
      <formula>L$9&gt;=20/24</formula>
    </cfRule>
  </conditionalFormatting>
  <conditionalFormatting sqref="S8 AB8 M8">
    <cfRule type="expression" dxfId="1668" priority="176">
      <formula>N$9&gt;=20/24</formula>
    </cfRule>
  </conditionalFormatting>
  <conditionalFormatting sqref="S8">
    <cfRule type="expression" dxfId="1667" priority="166">
      <formula>U$9&lt;8/24</formula>
    </cfRule>
    <cfRule type="expression" dxfId="1666" priority="165">
      <formula>AND(U$9&gt;=8/24,U$9&lt;14/24)</formula>
    </cfRule>
    <cfRule type="expression" dxfId="1665" priority="164">
      <formula>AND(U$9&gt;=14/24,U$9&lt;20/24)</formula>
    </cfRule>
    <cfRule type="expression" dxfId="1664" priority="163">
      <formula>U$9&gt;=20/24</formula>
    </cfRule>
  </conditionalFormatting>
  <conditionalFormatting sqref="T63:W67 Q65:S67">
    <cfRule type="expression" dxfId="1663" priority="122">
      <formula>Q$9&gt;=20/24</formula>
    </cfRule>
    <cfRule type="expression" dxfId="1662" priority="123">
      <formula>AND(Q$9&gt;=14/24,Q$9&lt;20/24)</formula>
    </cfRule>
    <cfRule type="expression" dxfId="1661" priority="124">
      <formula>AND(Q$9&gt;=8/24,Q$9&lt;14/24)</formula>
    </cfRule>
    <cfRule type="expression" dxfId="1660" priority="125">
      <formula>Q$9&lt;8/24</formula>
    </cfRule>
  </conditionalFormatting>
  <conditionalFormatting sqref="T63:AF68">
    <cfRule type="expression" dxfId="1659" priority="108">
      <formula>T$9&gt;=20/24</formula>
    </cfRule>
    <cfRule type="expression" dxfId="1658" priority="109">
      <formula>AND(T$9&gt;=14/24,T$9&lt;20/24)</formula>
    </cfRule>
    <cfRule type="expression" dxfId="1657" priority="110">
      <formula>AND(T$9&gt;=8/24,T$9&lt;14/24)</formula>
    </cfRule>
    <cfRule type="expression" dxfId="1656" priority="111">
      <formula>T$9&lt;8/24</formula>
    </cfRule>
  </conditionalFormatting>
  <conditionalFormatting sqref="V3 AB3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655" priority="160">
      <formula>AND(AD$9&gt;=14/24,AD$9&lt;20/24)</formula>
    </cfRule>
    <cfRule type="expression" dxfId="1654" priority="159">
      <formula>AD$9&gt;=20/24</formula>
    </cfRule>
    <cfRule type="expression" dxfId="1653" priority="162">
      <formula>AD$9&lt;8/24</formula>
    </cfRule>
    <cfRule type="expression" dxfId="1652" priority="161">
      <formula>AND(AD$9&gt;=8/24,AD$9&lt;14/24)</formula>
    </cfRule>
  </conditionalFormatting>
  <conditionalFormatting sqref="AB53:AF55">
    <cfRule type="expression" dxfId="1651" priority="113">
      <formula>AB53&gt;$AG53</formula>
    </cfRule>
  </conditionalFormatting>
  <conditionalFormatting sqref="AB53:AF57">
    <cfRule type="expression" dxfId="1650" priority="112">
      <formula>AB$9&lt;8/24</formula>
    </cfRule>
  </conditionalFormatting>
  <conditionalFormatting sqref="AB55:AF57">
    <cfRule type="expression" dxfId="1649" priority="100">
      <formula>AB$9&gt;=20/24</formula>
    </cfRule>
    <cfRule type="expression" dxfId="1648" priority="101">
      <formula>AND(AB$9&gt;=14/24,AB$9&lt;20/24)</formula>
    </cfRule>
    <cfRule type="expression" dxfId="1647" priority="102">
      <formula>AND(AB$9&gt;=8/24,AB$9&lt;14/24)</formula>
    </cfRule>
  </conditionalFormatting>
  <conditionalFormatting sqref="AG58">
    <cfRule type="expression" dxfId="1646" priority="154">
      <formula>AG58&gt;$AG58</formula>
    </cfRule>
  </conditionalFormatting>
  <conditionalFormatting sqref="AG62">
    <cfRule type="expression" dxfId="1645" priority="139">
      <formula>AND(AG$9&gt;=8/24,AG$9&lt;14/24)</formula>
    </cfRule>
    <cfRule type="expression" dxfId="1644" priority="140">
      <formula>AG$9&lt;8/24</formula>
    </cfRule>
    <cfRule type="expression" dxfId="1643" priority="137">
      <formula>AG$9&gt;=20/24</formula>
    </cfRule>
    <cfRule type="expression" dxfId="1642" priority="138">
      <formula>AND(AG$9&gt;=14/24,AG$9&lt;20/24)</formula>
    </cfRule>
  </conditionalFormatting>
  <conditionalFormatting sqref="AG75:AG76">
    <cfRule type="expression" dxfId="1641" priority="132">
      <formula>AG75&gt;$AG75</formula>
    </cfRule>
  </conditionalFormatting>
  <conditionalFormatting sqref="AG80">
    <cfRule type="expression" dxfId="1640" priority="133">
      <formula>AG$9&gt;=20/24</formula>
    </cfRule>
    <cfRule type="expression" dxfId="1639" priority="134">
      <formula>AND(AG$9&gt;=14/24,AG$9&lt;20/24)</formula>
    </cfRule>
    <cfRule type="expression" dxfId="1638" priority="135">
      <formula>AND(AG$9&gt;=8/24,AG$9&lt;14/24)</formula>
    </cfRule>
    <cfRule type="expression" dxfId="1637" priority="136">
      <formula>AG$9&lt;8/24</formula>
    </cfRule>
  </conditionalFormatting>
  <conditionalFormatting sqref="AG97">
    <cfRule type="expression" dxfId="1636" priority="158">
      <formula>AG$9&lt;8/24</formula>
    </cfRule>
    <cfRule type="expression" dxfId="1635" priority="155">
      <formula>AG$9&gt;=20/24</formula>
    </cfRule>
    <cfRule type="expression" dxfId="1634" priority="157">
      <formula>AND(AG$9&gt;=8/24,AG$9&lt;14/24)</formula>
    </cfRule>
    <cfRule type="expression" dxfId="1633" priority="156">
      <formula>AND(AG$9&gt;=14/24,AG$9&lt;20/24)</formula>
    </cfRule>
  </conditionalFormatting>
  <conditionalFormatting sqref="AL4:AL6">
    <cfRule type="iconSet" priority="169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4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5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84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67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632" priority="183">
      <formula>AJ$9&lt;8/24</formula>
    </cfRule>
    <cfRule type="expression" dxfId="1631" priority="182">
      <formula>AND(AJ$9&gt;=8/24,AJ$9&lt;14/24)</formula>
    </cfRule>
    <cfRule type="expression" dxfId="1630" priority="181">
      <formula>AND(AJ$9&gt;=14/24,AJ$9&lt;20/24)</formula>
    </cfRule>
    <cfRule type="expression" dxfId="1629" priority="180">
      <formula>AJ$9&gt;=20/24</formula>
    </cfRule>
  </conditionalFormatting>
  <conditionalFormatting sqref="AL88:AN88 AL94:AN94">
    <cfRule type="expression" dxfId="1628" priority="148">
      <formula>AND(AL$9&gt;=14/24,AL$9&lt;20/24)</formula>
    </cfRule>
    <cfRule type="expression" dxfId="1627" priority="147">
      <formula>AL$9&gt;=20/24</formula>
    </cfRule>
    <cfRule type="expression" dxfId="1626" priority="149">
      <formula>AND(AL$9&gt;=8/24,AL$9&lt;14/24)</formula>
    </cfRule>
    <cfRule type="expression" dxfId="1625" priority="150">
      <formula>AL$9&lt;8/24</formula>
    </cfRule>
  </conditionalFormatting>
  <conditionalFormatting sqref="AM15:AM21 AN16:AR21">
    <cfRule type="expression" dxfId="1624" priority="51">
      <formula>AND(AX$9&gt;=8/24,AX$9&lt;14/24)</formula>
    </cfRule>
    <cfRule type="expression" dxfId="1623" priority="52">
      <formula>AX$9&lt;8/24</formula>
    </cfRule>
    <cfRule type="expression" dxfId="1622" priority="49">
      <formula>AX$9&gt;=20/24</formula>
    </cfRule>
    <cfRule type="expression" dxfId="1621" priority="50">
      <formula>AND(AX$9&gt;=14/24,AX$9&lt;20/24)</formula>
    </cfRule>
  </conditionalFormatting>
  <conditionalFormatting sqref="AN89:AN92">
    <cfRule type="expression" dxfId="1620" priority="143">
      <formula>AN$9&gt;=20/24</formula>
    </cfRule>
    <cfRule type="expression" dxfId="1619" priority="144">
      <formula>AND(AN$9&gt;=14/24,AN$9&lt;20/24)</formula>
    </cfRule>
    <cfRule type="expression" dxfId="1618" priority="145">
      <formula>AND(AN$9&gt;=8/24,AN$9&lt;14/24)</formula>
    </cfRule>
    <cfRule type="expression" dxfId="1617" priority="146">
      <formula>AN$9&lt;8/24</formula>
    </cfRule>
  </conditionalFormatting>
  <conditionalFormatting sqref="AN15:AR15">
    <cfRule type="expression" dxfId="1616" priority="40">
      <formula>U$9&lt;8/24</formula>
    </cfRule>
    <cfRule type="expression" dxfId="1615" priority="39">
      <formula>AND(U$9&gt;=8/24,U$9&lt;14/24)</formula>
    </cfRule>
    <cfRule type="expression" dxfId="1614" priority="38">
      <formula>AND(U$9&gt;=14/24,U$9&lt;20/24)</formula>
    </cfRule>
    <cfRule type="expression" dxfId="1613" priority="37">
      <formula>U$9&gt;=20/24</formula>
    </cfRule>
  </conditionalFormatting>
  <conditionalFormatting sqref="AS15">
    <cfRule type="expression" dxfId="1612" priority="48">
      <formula>AA$9&lt;8/24</formula>
    </cfRule>
    <cfRule type="expression" dxfId="1611" priority="47">
      <formula>AND(AA$9&gt;=8/24,AA$9&lt;14/24)</formula>
    </cfRule>
    <cfRule type="expression" dxfId="1610" priority="45">
      <formula>AA$9&gt;=20/24</formula>
    </cfRule>
    <cfRule type="expression" dxfId="1609" priority="46">
      <formula>AND(AA$9&gt;=14/24,AA$9&lt;20/24)</formula>
    </cfRule>
  </conditionalFormatting>
  <conditionalFormatting sqref="AS16:AS21">
    <cfRule type="expression" dxfId="1608" priority="56">
      <formula>BE$9&lt;8/24</formula>
    </cfRule>
    <cfRule type="expression" dxfId="1607" priority="55">
      <formula>AND(BE$9&gt;=8/24,BE$9&lt;14/24)</formula>
    </cfRule>
    <cfRule type="expression" dxfId="1606" priority="54">
      <formula>AND(BE$9&gt;=14/24,BE$9&lt;20/24)</formula>
    </cfRule>
    <cfRule type="expression" dxfId="1605" priority="53">
      <formula>BE$9&gt;=20/24</formula>
    </cfRule>
  </conditionalFormatting>
  <conditionalFormatting sqref="AT15 AX15">
    <cfRule type="expression" dxfId="1604" priority="60">
      <formula>AC$9&lt;8/24</formula>
    </cfRule>
    <cfRule type="expression" dxfId="1603" priority="59">
      <formula>AND(AC$9&gt;=8/24,AC$9&lt;14/24)</formula>
    </cfRule>
    <cfRule type="expression" dxfId="1602" priority="57">
      <formula>AC$9&gt;=20/24</formula>
    </cfRule>
    <cfRule type="expression" dxfId="1601" priority="58">
      <formula>AND(AC$9&gt;=14/24,AC$9&lt;20/24)</formula>
    </cfRule>
  </conditionalFormatting>
  <conditionalFormatting sqref="AT16:AT21">
    <cfRule type="expression" dxfId="1600" priority="61">
      <formula>BG$9&gt;=20/24</formula>
    </cfRule>
    <cfRule type="expression" dxfId="1599" priority="62">
      <formula>AND(BG$9&gt;=14/24,BG$9&lt;20/24)</formula>
    </cfRule>
    <cfRule type="expression" dxfId="1598" priority="63">
      <formula>AND(BG$9&gt;=8/24,BG$9&lt;14/24)</formula>
    </cfRule>
    <cfRule type="expression" dxfId="1597" priority="64">
      <formula>BG$9&lt;8/24</formula>
    </cfRule>
  </conditionalFormatting>
  <conditionalFormatting sqref="AU15:AV15">
    <cfRule type="expression" dxfId="1596" priority="67">
      <formula>AND(AE$9&gt;=8/24,AE$9&lt;14/24)</formula>
    </cfRule>
    <cfRule type="expression" dxfId="1595" priority="68">
      <formula>AE$9&lt;8/24</formula>
    </cfRule>
    <cfRule type="expression" dxfId="1594" priority="65">
      <formula>AE$9&gt;=20/24</formula>
    </cfRule>
    <cfRule type="expression" dxfId="1593" priority="66">
      <formula>AND(AE$9&gt;=14/24,AE$9&lt;20/24)</formula>
    </cfRule>
  </conditionalFormatting>
  <conditionalFormatting sqref="AU16:AX21">
    <cfRule type="expression" dxfId="1592" priority="70">
      <formula>AND(BI$9&gt;=14/24,BI$9&lt;20/24)</formula>
    </cfRule>
    <cfRule type="expression" dxfId="1591" priority="71">
      <formula>AND(BI$9&gt;=8/24,BI$9&lt;14/24)</formula>
    </cfRule>
    <cfRule type="expression" dxfId="1590" priority="72">
      <formula>BI$9&lt;8/24</formula>
    </cfRule>
    <cfRule type="expression" dxfId="1589" priority="69">
      <formula>BI$9&gt;=20/24</formula>
    </cfRule>
  </conditionalFormatting>
  <conditionalFormatting sqref="AW15">
    <cfRule type="expression" dxfId="1588" priority="44">
      <formula>B$9&lt;8/24</formula>
    </cfRule>
    <cfRule type="expression" dxfId="1587" priority="43">
      <formula>AND(B$9&gt;=8/24,B$9&lt;14/24)</formula>
    </cfRule>
    <cfRule type="expression" dxfId="1586" priority="42">
      <formula>AND(B$9&gt;=14/24,B$9&lt;20/24)</formula>
    </cfRule>
    <cfRule type="expression" dxfId="1585" priority="41">
      <formula>B$9&gt;=20/24</formula>
    </cfRule>
  </conditionalFormatting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A56EB-7B5F-4BCC-8308-0C94EE793FAF}">
  <sheetPr codeName="Sheet20"/>
  <dimension ref="A1:CJ294"/>
  <sheetViews>
    <sheetView zoomScaleNormal="100" workbookViewId="0">
      <pane xSplit="1" ySplit="10" topLeftCell="B59" activePane="bottomRight" state="frozen"/>
      <selection activeCell="Z63" sqref="Z63"/>
      <selection pane="topRight" activeCell="Z63" sqref="Z63"/>
      <selection pane="bottomLeft" activeCell="Z63" sqref="Z63"/>
      <selection pane="bottomRight" activeCell="AF79" sqref="AF79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2080/10/19</v>
      </c>
      <c r="C4" s="214"/>
      <c r="D4" s="214"/>
      <c r="E4" s="215" t="str">
        <f ca="1">"2080/"&amp;"10/"&amp;INT(MID(CELL("filename",G6),FIND("]",CELL("filename",G6))+1,200))</f>
        <v>2080/10/19</v>
      </c>
      <c r="F4" s="215"/>
      <c r="G4" s="215"/>
      <c r="H4" s="215" t="str">
        <f ca="1">TEXT(E4,"dddd")</f>
        <v>Saturday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167</v>
      </c>
      <c r="C5" s="30">
        <f t="shared" ref="C5:AE5" si="0">D92</f>
        <v>88</v>
      </c>
      <c r="D5" s="30">
        <f t="shared" si="0"/>
        <v>259.60000000000002</v>
      </c>
      <c r="E5" s="30">
        <f t="shared" si="0"/>
        <v>232.2</v>
      </c>
      <c r="F5" s="30">
        <f t="shared" si="0"/>
        <v>286.3</v>
      </c>
      <c r="G5" s="30">
        <f t="shared" si="0"/>
        <v>279</v>
      </c>
      <c r="H5" s="30">
        <f t="shared" si="0"/>
        <v>287.3</v>
      </c>
      <c r="I5" s="30">
        <f t="shared" si="0"/>
        <v>382.3</v>
      </c>
      <c r="J5" s="30">
        <f t="shared" si="0"/>
        <v>583.6</v>
      </c>
      <c r="K5" s="30">
        <f t="shared" si="0"/>
        <v>615.1</v>
      </c>
      <c r="L5" s="30">
        <f t="shared" si="0"/>
        <v>634.1</v>
      </c>
      <c r="M5" s="30">
        <f t="shared" si="0"/>
        <v>622.90000000000009</v>
      </c>
      <c r="N5" s="30">
        <f t="shared" si="0"/>
        <v>699.1</v>
      </c>
      <c r="O5" s="30">
        <f t="shared" si="0"/>
        <v>670.9</v>
      </c>
      <c r="P5" s="30">
        <f t="shared" si="0"/>
        <v>667.8</v>
      </c>
      <c r="Q5" s="30">
        <f t="shared" si="0"/>
        <v>655.1</v>
      </c>
      <c r="R5" s="30">
        <f t="shared" si="0"/>
        <v>706.3</v>
      </c>
      <c r="S5" s="30">
        <f t="shared" si="0"/>
        <v>553</v>
      </c>
      <c r="T5" s="30">
        <f t="shared" si="0"/>
        <v>677.3</v>
      </c>
      <c r="U5" s="30">
        <f t="shared" si="0"/>
        <v>700</v>
      </c>
      <c r="V5" s="30">
        <f t="shared" si="0"/>
        <v>655.8</v>
      </c>
      <c r="W5" s="30">
        <f t="shared" si="0"/>
        <v>464</v>
      </c>
      <c r="X5" s="30">
        <f t="shared" si="0"/>
        <v>80</v>
      </c>
      <c r="Y5" s="30">
        <f t="shared" si="0"/>
        <v>97</v>
      </c>
      <c r="Z5" s="30">
        <f t="shared" si="0"/>
        <v>21</v>
      </c>
      <c r="AA5" s="30">
        <f t="shared" si="0"/>
        <v>61.1</v>
      </c>
      <c r="AB5" s="30">
        <f t="shared" si="0"/>
        <v>68.599999999999994</v>
      </c>
      <c r="AC5" s="30">
        <f t="shared" si="0"/>
        <v>76.099999999999994</v>
      </c>
      <c r="AD5" s="30">
        <f t="shared" si="0"/>
        <v>87.5</v>
      </c>
      <c r="AE5" s="30">
        <f t="shared" si="0"/>
        <v>122.39999999999999</v>
      </c>
      <c r="AF5" s="30">
        <f>B92</f>
        <v>108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1596MW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Load=1277</v>
      </c>
      <c r="B7" s="35">
        <f>B100</f>
        <v>1276.69</v>
      </c>
      <c r="C7" s="35">
        <f t="shared" ref="C7:AF7" si="1">C100</f>
        <v>1398.79</v>
      </c>
      <c r="D7" s="35">
        <f t="shared" si="1"/>
        <v>1383.29</v>
      </c>
      <c r="E7" s="35">
        <f t="shared" si="1"/>
        <v>1405.0900000000001</v>
      </c>
      <c r="F7" s="35">
        <f t="shared" si="1"/>
        <v>1365.4900000000002</v>
      </c>
      <c r="G7" s="35">
        <f t="shared" si="1"/>
        <v>1419.5900000000001</v>
      </c>
      <c r="H7" s="35">
        <f t="shared" si="1"/>
        <v>1436.8899999999999</v>
      </c>
      <c r="I7" s="35">
        <f t="shared" si="1"/>
        <v>1457.5900000000001</v>
      </c>
      <c r="J7" s="35">
        <f t="shared" si="1"/>
        <v>1469.29</v>
      </c>
      <c r="K7" s="35">
        <f t="shared" si="1"/>
        <v>1575.9900000000002</v>
      </c>
      <c r="L7" s="35">
        <f t="shared" si="1"/>
        <v>1595.9900000000002</v>
      </c>
      <c r="M7" s="35">
        <f t="shared" si="1"/>
        <v>1553.3899999999999</v>
      </c>
      <c r="N7" s="35">
        <f t="shared" si="1"/>
        <v>1475.89</v>
      </c>
      <c r="O7" s="35">
        <f t="shared" si="1"/>
        <v>1498.99</v>
      </c>
      <c r="P7" s="35">
        <f t="shared" si="1"/>
        <v>1427.59</v>
      </c>
      <c r="Q7" s="35">
        <f t="shared" si="1"/>
        <v>1397.19</v>
      </c>
      <c r="R7" s="35">
        <f t="shared" si="1"/>
        <v>1354.8899999999999</v>
      </c>
      <c r="S7" s="35">
        <f t="shared" si="1"/>
        <v>1388.3899999999999</v>
      </c>
      <c r="T7" s="35">
        <f t="shared" si="1"/>
        <v>1308.49</v>
      </c>
      <c r="U7" s="35">
        <f t="shared" si="1"/>
        <v>1411.29</v>
      </c>
      <c r="V7" s="35">
        <f t="shared" si="1"/>
        <v>1441.99</v>
      </c>
      <c r="W7" s="35">
        <f t="shared" si="1"/>
        <v>1473.3899999999999</v>
      </c>
      <c r="X7" s="35">
        <f t="shared" si="1"/>
        <v>1544.29</v>
      </c>
      <c r="Y7" s="35">
        <f t="shared" si="1"/>
        <v>1886.75</v>
      </c>
      <c r="Z7" s="35">
        <f t="shared" si="1"/>
        <v>1872.8899999999999</v>
      </c>
      <c r="AA7" s="35">
        <f t="shared" si="1"/>
        <v>1803.09</v>
      </c>
      <c r="AB7" s="35">
        <f t="shared" si="1"/>
        <v>1697.79</v>
      </c>
      <c r="AC7" s="35">
        <f t="shared" si="1"/>
        <v>1663.09</v>
      </c>
      <c r="AD7" s="35">
        <f t="shared" si="1"/>
        <v>1614.4899999999998</v>
      </c>
      <c r="AE7" s="35">
        <f t="shared" si="1"/>
        <v>1467.79</v>
      </c>
      <c r="AF7" s="35">
        <f t="shared" si="1"/>
        <v>1396.39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1575.99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1575.99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30.6</v>
      </c>
      <c r="C11" s="46">
        <v>30.6</v>
      </c>
      <c r="D11" s="46">
        <v>30.6</v>
      </c>
      <c r="E11" s="46">
        <v>30.6</v>
      </c>
      <c r="F11" s="46">
        <v>30.6</v>
      </c>
      <c r="G11" s="46">
        <v>30.6</v>
      </c>
      <c r="H11" s="46">
        <v>30.6</v>
      </c>
      <c r="I11" s="46">
        <v>30.6</v>
      </c>
      <c r="J11" s="46">
        <v>30.6</v>
      </c>
      <c r="K11" s="46">
        <v>30.6</v>
      </c>
      <c r="L11" s="46">
        <v>30.6</v>
      </c>
      <c r="M11" s="46">
        <v>25.8</v>
      </c>
      <c r="N11" s="46">
        <v>25.8</v>
      </c>
      <c r="O11" s="46">
        <v>25.8</v>
      </c>
      <c r="P11" s="46">
        <v>25.8</v>
      </c>
      <c r="Q11" s="46">
        <v>25.8</v>
      </c>
      <c r="R11" s="46">
        <v>25.8</v>
      </c>
      <c r="S11" s="46">
        <v>25.8</v>
      </c>
      <c r="T11" s="46">
        <v>25.8</v>
      </c>
      <c r="U11" s="46">
        <v>25.8</v>
      </c>
      <c r="V11" s="46">
        <v>25.8</v>
      </c>
      <c r="W11" s="46">
        <v>25.8</v>
      </c>
      <c r="X11" s="46">
        <v>25.8</v>
      </c>
      <c r="Y11" s="46">
        <v>25.8</v>
      </c>
      <c r="Z11" s="46">
        <v>25.8</v>
      </c>
      <c r="AA11" s="46">
        <v>25.8</v>
      </c>
      <c r="AB11" s="46">
        <v>23.2</v>
      </c>
      <c r="AC11" s="46">
        <v>23.2</v>
      </c>
      <c r="AD11" s="46">
        <v>23.2</v>
      </c>
      <c r="AE11" s="46">
        <v>23.2</v>
      </c>
      <c r="AF11" s="46">
        <v>23.2</v>
      </c>
      <c r="AG11" s="47">
        <v>86</v>
      </c>
      <c r="AH11" s="48">
        <f t="shared" ref="AH11:AH16" si="2">MAX(B11:AF11)</f>
        <v>30.6</v>
      </c>
      <c r="AI11" s="49">
        <f t="shared" ref="AI11:AI16" si="3">MIN(B11:AF11)</f>
        <v>23.2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11</v>
      </c>
      <c r="C12" s="46">
        <v>11</v>
      </c>
      <c r="D12" s="46">
        <v>11</v>
      </c>
      <c r="E12" s="46">
        <v>11</v>
      </c>
      <c r="F12" s="46">
        <v>11</v>
      </c>
      <c r="G12" s="46">
        <v>11</v>
      </c>
      <c r="H12" s="46">
        <v>11</v>
      </c>
      <c r="I12" s="46">
        <v>11</v>
      </c>
      <c r="J12" s="46">
        <v>11</v>
      </c>
      <c r="K12" s="46">
        <v>11</v>
      </c>
      <c r="L12" s="46">
        <v>11</v>
      </c>
      <c r="M12" s="46">
        <v>11</v>
      </c>
      <c r="N12" s="46">
        <v>11</v>
      </c>
      <c r="O12" s="46">
        <v>11</v>
      </c>
      <c r="P12" s="46">
        <v>11</v>
      </c>
      <c r="Q12" s="46">
        <v>11</v>
      </c>
      <c r="R12" s="46">
        <v>11</v>
      </c>
      <c r="S12" s="46">
        <v>11</v>
      </c>
      <c r="T12" s="46">
        <v>11</v>
      </c>
      <c r="U12" s="46">
        <v>11</v>
      </c>
      <c r="V12" s="46">
        <v>11</v>
      </c>
      <c r="W12" s="46">
        <v>11</v>
      </c>
      <c r="X12" s="46">
        <v>11</v>
      </c>
      <c r="Y12" s="46">
        <v>11</v>
      </c>
      <c r="Z12" s="46">
        <v>11</v>
      </c>
      <c r="AA12" s="46">
        <v>11</v>
      </c>
      <c r="AB12" s="46">
        <v>11</v>
      </c>
      <c r="AC12" s="46">
        <v>11</v>
      </c>
      <c r="AD12" s="46">
        <v>11</v>
      </c>
      <c r="AE12" s="46">
        <v>11</v>
      </c>
      <c r="AF12" s="46">
        <v>11</v>
      </c>
      <c r="AG12" s="50">
        <v>54</v>
      </c>
      <c r="AH12" s="48">
        <f t="shared" si="2"/>
        <v>11</v>
      </c>
      <c r="AI12" s="49">
        <f t="shared" si="3"/>
        <v>11</v>
      </c>
      <c r="AK12" s="51"/>
      <c r="AL12" s="52" t="str">
        <f ca="1">MID(CELL("filename",C7),FIND("]",CELL("filename",C7))+1,600)</f>
        <v>19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27.4</v>
      </c>
      <c r="C13" s="46">
        <v>27.4</v>
      </c>
      <c r="D13" s="46">
        <v>27.4</v>
      </c>
      <c r="E13" s="46">
        <v>27.4</v>
      </c>
      <c r="F13" s="46">
        <v>27.4</v>
      </c>
      <c r="G13" s="46">
        <v>27.4</v>
      </c>
      <c r="H13" s="46">
        <v>27.4</v>
      </c>
      <c r="I13" s="46">
        <v>27.4</v>
      </c>
      <c r="J13" s="46">
        <v>27.4</v>
      </c>
      <c r="K13" s="46">
        <v>27.4</v>
      </c>
      <c r="L13" s="46">
        <v>27.4</v>
      </c>
      <c r="M13" s="46">
        <v>17.899999999999999</v>
      </c>
      <c r="N13" s="46">
        <v>17.899999999999999</v>
      </c>
      <c r="O13" s="46">
        <v>17.899999999999999</v>
      </c>
      <c r="P13" s="46">
        <v>17.899999999999999</v>
      </c>
      <c r="Q13" s="46">
        <v>17.899999999999999</v>
      </c>
      <c r="R13" s="46">
        <v>17.899999999999999</v>
      </c>
      <c r="S13" s="46">
        <v>17.899999999999999</v>
      </c>
      <c r="T13" s="46">
        <v>17.899999999999999</v>
      </c>
      <c r="U13" s="46">
        <v>17.899999999999999</v>
      </c>
      <c r="V13" s="46">
        <v>17.899999999999999</v>
      </c>
      <c r="W13" s="46">
        <v>17.899999999999999</v>
      </c>
      <c r="X13" s="46">
        <v>17.899999999999999</v>
      </c>
      <c r="Y13" s="46">
        <v>17.899999999999999</v>
      </c>
      <c r="Z13" s="46">
        <v>17.899999999999999</v>
      </c>
      <c r="AA13" s="46">
        <v>17.899999999999999</v>
      </c>
      <c r="AB13" s="46">
        <v>17.899999999999999</v>
      </c>
      <c r="AC13" s="46">
        <v>17.899999999999999</v>
      </c>
      <c r="AD13" s="46">
        <v>17.899999999999999</v>
      </c>
      <c r="AE13" s="46">
        <v>17.899999999999999</v>
      </c>
      <c r="AF13" s="46">
        <v>17.899999999999999</v>
      </c>
      <c r="AG13" s="50">
        <v>54</v>
      </c>
      <c r="AH13" s="48">
        <f t="shared" si="2"/>
        <v>27.4</v>
      </c>
      <c r="AI13" s="49">
        <f t="shared" si="3"/>
        <v>17.899999999999999</v>
      </c>
      <c r="AK13" s="51"/>
      <c r="AL13" s="52" t="str">
        <f ca="1">"Daily Load Curve(Excluding of Export) of Nepal ("&amp;A4&amp;" "&amp;B4&amp;")"</f>
        <v>Daily Load Curve(Excluding of Export) of Nepal (Nepali Date: 2080/10/19)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0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14.5</v>
      </c>
      <c r="N14" s="46">
        <v>14.5</v>
      </c>
      <c r="O14" s="46">
        <v>14.5</v>
      </c>
      <c r="P14" s="46">
        <v>14.5</v>
      </c>
      <c r="Q14" s="46">
        <v>14.5</v>
      </c>
      <c r="R14" s="46">
        <v>14.5</v>
      </c>
      <c r="S14" s="46">
        <v>14.5</v>
      </c>
      <c r="T14" s="46">
        <v>14.5</v>
      </c>
      <c r="U14" s="46">
        <v>14.5</v>
      </c>
      <c r="V14" s="46">
        <v>14.5</v>
      </c>
      <c r="W14" s="46">
        <v>14.5</v>
      </c>
      <c r="X14" s="46">
        <v>14.5</v>
      </c>
      <c r="Y14" s="46">
        <v>14.5</v>
      </c>
      <c r="Z14" s="46">
        <v>14.5</v>
      </c>
      <c r="AA14" s="46">
        <v>14.5</v>
      </c>
      <c r="AB14" s="46">
        <v>14.5</v>
      </c>
      <c r="AC14" s="46">
        <v>14.5</v>
      </c>
      <c r="AD14" s="46">
        <v>14.5</v>
      </c>
      <c r="AE14" s="46">
        <v>14.5</v>
      </c>
      <c r="AF14" s="46">
        <v>14.5</v>
      </c>
      <c r="AG14" s="47">
        <v>52.4</v>
      </c>
      <c r="AH14" s="48">
        <f t="shared" si="2"/>
        <v>14.5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50</v>
      </c>
      <c r="C15" s="46">
        <v>50</v>
      </c>
      <c r="D15" s="46">
        <v>50</v>
      </c>
      <c r="E15" s="46">
        <v>50</v>
      </c>
      <c r="F15" s="46">
        <v>50</v>
      </c>
      <c r="G15" s="46">
        <v>50</v>
      </c>
      <c r="H15" s="46">
        <v>50</v>
      </c>
      <c r="I15" s="46">
        <v>50</v>
      </c>
      <c r="J15" s="46">
        <v>50</v>
      </c>
      <c r="K15" s="46">
        <v>50</v>
      </c>
      <c r="L15" s="46">
        <v>50</v>
      </c>
      <c r="M15" s="46">
        <v>36.4</v>
      </c>
      <c r="N15" s="46">
        <v>36.4</v>
      </c>
      <c r="O15" s="46">
        <v>36.4</v>
      </c>
      <c r="P15" s="46">
        <v>36.4</v>
      </c>
      <c r="Q15" s="46">
        <v>36.4</v>
      </c>
      <c r="R15" s="46">
        <v>36.4</v>
      </c>
      <c r="S15" s="46">
        <v>36.4</v>
      </c>
      <c r="T15" s="46">
        <v>36.4</v>
      </c>
      <c r="U15" s="46">
        <v>36.4</v>
      </c>
      <c r="V15" s="46">
        <v>36.4</v>
      </c>
      <c r="W15" s="46">
        <v>36.4</v>
      </c>
      <c r="X15" s="46">
        <v>36.4</v>
      </c>
      <c r="Y15" s="46">
        <v>36.4</v>
      </c>
      <c r="Z15" s="53">
        <v>36.4</v>
      </c>
      <c r="AA15" s="53">
        <v>36.4</v>
      </c>
      <c r="AB15" s="53">
        <v>36.4</v>
      </c>
      <c r="AC15" s="53">
        <v>36.4</v>
      </c>
      <c r="AD15" s="53">
        <v>36.4</v>
      </c>
      <c r="AE15" s="53">
        <v>36.4</v>
      </c>
      <c r="AF15" s="53">
        <v>36.4</v>
      </c>
      <c r="AG15" s="50">
        <v>50</v>
      </c>
      <c r="AH15" s="48">
        <f t="shared" si="2"/>
        <v>50</v>
      </c>
      <c r="AI15" s="49">
        <f t="shared" si="3"/>
        <v>36.4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15</v>
      </c>
      <c r="C16" s="46">
        <v>15</v>
      </c>
      <c r="D16" s="46">
        <v>15</v>
      </c>
      <c r="E16" s="46">
        <v>15</v>
      </c>
      <c r="F16" s="46">
        <v>15</v>
      </c>
      <c r="G16" s="46">
        <v>15</v>
      </c>
      <c r="H16" s="46">
        <v>15</v>
      </c>
      <c r="I16" s="46">
        <v>15</v>
      </c>
      <c r="J16" s="46">
        <v>15</v>
      </c>
      <c r="K16" s="46">
        <v>15</v>
      </c>
      <c r="L16" s="46">
        <v>15</v>
      </c>
      <c r="M16" s="46">
        <v>15</v>
      </c>
      <c r="N16" s="46">
        <v>15</v>
      </c>
      <c r="O16" s="46">
        <v>15</v>
      </c>
      <c r="P16" s="46">
        <v>15</v>
      </c>
      <c r="Q16" s="46">
        <v>15</v>
      </c>
      <c r="R16" s="46">
        <v>15</v>
      </c>
      <c r="S16" s="46">
        <v>15</v>
      </c>
      <c r="T16" s="46">
        <v>15</v>
      </c>
      <c r="U16" s="46">
        <v>15</v>
      </c>
      <c r="V16" s="46">
        <v>15</v>
      </c>
      <c r="W16" s="46">
        <v>15</v>
      </c>
      <c r="X16" s="46">
        <v>15</v>
      </c>
      <c r="Y16" s="46">
        <v>15</v>
      </c>
      <c r="Z16" s="46">
        <v>15</v>
      </c>
      <c r="AA16" s="46">
        <v>15</v>
      </c>
      <c r="AB16" s="46">
        <v>15</v>
      </c>
      <c r="AC16" s="46">
        <v>15</v>
      </c>
      <c r="AD16" s="46">
        <v>15</v>
      </c>
      <c r="AE16" s="46">
        <v>15</v>
      </c>
      <c r="AF16" s="46">
        <v>15</v>
      </c>
      <c r="AG16" s="50">
        <v>45</v>
      </c>
      <c r="AH16" s="48">
        <f t="shared" si="2"/>
        <v>15</v>
      </c>
      <c r="AI16" s="49">
        <f t="shared" si="3"/>
        <v>15</v>
      </c>
      <c r="AK16" s="51"/>
      <c r="AL16" s="54" t="s">
        <v>7</v>
      </c>
      <c r="AM16" s="59">
        <f>B58</f>
        <v>556.95000000000005</v>
      </c>
      <c r="AN16" s="59">
        <f t="shared" ref="AN16:AR16" si="4">C58</f>
        <v>556.95000000000005</v>
      </c>
      <c r="AO16" s="59">
        <f t="shared" si="4"/>
        <v>556.95000000000005</v>
      </c>
      <c r="AP16" s="59">
        <f t="shared" si="4"/>
        <v>556.95000000000005</v>
      </c>
      <c r="AQ16" s="59">
        <f t="shared" si="4"/>
        <v>556.95000000000005</v>
      </c>
      <c r="AR16" s="59">
        <f t="shared" si="4"/>
        <v>556.95000000000005</v>
      </c>
      <c r="AS16" s="59">
        <f>I58</f>
        <v>556.95000000000005</v>
      </c>
      <c r="AT16" s="59">
        <f>K58</f>
        <v>556.95000000000005</v>
      </c>
      <c r="AU16" s="59">
        <f t="shared" ref="AU16:AX16" si="5">M58</f>
        <v>503.65</v>
      </c>
      <c r="AV16" s="59">
        <f t="shared" si="5"/>
        <v>503.65</v>
      </c>
      <c r="AW16" s="59">
        <f t="shared" si="5"/>
        <v>503.65</v>
      </c>
      <c r="AX16" s="59">
        <f t="shared" si="5"/>
        <v>503.65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27</v>
      </c>
      <c r="C17" s="46">
        <v>27</v>
      </c>
      <c r="D17" s="46">
        <v>27</v>
      </c>
      <c r="E17" s="46">
        <v>27</v>
      </c>
      <c r="F17" s="46">
        <v>27</v>
      </c>
      <c r="G17" s="46">
        <v>27</v>
      </c>
      <c r="H17" s="46">
        <v>27</v>
      </c>
      <c r="I17" s="46">
        <v>27</v>
      </c>
      <c r="J17" s="46">
        <v>27</v>
      </c>
      <c r="K17" s="46">
        <v>27</v>
      </c>
      <c r="L17" s="46">
        <v>27</v>
      </c>
      <c r="M17" s="46">
        <v>27</v>
      </c>
      <c r="N17" s="46">
        <v>27</v>
      </c>
      <c r="O17" s="46">
        <v>27</v>
      </c>
      <c r="P17" s="46">
        <v>27</v>
      </c>
      <c r="Q17" s="46">
        <v>27</v>
      </c>
      <c r="R17" s="46">
        <v>27</v>
      </c>
      <c r="S17" s="46">
        <v>27</v>
      </c>
      <c r="T17" s="46">
        <v>27</v>
      </c>
      <c r="U17" s="46">
        <v>27</v>
      </c>
      <c r="V17" s="46">
        <v>27</v>
      </c>
      <c r="W17" s="46">
        <v>27</v>
      </c>
      <c r="X17" s="46">
        <v>27</v>
      </c>
      <c r="Y17" s="46">
        <v>27</v>
      </c>
      <c r="Z17" s="46">
        <v>27</v>
      </c>
      <c r="AA17" s="46">
        <v>27</v>
      </c>
      <c r="AB17" s="46">
        <v>27</v>
      </c>
      <c r="AC17" s="46">
        <v>27</v>
      </c>
      <c r="AD17" s="46">
        <v>27</v>
      </c>
      <c r="AE17" s="46">
        <v>27</v>
      </c>
      <c r="AF17" s="46">
        <v>27</v>
      </c>
      <c r="AG17" s="50">
        <v>44</v>
      </c>
      <c r="AH17" s="48">
        <f>MAX(B17:AG17)</f>
        <v>44</v>
      </c>
      <c r="AI17" s="49">
        <f>MIN(B17:AG17)</f>
        <v>27</v>
      </c>
      <c r="AK17" s="51"/>
      <c r="AL17" s="54" t="s">
        <v>27</v>
      </c>
      <c r="AM17" s="59">
        <f>B62</f>
        <v>144.80000000000001</v>
      </c>
      <c r="AN17" s="59">
        <f t="shared" ref="AN17:AR17" si="6">C62</f>
        <v>84.8</v>
      </c>
      <c r="AO17" s="59">
        <f t="shared" si="6"/>
        <v>120.8</v>
      </c>
      <c r="AP17" s="59">
        <f t="shared" si="6"/>
        <v>59.7</v>
      </c>
      <c r="AQ17" s="59">
        <f t="shared" si="6"/>
        <v>59.7</v>
      </c>
      <c r="AR17" s="59">
        <f t="shared" si="6"/>
        <v>59.7</v>
      </c>
      <c r="AS17" s="59">
        <f>I62</f>
        <v>109.6</v>
      </c>
      <c r="AT17" s="59">
        <f>K62</f>
        <v>39.6</v>
      </c>
      <c r="AU17" s="59">
        <f t="shared" ref="AU17:AX17" si="7">M62</f>
        <v>37.5</v>
      </c>
      <c r="AV17" s="59">
        <f t="shared" si="7"/>
        <v>52.5</v>
      </c>
      <c r="AW17" s="59">
        <f t="shared" si="7"/>
        <v>52.5</v>
      </c>
      <c r="AX17" s="59">
        <f t="shared" si="7"/>
        <v>37.5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11.5</v>
      </c>
      <c r="C18" s="46">
        <v>11.5</v>
      </c>
      <c r="D18" s="46">
        <v>11.5</v>
      </c>
      <c r="E18" s="46">
        <v>11.5</v>
      </c>
      <c r="F18" s="46">
        <v>11.5</v>
      </c>
      <c r="G18" s="46">
        <v>11.5</v>
      </c>
      <c r="H18" s="46">
        <v>11.5</v>
      </c>
      <c r="I18" s="46">
        <v>11.5</v>
      </c>
      <c r="J18" s="46">
        <v>11.5</v>
      </c>
      <c r="K18" s="46">
        <v>11.5</v>
      </c>
      <c r="L18" s="46">
        <v>11.5</v>
      </c>
      <c r="M18" s="46">
        <v>9</v>
      </c>
      <c r="N18" s="46">
        <v>9</v>
      </c>
      <c r="O18" s="46">
        <v>9</v>
      </c>
      <c r="P18" s="46">
        <v>9</v>
      </c>
      <c r="Q18" s="46">
        <v>9</v>
      </c>
      <c r="R18" s="46">
        <v>9</v>
      </c>
      <c r="S18" s="46">
        <v>9</v>
      </c>
      <c r="T18" s="46">
        <v>9</v>
      </c>
      <c r="U18" s="46">
        <v>9</v>
      </c>
      <c r="V18" s="46">
        <v>9</v>
      </c>
      <c r="W18" s="46">
        <v>9</v>
      </c>
      <c r="X18" s="46">
        <v>9</v>
      </c>
      <c r="Y18" s="46">
        <v>9</v>
      </c>
      <c r="Z18" s="46">
        <v>9</v>
      </c>
      <c r="AA18" s="46">
        <v>9</v>
      </c>
      <c r="AB18" s="46">
        <v>9</v>
      </c>
      <c r="AC18" s="46">
        <v>9</v>
      </c>
      <c r="AD18" s="46">
        <v>9</v>
      </c>
      <c r="AE18" s="46">
        <v>9</v>
      </c>
      <c r="AF18" s="46">
        <v>9</v>
      </c>
      <c r="AG18" s="50">
        <v>42</v>
      </c>
      <c r="AH18" s="48">
        <f t="shared" ref="AH18:AH81" si="8">MAX(B18:AF18)</f>
        <v>11.5</v>
      </c>
      <c r="AI18" s="49">
        <f t="shared" ref="AI18:AI81" si="9">MIN(B18:AF18)</f>
        <v>9</v>
      </c>
      <c r="AK18" s="51"/>
      <c r="AL18" s="54" t="s">
        <v>29</v>
      </c>
      <c r="AM18" s="59">
        <f>B76</f>
        <v>317.94000000000005</v>
      </c>
      <c r="AN18" s="59">
        <f t="shared" ref="AN18:AR18" si="10">C76</f>
        <v>332.24</v>
      </c>
      <c r="AO18" s="59">
        <f t="shared" si="10"/>
        <v>329.84000000000003</v>
      </c>
      <c r="AP18" s="59">
        <f t="shared" si="10"/>
        <v>280.04000000000002</v>
      </c>
      <c r="AQ18" s="59">
        <f t="shared" si="10"/>
        <v>268.64000000000004</v>
      </c>
      <c r="AR18" s="59">
        <f t="shared" si="10"/>
        <v>268.64000000000004</v>
      </c>
      <c r="AS18" s="59">
        <f>I76</f>
        <v>244.73999999999998</v>
      </c>
      <c r="AT18" s="59">
        <f>K76</f>
        <v>195.83999999999997</v>
      </c>
      <c r="AU18" s="59">
        <f t="shared" ref="AU18:AX18" si="11">M76</f>
        <v>228.13999999999996</v>
      </c>
      <c r="AV18" s="59">
        <f t="shared" si="11"/>
        <v>246.84</v>
      </c>
      <c r="AW18" s="59">
        <f t="shared" si="11"/>
        <v>243.73999999999998</v>
      </c>
      <c r="AX18" s="59">
        <f t="shared" si="11"/>
        <v>215.54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14.5</v>
      </c>
      <c r="C19" s="46">
        <v>14.5</v>
      </c>
      <c r="D19" s="46">
        <v>14.5</v>
      </c>
      <c r="E19" s="46">
        <v>14.5</v>
      </c>
      <c r="F19" s="46">
        <v>14.5</v>
      </c>
      <c r="G19" s="46">
        <v>14.5</v>
      </c>
      <c r="H19" s="46">
        <v>14.5</v>
      </c>
      <c r="I19" s="46">
        <v>14.5</v>
      </c>
      <c r="J19" s="46">
        <v>14.5</v>
      </c>
      <c r="K19" s="46">
        <v>14.5</v>
      </c>
      <c r="L19" s="46">
        <v>14.5</v>
      </c>
      <c r="M19" s="46">
        <v>14</v>
      </c>
      <c r="N19" s="46">
        <v>14</v>
      </c>
      <c r="O19" s="46">
        <v>14</v>
      </c>
      <c r="P19" s="46">
        <v>14</v>
      </c>
      <c r="Q19" s="46">
        <v>14</v>
      </c>
      <c r="R19" s="46">
        <v>14</v>
      </c>
      <c r="S19" s="46">
        <v>14</v>
      </c>
      <c r="T19" s="46">
        <v>14</v>
      </c>
      <c r="U19" s="46">
        <v>14</v>
      </c>
      <c r="V19" s="46">
        <v>14</v>
      </c>
      <c r="W19" s="46">
        <v>14</v>
      </c>
      <c r="X19" s="46">
        <v>14</v>
      </c>
      <c r="Y19" s="46">
        <v>14</v>
      </c>
      <c r="Z19" s="46">
        <v>14</v>
      </c>
      <c r="AA19" s="46">
        <v>14</v>
      </c>
      <c r="AB19" s="46">
        <v>14</v>
      </c>
      <c r="AC19" s="46">
        <v>14</v>
      </c>
      <c r="AD19" s="46">
        <v>14</v>
      </c>
      <c r="AE19" s="46">
        <v>14</v>
      </c>
      <c r="AF19" s="46">
        <v>14</v>
      </c>
      <c r="AG19" s="50">
        <v>38.46</v>
      </c>
      <c r="AH19" s="48">
        <f t="shared" si="8"/>
        <v>14.5</v>
      </c>
      <c r="AI19" s="49">
        <f t="shared" si="9"/>
        <v>14</v>
      </c>
      <c r="AK19" s="51"/>
      <c r="AL19" s="54" t="s">
        <v>31</v>
      </c>
      <c r="AM19" s="59">
        <f>B92</f>
        <v>108</v>
      </c>
      <c r="AN19" s="59">
        <f t="shared" ref="AN19:AR19" si="12">C92</f>
        <v>167</v>
      </c>
      <c r="AO19" s="59">
        <f t="shared" si="12"/>
        <v>88</v>
      </c>
      <c r="AP19" s="59">
        <f t="shared" si="12"/>
        <v>259.60000000000002</v>
      </c>
      <c r="AQ19" s="59">
        <f t="shared" si="12"/>
        <v>232.2</v>
      </c>
      <c r="AR19" s="59">
        <f t="shared" si="12"/>
        <v>286.3</v>
      </c>
      <c r="AS19" s="59">
        <f>I92</f>
        <v>287.3</v>
      </c>
      <c r="AT19" s="59">
        <f>K92</f>
        <v>583.6</v>
      </c>
      <c r="AU19" s="59">
        <f t="shared" ref="AU19:AX19" si="13">M92</f>
        <v>634.1</v>
      </c>
      <c r="AV19" s="59">
        <f t="shared" si="13"/>
        <v>622.90000000000009</v>
      </c>
      <c r="AW19" s="59">
        <f t="shared" si="13"/>
        <v>699.1</v>
      </c>
      <c r="AX19" s="59">
        <f t="shared" si="13"/>
        <v>670.9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7.8</v>
      </c>
      <c r="C20" s="46">
        <v>7.8</v>
      </c>
      <c r="D20" s="46">
        <v>7.8</v>
      </c>
      <c r="E20" s="46">
        <v>7.8</v>
      </c>
      <c r="F20" s="46">
        <v>7.8</v>
      </c>
      <c r="G20" s="46">
        <v>7.8</v>
      </c>
      <c r="H20" s="46">
        <v>7.8</v>
      </c>
      <c r="I20" s="46">
        <v>7.8</v>
      </c>
      <c r="J20" s="46">
        <v>7.8</v>
      </c>
      <c r="K20" s="46">
        <v>7.8</v>
      </c>
      <c r="L20" s="46">
        <v>7.8</v>
      </c>
      <c r="M20" s="46">
        <v>7.8</v>
      </c>
      <c r="N20" s="46">
        <v>7.8</v>
      </c>
      <c r="O20" s="46">
        <v>7.8</v>
      </c>
      <c r="P20" s="46">
        <v>7.8</v>
      </c>
      <c r="Q20" s="46">
        <v>7.8</v>
      </c>
      <c r="R20" s="46">
        <v>7.8</v>
      </c>
      <c r="S20" s="46">
        <v>7.8</v>
      </c>
      <c r="T20" s="46">
        <v>7.8</v>
      </c>
      <c r="U20" s="46">
        <v>7.8</v>
      </c>
      <c r="V20" s="46">
        <v>7.8</v>
      </c>
      <c r="W20" s="46">
        <v>7.8</v>
      </c>
      <c r="X20" s="46">
        <v>7.8</v>
      </c>
      <c r="Y20" s="46">
        <v>7.8</v>
      </c>
      <c r="Z20" s="46">
        <v>7.8</v>
      </c>
      <c r="AA20" s="46">
        <v>7.8</v>
      </c>
      <c r="AB20" s="46">
        <v>7.8</v>
      </c>
      <c r="AC20" s="46">
        <v>7.8</v>
      </c>
      <c r="AD20" s="46">
        <v>7.8</v>
      </c>
      <c r="AE20" s="46">
        <v>7.8</v>
      </c>
      <c r="AF20" s="46">
        <v>7.8</v>
      </c>
      <c r="AG20" s="50">
        <v>38.46</v>
      </c>
      <c r="AH20" s="48">
        <f t="shared" si="8"/>
        <v>7.8</v>
      </c>
      <c r="AI20" s="49">
        <f t="shared" si="9"/>
        <v>7.8</v>
      </c>
      <c r="AK20" s="51"/>
      <c r="AL20" s="54" t="s">
        <v>33</v>
      </c>
      <c r="AM20" s="59">
        <f>B80</f>
        <v>0</v>
      </c>
      <c r="AN20" s="59">
        <f t="shared" ref="AN20:AR20" si="14">C80</f>
        <v>57.8</v>
      </c>
      <c r="AO20" s="59">
        <f t="shared" si="14"/>
        <v>87.7</v>
      </c>
      <c r="AP20" s="59">
        <f t="shared" si="14"/>
        <v>48.8</v>
      </c>
      <c r="AQ20" s="59">
        <f t="shared" si="14"/>
        <v>48</v>
      </c>
      <c r="AR20" s="59">
        <f t="shared" si="14"/>
        <v>48</v>
      </c>
      <c r="AS20" s="59">
        <f>I80</f>
        <v>59</v>
      </c>
      <c r="AT20" s="59">
        <f>K80</f>
        <v>0</v>
      </c>
      <c r="AU20" s="59">
        <f t="shared" ref="AU20:AX20" si="15">M80</f>
        <v>0</v>
      </c>
      <c r="AV20" s="59">
        <f t="shared" si="15"/>
        <v>0</v>
      </c>
      <c r="AW20" s="59">
        <f t="shared" si="15"/>
        <v>0</v>
      </c>
      <c r="AX20" s="59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11</v>
      </c>
      <c r="C21" s="46">
        <v>11</v>
      </c>
      <c r="D21" s="46">
        <v>11</v>
      </c>
      <c r="E21" s="46">
        <v>11</v>
      </c>
      <c r="F21" s="46">
        <v>11</v>
      </c>
      <c r="G21" s="46">
        <v>11</v>
      </c>
      <c r="H21" s="46">
        <v>11</v>
      </c>
      <c r="I21" s="46">
        <v>11</v>
      </c>
      <c r="J21" s="46">
        <v>11</v>
      </c>
      <c r="K21" s="46">
        <v>11</v>
      </c>
      <c r="L21" s="46">
        <v>11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12</v>
      </c>
      <c r="AC21" s="46">
        <v>11</v>
      </c>
      <c r="AD21" s="46">
        <v>11</v>
      </c>
      <c r="AE21" s="46">
        <v>11</v>
      </c>
      <c r="AF21" s="46">
        <v>11</v>
      </c>
      <c r="AG21" s="50">
        <v>36</v>
      </c>
      <c r="AH21" s="48">
        <f t="shared" si="8"/>
        <v>12</v>
      </c>
      <c r="AI21" s="49">
        <f t="shared" si="9"/>
        <v>0</v>
      </c>
      <c r="AK21" s="51"/>
      <c r="AL21" s="54" t="s">
        <v>35</v>
      </c>
      <c r="AM21" s="59">
        <f>B98</f>
        <v>150</v>
      </c>
      <c r="AN21" s="59">
        <f t="shared" ref="AN21:AR21" si="16">C98</f>
        <v>200</v>
      </c>
      <c r="AO21" s="59">
        <f t="shared" si="16"/>
        <v>200</v>
      </c>
      <c r="AP21" s="59">
        <f t="shared" si="16"/>
        <v>200</v>
      </c>
      <c r="AQ21" s="59">
        <f t="shared" si="16"/>
        <v>200</v>
      </c>
      <c r="AR21" s="59">
        <f t="shared" si="16"/>
        <v>200</v>
      </c>
      <c r="AS21" s="59">
        <f>I98</f>
        <v>200</v>
      </c>
      <c r="AT21" s="59">
        <f>K98</f>
        <v>200</v>
      </c>
      <c r="AU21" s="59">
        <f t="shared" ref="AU21:AX21" si="17">M98</f>
        <v>150</v>
      </c>
      <c r="AV21" s="59">
        <f t="shared" si="17"/>
        <v>50</v>
      </c>
      <c r="AW21" s="59">
        <f t="shared" si="17"/>
        <v>0</v>
      </c>
      <c r="AX21" s="59">
        <f t="shared" si="17"/>
        <v>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15</v>
      </c>
      <c r="C22" s="46">
        <v>15</v>
      </c>
      <c r="D22" s="46">
        <v>15</v>
      </c>
      <c r="E22" s="46">
        <v>15</v>
      </c>
      <c r="F22" s="46">
        <v>15</v>
      </c>
      <c r="G22" s="46">
        <v>15</v>
      </c>
      <c r="H22" s="46">
        <v>15</v>
      </c>
      <c r="I22" s="46">
        <v>15</v>
      </c>
      <c r="J22" s="46">
        <v>15</v>
      </c>
      <c r="K22" s="46">
        <v>15</v>
      </c>
      <c r="L22" s="46">
        <v>15</v>
      </c>
      <c r="M22" s="46">
        <v>9.3000000000000007</v>
      </c>
      <c r="N22" s="46">
        <v>9.3000000000000007</v>
      </c>
      <c r="O22" s="46">
        <v>9.3000000000000007</v>
      </c>
      <c r="P22" s="46">
        <v>9.3000000000000007</v>
      </c>
      <c r="Q22" s="46">
        <v>9.3000000000000007</v>
      </c>
      <c r="R22" s="46">
        <v>9.3000000000000007</v>
      </c>
      <c r="S22" s="46">
        <v>9.3000000000000007</v>
      </c>
      <c r="T22" s="46">
        <v>9.3000000000000007</v>
      </c>
      <c r="U22" s="46">
        <v>9.3000000000000007</v>
      </c>
      <c r="V22" s="46">
        <v>9.3000000000000007</v>
      </c>
      <c r="W22" s="46">
        <v>9.3000000000000007</v>
      </c>
      <c r="X22" s="46">
        <v>9.3000000000000007</v>
      </c>
      <c r="Y22" s="46">
        <v>9.3000000000000007</v>
      </c>
      <c r="Z22" s="46">
        <v>9.3000000000000007</v>
      </c>
      <c r="AA22" s="46">
        <v>9.3000000000000007</v>
      </c>
      <c r="AB22" s="46">
        <v>10.8</v>
      </c>
      <c r="AC22" s="46">
        <v>10.8</v>
      </c>
      <c r="AD22" s="46">
        <v>10.8</v>
      </c>
      <c r="AE22" s="46">
        <v>10.8</v>
      </c>
      <c r="AF22" s="46">
        <v>10.8</v>
      </c>
      <c r="AG22" s="60">
        <v>30</v>
      </c>
      <c r="AH22" s="48">
        <f t="shared" si="8"/>
        <v>15</v>
      </c>
      <c r="AI22" s="49">
        <f t="shared" si="9"/>
        <v>9.3000000000000007</v>
      </c>
      <c r="AK22" s="51"/>
      <c r="AL22" s="61" t="s">
        <v>37</v>
      </c>
      <c r="AM22" s="62">
        <f>SUM(AM16:AM21)</f>
        <v>1277.69</v>
      </c>
      <c r="AN22" s="62">
        <f t="shared" ref="AN22:AX22" si="18">SUM(AN16:AN21)</f>
        <v>1398.79</v>
      </c>
      <c r="AO22" s="62">
        <f t="shared" si="18"/>
        <v>1383.2900000000002</v>
      </c>
      <c r="AP22" s="62">
        <f t="shared" si="18"/>
        <v>1405.09</v>
      </c>
      <c r="AQ22" s="62">
        <f t="shared" si="18"/>
        <v>1365.4900000000002</v>
      </c>
      <c r="AR22" s="62">
        <f t="shared" si="18"/>
        <v>1419.5900000000001</v>
      </c>
      <c r="AS22" s="62">
        <f t="shared" si="18"/>
        <v>1457.5900000000001</v>
      </c>
      <c r="AT22" s="62">
        <f t="shared" si="18"/>
        <v>1575.9900000000002</v>
      </c>
      <c r="AU22" s="62">
        <f t="shared" si="18"/>
        <v>1553.3899999999999</v>
      </c>
      <c r="AV22" s="62">
        <f t="shared" si="18"/>
        <v>1475.89</v>
      </c>
      <c r="AW22" s="62">
        <f t="shared" si="18"/>
        <v>1498.99</v>
      </c>
      <c r="AX22" s="62">
        <f t="shared" si="18"/>
        <v>1427.59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9</v>
      </c>
      <c r="C23" s="46">
        <v>9</v>
      </c>
      <c r="D23" s="46">
        <v>9</v>
      </c>
      <c r="E23" s="46">
        <v>9</v>
      </c>
      <c r="F23" s="46">
        <v>9</v>
      </c>
      <c r="G23" s="46">
        <v>9</v>
      </c>
      <c r="H23" s="46">
        <v>9</v>
      </c>
      <c r="I23" s="46">
        <v>9</v>
      </c>
      <c r="J23" s="46">
        <v>9</v>
      </c>
      <c r="K23" s="46">
        <v>9</v>
      </c>
      <c r="L23" s="46">
        <v>9</v>
      </c>
      <c r="M23" s="46">
        <v>9</v>
      </c>
      <c r="N23" s="46">
        <v>9</v>
      </c>
      <c r="O23" s="46">
        <v>9</v>
      </c>
      <c r="P23" s="46">
        <v>9</v>
      </c>
      <c r="Q23" s="46">
        <v>9</v>
      </c>
      <c r="R23" s="46">
        <v>9</v>
      </c>
      <c r="S23" s="46">
        <v>9</v>
      </c>
      <c r="T23" s="46">
        <v>9</v>
      </c>
      <c r="U23" s="46">
        <v>9</v>
      </c>
      <c r="V23" s="46">
        <v>9</v>
      </c>
      <c r="W23" s="46">
        <v>9</v>
      </c>
      <c r="X23" s="46">
        <v>9</v>
      </c>
      <c r="Y23" s="46">
        <v>9</v>
      </c>
      <c r="Z23" s="46">
        <v>9</v>
      </c>
      <c r="AA23" s="46">
        <v>9</v>
      </c>
      <c r="AB23" s="46">
        <v>9</v>
      </c>
      <c r="AC23" s="46">
        <v>9</v>
      </c>
      <c r="AD23" s="46">
        <v>9</v>
      </c>
      <c r="AE23" s="46">
        <v>9</v>
      </c>
      <c r="AF23" s="46">
        <v>9</v>
      </c>
      <c r="AG23" s="50">
        <v>24.2</v>
      </c>
      <c r="AH23" s="48">
        <f t="shared" si="8"/>
        <v>9</v>
      </c>
      <c r="AI23" s="49">
        <f t="shared" si="9"/>
        <v>9</v>
      </c>
      <c r="AK23" s="51"/>
      <c r="AL23" s="61" t="s">
        <v>39</v>
      </c>
      <c r="AM23" s="62">
        <f>B107*-1</f>
        <v>-1</v>
      </c>
      <c r="AN23" s="62">
        <f t="shared" ref="AN23:AR23" si="19">C107*-1</f>
        <v>0</v>
      </c>
      <c r="AO23" s="62">
        <f t="shared" si="19"/>
        <v>0</v>
      </c>
      <c r="AP23" s="62">
        <f t="shared" si="19"/>
        <v>0</v>
      </c>
      <c r="AQ23" s="62">
        <f t="shared" si="19"/>
        <v>0</v>
      </c>
      <c r="AR23" s="62">
        <f t="shared" si="19"/>
        <v>0</v>
      </c>
      <c r="AS23" s="62">
        <f>I107*-1</f>
        <v>0</v>
      </c>
      <c r="AT23" s="62">
        <f>K107*-1</f>
        <v>0</v>
      </c>
      <c r="AU23" s="62">
        <f t="shared" ref="AU23:AX23" si="20">M107*-1</f>
        <v>0</v>
      </c>
      <c r="AV23" s="62">
        <f t="shared" si="20"/>
        <v>0</v>
      </c>
      <c r="AW23" s="62">
        <f t="shared" si="20"/>
        <v>0</v>
      </c>
      <c r="AX23" s="62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9.5</v>
      </c>
      <c r="C24" s="46">
        <v>9.5</v>
      </c>
      <c r="D24" s="46">
        <v>9.5</v>
      </c>
      <c r="E24" s="46">
        <v>9.5</v>
      </c>
      <c r="F24" s="46">
        <v>9.5</v>
      </c>
      <c r="G24" s="46">
        <v>9.5</v>
      </c>
      <c r="H24" s="46">
        <v>9.5</v>
      </c>
      <c r="I24" s="46">
        <v>9.5</v>
      </c>
      <c r="J24" s="46">
        <v>9.5</v>
      </c>
      <c r="K24" s="46">
        <v>9.5</v>
      </c>
      <c r="L24" s="46">
        <v>9.5</v>
      </c>
      <c r="M24" s="46">
        <v>7.3</v>
      </c>
      <c r="N24" s="46">
        <v>7.3</v>
      </c>
      <c r="O24" s="46">
        <v>7.3</v>
      </c>
      <c r="P24" s="46">
        <v>7.3</v>
      </c>
      <c r="Q24" s="46">
        <v>7.3</v>
      </c>
      <c r="R24" s="46">
        <v>7.3</v>
      </c>
      <c r="S24" s="46">
        <v>7.3</v>
      </c>
      <c r="T24" s="46">
        <v>7.3</v>
      </c>
      <c r="U24" s="46">
        <v>7.3</v>
      </c>
      <c r="V24" s="46">
        <v>7.3</v>
      </c>
      <c r="W24" s="46">
        <v>7.3</v>
      </c>
      <c r="X24" s="46">
        <v>7.3</v>
      </c>
      <c r="Y24" s="46">
        <v>7.3</v>
      </c>
      <c r="Z24" s="46">
        <v>7.3</v>
      </c>
      <c r="AA24" s="46">
        <v>7.3</v>
      </c>
      <c r="AB24" s="46">
        <v>7.3</v>
      </c>
      <c r="AC24" s="46">
        <v>7.3</v>
      </c>
      <c r="AD24" s="46">
        <v>7.3</v>
      </c>
      <c r="AE24" s="46">
        <v>7.3</v>
      </c>
      <c r="AF24" s="46">
        <v>7.3</v>
      </c>
      <c r="AG24" s="50">
        <v>28</v>
      </c>
      <c r="AH24" s="48">
        <f t="shared" si="8"/>
        <v>9.5</v>
      </c>
      <c r="AI24" s="49">
        <f t="shared" si="9"/>
        <v>7.3</v>
      </c>
      <c r="AK24" s="51"/>
      <c r="AL24" s="61" t="s">
        <v>41</v>
      </c>
      <c r="AM24" s="62">
        <f>AM22+AM23</f>
        <v>1276.69</v>
      </c>
      <c r="AN24" s="62">
        <f t="shared" ref="AN24:AX24" si="21">AN22+AN23</f>
        <v>1398.79</v>
      </c>
      <c r="AO24" s="62">
        <f t="shared" si="21"/>
        <v>1383.2900000000002</v>
      </c>
      <c r="AP24" s="62">
        <f t="shared" si="21"/>
        <v>1405.09</v>
      </c>
      <c r="AQ24" s="62">
        <f t="shared" si="21"/>
        <v>1365.4900000000002</v>
      </c>
      <c r="AR24" s="62">
        <f t="shared" si="21"/>
        <v>1419.5900000000001</v>
      </c>
      <c r="AS24" s="62">
        <f t="shared" si="21"/>
        <v>1457.5900000000001</v>
      </c>
      <c r="AT24" s="62">
        <f t="shared" si="21"/>
        <v>1575.9900000000002</v>
      </c>
      <c r="AU24" s="62">
        <f t="shared" si="21"/>
        <v>1553.3899999999999</v>
      </c>
      <c r="AV24" s="62">
        <f t="shared" si="21"/>
        <v>1475.89</v>
      </c>
      <c r="AW24" s="62">
        <f t="shared" si="21"/>
        <v>1498.99</v>
      </c>
      <c r="AX24" s="62">
        <f t="shared" si="21"/>
        <v>1427.59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11.5</v>
      </c>
      <c r="C25" s="46">
        <v>11.5</v>
      </c>
      <c r="D25" s="46">
        <v>11.5</v>
      </c>
      <c r="E25" s="46">
        <v>11.5</v>
      </c>
      <c r="F25" s="46">
        <v>11.5</v>
      </c>
      <c r="G25" s="46">
        <v>11.5</v>
      </c>
      <c r="H25" s="46">
        <v>11.5</v>
      </c>
      <c r="I25" s="46">
        <v>11.5</v>
      </c>
      <c r="J25" s="46">
        <v>11.5</v>
      </c>
      <c r="K25" s="46">
        <v>11.5</v>
      </c>
      <c r="L25" s="46">
        <v>0</v>
      </c>
      <c r="M25" s="46">
        <v>0</v>
      </c>
      <c r="N25" s="46">
        <v>0</v>
      </c>
      <c r="O25" s="46">
        <v>0</v>
      </c>
      <c r="P25" s="46">
        <v>0</v>
      </c>
      <c r="Q25" s="46">
        <v>0</v>
      </c>
      <c r="R25" s="46">
        <v>0</v>
      </c>
      <c r="S25" s="46">
        <v>0</v>
      </c>
      <c r="T25" s="46">
        <v>0</v>
      </c>
      <c r="U25" s="46">
        <v>0</v>
      </c>
      <c r="V25" s="46">
        <v>0</v>
      </c>
      <c r="W25" s="46">
        <v>0</v>
      </c>
      <c r="X25" s="46">
        <v>0</v>
      </c>
      <c r="Y25" s="46">
        <v>0</v>
      </c>
      <c r="Z25" s="46">
        <v>0</v>
      </c>
      <c r="AA25" s="46">
        <v>0</v>
      </c>
      <c r="AB25" s="46">
        <v>0</v>
      </c>
      <c r="AC25" s="46">
        <v>0</v>
      </c>
      <c r="AD25" s="46">
        <v>0</v>
      </c>
      <c r="AE25" s="46">
        <v>0</v>
      </c>
      <c r="AF25" s="46">
        <v>0</v>
      </c>
      <c r="AG25" s="60">
        <v>30</v>
      </c>
      <c r="AH25" s="48">
        <f t="shared" si="8"/>
        <v>11.5</v>
      </c>
      <c r="AI25" s="49">
        <f t="shared" si="9"/>
        <v>0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13</v>
      </c>
      <c r="C26" s="46">
        <v>13</v>
      </c>
      <c r="D26" s="46">
        <v>13</v>
      </c>
      <c r="E26" s="46">
        <v>13</v>
      </c>
      <c r="F26" s="46">
        <v>13</v>
      </c>
      <c r="G26" s="46">
        <v>13</v>
      </c>
      <c r="H26" s="46">
        <v>13</v>
      </c>
      <c r="I26" s="46">
        <v>13</v>
      </c>
      <c r="J26" s="46">
        <v>13</v>
      </c>
      <c r="K26" s="46">
        <v>13</v>
      </c>
      <c r="L26" s="46">
        <v>13</v>
      </c>
      <c r="M26" s="46">
        <v>11.7</v>
      </c>
      <c r="N26" s="46">
        <v>11.7</v>
      </c>
      <c r="O26" s="46">
        <v>11.7</v>
      </c>
      <c r="P26" s="46">
        <v>11.7</v>
      </c>
      <c r="Q26" s="46">
        <v>11.7</v>
      </c>
      <c r="R26" s="46">
        <v>11.7</v>
      </c>
      <c r="S26" s="46">
        <v>11.7</v>
      </c>
      <c r="T26" s="46">
        <v>11.7</v>
      </c>
      <c r="U26" s="46">
        <v>11.7</v>
      </c>
      <c r="V26" s="46">
        <v>11.7</v>
      </c>
      <c r="W26" s="46">
        <v>11.7</v>
      </c>
      <c r="X26" s="46">
        <v>11.7</v>
      </c>
      <c r="Y26" s="46">
        <v>11.7</v>
      </c>
      <c r="Z26" s="46">
        <v>11.7</v>
      </c>
      <c r="AA26" s="46">
        <v>11.7</v>
      </c>
      <c r="AB26" s="46">
        <v>11.7</v>
      </c>
      <c r="AC26" s="46">
        <v>11.7</v>
      </c>
      <c r="AD26" s="46">
        <v>11.7</v>
      </c>
      <c r="AE26" s="46">
        <v>11.7</v>
      </c>
      <c r="AF26" s="46">
        <v>11.7</v>
      </c>
      <c r="AG26" s="50">
        <v>25</v>
      </c>
      <c r="AH26" s="48">
        <f t="shared" si="8"/>
        <v>13</v>
      </c>
      <c r="AI26" s="49">
        <f t="shared" si="9"/>
        <v>11.7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5</v>
      </c>
      <c r="N27" s="46">
        <v>5</v>
      </c>
      <c r="O27" s="46">
        <v>5</v>
      </c>
      <c r="P27" s="46">
        <v>5</v>
      </c>
      <c r="Q27" s="46">
        <v>5</v>
      </c>
      <c r="R27" s="46">
        <v>5</v>
      </c>
      <c r="S27" s="46">
        <v>5</v>
      </c>
      <c r="T27" s="46">
        <v>5</v>
      </c>
      <c r="U27" s="46">
        <v>5</v>
      </c>
      <c r="V27" s="46">
        <v>5</v>
      </c>
      <c r="W27" s="46">
        <v>5</v>
      </c>
      <c r="X27" s="46">
        <v>5</v>
      </c>
      <c r="Y27" s="46">
        <v>5</v>
      </c>
      <c r="Z27" s="46">
        <v>5</v>
      </c>
      <c r="AA27" s="46">
        <v>5</v>
      </c>
      <c r="AB27" s="46">
        <v>5</v>
      </c>
      <c r="AC27" s="46">
        <v>5</v>
      </c>
      <c r="AD27" s="46">
        <v>5</v>
      </c>
      <c r="AE27" s="46">
        <v>5</v>
      </c>
      <c r="AF27" s="46">
        <v>5</v>
      </c>
      <c r="AG27" s="50">
        <v>25</v>
      </c>
      <c r="AH27" s="48">
        <f t="shared" si="8"/>
        <v>5</v>
      </c>
      <c r="AI27" s="49">
        <f t="shared" si="9"/>
        <v>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10</v>
      </c>
      <c r="C28" s="46">
        <v>10</v>
      </c>
      <c r="D28" s="46">
        <v>10</v>
      </c>
      <c r="E28" s="46">
        <v>10</v>
      </c>
      <c r="F28" s="46">
        <v>10</v>
      </c>
      <c r="G28" s="46">
        <v>10</v>
      </c>
      <c r="H28" s="46">
        <v>10</v>
      </c>
      <c r="I28" s="46">
        <v>10</v>
      </c>
      <c r="J28" s="46">
        <v>10</v>
      </c>
      <c r="K28" s="46">
        <v>10</v>
      </c>
      <c r="L28" s="46">
        <v>10</v>
      </c>
      <c r="M28" s="46">
        <v>10</v>
      </c>
      <c r="N28" s="46">
        <v>10</v>
      </c>
      <c r="O28" s="46">
        <v>10</v>
      </c>
      <c r="P28" s="46">
        <v>10</v>
      </c>
      <c r="Q28" s="46">
        <v>10</v>
      </c>
      <c r="R28" s="46">
        <v>10</v>
      </c>
      <c r="S28" s="46">
        <v>10</v>
      </c>
      <c r="T28" s="46">
        <v>10</v>
      </c>
      <c r="U28" s="46">
        <v>10</v>
      </c>
      <c r="V28" s="46">
        <v>10</v>
      </c>
      <c r="W28" s="46">
        <v>10</v>
      </c>
      <c r="X28" s="46">
        <v>10</v>
      </c>
      <c r="Y28" s="46">
        <v>10</v>
      </c>
      <c r="Z28" s="46">
        <v>10</v>
      </c>
      <c r="AA28" s="46">
        <v>10</v>
      </c>
      <c r="AB28" s="46">
        <v>10</v>
      </c>
      <c r="AC28" s="46">
        <v>10</v>
      </c>
      <c r="AD28" s="46">
        <v>10</v>
      </c>
      <c r="AE28" s="46">
        <v>10</v>
      </c>
      <c r="AF28" s="46">
        <v>10</v>
      </c>
      <c r="AG28" s="50">
        <v>25</v>
      </c>
      <c r="AH28" s="48">
        <f t="shared" si="8"/>
        <v>10</v>
      </c>
      <c r="AI28" s="49">
        <f t="shared" si="9"/>
        <v>10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13.7</v>
      </c>
      <c r="C29" s="46">
        <v>13.7</v>
      </c>
      <c r="D29" s="46">
        <v>13.7</v>
      </c>
      <c r="E29" s="46">
        <v>13.7</v>
      </c>
      <c r="F29" s="46">
        <v>13.7</v>
      </c>
      <c r="G29" s="46">
        <v>13.7</v>
      </c>
      <c r="H29" s="46">
        <v>13.7</v>
      </c>
      <c r="I29" s="46">
        <v>13.7</v>
      </c>
      <c r="J29" s="46">
        <v>13.7</v>
      </c>
      <c r="K29" s="46">
        <v>13.7</v>
      </c>
      <c r="L29" s="46">
        <v>13.7</v>
      </c>
      <c r="M29" s="46">
        <v>14.6</v>
      </c>
      <c r="N29" s="46">
        <v>14.6</v>
      </c>
      <c r="O29" s="46">
        <v>14.6</v>
      </c>
      <c r="P29" s="46">
        <v>14.6</v>
      </c>
      <c r="Q29" s="46">
        <v>14.6</v>
      </c>
      <c r="R29" s="46">
        <v>14.6</v>
      </c>
      <c r="S29" s="46">
        <v>14.6</v>
      </c>
      <c r="T29" s="46">
        <v>14.6</v>
      </c>
      <c r="U29" s="46">
        <v>14.6</v>
      </c>
      <c r="V29" s="46">
        <v>14.6</v>
      </c>
      <c r="W29" s="46">
        <v>14.6</v>
      </c>
      <c r="X29" s="46">
        <v>14.6</v>
      </c>
      <c r="Y29" s="46">
        <v>14.6</v>
      </c>
      <c r="Z29" s="46">
        <v>14.6</v>
      </c>
      <c r="AA29" s="46">
        <v>14.6</v>
      </c>
      <c r="AB29" s="46">
        <v>14.6</v>
      </c>
      <c r="AC29" s="46">
        <v>14.6</v>
      </c>
      <c r="AD29" s="46">
        <v>14.6</v>
      </c>
      <c r="AE29" s="46">
        <v>14.6</v>
      </c>
      <c r="AF29" s="46">
        <v>14.6</v>
      </c>
      <c r="AG29" s="50">
        <v>25</v>
      </c>
      <c r="AH29" s="48">
        <f t="shared" si="8"/>
        <v>14.6</v>
      </c>
      <c r="AI29" s="49">
        <f t="shared" si="9"/>
        <v>13.7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10</v>
      </c>
      <c r="C30" s="46">
        <v>10</v>
      </c>
      <c r="D30" s="46">
        <v>10</v>
      </c>
      <c r="E30" s="46">
        <v>10</v>
      </c>
      <c r="F30" s="46">
        <v>10</v>
      </c>
      <c r="G30" s="46">
        <v>10</v>
      </c>
      <c r="H30" s="46">
        <v>10</v>
      </c>
      <c r="I30" s="46">
        <v>10</v>
      </c>
      <c r="J30" s="46">
        <v>10</v>
      </c>
      <c r="K30" s="46">
        <v>10</v>
      </c>
      <c r="L30" s="46">
        <v>10</v>
      </c>
      <c r="M30" s="46">
        <v>7.1</v>
      </c>
      <c r="N30" s="46">
        <v>7.1</v>
      </c>
      <c r="O30" s="46">
        <v>7.1</v>
      </c>
      <c r="P30" s="46">
        <v>7.1</v>
      </c>
      <c r="Q30" s="46">
        <v>7.1</v>
      </c>
      <c r="R30" s="46">
        <v>7.1</v>
      </c>
      <c r="S30" s="46">
        <v>7.1</v>
      </c>
      <c r="T30" s="46">
        <v>7.1</v>
      </c>
      <c r="U30" s="46">
        <v>7.1</v>
      </c>
      <c r="V30" s="46">
        <v>7.1</v>
      </c>
      <c r="W30" s="46">
        <v>7.1</v>
      </c>
      <c r="X30" s="46">
        <v>7.1</v>
      </c>
      <c r="Y30" s="46">
        <v>7.1</v>
      </c>
      <c r="Z30" s="46">
        <v>7.1</v>
      </c>
      <c r="AA30" s="46">
        <v>7.1</v>
      </c>
      <c r="AB30" s="46">
        <v>7.1</v>
      </c>
      <c r="AC30" s="46">
        <v>7.1</v>
      </c>
      <c r="AD30" s="46">
        <v>7.1</v>
      </c>
      <c r="AE30" s="46">
        <v>7.1</v>
      </c>
      <c r="AF30" s="46">
        <v>7.1</v>
      </c>
      <c r="AG30" s="50">
        <v>23.5</v>
      </c>
      <c r="AH30" s="48">
        <f t="shared" si="8"/>
        <v>10</v>
      </c>
      <c r="AI30" s="49">
        <f t="shared" si="9"/>
        <v>7.1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>
        <v>3</v>
      </c>
      <c r="V31" s="46">
        <v>3</v>
      </c>
      <c r="W31" s="46">
        <v>3</v>
      </c>
      <c r="X31" s="46">
        <v>3</v>
      </c>
      <c r="Y31" s="46">
        <v>3</v>
      </c>
      <c r="Z31" s="46">
        <v>3</v>
      </c>
      <c r="AA31" s="46">
        <v>3</v>
      </c>
      <c r="AB31" s="46">
        <v>3</v>
      </c>
      <c r="AC31" s="46">
        <v>3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8"/>
        <v>3</v>
      </c>
      <c r="AI31" s="49">
        <f t="shared" si="9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5.5</v>
      </c>
      <c r="Q32" s="46">
        <v>5.5</v>
      </c>
      <c r="R32" s="46">
        <v>5.5</v>
      </c>
      <c r="S32" s="46">
        <v>5.5</v>
      </c>
      <c r="T32" s="46">
        <v>5.5</v>
      </c>
      <c r="U32" s="46">
        <v>5.5</v>
      </c>
      <c r="V32" s="46">
        <v>5.5</v>
      </c>
      <c r="W32" s="46">
        <v>5.5</v>
      </c>
      <c r="X32" s="46">
        <v>5.5</v>
      </c>
      <c r="Y32" s="46">
        <v>5.5</v>
      </c>
      <c r="Z32" s="46">
        <v>5.5</v>
      </c>
      <c r="AA32" s="46">
        <v>5.5</v>
      </c>
      <c r="AB32" s="46">
        <v>5.5</v>
      </c>
      <c r="AC32" s="46">
        <v>5.5</v>
      </c>
      <c r="AD32" s="46">
        <v>5.5</v>
      </c>
      <c r="AE32" s="46">
        <v>5.5</v>
      </c>
      <c r="AF32" s="46">
        <v>5.5</v>
      </c>
      <c r="AG32" s="50">
        <v>22.1</v>
      </c>
      <c r="AH32" s="48">
        <f t="shared" si="8"/>
        <v>5.5</v>
      </c>
      <c r="AI32" s="49">
        <f t="shared" si="9"/>
        <v>5.5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8</v>
      </c>
      <c r="C33" s="46">
        <v>8</v>
      </c>
      <c r="D33" s="46">
        <v>8</v>
      </c>
      <c r="E33" s="46">
        <v>8</v>
      </c>
      <c r="F33" s="46">
        <v>8</v>
      </c>
      <c r="G33" s="46">
        <v>8</v>
      </c>
      <c r="H33" s="46">
        <v>8</v>
      </c>
      <c r="I33" s="46">
        <v>8</v>
      </c>
      <c r="J33" s="46">
        <v>8</v>
      </c>
      <c r="K33" s="46">
        <v>8</v>
      </c>
      <c r="L33" s="46">
        <v>8</v>
      </c>
      <c r="M33" s="46">
        <v>5</v>
      </c>
      <c r="N33" s="46">
        <v>5</v>
      </c>
      <c r="O33" s="46">
        <v>5</v>
      </c>
      <c r="P33" s="46">
        <v>5</v>
      </c>
      <c r="Q33" s="46">
        <v>5</v>
      </c>
      <c r="R33" s="46">
        <v>5</v>
      </c>
      <c r="S33" s="46">
        <v>5</v>
      </c>
      <c r="T33" s="46">
        <v>5</v>
      </c>
      <c r="U33" s="46">
        <v>5</v>
      </c>
      <c r="V33" s="46">
        <v>5</v>
      </c>
      <c r="W33" s="46">
        <v>5</v>
      </c>
      <c r="X33" s="46">
        <v>5</v>
      </c>
      <c r="Y33" s="46">
        <v>5</v>
      </c>
      <c r="Z33" s="46">
        <v>5</v>
      </c>
      <c r="AA33" s="46">
        <v>5</v>
      </c>
      <c r="AB33" s="46">
        <v>5</v>
      </c>
      <c r="AC33" s="46">
        <v>5</v>
      </c>
      <c r="AD33" s="46">
        <v>5</v>
      </c>
      <c r="AE33" s="46">
        <v>5</v>
      </c>
      <c r="AF33" s="46">
        <v>5</v>
      </c>
      <c r="AG33" s="50">
        <v>22</v>
      </c>
      <c r="AH33" s="48">
        <f t="shared" si="8"/>
        <v>8</v>
      </c>
      <c r="AI33" s="49">
        <f t="shared" si="9"/>
        <v>5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12</v>
      </c>
      <c r="C34" s="46">
        <v>12</v>
      </c>
      <c r="D34" s="46">
        <v>12</v>
      </c>
      <c r="E34" s="46">
        <v>12</v>
      </c>
      <c r="F34" s="46">
        <v>12</v>
      </c>
      <c r="G34" s="46">
        <v>12</v>
      </c>
      <c r="H34" s="46">
        <v>12</v>
      </c>
      <c r="I34" s="46">
        <v>12</v>
      </c>
      <c r="J34" s="46">
        <v>12</v>
      </c>
      <c r="K34" s="46">
        <v>12</v>
      </c>
      <c r="L34" s="46">
        <v>12</v>
      </c>
      <c r="M34" s="46">
        <v>11.8</v>
      </c>
      <c r="N34" s="46">
        <v>11.8</v>
      </c>
      <c r="O34" s="46">
        <v>11.8</v>
      </c>
      <c r="P34" s="46">
        <v>11.8</v>
      </c>
      <c r="Q34" s="46">
        <v>11.8</v>
      </c>
      <c r="R34" s="46">
        <v>11.8</v>
      </c>
      <c r="S34" s="46">
        <v>11.8</v>
      </c>
      <c r="T34" s="46">
        <v>11.8</v>
      </c>
      <c r="U34" s="46">
        <v>11.8</v>
      </c>
      <c r="V34" s="46">
        <v>11.8</v>
      </c>
      <c r="W34" s="46">
        <v>11.8</v>
      </c>
      <c r="X34" s="46">
        <v>11.8</v>
      </c>
      <c r="Y34" s="46">
        <v>11.8</v>
      </c>
      <c r="Z34" s="46">
        <v>11.8</v>
      </c>
      <c r="AA34" s="46">
        <v>11.8</v>
      </c>
      <c r="AB34" s="46">
        <v>11.8</v>
      </c>
      <c r="AC34" s="46">
        <v>11.8</v>
      </c>
      <c r="AD34" s="46">
        <v>11.8</v>
      </c>
      <c r="AE34" s="46">
        <v>11.8</v>
      </c>
      <c r="AF34" s="46">
        <v>11.8</v>
      </c>
      <c r="AG34" s="50">
        <v>22</v>
      </c>
      <c r="AH34" s="48">
        <f t="shared" si="8"/>
        <v>12</v>
      </c>
      <c r="AI34" s="49">
        <f t="shared" si="9"/>
        <v>11.8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8"/>
        <v>4</v>
      </c>
      <c r="AI35" s="49">
        <f t="shared" si="9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>
        <v>4</v>
      </c>
      <c r="V36" s="46">
        <v>4</v>
      </c>
      <c r="W36" s="46">
        <v>4</v>
      </c>
      <c r="X36" s="46">
        <v>4</v>
      </c>
      <c r="Y36" s="46">
        <v>4</v>
      </c>
      <c r="Z36" s="46">
        <v>4</v>
      </c>
      <c r="AA36" s="46">
        <v>4</v>
      </c>
      <c r="AB36" s="46">
        <v>4</v>
      </c>
      <c r="AC36" s="46">
        <v>4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8"/>
        <v>4</v>
      </c>
      <c r="AI36" s="49">
        <f t="shared" si="9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>
        <v>5.7</v>
      </c>
      <c r="V37" s="46">
        <v>5.7</v>
      </c>
      <c r="W37" s="46">
        <v>5.7</v>
      </c>
      <c r="X37" s="46">
        <v>5.7</v>
      </c>
      <c r="Y37" s="46">
        <v>5.7</v>
      </c>
      <c r="Z37" s="46">
        <v>5.7</v>
      </c>
      <c r="AA37" s="46">
        <v>5.7</v>
      </c>
      <c r="AB37" s="46">
        <v>5.7</v>
      </c>
      <c r="AC37" s="46">
        <v>5.7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8"/>
        <v>5.7</v>
      </c>
      <c r="AI37" s="49">
        <f t="shared" si="9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7.2</v>
      </c>
      <c r="Q38" s="46">
        <v>7.2</v>
      </c>
      <c r="R38" s="46">
        <v>7.2</v>
      </c>
      <c r="S38" s="46">
        <v>7.2</v>
      </c>
      <c r="T38" s="46">
        <v>7.2</v>
      </c>
      <c r="U38" s="46">
        <v>7.2</v>
      </c>
      <c r="V38" s="46">
        <v>7.2</v>
      </c>
      <c r="W38" s="46">
        <v>7.2</v>
      </c>
      <c r="X38" s="46">
        <v>7.2</v>
      </c>
      <c r="Y38" s="46">
        <v>7.2</v>
      </c>
      <c r="Z38" s="46">
        <v>7.2</v>
      </c>
      <c r="AA38" s="46">
        <v>7.2</v>
      </c>
      <c r="AB38" s="46">
        <v>7.2</v>
      </c>
      <c r="AC38" s="46">
        <v>7.2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8"/>
        <v>7.2</v>
      </c>
      <c r="AI38" s="49">
        <f t="shared" si="9"/>
        <v>7.2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8</v>
      </c>
      <c r="C40" s="46">
        <v>8</v>
      </c>
      <c r="D40" s="46">
        <v>8</v>
      </c>
      <c r="E40" s="46">
        <v>8</v>
      </c>
      <c r="F40" s="46">
        <v>8</v>
      </c>
      <c r="G40" s="46">
        <v>8</v>
      </c>
      <c r="H40" s="46">
        <v>8</v>
      </c>
      <c r="I40" s="46">
        <v>8</v>
      </c>
      <c r="J40" s="46">
        <v>8</v>
      </c>
      <c r="K40" s="46">
        <v>8</v>
      </c>
      <c r="L40" s="46">
        <v>8</v>
      </c>
      <c r="M40" s="46">
        <v>8</v>
      </c>
      <c r="N40" s="46">
        <v>8</v>
      </c>
      <c r="O40" s="46">
        <v>8</v>
      </c>
      <c r="P40" s="46">
        <v>8</v>
      </c>
      <c r="Q40" s="46">
        <v>8</v>
      </c>
      <c r="R40" s="46">
        <v>8</v>
      </c>
      <c r="S40" s="46">
        <v>8</v>
      </c>
      <c r="T40" s="46">
        <v>8</v>
      </c>
      <c r="U40" s="46">
        <v>8</v>
      </c>
      <c r="V40" s="46">
        <v>8</v>
      </c>
      <c r="W40" s="46">
        <v>8</v>
      </c>
      <c r="X40" s="46">
        <v>8</v>
      </c>
      <c r="Y40" s="46">
        <v>8</v>
      </c>
      <c r="Z40" s="46">
        <v>8</v>
      </c>
      <c r="AA40" s="46">
        <v>8</v>
      </c>
      <c r="AB40" s="46">
        <v>8</v>
      </c>
      <c r="AC40" s="46">
        <v>8</v>
      </c>
      <c r="AD40" s="46">
        <v>8</v>
      </c>
      <c r="AE40" s="46">
        <v>8</v>
      </c>
      <c r="AF40" s="46">
        <v>8</v>
      </c>
      <c r="AG40" s="50">
        <v>14.9</v>
      </c>
      <c r="AH40" s="48">
        <f t="shared" si="8"/>
        <v>8</v>
      </c>
      <c r="AI40" s="49">
        <f t="shared" si="9"/>
        <v>8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8"/>
        <v>4</v>
      </c>
      <c r="AI41" s="49">
        <f t="shared" si="9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>
        <v>1.8</v>
      </c>
      <c r="V42" s="46">
        <v>1.8</v>
      </c>
      <c r="W42" s="46">
        <v>1.8</v>
      </c>
      <c r="X42" s="46">
        <v>1.8</v>
      </c>
      <c r="Y42" s="46">
        <v>1.8</v>
      </c>
      <c r="Z42" s="46">
        <v>1.8</v>
      </c>
      <c r="AA42" s="46">
        <v>1.8</v>
      </c>
      <c r="AB42" s="46">
        <v>1.8</v>
      </c>
      <c r="AC42" s="46">
        <v>1.8</v>
      </c>
      <c r="AD42" s="46">
        <v>1.8</v>
      </c>
      <c r="AE42" s="46">
        <v>1.8</v>
      </c>
      <c r="AF42" s="46">
        <v>1.8</v>
      </c>
      <c r="AG42" s="50">
        <v>13.6</v>
      </c>
      <c r="AH42" s="48">
        <f t="shared" si="8"/>
        <v>1.8</v>
      </c>
      <c r="AI42" s="49">
        <f t="shared" si="9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>
        <v>3.8</v>
      </c>
      <c r="V43" s="46">
        <v>3.8</v>
      </c>
      <c r="W43" s="46">
        <v>3.8</v>
      </c>
      <c r="X43" s="46">
        <v>3.8</v>
      </c>
      <c r="Y43" s="46">
        <v>3.8</v>
      </c>
      <c r="Z43" s="46">
        <v>3.8</v>
      </c>
      <c r="AA43" s="46">
        <v>3.8</v>
      </c>
      <c r="AB43" s="46">
        <v>3.8</v>
      </c>
      <c r="AC43" s="46">
        <v>3.8</v>
      </c>
      <c r="AD43" s="46">
        <v>3.8</v>
      </c>
      <c r="AE43" s="46">
        <v>3.8</v>
      </c>
      <c r="AF43" s="46">
        <v>3.8</v>
      </c>
      <c r="AG43" s="50">
        <v>13</v>
      </c>
      <c r="AH43" s="48">
        <f t="shared" si="8"/>
        <v>3.8</v>
      </c>
      <c r="AI43" s="49">
        <f t="shared" si="9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0</v>
      </c>
      <c r="C44" s="46">
        <v>0</v>
      </c>
      <c r="D44" s="46">
        <v>0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v>0</v>
      </c>
      <c r="O44" s="46">
        <v>0</v>
      </c>
      <c r="P44" s="46">
        <v>0</v>
      </c>
      <c r="Q44" s="46">
        <v>0</v>
      </c>
      <c r="R44" s="46">
        <v>0</v>
      </c>
      <c r="S44" s="46">
        <v>0</v>
      </c>
      <c r="T44" s="46">
        <v>0</v>
      </c>
      <c r="U44" s="46">
        <v>0</v>
      </c>
      <c r="V44" s="46">
        <v>0</v>
      </c>
      <c r="W44" s="46">
        <v>0</v>
      </c>
      <c r="X44" s="46">
        <v>0</v>
      </c>
      <c r="Y44" s="46">
        <v>0</v>
      </c>
      <c r="Z44" s="46">
        <v>0</v>
      </c>
      <c r="AA44" s="46">
        <v>0</v>
      </c>
      <c r="AB44" s="46">
        <v>6.4</v>
      </c>
      <c r="AC44" s="46">
        <v>6.4</v>
      </c>
      <c r="AD44" s="46">
        <v>6.4</v>
      </c>
      <c r="AE44" s="46">
        <v>6.4</v>
      </c>
      <c r="AF44" s="46">
        <v>6.4</v>
      </c>
      <c r="AG44" s="50">
        <v>12</v>
      </c>
      <c r="AH44" s="48">
        <f t="shared" si="8"/>
        <v>6.4</v>
      </c>
      <c r="AI44" s="49">
        <f t="shared" si="9"/>
        <v>0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>
        <v>9</v>
      </c>
      <c r="V45" s="46">
        <v>9</v>
      </c>
      <c r="W45" s="46">
        <v>9</v>
      </c>
      <c r="X45" s="46">
        <v>9</v>
      </c>
      <c r="Y45" s="46">
        <v>9</v>
      </c>
      <c r="Z45" s="46">
        <v>9</v>
      </c>
      <c r="AA45" s="46">
        <v>9</v>
      </c>
      <c r="AB45" s="46">
        <v>9</v>
      </c>
      <c r="AC45" s="46">
        <v>9</v>
      </c>
      <c r="AD45" s="46">
        <v>9</v>
      </c>
      <c r="AE45" s="46">
        <v>9</v>
      </c>
      <c r="AF45" s="46">
        <v>9</v>
      </c>
      <c r="AG45" s="50">
        <v>12</v>
      </c>
      <c r="AH45" s="48">
        <f t="shared" si="8"/>
        <v>9</v>
      </c>
      <c r="AI45" s="49">
        <f t="shared" si="9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>
        <v>3.5</v>
      </c>
      <c r="V47" s="46">
        <v>3.5</v>
      </c>
      <c r="W47" s="46">
        <v>3.5</v>
      </c>
      <c r="X47" s="46">
        <v>3.5</v>
      </c>
      <c r="Y47" s="46">
        <v>3.5</v>
      </c>
      <c r="Z47" s="46">
        <v>3.5</v>
      </c>
      <c r="AA47" s="46">
        <v>3.5</v>
      </c>
      <c r="AB47" s="46">
        <v>3.5</v>
      </c>
      <c r="AC47" s="46">
        <v>3.5</v>
      </c>
      <c r="AD47" s="46">
        <v>3.5</v>
      </c>
      <c r="AE47" s="46">
        <v>3.5</v>
      </c>
      <c r="AF47" s="46">
        <v>3.5</v>
      </c>
      <c r="AG47" s="63">
        <v>22</v>
      </c>
      <c r="AH47" s="48">
        <f t="shared" si="8"/>
        <v>3.5</v>
      </c>
      <c r="AI47" s="49">
        <f t="shared" si="9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>
        <v>5</v>
      </c>
      <c r="V48" s="46">
        <v>5</v>
      </c>
      <c r="W48" s="46">
        <v>5</v>
      </c>
      <c r="X48" s="46">
        <v>5</v>
      </c>
      <c r="Y48" s="46">
        <v>5</v>
      </c>
      <c r="Z48" s="46">
        <v>5</v>
      </c>
      <c r="AA48" s="46">
        <v>5</v>
      </c>
      <c r="AB48" s="46">
        <v>5</v>
      </c>
      <c r="AC48" s="46">
        <v>5</v>
      </c>
      <c r="AD48" s="46">
        <v>5</v>
      </c>
      <c r="AE48" s="46">
        <v>5</v>
      </c>
      <c r="AF48" s="46">
        <v>5</v>
      </c>
      <c r="AG48" s="60">
        <v>11.88</v>
      </c>
      <c r="AH48" s="48">
        <f t="shared" si="8"/>
        <v>5</v>
      </c>
      <c r="AI48" s="49">
        <f t="shared" si="9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5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4" t="s">
        <v>67</v>
      </c>
      <c r="B50" s="46">
        <v>2.4500000000000002</v>
      </c>
      <c r="C50" s="46">
        <v>2.4500000000000002</v>
      </c>
      <c r="D50" s="46">
        <v>2.4500000000000002</v>
      </c>
      <c r="E50" s="46">
        <v>2.4500000000000002</v>
      </c>
      <c r="F50" s="46">
        <v>2.4500000000000002</v>
      </c>
      <c r="G50" s="46">
        <v>2.4500000000000002</v>
      </c>
      <c r="H50" s="46">
        <v>2.4500000000000002</v>
      </c>
      <c r="I50" s="46">
        <v>2.4500000000000002</v>
      </c>
      <c r="J50" s="46">
        <v>2.4500000000000002</v>
      </c>
      <c r="K50" s="46">
        <v>2.4500000000000002</v>
      </c>
      <c r="L50" s="46">
        <v>2.4500000000000002</v>
      </c>
      <c r="M50" s="46">
        <v>2.4500000000000002</v>
      </c>
      <c r="N50" s="46">
        <v>2.4500000000000002</v>
      </c>
      <c r="O50" s="46">
        <v>2.4500000000000002</v>
      </c>
      <c r="P50" s="46">
        <v>2.4500000000000002</v>
      </c>
      <c r="Q50" s="46">
        <v>2.4500000000000002</v>
      </c>
      <c r="R50" s="46">
        <v>2.4500000000000002</v>
      </c>
      <c r="S50" s="46">
        <v>2.4500000000000002</v>
      </c>
      <c r="T50" s="46">
        <v>2.4500000000000002</v>
      </c>
      <c r="U50" s="46">
        <v>2.4500000000000002</v>
      </c>
      <c r="V50" s="46">
        <v>2.4500000000000002</v>
      </c>
      <c r="W50" s="46">
        <v>2.4500000000000002</v>
      </c>
      <c r="X50" s="46">
        <v>2.4500000000000002</v>
      </c>
      <c r="Y50" s="46">
        <v>2.4500000000000002</v>
      </c>
      <c r="Z50" s="46">
        <v>2.4500000000000002</v>
      </c>
      <c r="AA50" s="46">
        <v>2.4500000000000002</v>
      </c>
      <c r="AB50" s="46">
        <v>2.4500000000000002</v>
      </c>
      <c r="AC50" s="46">
        <v>2.4500000000000002</v>
      </c>
      <c r="AD50" s="46">
        <v>2.4500000000000002</v>
      </c>
      <c r="AE50" s="46">
        <v>2.4500000000000002</v>
      </c>
      <c r="AF50" s="46">
        <v>2.4500000000000002</v>
      </c>
      <c r="AG50" s="65">
        <v>11</v>
      </c>
      <c r="AH50" s="48">
        <f t="shared" si="8"/>
        <v>2.4500000000000002</v>
      </c>
      <c r="AI50" s="49">
        <f t="shared" si="9"/>
        <v>2.4500000000000002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65">
        <v>11</v>
      </c>
      <c r="AH51" s="48">
        <f t="shared" si="8"/>
        <v>3</v>
      </c>
      <c r="AI51" s="49">
        <f t="shared" si="9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5">
        <v>10</v>
      </c>
      <c r="AH52" s="48">
        <f t="shared" si="8"/>
        <v>4</v>
      </c>
      <c r="AI52" s="49">
        <f t="shared" si="9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>
        <v>4.5</v>
      </c>
      <c r="V53" s="46">
        <v>4.5</v>
      </c>
      <c r="W53" s="46">
        <v>4.5</v>
      </c>
      <c r="X53" s="46">
        <v>4.5</v>
      </c>
      <c r="Y53" s="46">
        <v>4.5</v>
      </c>
      <c r="Z53" s="46">
        <v>4.5</v>
      </c>
      <c r="AA53" s="46">
        <v>4.5</v>
      </c>
      <c r="AB53" s="46">
        <v>4.5</v>
      </c>
      <c r="AC53" s="46">
        <v>4.5</v>
      </c>
      <c r="AD53" s="46">
        <v>4.5</v>
      </c>
      <c r="AE53" s="46">
        <v>4.5</v>
      </c>
      <c r="AF53" s="46">
        <v>4.5</v>
      </c>
      <c r="AG53" s="65">
        <v>10</v>
      </c>
      <c r="AH53" s="48">
        <f t="shared" si="8"/>
        <v>4.5</v>
      </c>
      <c r="AI53" s="49">
        <f t="shared" si="9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5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5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>
        <v>150</v>
      </c>
      <c r="W56" s="67">
        <v>150</v>
      </c>
      <c r="X56" s="67">
        <v>150</v>
      </c>
      <c r="Y56" s="67">
        <v>150</v>
      </c>
      <c r="Z56" s="67">
        <v>150</v>
      </c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8" t="s">
        <v>74</v>
      </c>
      <c r="B57" s="67">
        <v>42</v>
      </c>
      <c r="C57" s="67">
        <v>42</v>
      </c>
      <c r="D57" s="67">
        <v>42</v>
      </c>
      <c r="E57" s="67">
        <v>30.8</v>
      </c>
      <c r="F57" s="67">
        <v>44</v>
      </c>
      <c r="G57" s="67">
        <v>44</v>
      </c>
      <c r="H57" s="67">
        <v>41.4</v>
      </c>
      <c r="I57" s="67">
        <v>41.4</v>
      </c>
      <c r="J57" s="67">
        <v>48</v>
      </c>
      <c r="K57" s="67">
        <v>48</v>
      </c>
      <c r="L57" s="67">
        <v>48</v>
      </c>
      <c r="M57" s="67">
        <v>49</v>
      </c>
      <c r="N57" s="67">
        <v>49</v>
      </c>
      <c r="O57" s="67">
        <v>49</v>
      </c>
      <c r="P57" s="67">
        <v>44.6</v>
      </c>
      <c r="Q57" s="67">
        <v>44.6</v>
      </c>
      <c r="R57" s="67">
        <v>52.5</v>
      </c>
      <c r="S57" s="53">
        <f>17.3+29.6</f>
        <v>46.900000000000006</v>
      </c>
      <c r="T57" s="53">
        <f t="shared" ref="T57:V57" si="22">17.3+29.6</f>
        <v>46.900000000000006</v>
      </c>
      <c r="U57" s="53">
        <f t="shared" si="22"/>
        <v>46.900000000000006</v>
      </c>
      <c r="V57" s="53">
        <f t="shared" si="22"/>
        <v>46.900000000000006</v>
      </c>
      <c r="W57" s="53">
        <f>15+26</f>
        <v>41</v>
      </c>
      <c r="X57" s="53">
        <f>15+26</f>
        <v>41</v>
      </c>
      <c r="Y57" s="53">
        <f>15+26</f>
        <v>41</v>
      </c>
      <c r="Z57" s="67">
        <v>41</v>
      </c>
      <c r="AA57" s="67">
        <v>41</v>
      </c>
      <c r="AB57" s="67">
        <f>15.5+25.6</f>
        <v>41.1</v>
      </c>
      <c r="AC57" s="67">
        <f t="shared" ref="AC57:AF57" si="23">15.5+25.6</f>
        <v>41.1</v>
      </c>
      <c r="AD57" s="67">
        <f t="shared" si="23"/>
        <v>41.1</v>
      </c>
      <c r="AE57" s="67">
        <f t="shared" si="23"/>
        <v>41.1</v>
      </c>
      <c r="AF57" s="67">
        <f t="shared" si="23"/>
        <v>41.1</v>
      </c>
      <c r="AG57" s="65">
        <v>240</v>
      </c>
      <c r="AH57" s="48">
        <f t="shared" si="8"/>
        <v>52.5</v>
      </c>
      <c r="AI57" s="49">
        <f t="shared" si="9"/>
        <v>30.8</v>
      </c>
      <c r="AK57" s="51"/>
    </row>
    <row r="58" spans="1:88" ht="15.75" thickBot="1" x14ac:dyDescent="0.3">
      <c r="A58" s="69" t="s">
        <v>75</v>
      </c>
      <c r="B58" s="70">
        <f t="shared" ref="B58" si="24">SUM(B11:B56)</f>
        <v>556.95000000000005</v>
      </c>
      <c r="C58" s="70">
        <f t="shared" ref="C58:AF58" si="25">SUM(C11:C56)</f>
        <v>556.95000000000005</v>
      </c>
      <c r="D58" s="70">
        <f t="shared" si="25"/>
        <v>556.95000000000005</v>
      </c>
      <c r="E58" s="70">
        <f t="shared" si="25"/>
        <v>556.95000000000005</v>
      </c>
      <c r="F58" s="70">
        <f t="shared" si="25"/>
        <v>556.95000000000005</v>
      </c>
      <c r="G58" s="70">
        <f t="shared" si="25"/>
        <v>556.95000000000005</v>
      </c>
      <c r="H58" s="70">
        <f t="shared" si="25"/>
        <v>556.95000000000005</v>
      </c>
      <c r="I58" s="70">
        <f t="shared" si="25"/>
        <v>556.95000000000005</v>
      </c>
      <c r="J58" s="70">
        <f t="shared" si="25"/>
        <v>556.95000000000005</v>
      </c>
      <c r="K58" s="70">
        <f t="shared" si="25"/>
        <v>556.95000000000005</v>
      </c>
      <c r="L58" s="70">
        <f t="shared" si="25"/>
        <v>545.45000000000005</v>
      </c>
      <c r="M58" s="70">
        <f t="shared" si="25"/>
        <v>503.65</v>
      </c>
      <c r="N58" s="70">
        <f t="shared" ref="N58:O58" si="26">SUM(N11:N56)</f>
        <v>503.65</v>
      </c>
      <c r="O58" s="70">
        <f t="shared" si="26"/>
        <v>503.65</v>
      </c>
      <c r="P58" s="70">
        <f t="shared" ref="P58:Q58" si="27">SUM(P11:P56)</f>
        <v>503.65</v>
      </c>
      <c r="Q58" s="70">
        <f t="shared" si="27"/>
        <v>503.65</v>
      </c>
      <c r="R58" s="70">
        <f t="shared" ref="R58" si="28">SUM(R11:R56)</f>
        <v>503.65</v>
      </c>
      <c r="S58" s="70">
        <f t="shared" si="25"/>
        <v>503.65</v>
      </c>
      <c r="T58" s="70">
        <f t="shared" si="25"/>
        <v>503.65</v>
      </c>
      <c r="U58" s="70">
        <f t="shared" si="25"/>
        <v>503.65</v>
      </c>
      <c r="V58" s="70">
        <f t="shared" si="25"/>
        <v>503.65</v>
      </c>
      <c r="W58" s="70">
        <f t="shared" si="25"/>
        <v>503.65</v>
      </c>
      <c r="X58" s="70">
        <f t="shared" si="25"/>
        <v>503.65</v>
      </c>
      <c r="Y58" s="70">
        <f t="shared" si="25"/>
        <v>503.65</v>
      </c>
      <c r="Z58" s="70">
        <f t="shared" si="25"/>
        <v>503.65</v>
      </c>
      <c r="AA58" s="70">
        <f t="shared" si="25"/>
        <v>503.65</v>
      </c>
      <c r="AB58" s="70">
        <f t="shared" si="25"/>
        <v>520.95000000000005</v>
      </c>
      <c r="AC58" s="70">
        <f t="shared" si="25"/>
        <v>519.95000000000005</v>
      </c>
      <c r="AD58" s="70">
        <f t="shared" si="25"/>
        <v>519.95000000000005</v>
      </c>
      <c r="AE58" s="70">
        <f t="shared" si="25"/>
        <v>519.95000000000005</v>
      </c>
      <c r="AF58" s="70">
        <f t="shared" si="25"/>
        <v>519.95000000000005</v>
      </c>
      <c r="AG58" s="71">
        <f>SUM(AG14:AG56)</f>
        <v>1042.4000000000001</v>
      </c>
      <c r="AH58" s="48">
        <f t="shared" si="8"/>
        <v>556.95000000000005</v>
      </c>
      <c r="AI58" s="49">
        <f t="shared" si="9"/>
        <v>503.65</v>
      </c>
      <c r="AK58" s="51"/>
    </row>
    <row r="59" spans="1:88" x14ac:dyDescent="0.25">
      <c r="A59" s="72" t="s">
        <v>76</v>
      </c>
      <c r="B59" s="46">
        <v>100</v>
      </c>
      <c r="C59" s="46">
        <v>40</v>
      </c>
      <c r="D59" s="46">
        <v>76</v>
      </c>
      <c r="E59" s="46">
        <v>20.100000000000001</v>
      </c>
      <c r="F59" s="46">
        <v>20.100000000000001</v>
      </c>
      <c r="G59" s="46">
        <v>20.100000000000001</v>
      </c>
      <c r="H59" s="46">
        <v>30.2</v>
      </c>
      <c r="I59" s="46">
        <v>70</v>
      </c>
      <c r="J59" s="46">
        <v>15</v>
      </c>
      <c r="K59" s="46">
        <v>0</v>
      </c>
      <c r="L59" s="46">
        <v>0</v>
      </c>
      <c r="M59" s="46">
        <v>0</v>
      </c>
      <c r="N59" s="46">
        <v>15</v>
      </c>
      <c r="O59" s="46">
        <v>15</v>
      </c>
      <c r="P59" s="46">
        <v>0</v>
      </c>
      <c r="Q59" s="46">
        <v>0</v>
      </c>
      <c r="R59" s="46">
        <v>0</v>
      </c>
      <c r="S59" s="73">
        <v>0</v>
      </c>
      <c r="T59" s="73">
        <v>0</v>
      </c>
      <c r="U59" s="73">
        <v>0</v>
      </c>
      <c r="V59" s="73">
        <v>0</v>
      </c>
      <c r="W59" s="46">
        <v>74</v>
      </c>
      <c r="X59" s="46">
        <v>74</v>
      </c>
      <c r="Y59" s="46">
        <v>378</v>
      </c>
      <c r="Z59" s="46">
        <v>360</v>
      </c>
      <c r="AA59" s="46">
        <v>360</v>
      </c>
      <c r="AB59" s="46">
        <v>330</v>
      </c>
      <c r="AC59" s="46">
        <v>301.3</v>
      </c>
      <c r="AD59" s="46">
        <v>250</v>
      </c>
      <c r="AE59" s="46">
        <v>180.9</v>
      </c>
      <c r="AF59" s="46">
        <v>151</v>
      </c>
      <c r="AG59" s="60">
        <v>456</v>
      </c>
      <c r="AH59" s="48">
        <f t="shared" si="8"/>
        <v>378</v>
      </c>
      <c r="AI59" s="49">
        <f t="shared" si="9"/>
        <v>0</v>
      </c>
      <c r="AK59" s="51"/>
    </row>
    <row r="60" spans="1:88" x14ac:dyDescent="0.25">
      <c r="A60" s="74" t="s">
        <v>77</v>
      </c>
      <c r="B60" s="75">
        <v>22.5</v>
      </c>
      <c r="C60" s="75">
        <v>22.5</v>
      </c>
      <c r="D60" s="75">
        <v>22.5</v>
      </c>
      <c r="E60" s="75">
        <v>22.5</v>
      </c>
      <c r="F60" s="75">
        <v>22.5</v>
      </c>
      <c r="G60" s="75">
        <v>22.5</v>
      </c>
      <c r="H60" s="75">
        <v>22.5</v>
      </c>
      <c r="I60" s="75">
        <v>22.5</v>
      </c>
      <c r="J60" s="75">
        <v>22.5</v>
      </c>
      <c r="K60" s="75">
        <v>22.5</v>
      </c>
      <c r="L60" s="75">
        <v>22.5</v>
      </c>
      <c r="M60" s="75">
        <v>24.9</v>
      </c>
      <c r="N60" s="75">
        <v>24.9</v>
      </c>
      <c r="O60" s="75">
        <v>24.9</v>
      </c>
      <c r="P60" s="75">
        <v>24.9</v>
      </c>
      <c r="Q60" s="75">
        <v>24.9</v>
      </c>
      <c r="R60" s="75">
        <v>24.9</v>
      </c>
      <c r="S60" s="75">
        <v>24.2</v>
      </c>
      <c r="T60" s="75">
        <v>24.2</v>
      </c>
      <c r="U60" s="75">
        <v>24.2</v>
      </c>
      <c r="V60" s="75">
        <v>24.2</v>
      </c>
      <c r="W60" s="75">
        <v>23.2</v>
      </c>
      <c r="X60" s="75">
        <v>23.2</v>
      </c>
      <c r="Y60" s="75">
        <v>22.8</v>
      </c>
      <c r="Z60" s="75">
        <v>30</v>
      </c>
      <c r="AA60" s="75">
        <v>30</v>
      </c>
      <c r="AB60" s="75">
        <v>24</v>
      </c>
      <c r="AC60" s="75">
        <v>23.6</v>
      </c>
      <c r="AD60" s="75">
        <v>23</v>
      </c>
      <c r="AE60" s="75">
        <v>23</v>
      </c>
      <c r="AF60" s="75">
        <v>23.3</v>
      </c>
      <c r="AG60" s="65">
        <v>60</v>
      </c>
      <c r="AH60" s="48">
        <f t="shared" si="8"/>
        <v>30</v>
      </c>
      <c r="AI60" s="49">
        <f t="shared" si="9"/>
        <v>22.5</v>
      </c>
      <c r="AK60" s="51"/>
    </row>
    <row r="61" spans="1:88" ht="15.75" thickBot="1" x14ac:dyDescent="0.3">
      <c r="A61" s="76" t="s">
        <v>78</v>
      </c>
      <c r="B61" s="77">
        <v>22.3</v>
      </c>
      <c r="C61" s="77">
        <v>22.3</v>
      </c>
      <c r="D61" s="77">
        <v>22.3</v>
      </c>
      <c r="E61" s="77">
        <v>17.100000000000001</v>
      </c>
      <c r="F61" s="77">
        <v>17.100000000000001</v>
      </c>
      <c r="G61" s="77">
        <v>17.100000000000001</v>
      </c>
      <c r="H61" s="77">
        <v>17.100000000000001</v>
      </c>
      <c r="I61" s="77">
        <v>17.100000000000001</v>
      </c>
      <c r="J61" s="77">
        <v>17.100000000000001</v>
      </c>
      <c r="K61" s="77">
        <v>17.100000000000001</v>
      </c>
      <c r="L61" s="77">
        <v>17.100000000000001</v>
      </c>
      <c r="M61" s="77">
        <v>12.6</v>
      </c>
      <c r="N61" s="77">
        <v>12.6</v>
      </c>
      <c r="O61" s="77">
        <v>12.6</v>
      </c>
      <c r="P61" s="77">
        <v>12.6</v>
      </c>
      <c r="Q61" s="77">
        <v>12.6</v>
      </c>
      <c r="R61" s="77">
        <v>12.6</v>
      </c>
      <c r="S61" s="77">
        <v>14.8</v>
      </c>
      <c r="T61" s="77">
        <v>14.8</v>
      </c>
      <c r="U61" s="77">
        <v>14.8</v>
      </c>
      <c r="V61" s="77">
        <v>14.8</v>
      </c>
      <c r="W61" s="77">
        <v>14.8</v>
      </c>
      <c r="X61" s="77">
        <v>14.8</v>
      </c>
      <c r="Y61" s="77">
        <v>18</v>
      </c>
      <c r="Z61" s="77">
        <v>11</v>
      </c>
      <c r="AA61" s="77">
        <v>11</v>
      </c>
      <c r="AB61" s="77">
        <v>22.3</v>
      </c>
      <c r="AC61" s="77">
        <v>22.3</v>
      </c>
      <c r="AD61" s="77">
        <v>22.3</v>
      </c>
      <c r="AE61" s="77">
        <v>22.3</v>
      </c>
      <c r="AF61" s="77">
        <v>16.2</v>
      </c>
      <c r="AG61" s="78">
        <v>22.1</v>
      </c>
      <c r="AH61" s="48">
        <f t="shared" si="8"/>
        <v>22.3</v>
      </c>
      <c r="AI61" s="49">
        <f t="shared" si="9"/>
        <v>11</v>
      </c>
      <c r="AK61" s="51"/>
    </row>
    <row r="62" spans="1:88" ht="15.75" thickBot="1" x14ac:dyDescent="0.3">
      <c r="A62" s="79" t="s">
        <v>79</v>
      </c>
      <c r="B62" s="70">
        <f t="shared" ref="B62" si="29">SUM(B59:B61)</f>
        <v>144.80000000000001</v>
      </c>
      <c r="C62" s="70">
        <f t="shared" ref="C62:AG62" si="30">SUM(C59:C61)</f>
        <v>84.8</v>
      </c>
      <c r="D62" s="70">
        <f t="shared" si="30"/>
        <v>120.8</v>
      </c>
      <c r="E62" s="70">
        <f t="shared" si="30"/>
        <v>59.7</v>
      </c>
      <c r="F62" s="70">
        <f t="shared" si="30"/>
        <v>59.7</v>
      </c>
      <c r="G62" s="70">
        <f t="shared" si="30"/>
        <v>59.7</v>
      </c>
      <c r="H62" s="70">
        <f t="shared" si="30"/>
        <v>69.800000000000011</v>
      </c>
      <c r="I62" s="70">
        <f t="shared" si="30"/>
        <v>109.6</v>
      </c>
      <c r="J62" s="70">
        <f t="shared" si="30"/>
        <v>54.6</v>
      </c>
      <c r="K62" s="70">
        <f t="shared" si="30"/>
        <v>39.6</v>
      </c>
      <c r="L62" s="70">
        <f t="shared" si="30"/>
        <v>39.6</v>
      </c>
      <c r="M62" s="70">
        <f t="shared" si="30"/>
        <v>37.5</v>
      </c>
      <c r="N62" s="70">
        <f t="shared" ref="N62:O62" si="31">SUM(N59:N61)</f>
        <v>52.5</v>
      </c>
      <c r="O62" s="70">
        <f t="shared" si="31"/>
        <v>52.5</v>
      </c>
      <c r="P62" s="70">
        <f t="shared" ref="P62:Q62" si="32">SUM(P59:P61)</f>
        <v>37.5</v>
      </c>
      <c r="Q62" s="70">
        <f t="shared" si="32"/>
        <v>37.5</v>
      </c>
      <c r="R62" s="70">
        <f t="shared" ref="R62" si="33">SUM(R59:R61)</f>
        <v>37.5</v>
      </c>
      <c r="S62" s="70">
        <f t="shared" si="30"/>
        <v>39</v>
      </c>
      <c r="T62" s="70">
        <f t="shared" si="30"/>
        <v>39</v>
      </c>
      <c r="U62" s="70">
        <f t="shared" si="30"/>
        <v>39</v>
      </c>
      <c r="V62" s="70">
        <f t="shared" si="30"/>
        <v>39</v>
      </c>
      <c r="W62" s="70">
        <f t="shared" si="30"/>
        <v>112</v>
      </c>
      <c r="X62" s="70">
        <f t="shared" si="30"/>
        <v>112</v>
      </c>
      <c r="Y62" s="70">
        <f t="shared" si="30"/>
        <v>418.8</v>
      </c>
      <c r="Z62" s="70">
        <f t="shared" si="30"/>
        <v>401</v>
      </c>
      <c r="AA62" s="70">
        <f t="shared" si="30"/>
        <v>401</v>
      </c>
      <c r="AB62" s="70">
        <f t="shared" si="30"/>
        <v>376.3</v>
      </c>
      <c r="AC62" s="70">
        <f t="shared" si="30"/>
        <v>347.20000000000005</v>
      </c>
      <c r="AD62" s="70">
        <f t="shared" si="30"/>
        <v>295.3</v>
      </c>
      <c r="AE62" s="70">
        <f t="shared" si="30"/>
        <v>226.20000000000002</v>
      </c>
      <c r="AF62" s="70">
        <f t="shared" si="30"/>
        <v>190.5</v>
      </c>
      <c r="AG62" s="71">
        <f t="shared" si="30"/>
        <v>538.1</v>
      </c>
      <c r="AH62" s="48">
        <f t="shared" si="8"/>
        <v>418.8</v>
      </c>
      <c r="AI62" s="49">
        <f t="shared" si="9"/>
        <v>37.5</v>
      </c>
      <c r="AK62" s="51"/>
    </row>
    <row r="63" spans="1:88" x14ac:dyDescent="0.25">
      <c r="A63" s="45" t="s">
        <v>80</v>
      </c>
      <c r="B63" s="46">
        <v>80</v>
      </c>
      <c r="C63" s="46">
        <v>111</v>
      </c>
      <c r="D63" s="46">
        <v>105</v>
      </c>
      <c r="E63" s="46">
        <v>60.5</v>
      </c>
      <c r="F63" s="46">
        <v>49.1</v>
      </c>
      <c r="G63" s="46">
        <v>49.1</v>
      </c>
      <c r="H63" s="46">
        <v>49.1</v>
      </c>
      <c r="I63" s="46">
        <v>40</v>
      </c>
      <c r="J63" s="46">
        <v>30.6</v>
      </c>
      <c r="K63" s="46">
        <v>30.6</v>
      </c>
      <c r="L63" s="46">
        <v>30.6</v>
      </c>
      <c r="M63" s="46">
        <v>39.9</v>
      </c>
      <c r="N63" s="46">
        <v>48</v>
      </c>
      <c r="O63" s="46">
        <v>40.5</v>
      </c>
      <c r="P63" s="46">
        <v>30.1</v>
      </c>
      <c r="Q63" s="46">
        <v>30.1</v>
      </c>
      <c r="R63" s="46">
        <v>30.1</v>
      </c>
      <c r="S63" s="46">
        <v>0</v>
      </c>
      <c r="T63" s="46">
        <v>48</v>
      </c>
      <c r="U63" s="46">
        <v>40</v>
      </c>
      <c r="V63" s="46">
        <v>48</v>
      </c>
      <c r="W63" s="46">
        <v>48.3</v>
      </c>
      <c r="X63" s="46">
        <v>61</v>
      </c>
      <c r="Y63" s="46">
        <v>140</v>
      </c>
      <c r="Z63" s="46">
        <v>140</v>
      </c>
      <c r="AA63" s="46">
        <v>144</v>
      </c>
      <c r="AB63" s="46">
        <v>143.30000000000001</v>
      </c>
      <c r="AC63" s="46">
        <v>142.9</v>
      </c>
      <c r="AD63" s="46">
        <v>142.9</v>
      </c>
      <c r="AE63" s="46">
        <v>112.6</v>
      </c>
      <c r="AF63" s="46">
        <v>70.5</v>
      </c>
      <c r="AG63" s="60">
        <v>144</v>
      </c>
      <c r="AH63" s="48">
        <f t="shared" si="8"/>
        <v>144</v>
      </c>
      <c r="AI63" s="49">
        <f t="shared" si="9"/>
        <v>0</v>
      </c>
      <c r="AK63" s="51"/>
    </row>
    <row r="64" spans="1:88" x14ac:dyDescent="0.25">
      <c r="A64" s="64" t="s">
        <v>81</v>
      </c>
      <c r="B64" s="75">
        <v>65.599999999999994</v>
      </c>
      <c r="C64" s="75">
        <v>63.9</v>
      </c>
      <c r="D64" s="75">
        <v>63.9</v>
      </c>
      <c r="E64" s="75">
        <v>46</v>
      </c>
      <c r="F64" s="75">
        <v>46</v>
      </c>
      <c r="G64" s="75">
        <v>46</v>
      </c>
      <c r="H64" s="75">
        <v>46</v>
      </c>
      <c r="I64" s="75">
        <v>32</v>
      </c>
      <c r="J64" s="75">
        <v>23</v>
      </c>
      <c r="K64" s="75">
        <v>0</v>
      </c>
      <c r="L64" s="75">
        <v>0</v>
      </c>
      <c r="M64" s="75">
        <v>25.5</v>
      </c>
      <c r="N64" s="75">
        <v>35.1</v>
      </c>
      <c r="O64" s="75">
        <v>34.799999999999997</v>
      </c>
      <c r="P64" s="75">
        <v>29.8</v>
      </c>
      <c r="Q64" s="75">
        <v>24.8</v>
      </c>
      <c r="R64" s="75">
        <v>0</v>
      </c>
      <c r="S64" s="75">
        <v>0</v>
      </c>
      <c r="T64" s="75">
        <v>35</v>
      </c>
      <c r="U64" s="75">
        <v>26</v>
      </c>
      <c r="V64" s="75">
        <v>26</v>
      </c>
      <c r="W64" s="46">
        <v>26.1</v>
      </c>
      <c r="X64" s="46">
        <v>26.1</v>
      </c>
      <c r="Y64" s="46">
        <v>70</v>
      </c>
      <c r="Z64" s="46">
        <v>68.900000000000006</v>
      </c>
      <c r="AA64" s="46">
        <v>61</v>
      </c>
      <c r="AB64" s="46">
        <v>69.5</v>
      </c>
      <c r="AC64" s="46">
        <v>69.5</v>
      </c>
      <c r="AD64" s="46">
        <v>69.5</v>
      </c>
      <c r="AE64" s="46">
        <v>35</v>
      </c>
      <c r="AF64" s="46">
        <v>35.700000000000003</v>
      </c>
      <c r="AG64" s="65">
        <v>70</v>
      </c>
      <c r="AH64" s="48">
        <f t="shared" si="8"/>
        <v>70</v>
      </c>
      <c r="AI64" s="49">
        <f t="shared" si="9"/>
        <v>0</v>
      </c>
      <c r="AK64" s="51"/>
    </row>
    <row r="65" spans="1:75" x14ac:dyDescent="0.25">
      <c r="A65" s="64" t="s">
        <v>82</v>
      </c>
      <c r="B65" s="75">
        <v>69</v>
      </c>
      <c r="C65" s="75">
        <v>54</v>
      </c>
      <c r="D65" s="75">
        <v>54</v>
      </c>
      <c r="E65" s="75">
        <v>69</v>
      </c>
      <c r="F65" s="75">
        <v>69</v>
      </c>
      <c r="G65" s="75">
        <v>69</v>
      </c>
      <c r="H65" s="75">
        <v>69</v>
      </c>
      <c r="I65" s="75">
        <v>70</v>
      </c>
      <c r="J65" s="75">
        <v>69</v>
      </c>
      <c r="K65" s="75">
        <v>69</v>
      </c>
      <c r="L65" s="75">
        <v>69</v>
      </c>
      <c r="M65" s="75">
        <v>69.3</v>
      </c>
      <c r="N65" s="75">
        <v>69.2</v>
      </c>
      <c r="O65" s="75">
        <v>69.400000000000006</v>
      </c>
      <c r="P65" s="75">
        <v>53.6</v>
      </c>
      <c r="Q65" s="75">
        <v>34.299999999999997</v>
      </c>
      <c r="R65" s="75">
        <v>36.1</v>
      </c>
      <c r="S65" s="75">
        <v>31.6</v>
      </c>
      <c r="T65" s="75">
        <v>22</v>
      </c>
      <c r="U65" s="75">
        <v>22.6</v>
      </c>
      <c r="V65" s="75">
        <v>22.6</v>
      </c>
      <c r="W65" s="46">
        <v>22.5</v>
      </c>
      <c r="X65" s="46">
        <v>22.5</v>
      </c>
      <c r="Y65" s="46">
        <v>70</v>
      </c>
      <c r="Z65" s="46">
        <v>70</v>
      </c>
      <c r="AA65" s="46">
        <v>69</v>
      </c>
      <c r="AB65" s="46">
        <v>69.2</v>
      </c>
      <c r="AC65" s="46">
        <v>69.5</v>
      </c>
      <c r="AD65" s="46">
        <v>69.5</v>
      </c>
      <c r="AE65" s="46">
        <v>44.5</v>
      </c>
      <c r="AF65" s="46">
        <v>44.6</v>
      </c>
      <c r="AG65" s="65">
        <v>69</v>
      </c>
      <c r="AH65" s="48">
        <f t="shared" si="8"/>
        <v>70</v>
      </c>
      <c r="AI65" s="49">
        <f t="shared" si="9"/>
        <v>22</v>
      </c>
      <c r="AK65" s="51"/>
    </row>
    <row r="66" spans="1:75" x14ac:dyDescent="0.25">
      <c r="A66" s="64" t="s">
        <v>83</v>
      </c>
      <c r="B66" s="75">
        <v>50</v>
      </c>
      <c r="C66" s="75">
        <v>50</v>
      </c>
      <c r="D66" s="75">
        <v>54</v>
      </c>
      <c r="E66" s="75">
        <v>54</v>
      </c>
      <c r="F66" s="75">
        <v>54</v>
      </c>
      <c r="G66" s="75">
        <v>54</v>
      </c>
      <c r="H66" s="75">
        <v>54</v>
      </c>
      <c r="I66" s="75">
        <v>54</v>
      </c>
      <c r="J66" s="75">
        <v>54</v>
      </c>
      <c r="K66" s="75">
        <v>54</v>
      </c>
      <c r="L66" s="75">
        <v>54</v>
      </c>
      <c r="M66" s="75">
        <v>46.1</v>
      </c>
      <c r="N66" s="75">
        <v>44.1</v>
      </c>
      <c r="O66" s="75">
        <v>45.1</v>
      </c>
      <c r="P66" s="75">
        <v>46.4</v>
      </c>
      <c r="Q66" s="75">
        <v>44.4</v>
      </c>
      <c r="R66" s="75">
        <v>44.4</v>
      </c>
      <c r="S66" s="75">
        <v>44.4</v>
      </c>
      <c r="T66" s="75">
        <v>44.4</v>
      </c>
      <c r="U66" s="75">
        <v>39.799999999999997</v>
      </c>
      <c r="V66" s="75">
        <v>39.799999999999997</v>
      </c>
      <c r="W66" s="46">
        <v>42.1</v>
      </c>
      <c r="X66" s="46">
        <v>42.1</v>
      </c>
      <c r="Y66" s="46">
        <v>44.3</v>
      </c>
      <c r="Z66" s="46">
        <v>44.3</v>
      </c>
      <c r="AA66" s="46">
        <v>44.3</v>
      </c>
      <c r="AB66" s="46">
        <v>46.3</v>
      </c>
      <c r="AC66" s="46">
        <v>46.3</v>
      </c>
      <c r="AD66" s="46">
        <v>46.3</v>
      </c>
      <c r="AE66" s="46">
        <v>47.4</v>
      </c>
      <c r="AF66" s="46">
        <v>47.4</v>
      </c>
      <c r="AG66" s="65">
        <v>60</v>
      </c>
      <c r="AH66" s="48">
        <f t="shared" si="8"/>
        <v>54</v>
      </c>
      <c r="AI66" s="49">
        <f t="shared" si="9"/>
        <v>39.799999999999997</v>
      </c>
      <c r="AK66" s="51"/>
    </row>
    <row r="67" spans="1:75" x14ac:dyDescent="0.25">
      <c r="A67" s="64" t="s">
        <v>84</v>
      </c>
      <c r="B67" s="46">
        <v>14.4</v>
      </c>
      <c r="C67" s="46">
        <v>14.4</v>
      </c>
      <c r="D67" s="46">
        <v>14</v>
      </c>
      <c r="E67" s="46">
        <v>10</v>
      </c>
      <c r="F67" s="46">
        <v>10</v>
      </c>
      <c r="G67" s="46">
        <v>10</v>
      </c>
      <c r="H67" s="46">
        <v>10</v>
      </c>
      <c r="I67" s="46">
        <v>10</v>
      </c>
      <c r="J67" s="46">
        <v>10</v>
      </c>
      <c r="K67" s="46">
        <v>0</v>
      </c>
      <c r="L67" s="46">
        <v>0</v>
      </c>
      <c r="M67" s="46">
        <v>0</v>
      </c>
      <c r="N67" s="46">
        <v>0</v>
      </c>
      <c r="O67" s="46">
        <v>0</v>
      </c>
      <c r="P67" s="46">
        <v>0</v>
      </c>
      <c r="Q67" s="46">
        <v>0</v>
      </c>
      <c r="R67" s="46">
        <v>0</v>
      </c>
      <c r="S67" s="75">
        <v>10.8</v>
      </c>
      <c r="T67" s="75">
        <v>10.8</v>
      </c>
      <c r="U67" s="75">
        <v>10.3</v>
      </c>
      <c r="V67" s="75">
        <v>10.3</v>
      </c>
      <c r="W67" s="46">
        <v>10.3</v>
      </c>
      <c r="X67" s="46">
        <v>10.3</v>
      </c>
      <c r="Y67" s="46">
        <v>23.4</v>
      </c>
      <c r="Z67" s="46">
        <v>23.4</v>
      </c>
      <c r="AA67" s="46">
        <v>23.4</v>
      </c>
      <c r="AB67" s="46">
        <v>27.1</v>
      </c>
      <c r="AC67" s="46">
        <v>14.2</v>
      </c>
      <c r="AD67" s="46">
        <v>10</v>
      </c>
      <c r="AE67" s="46">
        <v>10.199999999999999</v>
      </c>
      <c r="AF67" s="46">
        <v>10.199999999999999</v>
      </c>
      <c r="AG67" s="65">
        <v>30</v>
      </c>
      <c r="AH67" s="48">
        <f t="shared" si="8"/>
        <v>27.1</v>
      </c>
      <c r="AI67" s="49">
        <f t="shared" si="9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</row>
    <row r="68" spans="1:75" x14ac:dyDescent="0.25">
      <c r="A68" s="64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1.1000000000000001</v>
      </c>
      <c r="K68" s="46">
        <v>3.5</v>
      </c>
      <c r="L68" s="46">
        <v>3.5</v>
      </c>
      <c r="M68" s="46">
        <v>10.7</v>
      </c>
      <c r="N68" s="46">
        <v>13.8</v>
      </c>
      <c r="O68" s="46">
        <v>17.3</v>
      </c>
      <c r="P68" s="46">
        <v>19</v>
      </c>
      <c r="Q68" s="46">
        <v>18</v>
      </c>
      <c r="R68" s="46">
        <v>11.4</v>
      </c>
      <c r="S68" s="75">
        <v>16</v>
      </c>
      <c r="T68" s="75">
        <v>16</v>
      </c>
      <c r="U68" s="75">
        <v>16</v>
      </c>
      <c r="V68" s="75">
        <v>16</v>
      </c>
      <c r="W68" s="75">
        <v>16</v>
      </c>
      <c r="X68" s="75">
        <v>16</v>
      </c>
      <c r="Y68" s="46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5">
        <v>25</v>
      </c>
      <c r="AH68" s="48">
        <f t="shared" si="8"/>
        <v>19</v>
      </c>
      <c r="AI68" s="49">
        <f t="shared" si="9"/>
        <v>0</v>
      </c>
      <c r="AK68" s="51"/>
      <c r="AY68" s="1" t="s">
        <v>86</v>
      </c>
      <c r="AZ68" s="81">
        <f>ROUND(C81,0)</f>
        <v>28</v>
      </c>
      <c r="BA68" s="80">
        <f t="shared" ref="BA68:BD72" si="34">D81</f>
        <v>24</v>
      </c>
      <c r="BB68" s="80">
        <f t="shared" si="34"/>
        <v>23.3</v>
      </c>
      <c r="BC68" s="80">
        <f t="shared" si="34"/>
        <v>21</v>
      </c>
      <c r="BD68" s="80">
        <f t="shared" si="34"/>
        <v>22</v>
      </c>
      <c r="BE68" s="81">
        <f>I81</f>
        <v>25</v>
      </c>
      <c r="BF68" s="81">
        <f>K81</f>
        <v>40</v>
      </c>
      <c r="BG68" s="81">
        <f t="shared" ref="BG68:BP72" si="35">M81</f>
        <v>39.6</v>
      </c>
      <c r="BH68" s="81">
        <f t="shared" si="35"/>
        <v>33.700000000000003</v>
      </c>
      <c r="BI68" s="81">
        <f t="shared" si="35"/>
        <v>43.7</v>
      </c>
      <c r="BJ68" s="81">
        <f t="shared" si="35"/>
        <v>43.5</v>
      </c>
      <c r="BK68" s="81">
        <f t="shared" si="35"/>
        <v>41.2</v>
      </c>
      <c r="BL68" s="81">
        <f t="shared" si="35"/>
        <v>47.2</v>
      </c>
      <c r="BM68" s="81">
        <f t="shared" si="35"/>
        <v>47.7</v>
      </c>
      <c r="BN68" s="81">
        <f t="shared" si="35"/>
        <v>40</v>
      </c>
      <c r="BO68" s="81">
        <f t="shared" si="35"/>
        <v>61</v>
      </c>
      <c r="BP68" s="81">
        <f t="shared" si="35"/>
        <v>62</v>
      </c>
      <c r="BQ68" s="81">
        <f>X81</f>
        <v>48</v>
      </c>
      <c r="BR68" s="81">
        <f>Z81</f>
        <v>19</v>
      </c>
      <c r="BS68" s="80">
        <f>AB81</f>
        <v>15.9</v>
      </c>
      <c r="BT68" s="80">
        <f>AD81</f>
        <v>26.1</v>
      </c>
      <c r="BU68" s="80">
        <f>AE81</f>
        <v>27.5</v>
      </c>
      <c r="BV68" s="80">
        <f>AF81</f>
        <v>20.6</v>
      </c>
      <c r="BW68" s="80">
        <f>B81</f>
        <v>36</v>
      </c>
    </row>
    <row r="69" spans="1:75" x14ac:dyDescent="0.25">
      <c r="A69" s="64" t="s">
        <v>87</v>
      </c>
      <c r="B69" s="75">
        <v>15</v>
      </c>
      <c r="C69" s="75">
        <v>15</v>
      </c>
      <c r="D69" s="75">
        <v>15</v>
      </c>
      <c r="E69" s="75">
        <v>15</v>
      </c>
      <c r="F69" s="75">
        <v>15</v>
      </c>
      <c r="G69" s="75">
        <v>15</v>
      </c>
      <c r="H69" s="75">
        <v>15</v>
      </c>
      <c r="I69" s="75">
        <v>15</v>
      </c>
      <c r="J69" s="75">
        <v>15</v>
      </c>
      <c r="K69" s="75">
        <v>15</v>
      </c>
      <c r="L69" s="75">
        <v>15</v>
      </c>
      <c r="M69" s="75">
        <v>15</v>
      </c>
      <c r="N69" s="75">
        <v>15</v>
      </c>
      <c r="O69" s="75">
        <v>15</v>
      </c>
      <c r="P69" s="75">
        <v>15</v>
      </c>
      <c r="Q69" s="75">
        <v>15</v>
      </c>
      <c r="R69" s="75">
        <v>15</v>
      </c>
      <c r="S69" s="75">
        <v>15</v>
      </c>
      <c r="T69" s="75">
        <v>15</v>
      </c>
      <c r="U69" s="75">
        <v>15</v>
      </c>
      <c r="V69" s="75">
        <v>15</v>
      </c>
      <c r="W69" s="75">
        <v>15</v>
      </c>
      <c r="X69" s="75">
        <v>15</v>
      </c>
      <c r="Y69" s="75">
        <v>15</v>
      </c>
      <c r="Z69" s="75">
        <v>15</v>
      </c>
      <c r="AA69" s="75">
        <v>15</v>
      </c>
      <c r="AB69" s="75">
        <v>15</v>
      </c>
      <c r="AC69" s="75">
        <v>15</v>
      </c>
      <c r="AD69" s="75">
        <v>15</v>
      </c>
      <c r="AE69" s="75">
        <v>15</v>
      </c>
      <c r="AF69" s="75">
        <v>15</v>
      </c>
      <c r="AG69" s="65">
        <v>24</v>
      </c>
      <c r="AH69" s="48">
        <f t="shared" si="8"/>
        <v>15</v>
      </c>
      <c r="AI69" s="49">
        <f t="shared" si="9"/>
        <v>15</v>
      </c>
      <c r="AK69" s="51"/>
      <c r="AY69" s="1" t="s">
        <v>88</v>
      </c>
      <c r="AZ69" s="81">
        <f>ROUND(C82,0)</f>
        <v>75</v>
      </c>
      <c r="BA69" s="80">
        <f t="shared" si="34"/>
        <v>0</v>
      </c>
      <c r="BB69" s="80">
        <f t="shared" si="34"/>
        <v>81</v>
      </c>
      <c r="BC69" s="80">
        <f t="shared" si="34"/>
        <v>63</v>
      </c>
      <c r="BD69" s="80">
        <f t="shared" si="34"/>
        <v>70</v>
      </c>
      <c r="BE69" s="81">
        <f t="shared" ref="BE69:BE72" si="36">I82</f>
        <v>75</v>
      </c>
      <c r="BF69" s="81">
        <f t="shared" ref="BF69:BF72" si="37">K82</f>
        <v>0</v>
      </c>
      <c r="BG69" s="81">
        <f t="shared" si="35"/>
        <v>0</v>
      </c>
      <c r="BH69" s="81">
        <f t="shared" si="35"/>
        <v>0</v>
      </c>
      <c r="BI69" s="81">
        <f t="shared" si="35"/>
        <v>0</v>
      </c>
      <c r="BJ69" s="81">
        <f t="shared" si="35"/>
        <v>0</v>
      </c>
      <c r="BK69" s="81">
        <f t="shared" si="35"/>
        <v>0</v>
      </c>
      <c r="BL69" s="81">
        <f t="shared" si="35"/>
        <v>0</v>
      </c>
      <c r="BM69" s="81">
        <f t="shared" si="35"/>
        <v>0</v>
      </c>
      <c r="BN69" s="81">
        <f t="shared" si="35"/>
        <v>0</v>
      </c>
      <c r="BO69" s="81">
        <f t="shared" si="35"/>
        <v>0</v>
      </c>
      <c r="BP69" s="81">
        <f t="shared" si="35"/>
        <v>0</v>
      </c>
      <c r="BQ69" s="81">
        <f t="shared" ref="BQ69:BQ72" si="38">X82</f>
        <v>0</v>
      </c>
      <c r="BR69" s="81">
        <f t="shared" ref="BR69:BR72" si="39">Z82</f>
        <v>0</v>
      </c>
      <c r="BS69" s="80">
        <f t="shared" ref="BS69:BS72" si="40">AB82</f>
        <v>0</v>
      </c>
      <c r="BT69" s="80">
        <f t="shared" ref="BT69:BV72" si="41">AD82</f>
        <v>0</v>
      </c>
      <c r="BU69" s="80">
        <f t="shared" si="41"/>
        <v>0</v>
      </c>
      <c r="BV69" s="80">
        <f t="shared" si="41"/>
        <v>0</v>
      </c>
      <c r="BW69" s="80">
        <f t="shared" ref="BW69:BW72" si="42">B82</f>
        <v>0</v>
      </c>
    </row>
    <row r="70" spans="1:75" x14ac:dyDescent="0.25">
      <c r="A70" s="64" t="s">
        <v>89</v>
      </c>
      <c r="B70" s="75">
        <v>0</v>
      </c>
      <c r="C70" s="75">
        <v>0</v>
      </c>
      <c r="D70" s="75">
        <v>0</v>
      </c>
      <c r="E70" s="75">
        <v>0</v>
      </c>
      <c r="F70" s="75">
        <v>0</v>
      </c>
      <c r="G70" s="75">
        <v>0</v>
      </c>
      <c r="H70" s="75">
        <v>0</v>
      </c>
      <c r="I70" s="75">
        <v>0</v>
      </c>
      <c r="J70" s="75">
        <v>0</v>
      </c>
      <c r="K70" s="75">
        <v>0</v>
      </c>
      <c r="L70" s="75">
        <v>0</v>
      </c>
      <c r="M70" s="75">
        <v>0</v>
      </c>
      <c r="N70" s="75">
        <v>0</v>
      </c>
      <c r="O70" s="75">
        <v>0</v>
      </c>
      <c r="P70" s="75">
        <v>0</v>
      </c>
      <c r="Q70" s="75">
        <v>0</v>
      </c>
      <c r="R70" s="75">
        <v>0</v>
      </c>
      <c r="S70" s="75">
        <v>0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5">
        <v>0</v>
      </c>
      <c r="Z70" s="75">
        <v>0</v>
      </c>
      <c r="AA70" s="75">
        <v>0</v>
      </c>
      <c r="AB70" s="75">
        <v>0</v>
      </c>
      <c r="AC70" s="75">
        <v>0</v>
      </c>
      <c r="AD70" s="75">
        <v>0</v>
      </c>
      <c r="AE70" s="75">
        <v>0</v>
      </c>
      <c r="AF70" s="75">
        <v>0</v>
      </c>
      <c r="AG70" s="65">
        <v>15</v>
      </c>
      <c r="AH70" s="48">
        <f t="shared" si="8"/>
        <v>0</v>
      </c>
      <c r="AI70" s="49">
        <f t="shared" si="9"/>
        <v>0</v>
      </c>
      <c r="AK70" s="51"/>
      <c r="AL70" s="82"/>
      <c r="AO70" s="82"/>
      <c r="AY70" s="1" t="s">
        <v>90</v>
      </c>
      <c r="AZ70" s="81">
        <f>ROUND(C83,0)</f>
        <v>0</v>
      </c>
      <c r="BA70" s="80">
        <f t="shared" si="34"/>
        <v>0</v>
      </c>
      <c r="BB70" s="80">
        <f t="shared" si="34"/>
        <v>22.3</v>
      </c>
      <c r="BC70" s="80">
        <f t="shared" si="34"/>
        <v>20</v>
      </c>
      <c r="BD70" s="80">
        <f t="shared" si="34"/>
        <v>64</v>
      </c>
      <c r="BE70" s="81">
        <f t="shared" si="36"/>
        <v>57</v>
      </c>
      <c r="BF70" s="81">
        <f t="shared" si="37"/>
        <v>368</v>
      </c>
      <c r="BG70" s="81">
        <f t="shared" si="35"/>
        <v>413</v>
      </c>
      <c r="BH70" s="81">
        <f t="shared" si="35"/>
        <v>370.1</v>
      </c>
      <c r="BI70" s="81">
        <f t="shared" si="35"/>
        <v>395.2</v>
      </c>
      <c r="BJ70" s="81">
        <f t="shared" si="35"/>
        <v>372.8</v>
      </c>
      <c r="BK70" s="81">
        <f t="shared" si="35"/>
        <v>370.6</v>
      </c>
      <c r="BL70" s="81">
        <f t="shared" si="35"/>
        <v>372.3</v>
      </c>
      <c r="BM70" s="81">
        <f t="shared" si="35"/>
        <v>390.7</v>
      </c>
      <c r="BN70" s="81">
        <f t="shared" si="35"/>
        <v>353</v>
      </c>
      <c r="BO70" s="81">
        <f t="shared" si="35"/>
        <v>431</v>
      </c>
      <c r="BP70" s="81">
        <f t="shared" si="35"/>
        <v>416</v>
      </c>
      <c r="BQ70" s="81">
        <f t="shared" si="38"/>
        <v>224</v>
      </c>
      <c r="BR70" s="81">
        <f t="shared" si="39"/>
        <v>-12</v>
      </c>
      <c r="BS70" s="80">
        <f t="shared" si="40"/>
        <v>45.2</v>
      </c>
      <c r="BT70" s="80">
        <f t="shared" si="41"/>
        <v>50</v>
      </c>
      <c r="BU70" s="80">
        <f t="shared" si="41"/>
        <v>32</v>
      </c>
      <c r="BV70" s="80">
        <f t="shared" si="41"/>
        <v>65.5</v>
      </c>
      <c r="BW70" s="80">
        <f t="shared" si="42"/>
        <v>0</v>
      </c>
    </row>
    <row r="71" spans="1:75" s="82" customFormat="1" x14ac:dyDescent="0.25">
      <c r="A71" s="64" t="s">
        <v>91</v>
      </c>
      <c r="B71" s="75">
        <v>7.1</v>
      </c>
      <c r="C71" s="75">
        <v>7.1</v>
      </c>
      <c r="D71" s="75">
        <v>7.1</v>
      </c>
      <c r="E71" s="75">
        <v>7.4</v>
      </c>
      <c r="F71" s="75">
        <v>7.4</v>
      </c>
      <c r="G71" s="75">
        <v>7.4</v>
      </c>
      <c r="H71" s="75">
        <v>5.6</v>
      </c>
      <c r="I71" s="75">
        <v>5.6</v>
      </c>
      <c r="J71" s="75">
        <v>5.6</v>
      </c>
      <c r="K71" s="75">
        <v>5.6</v>
      </c>
      <c r="L71" s="75">
        <v>5.6</v>
      </c>
      <c r="M71" s="75">
        <v>3.5</v>
      </c>
      <c r="N71" s="75">
        <v>3.5</v>
      </c>
      <c r="O71" s="75">
        <v>3.5</v>
      </c>
      <c r="P71" s="75">
        <v>3.5</v>
      </c>
      <c r="Q71" s="75">
        <v>3.5</v>
      </c>
      <c r="R71" s="75">
        <v>3.5</v>
      </c>
      <c r="S71" s="75">
        <v>3.5</v>
      </c>
      <c r="T71" s="75">
        <v>3.5</v>
      </c>
      <c r="U71" s="75">
        <v>3.5</v>
      </c>
      <c r="V71" s="75">
        <v>3.5</v>
      </c>
      <c r="W71" s="75">
        <v>3.5</v>
      </c>
      <c r="X71" s="75">
        <v>3.5</v>
      </c>
      <c r="Y71" s="75">
        <v>3.5</v>
      </c>
      <c r="Z71" s="75">
        <v>3.5</v>
      </c>
      <c r="AA71" s="75">
        <v>3.5</v>
      </c>
      <c r="AB71" s="75">
        <v>3.5</v>
      </c>
      <c r="AC71" s="75">
        <v>3.5</v>
      </c>
      <c r="AD71" s="75">
        <v>3.5</v>
      </c>
      <c r="AE71" s="75">
        <v>3.5</v>
      </c>
      <c r="AF71" s="75">
        <v>3.5</v>
      </c>
      <c r="AG71" s="65">
        <v>14.1</v>
      </c>
      <c r="AH71" s="48">
        <f t="shared" si="8"/>
        <v>7.4</v>
      </c>
      <c r="AI71" s="49">
        <f t="shared" si="9"/>
        <v>3.5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11</v>
      </c>
      <c r="BA71" s="80">
        <f t="shared" si="34"/>
        <v>12</v>
      </c>
      <c r="BB71" s="80">
        <f t="shared" si="34"/>
        <v>10.4</v>
      </c>
      <c r="BC71" s="80">
        <f t="shared" si="34"/>
        <v>10.5</v>
      </c>
      <c r="BD71" s="80">
        <f t="shared" si="34"/>
        <v>10.3</v>
      </c>
      <c r="BE71" s="81">
        <f t="shared" si="36"/>
        <v>11</v>
      </c>
      <c r="BF71" s="81">
        <f t="shared" si="37"/>
        <v>40</v>
      </c>
      <c r="BG71" s="81">
        <f t="shared" si="35"/>
        <v>36.5</v>
      </c>
      <c r="BH71" s="81">
        <f t="shared" si="35"/>
        <v>47.1</v>
      </c>
      <c r="BI71" s="81">
        <f t="shared" si="35"/>
        <v>44.3</v>
      </c>
      <c r="BJ71" s="81">
        <f t="shared" si="35"/>
        <v>40.4</v>
      </c>
      <c r="BK71" s="81">
        <f t="shared" si="35"/>
        <v>44.3</v>
      </c>
      <c r="BL71" s="81">
        <f t="shared" si="35"/>
        <v>40</v>
      </c>
      <c r="BM71" s="81">
        <f t="shared" si="35"/>
        <v>47.2</v>
      </c>
      <c r="BN71" s="81">
        <f t="shared" si="35"/>
        <v>45</v>
      </c>
      <c r="BO71" s="81">
        <f t="shared" si="35"/>
        <v>45.3</v>
      </c>
      <c r="BP71" s="81">
        <f t="shared" si="35"/>
        <v>45</v>
      </c>
      <c r="BQ71" s="81">
        <f t="shared" si="38"/>
        <v>26</v>
      </c>
      <c r="BR71" s="81">
        <f t="shared" si="39"/>
        <v>0</v>
      </c>
      <c r="BS71" s="80">
        <f t="shared" si="40"/>
        <v>0</v>
      </c>
      <c r="BT71" s="80">
        <f t="shared" si="41"/>
        <v>0</v>
      </c>
      <c r="BU71" s="80">
        <f t="shared" si="41"/>
        <v>28</v>
      </c>
      <c r="BV71" s="80">
        <f t="shared" si="41"/>
        <v>36.299999999999997</v>
      </c>
      <c r="BW71" s="80">
        <f t="shared" si="42"/>
        <v>0</v>
      </c>
    </row>
    <row r="72" spans="1:75" x14ac:dyDescent="0.25">
      <c r="A72" s="83" t="s">
        <v>93</v>
      </c>
      <c r="B72" s="75">
        <v>5.3</v>
      </c>
      <c r="C72" s="75">
        <v>5.3</v>
      </c>
      <c r="D72" s="75">
        <v>5.3</v>
      </c>
      <c r="E72" s="75">
        <v>6.6</v>
      </c>
      <c r="F72" s="75">
        <v>6.6</v>
      </c>
      <c r="G72" s="75">
        <v>6.6</v>
      </c>
      <c r="H72" s="75">
        <v>6.6</v>
      </c>
      <c r="I72" s="75">
        <v>6.6</v>
      </c>
      <c r="J72" s="75">
        <v>6.6</v>
      </c>
      <c r="K72" s="75">
        <v>6.6</v>
      </c>
      <c r="L72" s="75">
        <v>6.6</v>
      </c>
      <c r="M72" s="75">
        <v>6.6</v>
      </c>
      <c r="N72" s="75">
        <v>6.6</v>
      </c>
      <c r="O72" s="75">
        <v>6.6</v>
      </c>
      <c r="P72" s="75">
        <v>6.6</v>
      </c>
      <c r="Q72" s="75">
        <v>6.6</v>
      </c>
      <c r="R72" s="75">
        <v>6.6</v>
      </c>
      <c r="S72" s="75">
        <v>6.6</v>
      </c>
      <c r="T72" s="75">
        <v>6.6</v>
      </c>
      <c r="U72" s="75">
        <v>6.6</v>
      </c>
      <c r="V72" s="75">
        <v>6.6</v>
      </c>
      <c r="W72" s="75">
        <v>6.6</v>
      </c>
      <c r="X72" s="75">
        <v>6.6</v>
      </c>
      <c r="Y72" s="75">
        <v>6.6</v>
      </c>
      <c r="Z72" s="75">
        <v>6.6</v>
      </c>
      <c r="AA72" s="75">
        <v>6.6</v>
      </c>
      <c r="AB72" s="75">
        <v>6.6</v>
      </c>
      <c r="AC72" s="75">
        <v>6.6</v>
      </c>
      <c r="AD72" s="75">
        <v>6.6</v>
      </c>
      <c r="AE72" s="75">
        <v>6.6</v>
      </c>
      <c r="AF72" s="75">
        <v>6.6</v>
      </c>
      <c r="AG72" s="65">
        <v>14</v>
      </c>
      <c r="AH72" s="48">
        <f t="shared" si="8"/>
        <v>6.6</v>
      </c>
      <c r="AI72" s="49">
        <f t="shared" si="9"/>
        <v>5.3</v>
      </c>
      <c r="AK72" s="51"/>
      <c r="AY72" s="1" t="s">
        <v>94</v>
      </c>
      <c r="AZ72" s="81">
        <f>ROUND(C85,0)</f>
        <v>53</v>
      </c>
      <c r="BA72" s="80">
        <f t="shared" si="34"/>
        <v>52</v>
      </c>
      <c r="BB72" s="80">
        <f t="shared" si="34"/>
        <v>70</v>
      </c>
      <c r="BC72" s="80">
        <f t="shared" si="34"/>
        <v>69</v>
      </c>
      <c r="BD72" s="80">
        <f t="shared" si="34"/>
        <v>70.400000000000006</v>
      </c>
      <c r="BE72" s="81">
        <f t="shared" si="36"/>
        <v>70</v>
      </c>
      <c r="BF72" s="81">
        <f t="shared" si="37"/>
        <v>73</v>
      </c>
      <c r="BG72" s="81">
        <f t="shared" si="35"/>
        <v>80.7</v>
      </c>
      <c r="BH72" s="81">
        <f t="shared" si="35"/>
        <v>109.8</v>
      </c>
      <c r="BI72" s="81">
        <f t="shared" si="35"/>
        <v>144.80000000000001</v>
      </c>
      <c r="BJ72" s="81">
        <f t="shared" si="35"/>
        <v>138.69999999999999</v>
      </c>
      <c r="BK72" s="81">
        <f t="shared" si="35"/>
        <v>137.9</v>
      </c>
      <c r="BL72" s="81">
        <f t="shared" si="35"/>
        <v>131.9</v>
      </c>
      <c r="BM72" s="81">
        <f t="shared" si="35"/>
        <v>145</v>
      </c>
      <c r="BN72" s="81">
        <f t="shared" si="35"/>
        <v>45</v>
      </c>
      <c r="BO72" s="81">
        <f t="shared" si="35"/>
        <v>70</v>
      </c>
      <c r="BP72" s="81">
        <f t="shared" si="35"/>
        <v>108</v>
      </c>
      <c r="BQ72" s="81">
        <f t="shared" si="38"/>
        <v>100</v>
      </c>
      <c r="BR72" s="81">
        <f t="shared" si="39"/>
        <v>0</v>
      </c>
      <c r="BS72" s="80">
        <f t="shared" si="40"/>
        <v>0</v>
      </c>
      <c r="BT72" s="80">
        <f t="shared" si="41"/>
        <v>0</v>
      </c>
      <c r="BU72" s="80">
        <f t="shared" si="41"/>
        <v>0</v>
      </c>
      <c r="BV72" s="80">
        <f t="shared" si="41"/>
        <v>0</v>
      </c>
      <c r="BW72" s="80">
        <f t="shared" si="42"/>
        <v>0</v>
      </c>
    </row>
    <row r="73" spans="1:75" x14ac:dyDescent="0.25">
      <c r="A73" s="64" t="s">
        <v>95</v>
      </c>
      <c r="B73" s="75">
        <v>4</v>
      </c>
      <c r="C73" s="75">
        <v>4</v>
      </c>
      <c r="D73" s="75">
        <v>4</v>
      </c>
      <c r="E73" s="75">
        <v>4</v>
      </c>
      <c r="F73" s="75">
        <v>4</v>
      </c>
      <c r="G73" s="75">
        <v>4</v>
      </c>
      <c r="H73" s="75">
        <v>4</v>
      </c>
      <c r="I73" s="75">
        <v>4</v>
      </c>
      <c r="J73" s="75">
        <v>4</v>
      </c>
      <c r="K73" s="75">
        <v>4</v>
      </c>
      <c r="L73" s="75">
        <v>4</v>
      </c>
      <c r="M73" s="75">
        <v>4</v>
      </c>
      <c r="N73" s="75">
        <v>4</v>
      </c>
      <c r="O73" s="75">
        <v>4</v>
      </c>
      <c r="P73" s="75">
        <v>4</v>
      </c>
      <c r="Q73" s="75">
        <v>4</v>
      </c>
      <c r="R73" s="75">
        <v>4</v>
      </c>
      <c r="S73" s="75">
        <v>4</v>
      </c>
      <c r="T73" s="75">
        <v>4</v>
      </c>
      <c r="U73" s="75">
        <v>4</v>
      </c>
      <c r="V73" s="75">
        <v>4</v>
      </c>
      <c r="W73" s="75">
        <v>4</v>
      </c>
      <c r="X73" s="75">
        <v>4</v>
      </c>
      <c r="Y73" s="75">
        <v>4</v>
      </c>
      <c r="Z73" s="75">
        <v>4</v>
      </c>
      <c r="AA73" s="75">
        <v>4</v>
      </c>
      <c r="AB73" s="75">
        <v>4</v>
      </c>
      <c r="AC73" s="75">
        <v>4</v>
      </c>
      <c r="AD73" s="75">
        <v>4</v>
      </c>
      <c r="AE73" s="75">
        <v>4</v>
      </c>
      <c r="AF73" s="75">
        <v>4</v>
      </c>
      <c r="AG73" s="65">
        <v>10.050000000000001</v>
      </c>
      <c r="AH73" s="48">
        <f t="shared" si="8"/>
        <v>4</v>
      </c>
      <c r="AI73" s="49">
        <f t="shared" si="9"/>
        <v>4</v>
      </c>
      <c r="AK73" s="51"/>
      <c r="AY73" s="1" t="s">
        <v>96</v>
      </c>
      <c r="AZ73" s="81">
        <f>ROUND(C91,0)</f>
        <v>0</v>
      </c>
      <c r="BA73" s="81">
        <f>D91</f>
        <v>0</v>
      </c>
      <c r="BB73" s="81">
        <f>E91</f>
        <v>52.6</v>
      </c>
      <c r="BC73" s="81">
        <f>F91</f>
        <v>48.7</v>
      </c>
      <c r="BD73" s="81">
        <f>G91</f>
        <v>49.6</v>
      </c>
      <c r="BE73" s="81">
        <f>I91</f>
        <v>49.3</v>
      </c>
      <c r="BF73" s="81">
        <f>K91</f>
        <v>62.6</v>
      </c>
      <c r="BG73" s="81">
        <f t="shared" ref="BG73:BP73" si="43">M91</f>
        <v>64.3</v>
      </c>
      <c r="BH73" s="81">
        <f t="shared" si="43"/>
        <v>62.2</v>
      </c>
      <c r="BI73" s="81">
        <f t="shared" si="43"/>
        <v>71.099999999999994</v>
      </c>
      <c r="BJ73" s="81">
        <f t="shared" si="43"/>
        <v>75.5</v>
      </c>
      <c r="BK73" s="81">
        <f t="shared" si="43"/>
        <v>73.8</v>
      </c>
      <c r="BL73" s="81">
        <f t="shared" si="43"/>
        <v>63.7</v>
      </c>
      <c r="BM73" s="81">
        <f t="shared" si="43"/>
        <v>75.7</v>
      </c>
      <c r="BN73" s="81">
        <f t="shared" si="43"/>
        <v>70</v>
      </c>
      <c r="BO73" s="81">
        <f t="shared" si="43"/>
        <v>70</v>
      </c>
      <c r="BP73" s="81">
        <f t="shared" si="43"/>
        <v>69</v>
      </c>
      <c r="BQ73" s="81">
        <f>X91</f>
        <v>66</v>
      </c>
      <c r="BR73" s="81">
        <f>Z91</f>
        <v>78</v>
      </c>
      <c r="BS73" s="81">
        <f>AB91</f>
        <v>0</v>
      </c>
      <c r="BT73" s="81">
        <f>AD91</f>
        <v>0</v>
      </c>
      <c r="BU73" s="81">
        <f>AE91</f>
        <v>0</v>
      </c>
      <c r="BV73" s="81">
        <f>AF91</f>
        <v>0</v>
      </c>
      <c r="BW73" s="81">
        <f>B91</f>
        <v>72</v>
      </c>
    </row>
    <row r="74" spans="1:75" x14ac:dyDescent="0.25">
      <c r="A74" s="64" t="s">
        <v>97</v>
      </c>
      <c r="B74" s="75">
        <v>4</v>
      </c>
      <c r="C74" s="75">
        <v>4</v>
      </c>
      <c r="D74" s="75">
        <v>4</v>
      </c>
      <c r="E74" s="75">
        <v>4</v>
      </c>
      <c r="F74" s="75">
        <v>4</v>
      </c>
      <c r="G74" s="75">
        <v>4</v>
      </c>
      <c r="H74" s="75">
        <v>4</v>
      </c>
      <c r="I74" s="75">
        <v>4</v>
      </c>
      <c r="J74" s="75">
        <v>4</v>
      </c>
      <c r="K74" s="75">
        <v>4</v>
      </c>
      <c r="L74" s="75">
        <v>4</v>
      </c>
      <c r="M74" s="75">
        <v>4</v>
      </c>
      <c r="N74" s="75">
        <v>4</v>
      </c>
      <c r="O74" s="75">
        <v>4</v>
      </c>
      <c r="P74" s="75">
        <v>4</v>
      </c>
      <c r="Q74" s="75">
        <v>4</v>
      </c>
      <c r="R74" s="75">
        <v>4</v>
      </c>
      <c r="S74" s="75">
        <v>4</v>
      </c>
      <c r="T74" s="75">
        <v>4</v>
      </c>
      <c r="U74" s="75">
        <v>4</v>
      </c>
      <c r="V74" s="75">
        <v>4</v>
      </c>
      <c r="W74" s="75">
        <v>4</v>
      </c>
      <c r="X74" s="75">
        <v>4</v>
      </c>
      <c r="Y74" s="75">
        <v>4</v>
      </c>
      <c r="Z74" s="75">
        <v>4</v>
      </c>
      <c r="AA74" s="75">
        <v>4</v>
      </c>
      <c r="AB74" s="75">
        <v>4</v>
      </c>
      <c r="AC74" s="75">
        <v>4</v>
      </c>
      <c r="AD74" s="75">
        <v>4</v>
      </c>
      <c r="AE74" s="75">
        <v>4</v>
      </c>
      <c r="AF74" s="75">
        <v>4</v>
      </c>
      <c r="AG74" s="65">
        <v>6.2</v>
      </c>
      <c r="AH74" s="48">
        <f t="shared" si="8"/>
        <v>4</v>
      </c>
      <c r="AI74" s="49">
        <f t="shared" si="9"/>
        <v>4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</row>
    <row r="75" spans="1:75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>
        <v>3.54</v>
      </c>
      <c r="W75" s="84">
        <v>3.54</v>
      </c>
      <c r="X75" s="84">
        <v>3.54</v>
      </c>
      <c r="Y75" s="84">
        <v>3.5</v>
      </c>
      <c r="Z75" s="84">
        <v>3.54</v>
      </c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8"/>
        <v>3.54</v>
      </c>
      <c r="AI75" s="49">
        <f t="shared" si="9"/>
        <v>3.5</v>
      </c>
      <c r="AK75" s="51"/>
      <c r="AZ75" s="81">
        <f>VALUE(AZ68)</f>
        <v>28</v>
      </c>
      <c r="BA75" s="81">
        <f t="shared" ref="BA75:BW75" si="44">VALUE(BA68)</f>
        <v>24</v>
      </c>
      <c r="BB75" s="81">
        <f t="shared" si="44"/>
        <v>23.3</v>
      </c>
      <c r="BC75" s="81">
        <f t="shared" si="44"/>
        <v>21</v>
      </c>
      <c r="BD75" s="81">
        <f t="shared" si="44"/>
        <v>22</v>
      </c>
      <c r="BE75" s="81">
        <f t="shared" si="44"/>
        <v>25</v>
      </c>
      <c r="BF75" s="81">
        <f t="shared" si="44"/>
        <v>40</v>
      </c>
      <c r="BG75" s="81">
        <f t="shared" si="44"/>
        <v>39.6</v>
      </c>
      <c r="BH75" s="81">
        <f t="shared" si="44"/>
        <v>33.700000000000003</v>
      </c>
      <c r="BI75" s="81">
        <f t="shared" si="44"/>
        <v>43.7</v>
      </c>
      <c r="BJ75" s="81">
        <f t="shared" si="44"/>
        <v>43.5</v>
      </c>
      <c r="BK75" s="81">
        <f t="shared" si="44"/>
        <v>41.2</v>
      </c>
      <c r="BL75" s="81">
        <f t="shared" si="44"/>
        <v>47.2</v>
      </c>
      <c r="BM75" s="81">
        <f t="shared" si="44"/>
        <v>47.7</v>
      </c>
      <c r="BN75" s="81">
        <f t="shared" si="44"/>
        <v>40</v>
      </c>
      <c r="BO75" s="81">
        <f t="shared" si="44"/>
        <v>61</v>
      </c>
      <c r="BP75" s="81">
        <f t="shared" si="44"/>
        <v>62</v>
      </c>
      <c r="BQ75" s="81">
        <f t="shared" si="44"/>
        <v>48</v>
      </c>
      <c r="BR75" s="81">
        <f t="shared" si="44"/>
        <v>19</v>
      </c>
      <c r="BS75" s="81">
        <f t="shared" si="44"/>
        <v>15.9</v>
      </c>
      <c r="BT75" s="81">
        <f t="shared" si="44"/>
        <v>26.1</v>
      </c>
      <c r="BU75" s="81">
        <f t="shared" si="44"/>
        <v>27.5</v>
      </c>
      <c r="BV75" s="81">
        <f t="shared" si="44"/>
        <v>20.6</v>
      </c>
      <c r="BW75" s="81">
        <f t="shared" si="44"/>
        <v>36</v>
      </c>
    </row>
    <row r="76" spans="1:75" ht="15.75" thickBot="1" x14ac:dyDescent="0.3">
      <c r="A76" s="86" t="s">
        <v>99</v>
      </c>
      <c r="B76" s="70">
        <f t="shared" ref="B76" si="45">SUM(B63:B75)</f>
        <v>317.94000000000005</v>
      </c>
      <c r="C76" s="70">
        <f t="shared" ref="C76:AG76" si="46">SUM(C63:C75)</f>
        <v>332.24</v>
      </c>
      <c r="D76" s="70">
        <f t="shared" si="46"/>
        <v>329.84000000000003</v>
      </c>
      <c r="E76" s="70">
        <f t="shared" si="46"/>
        <v>280.04000000000002</v>
      </c>
      <c r="F76" s="70">
        <f t="shared" si="46"/>
        <v>268.64000000000004</v>
      </c>
      <c r="G76" s="70">
        <f t="shared" si="46"/>
        <v>268.64000000000004</v>
      </c>
      <c r="H76" s="70">
        <f t="shared" si="46"/>
        <v>266.83999999999997</v>
      </c>
      <c r="I76" s="70">
        <f t="shared" si="46"/>
        <v>244.73999999999998</v>
      </c>
      <c r="J76" s="70">
        <f t="shared" si="46"/>
        <v>226.43999999999997</v>
      </c>
      <c r="K76" s="70">
        <f t="shared" si="46"/>
        <v>195.83999999999997</v>
      </c>
      <c r="L76" s="70">
        <f t="shared" si="46"/>
        <v>195.83999999999997</v>
      </c>
      <c r="M76" s="70">
        <f t="shared" si="46"/>
        <v>228.13999999999996</v>
      </c>
      <c r="N76" s="70">
        <f t="shared" ref="N76:O76" si="47">SUM(N63:N75)</f>
        <v>246.84</v>
      </c>
      <c r="O76" s="70">
        <f t="shared" si="47"/>
        <v>243.73999999999998</v>
      </c>
      <c r="P76" s="70">
        <f t="shared" ref="P76:Q76" si="48">SUM(P63:P75)</f>
        <v>215.54</v>
      </c>
      <c r="Q76" s="70">
        <f t="shared" si="48"/>
        <v>188.23999999999998</v>
      </c>
      <c r="R76" s="70">
        <f t="shared" ref="R76" si="49">SUM(R63:R75)</f>
        <v>158.63999999999999</v>
      </c>
      <c r="S76" s="70">
        <f t="shared" si="46"/>
        <v>139.43999999999997</v>
      </c>
      <c r="T76" s="70">
        <f t="shared" si="46"/>
        <v>212.84</v>
      </c>
      <c r="U76" s="70">
        <f t="shared" si="46"/>
        <v>191.33999999999997</v>
      </c>
      <c r="V76" s="70">
        <f t="shared" si="46"/>
        <v>199.33999999999997</v>
      </c>
      <c r="W76" s="70">
        <f t="shared" si="46"/>
        <v>201.94</v>
      </c>
      <c r="X76" s="70">
        <f t="shared" si="46"/>
        <v>214.64</v>
      </c>
      <c r="Y76" s="70">
        <f>SUM(Y63:Y75)</f>
        <v>384.3</v>
      </c>
      <c r="Z76" s="70">
        <f>SUM(Z63:Z75)</f>
        <v>383.24</v>
      </c>
      <c r="AA76" s="70">
        <f t="shared" si="46"/>
        <v>378.34000000000003</v>
      </c>
      <c r="AB76" s="70">
        <f t="shared" si="46"/>
        <v>392.04000000000008</v>
      </c>
      <c r="AC76" s="70">
        <f t="shared" si="46"/>
        <v>379.04</v>
      </c>
      <c r="AD76" s="70">
        <f t="shared" si="46"/>
        <v>374.84000000000003</v>
      </c>
      <c r="AE76" s="70">
        <f t="shared" si="46"/>
        <v>286.34000000000003</v>
      </c>
      <c r="AF76" s="70">
        <f t="shared" si="46"/>
        <v>245.04</v>
      </c>
      <c r="AG76" s="71">
        <f t="shared" si="46"/>
        <v>489.91</v>
      </c>
      <c r="AH76" s="48">
        <f t="shared" si="8"/>
        <v>392.04000000000008</v>
      </c>
      <c r="AI76" s="49">
        <f t="shared" si="9"/>
        <v>139.43999999999997</v>
      </c>
      <c r="AK76" s="51"/>
      <c r="AZ76" s="81">
        <f t="shared" ref="AZ76:BW80" si="50">VALUE(AZ69)</f>
        <v>75</v>
      </c>
      <c r="BA76" s="81">
        <f t="shared" si="50"/>
        <v>0</v>
      </c>
      <c r="BB76" s="81">
        <f t="shared" si="50"/>
        <v>81</v>
      </c>
      <c r="BC76" s="81">
        <f t="shared" si="50"/>
        <v>63</v>
      </c>
      <c r="BD76" s="81">
        <f t="shared" si="50"/>
        <v>70</v>
      </c>
      <c r="BE76" s="81">
        <f t="shared" si="50"/>
        <v>75</v>
      </c>
      <c r="BF76" s="81">
        <f t="shared" si="50"/>
        <v>0</v>
      </c>
      <c r="BG76" s="81">
        <f t="shared" si="50"/>
        <v>0</v>
      </c>
      <c r="BH76" s="81">
        <f t="shared" si="50"/>
        <v>0</v>
      </c>
      <c r="BI76" s="81">
        <f t="shared" si="50"/>
        <v>0</v>
      </c>
      <c r="BJ76" s="81">
        <f t="shared" si="50"/>
        <v>0</v>
      </c>
      <c r="BK76" s="81">
        <f t="shared" si="50"/>
        <v>0</v>
      </c>
      <c r="BL76" s="81">
        <f t="shared" si="50"/>
        <v>0</v>
      </c>
      <c r="BM76" s="81">
        <f t="shared" si="50"/>
        <v>0</v>
      </c>
      <c r="BN76" s="81">
        <f t="shared" si="50"/>
        <v>0</v>
      </c>
      <c r="BO76" s="81">
        <f t="shared" si="50"/>
        <v>0</v>
      </c>
      <c r="BP76" s="81">
        <f t="shared" si="50"/>
        <v>0</v>
      </c>
      <c r="BQ76" s="81">
        <f t="shared" si="50"/>
        <v>0</v>
      </c>
      <c r="BR76" s="81">
        <f t="shared" si="50"/>
        <v>0</v>
      </c>
      <c r="BS76" s="81">
        <f t="shared" si="50"/>
        <v>0</v>
      </c>
      <c r="BT76" s="81">
        <f t="shared" si="50"/>
        <v>0</v>
      </c>
      <c r="BU76" s="81">
        <f t="shared" si="50"/>
        <v>0</v>
      </c>
      <c r="BV76" s="81">
        <f t="shared" si="50"/>
        <v>0</v>
      </c>
      <c r="BW76" s="81">
        <f t="shared" si="50"/>
        <v>0</v>
      </c>
    </row>
    <row r="77" spans="1:75" x14ac:dyDescent="0.25">
      <c r="A77" s="45" t="s">
        <v>100</v>
      </c>
      <c r="B77" s="46"/>
      <c r="C77" s="46">
        <v>40</v>
      </c>
      <c r="D77" s="46">
        <v>55</v>
      </c>
      <c r="E77" s="46">
        <v>30</v>
      </c>
      <c r="F77" s="46">
        <v>30</v>
      </c>
      <c r="G77" s="46">
        <v>30</v>
      </c>
      <c r="H77" s="46">
        <v>40</v>
      </c>
      <c r="I77" s="46">
        <v>40</v>
      </c>
      <c r="J77" s="46">
        <v>30</v>
      </c>
      <c r="K77" s="46">
        <v>0</v>
      </c>
      <c r="L77" s="46">
        <v>0</v>
      </c>
      <c r="M77" s="46">
        <v>0</v>
      </c>
      <c r="N77" s="46">
        <v>0</v>
      </c>
      <c r="O77" s="46">
        <v>0</v>
      </c>
      <c r="P77" s="46">
        <v>0</v>
      </c>
      <c r="Q77" s="46">
        <v>0</v>
      </c>
      <c r="R77" s="46">
        <v>0</v>
      </c>
      <c r="S77" s="46">
        <v>0</v>
      </c>
      <c r="T77" s="46">
        <v>0</v>
      </c>
      <c r="U77" s="46">
        <v>0</v>
      </c>
      <c r="V77" s="46"/>
      <c r="W77" s="46"/>
      <c r="X77" s="46"/>
      <c r="Y77" s="46"/>
      <c r="Z77" s="46"/>
      <c r="AA77" s="46"/>
      <c r="AB77" s="46">
        <v>60</v>
      </c>
      <c r="AC77" s="46">
        <v>60</v>
      </c>
      <c r="AD77" s="46">
        <v>60</v>
      </c>
      <c r="AE77" s="46">
        <v>60</v>
      </c>
      <c r="AF77" s="46">
        <v>50</v>
      </c>
      <c r="AG77" s="60">
        <v>60</v>
      </c>
      <c r="AH77" s="48">
        <f t="shared" si="8"/>
        <v>60</v>
      </c>
      <c r="AI77" s="49">
        <f t="shared" si="9"/>
        <v>0</v>
      </c>
      <c r="AK77" s="51"/>
      <c r="AZ77" s="81">
        <f t="shared" si="50"/>
        <v>0</v>
      </c>
      <c r="BA77" s="81">
        <f t="shared" si="50"/>
        <v>0</v>
      </c>
      <c r="BB77" s="81">
        <f t="shared" si="50"/>
        <v>22.3</v>
      </c>
      <c r="BC77" s="81">
        <f t="shared" si="50"/>
        <v>20</v>
      </c>
      <c r="BD77" s="81">
        <f t="shared" si="50"/>
        <v>64</v>
      </c>
      <c r="BE77" s="81">
        <f t="shared" si="50"/>
        <v>57</v>
      </c>
      <c r="BF77" s="81">
        <f t="shared" si="50"/>
        <v>368</v>
      </c>
      <c r="BG77" s="81">
        <f t="shared" si="50"/>
        <v>413</v>
      </c>
      <c r="BH77" s="81">
        <f t="shared" si="50"/>
        <v>370.1</v>
      </c>
      <c r="BI77" s="81">
        <f t="shared" si="50"/>
        <v>395.2</v>
      </c>
      <c r="BJ77" s="81">
        <f t="shared" si="50"/>
        <v>372.8</v>
      </c>
      <c r="BK77" s="81">
        <f t="shared" si="50"/>
        <v>370.6</v>
      </c>
      <c r="BL77" s="81">
        <f t="shared" si="50"/>
        <v>372.3</v>
      </c>
      <c r="BM77" s="81">
        <f t="shared" si="50"/>
        <v>390.7</v>
      </c>
      <c r="BN77" s="81">
        <f t="shared" si="50"/>
        <v>353</v>
      </c>
      <c r="BO77" s="81">
        <f t="shared" si="50"/>
        <v>431</v>
      </c>
      <c r="BP77" s="81">
        <f t="shared" si="50"/>
        <v>416</v>
      </c>
      <c r="BQ77" s="81">
        <f t="shared" si="50"/>
        <v>224</v>
      </c>
      <c r="BR77" s="81">
        <f t="shared" si="50"/>
        <v>-12</v>
      </c>
      <c r="BS77" s="81">
        <f t="shared" si="50"/>
        <v>45.2</v>
      </c>
      <c r="BT77" s="81">
        <f t="shared" si="50"/>
        <v>50</v>
      </c>
      <c r="BU77" s="81">
        <f t="shared" si="50"/>
        <v>32</v>
      </c>
      <c r="BV77" s="81">
        <f t="shared" si="50"/>
        <v>65.5</v>
      </c>
      <c r="BW77" s="81">
        <f t="shared" si="50"/>
        <v>0</v>
      </c>
    </row>
    <row r="78" spans="1:75" x14ac:dyDescent="0.25">
      <c r="A78" s="64" t="s">
        <v>101</v>
      </c>
      <c r="B78" s="75"/>
      <c r="C78" s="75">
        <v>13</v>
      </c>
      <c r="D78" s="75">
        <v>24</v>
      </c>
      <c r="E78" s="75">
        <v>13.8</v>
      </c>
      <c r="F78" s="75">
        <v>13.2</v>
      </c>
      <c r="G78" s="75">
        <v>13.2</v>
      </c>
      <c r="H78" s="75">
        <v>17.600000000000001</v>
      </c>
      <c r="I78" s="75">
        <v>14</v>
      </c>
      <c r="J78" s="75">
        <v>14</v>
      </c>
      <c r="K78" s="75">
        <v>0</v>
      </c>
      <c r="L78" s="75">
        <v>0</v>
      </c>
      <c r="M78" s="75">
        <v>0</v>
      </c>
      <c r="N78" s="75">
        <v>0</v>
      </c>
      <c r="O78" s="75">
        <v>0</v>
      </c>
      <c r="P78" s="75">
        <v>0</v>
      </c>
      <c r="Q78" s="75">
        <v>0</v>
      </c>
      <c r="R78" s="75">
        <v>0</v>
      </c>
      <c r="S78" s="75">
        <v>0</v>
      </c>
      <c r="T78" s="75">
        <v>0</v>
      </c>
      <c r="U78" s="75">
        <v>0</v>
      </c>
      <c r="V78" s="75"/>
      <c r="W78" s="75"/>
      <c r="X78" s="75"/>
      <c r="Y78" s="75"/>
      <c r="Z78" s="75"/>
      <c r="AA78" s="75"/>
      <c r="AB78" s="75">
        <v>27.4</v>
      </c>
      <c r="AC78" s="75">
        <v>28.1</v>
      </c>
      <c r="AD78" s="75">
        <v>28.1</v>
      </c>
      <c r="AE78" s="75">
        <v>27.7</v>
      </c>
      <c r="AF78" s="75">
        <v>20.9</v>
      </c>
      <c r="AG78" s="65">
        <v>32</v>
      </c>
      <c r="AH78" s="48">
        <f t="shared" si="8"/>
        <v>28.1</v>
      </c>
      <c r="AI78" s="49">
        <f t="shared" si="9"/>
        <v>0</v>
      </c>
      <c r="AK78" s="51"/>
      <c r="AZ78" s="81">
        <f t="shared" si="50"/>
        <v>11</v>
      </c>
      <c r="BA78" s="81">
        <f t="shared" si="50"/>
        <v>12</v>
      </c>
      <c r="BB78" s="81">
        <f t="shared" si="50"/>
        <v>10.4</v>
      </c>
      <c r="BC78" s="81">
        <f t="shared" si="50"/>
        <v>10.5</v>
      </c>
      <c r="BD78" s="81">
        <f t="shared" si="50"/>
        <v>10.3</v>
      </c>
      <c r="BE78" s="81">
        <f t="shared" si="50"/>
        <v>11</v>
      </c>
      <c r="BF78" s="81">
        <f t="shared" si="50"/>
        <v>40</v>
      </c>
      <c r="BG78" s="81">
        <f t="shared" si="50"/>
        <v>36.5</v>
      </c>
      <c r="BH78" s="81">
        <f t="shared" si="50"/>
        <v>47.1</v>
      </c>
      <c r="BI78" s="81">
        <f t="shared" si="50"/>
        <v>44.3</v>
      </c>
      <c r="BJ78" s="81">
        <f t="shared" si="50"/>
        <v>40.4</v>
      </c>
      <c r="BK78" s="81">
        <f t="shared" si="50"/>
        <v>44.3</v>
      </c>
      <c r="BL78" s="81">
        <f t="shared" si="50"/>
        <v>40</v>
      </c>
      <c r="BM78" s="81">
        <f t="shared" si="50"/>
        <v>47.2</v>
      </c>
      <c r="BN78" s="81">
        <f t="shared" si="50"/>
        <v>45</v>
      </c>
      <c r="BO78" s="81">
        <f t="shared" si="50"/>
        <v>45.3</v>
      </c>
      <c r="BP78" s="81">
        <f t="shared" si="50"/>
        <v>45</v>
      </c>
      <c r="BQ78" s="81">
        <f t="shared" si="50"/>
        <v>26</v>
      </c>
      <c r="BR78" s="81">
        <f t="shared" si="50"/>
        <v>0</v>
      </c>
      <c r="BS78" s="81">
        <f t="shared" si="50"/>
        <v>0</v>
      </c>
      <c r="BT78" s="81">
        <f t="shared" si="50"/>
        <v>0</v>
      </c>
      <c r="BU78" s="81">
        <f t="shared" si="50"/>
        <v>28</v>
      </c>
      <c r="BV78" s="81">
        <f t="shared" si="50"/>
        <v>36.299999999999997</v>
      </c>
      <c r="BW78" s="81">
        <f t="shared" si="50"/>
        <v>0</v>
      </c>
    </row>
    <row r="79" spans="1:75" ht="15.75" thickBot="1" x14ac:dyDescent="0.3">
      <c r="A79" s="83" t="s">
        <v>102</v>
      </c>
      <c r="B79" s="77"/>
      <c r="C79" s="77">
        <v>4.8</v>
      </c>
      <c r="D79" s="77">
        <v>8.6999999999999993</v>
      </c>
      <c r="E79" s="77">
        <v>5</v>
      </c>
      <c r="F79" s="77">
        <v>4.8</v>
      </c>
      <c r="G79" s="77">
        <v>4.8</v>
      </c>
      <c r="H79" s="77">
        <v>6.7</v>
      </c>
      <c r="I79" s="77">
        <v>5</v>
      </c>
      <c r="J79" s="77">
        <v>5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/>
      <c r="W79" s="77"/>
      <c r="X79" s="77"/>
      <c r="Y79" s="77"/>
      <c r="Z79" s="77"/>
      <c r="AA79" s="77"/>
      <c r="AB79" s="77">
        <v>10</v>
      </c>
      <c r="AC79" s="77">
        <v>10.199999999999999</v>
      </c>
      <c r="AD79" s="77">
        <v>10.199999999999999</v>
      </c>
      <c r="AE79" s="77">
        <v>10.1</v>
      </c>
      <c r="AF79" s="77">
        <v>7.6</v>
      </c>
      <c r="AG79" s="78">
        <v>14</v>
      </c>
      <c r="AH79" s="48">
        <f t="shared" si="8"/>
        <v>10.199999999999999</v>
      </c>
      <c r="AI79" s="49">
        <f t="shared" si="9"/>
        <v>0</v>
      </c>
      <c r="AK79" s="51"/>
      <c r="AZ79" s="81">
        <f t="shared" si="50"/>
        <v>53</v>
      </c>
      <c r="BA79" s="81">
        <f t="shared" si="50"/>
        <v>52</v>
      </c>
      <c r="BB79" s="81">
        <f t="shared" si="50"/>
        <v>70</v>
      </c>
      <c r="BC79" s="81">
        <f t="shared" si="50"/>
        <v>69</v>
      </c>
      <c r="BD79" s="81">
        <f t="shared" si="50"/>
        <v>70.400000000000006</v>
      </c>
      <c r="BE79" s="81">
        <f t="shared" si="50"/>
        <v>70</v>
      </c>
      <c r="BF79" s="81">
        <f t="shared" si="50"/>
        <v>73</v>
      </c>
      <c r="BG79" s="81">
        <f t="shared" si="50"/>
        <v>80.7</v>
      </c>
      <c r="BH79" s="81">
        <f t="shared" si="50"/>
        <v>109.8</v>
      </c>
      <c r="BI79" s="81">
        <f t="shared" si="50"/>
        <v>144.80000000000001</v>
      </c>
      <c r="BJ79" s="81">
        <f t="shared" si="50"/>
        <v>138.69999999999999</v>
      </c>
      <c r="BK79" s="81">
        <f t="shared" si="50"/>
        <v>137.9</v>
      </c>
      <c r="BL79" s="81">
        <f t="shared" si="50"/>
        <v>131.9</v>
      </c>
      <c r="BM79" s="81">
        <f t="shared" si="50"/>
        <v>145</v>
      </c>
      <c r="BN79" s="81">
        <f t="shared" si="50"/>
        <v>45</v>
      </c>
      <c r="BO79" s="81">
        <f t="shared" si="50"/>
        <v>70</v>
      </c>
      <c r="BP79" s="81">
        <f t="shared" si="50"/>
        <v>108</v>
      </c>
      <c r="BQ79" s="81">
        <f t="shared" si="50"/>
        <v>100</v>
      </c>
      <c r="BR79" s="81">
        <f t="shared" si="50"/>
        <v>0</v>
      </c>
      <c r="BS79" s="81">
        <f t="shared" si="50"/>
        <v>0</v>
      </c>
      <c r="BT79" s="81">
        <f t="shared" si="50"/>
        <v>0</v>
      </c>
      <c r="BU79" s="81">
        <f t="shared" si="50"/>
        <v>0</v>
      </c>
      <c r="BV79" s="81">
        <f t="shared" si="50"/>
        <v>0</v>
      </c>
      <c r="BW79" s="81">
        <f t="shared" si="50"/>
        <v>0</v>
      </c>
    </row>
    <row r="80" spans="1:75" ht="15.75" thickBot="1" x14ac:dyDescent="0.3">
      <c r="A80" s="86" t="s">
        <v>103</v>
      </c>
      <c r="B80" s="70">
        <f t="shared" ref="B80" si="51">B77+B78+B79</f>
        <v>0</v>
      </c>
      <c r="C80" s="70">
        <f t="shared" ref="C80:AF80" si="52">C77+C78+C79</f>
        <v>57.8</v>
      </c>
      <c r="D80" s="70">
        <f t="shared" si="52"/>
        <v>87.7</v>
      </c>
      <c r="E80" s="70">
        <f t="shared" si="52"/>
        <v>48.8</v>
      </c>
      <c r="F80" s="70">
        <f t="shared" si="52"/>
        <v>48</v>
      </c>
      <c r="G80" s="70">
        <f t="shared" si="52"/>
        <v>48</v>
      </c>
      <c r="H80" s="70">
        <f t="shared" si="52"/>
        <v>64.3</v>
      </c>
      <c r="I80" s="70">
        <f t="shared" si="52"/>
        <v>59</v>
      </c>
      <c r="J80" s="70">
        <f t="shared" si="52"/>
        <v>49</v>
      </c>
      <c r="K80" s="70">
        <f t="shared" si="52"/>
        <v>0</v>
      </c>
      <c r="L80" s="70">
        <f t="shared" si="52"/>
        <v>0</v>
      </c>
      <c r="M80" s="70">
        <f t="shared" si="52"/>
        <v>0</v>
      </c>
      <c r="N80" s="70">
        <f t="shared" ref="N80:O80" si="53">N77+N78+N79</f>
        <v>0</v>
      </c>
      <c r="O80" s="70">
        <f t="shared" si="53"/>
        <v>0</v>
      </c>
      <c r="P80" s="70">
        <f t="shared" ref="P80:Q80" si="54">P77+P78+P79</f>
        <v>0</v>
      </c>
      <c r="Q80" s="70">
        <f t="shared" si="54"/>
        <v>0</v>
      </c>
      <c r="R80" s="70">
        <f t="shared" ref="R80" si="55">R77+R78+R79</f>
        <v>0</v>
      </c>
      <c r="S80" s="70">
        <f>S77+S78+S79</f>
        <v>0</v>
      </c>
      <c r="T80" s="70">
        <f>T77+T78+T79</f>
        <v>0</v>
      </c>
      <c r="U80" s="70">
        <f t="shared" si="52"/>
        <v>0</v>
      </c>
      <c r="V80" s="70">
        <f t="shared" si="52"/>
        <v>0</v>
      </c>
      <c r="W80" s="70">
        <f t="shared" si="52"/>
        <v>0</v>
      </c>
      <c r="X80" s="70">
        <f t="shared" si="52"/>
        <v>0</v>
      </c>
      <c r="Y80" s="70">
        <f>Y77+Y78+Y79</f>
        <v>0</v>
      </c>
      <c r="Z80" s="70">
        <f>Z77+Z78+Z79</f>
        <v>0</v>
      </c>
      <c r="AA80" s="70">
        <f t="shared" si="52"/>
        <v>0</v>
      </c>
      <c r="AB80" s="70">
        <f t="shared" si="52"/>
        <v>97.4</v>
      </c>
      <c r="AC80" s="70">
        <f t="shared" si="52"/>
        <v>98.3</v>
      </c>
      <c r="AD80" s="70">
        <f t="shared" si="52"/>
        <v>98.3</v>
      </c>
      <c r="AE80" s="70">
        <f t="shared" si="52"/>
        <v>97.8</v>
      </c>
      <c r="AF80" s="70">
        <f t="shared" si="52"/>
        <v>78.5</v>
      </c>
      <c r="AG80" s="71">
        <f>SUM(AG77:AG79)</f>
        <v>106</v>
      </c>
      <c r="AH80" s="48">
        <f t="shared" si="8"/>
        <v>98.3</v>
      </c>
      <c r="AI80" s="49">
        <f t="shared" si="9"/>
        <v>0</v>
      </c>
      <c r="AK80" s="51"/>
      <c r="AZ80" s="81">
        <f t="shared" si="50"/>
        <v>0</v>
      </c>
      <c r="BA80" s="81">
        <f t="shared" si="50"/>
        <v>0</v>
      </c>
      <c r="BB80" s="81">
        <f t="shared" si="50"/>
        <v>52.6</v>
      </c>
      <c r="BC80" s="81">
        <f t="shared" si="50"/>
        <v>48.7</v>
      </c>
      <c r="BD80" s="81">
        <f t="shared" si="50"/>
        <v>49.6</v>
      </c>
      <c r="BE80" s="81">
        <f t="shared" si="50"/>
        <v>49.3</v>
      </c>
      <c r="BF80" s="81">
        <f t="shared" si="50"/>
        <v>62.6</v>
      </c>
      <c r="BG80" s="81">
        <f t="shared" si="50"/>
        <v>64.3</v>
      </c>
      <c r="BH80" s="81">
        <f t="shared" si="50"/>
        <v>62.2</v>
      </c>
      <c r="BI80" s="81">
        <f t="shared" si="50"/>
        <v>71.099999999999994</v>
      </c>
      <c r="BJ80" s="81">
        <f t="shared" si="50"/>
        <v>75.5</v>
      </c>
      <c r="BK80" s="81">
        <f t="shared" si="50"/>
        <v>73.8</v>
      </c>
      <c r="BL80" s="81">
        <f t="shared" si="50"/>
        <v>63.7</v>
      </c>
      <c r="BM80" s="81">
        <f t="shared" si="50"/>
        <v>75.7</v>
      </c>
      <c r="BN80" s="81">
        <f t="shared" si="50"/>
        <v>70</v>
      </c>
      <c r="BO80" s="81">
        <f t="shared" si="50"/>
        <v>70</v>
      </c>
      <c r="BP80" s="81">
        <f t="shared" si="50"/>
        <v>69</v>
      </c>
      <c r="BQ80" s="81">
        <f t="shared" si="50"/>
        <v>66</v>
      </c>
      <c r="BR80" s="81">
        <f t="shared" si="50"/>
        <v>78</v>
      </c>
      <c r="BS80" s="81">
        <f t="shared" si="50"/>
        <v>0</v>
      </c>
      <c r="BT80" s="81">
        <f t="shared" si="50"/>
        <v>0</v>
      </c>
      <c r="BU80" s="81">
        <f t="shared" si="50"/>
        <v>0</v>
      </c>
      <c r="BV80" s="81">
        <f t="shared" si="50"/>
        <v>0</v>
      </c>
      <c r="BW80" s="81">
        <f t="shared" si="50"/>
        <v>72</v>
      </c>
    </row>
    <row r="81" spans="1:64" x14ac:dyDescent="0.25">
      <c r="A81" s="45" t="s">
        <v>104</v>
      </c>
      <c r="B81" s="46">
        <v>36</v>
      </c>
      <c r="C81" s="46">
        <v>28</v>
      </c>
      <c r="D81" s="46">
        <v>24</v>
      </c>
      <c r="E81" s="46">
        <v>23.3</v>
      </c>
      <c r="F81" s="46">
        <v>21</v>
      </c>
      <c r="G81" s="46">
        <v>22</v>
      </c>
      <c r="H81" s="46">
        <v>23.3</v>
      </c>
      <c r="I81" s="46">
        <v>25</v>
      </c>
      <c r="J81" s="46">
        <v>28.7</v>
      </c>
      <c r="K81" s="46">
        <v>40</v>
      </c>
      <c r="L81" s="46">
        <v>43</v>
      </c>
      <c r="M81" s="46">
        <v>39.6</v>
      </c>
      <c r="N81" s="46">
        <v>33.700000000000003</v>
      </c>
      <c r="O81" s="46">
        <v>43.7</v>
      </c>
      <c r="P81" s="46">
        <v>43.5</v>
      </c>
      <c r="Q81" s="46">
        <v>41.2</v>
      </c>
      <c r="R81" s="46">
        <v>47.2</v>
      </c>
      <c r="S81" s="46">
        <v>47.7</v>
      </c>
      <c r="T81" s="46">
        <v>40</v>
      </c>
      <c r="U81" s="46">
        <v>61</v>
      </c>
      <c r="V81" s="46">
        <v>62</v>
      </c>
      <c r="W81" s="46">
        <v>63.1</v>
      </c>
      <c r="X81" s="46">
        <v>48</v>
      </c>
      <c r="Y81" s="46">
        <v>6.1</v>
      </c>
      <c r="Z81" s="46">
        <v>19</v>
      </c>
      <c r="AA81" s="46">
        <v>21</v>
      </c>
      <c r="AB81" s="46">
        <v>15.9</v>
      </c>
      <c r="AC81" s="46">
        <v>28.8</v>
      </c>
      <c r="AD81" s="46">
        <v>26.1</v>
      </c>
      <c r="AE81" s="46">
        <v>27.5</v>
      </c>
      <c r="AF81" s="46">
        <v>20.6</v>
      </c>
      <c r="AG81" s="60"/>
      <c r="AH81" s="48">
        <f t="shared" si="8"/>
        <v>63.1</v>
      </c>
      <c r="AI81" s="49">
        <f t="shared" si="9"/>
        <v>6.1</v>
      </c>
      <c r="AK81" s="51"/>
      <c r="AY81" s="81"/>
    </row>
    <row r="82" spans="1:64" x14ac:dyDescent="0.25">
      <c r="A82" s="64" t="s">
        <v>105</v>
      </c>
      <c r="B82" s="75">
        <v>0</v>
      </c>
      <c r="C82" s="75">
        <v>75</v>
      </c>
      <c r="D82" s="75">
        <v>0</v>
      </c>
      <c r="E82" s="75">
        <v>81</v>
      </c>
      <c r="F82" s="75">
        <v>63</v>
      </c>
      <c r="G82" s="75">
        <v>70</v>
      </c>
      <c r="H82" s="75">
        <v>69</v>
      </c>
      <c r="I82" s="75">
        <v>75</v>
      </c>
      <c r="J82" s="75">
        <v>0</v>
      </c>
      <c r="K82" s="75">
        <v>0</v>
      </c>
      <c r="L82" s="75">
        <v>0</v>
      </c>
      <c r="M82" s="75">
        <v>0</v>
      </c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65"/>
      <c r="AH82" s="48">
        <f t="shared" ref="AH82:AH125" si="56">MAX(B82:AF82)</f>
        <v>81</v>
      </c>
      <c r="AI82" s="49">
        <f t="shared" ref="AI82:AI125" si="57">MIN(B82:AF82)</f>
        <v>0</v>
      </c>
      <c r="AK82" s="51"/>
      <c r="AY82" s="81"/>
      <c r="BF82" s="81"/>
      <c r="BG82" s="81"/>
      <c r="BH82" s="81"/>
      <c r="BI82" s="81"/>
      <c r="BJ82" s="81"/>
      <c r="BK82" s="81"/>
    </row>
    <row r="83" spans="1:64" x14ac:dyDescent="0.25">
      <c r="A83" s="64" t="s">
        <v>106</v>
      </c>
      <c r="B83" s="75">
        <v>0</v>
      </c>
      <c r="C83" s="75">
        <v>0</v>
      </c>
      <c r="D83" s="75">
        <v>0</v>
      </c>
      <c r="E83" s="75">
        <v>22.3</v>
      </c>
      <c r="F83" s="75">
        <v>20</v>
      </c>
      <c r="G83" s="75">
        <v>64</v>
      </c>
      <c r="H83" s="75">
        <v>57.1</v>
      </c>
      <c r="I83" s="75">
        <v>57</v>
      </c>
      <c r="J83" s="75">
        <v>205</v>
      </c>
      <c r="K83" s="75">
        <v>368</v>
      </c>
      <c r="L83" s="75">
        <v>400</v>
      </c>
      <c r="M83" s="75">
        <v>413</v>
      </c>
      <c r="N83" s="75">
        <v>370.1</v>
      </c>
      <c r="O83" s="75">
        <v>395.2</v>
      </c>
      <c r="P83" s="75">
        <v>372.8</v>
      </c>
      <c r="Q83" s="75">
        <v>370.6</v>
      </c>
      <c r="R83" s="75">
        <v>372.3</v>
      </c>
      <c r="S83" s="75">
        <v>390.7</v>
      </c>
      <c r="T83" s="75">
        <v>353</v>
      </c>
      <c r="U83" s="75">
        <v>431</v>
      </c>
      <c r="V83" s="75">
        <v>416</v>
      </c>
      <c r="W83" s="75">
        <v>348</v>
      </c>
      <c r="X83" s="75">
        <v>224</v>
      </c>
      <c r="Y83" s="75">
        <v>6.4</v>
      </c>
      <c r="Z83" s="75">
        <v>-12</v>
      </c>
      <c r="AA83" s="75">
        <v>-0.9</v>
      </c>
      <c r="AB83" s="75">
        <v>45.2</v>
      </c>
      <c r="AC83" s="75">
        <v>39.799999999999997</v>
      </c>
      <c r="AD83" s="75">
        <v>50</v>
      </c>
      <c r="AE83" s="75">
        <v>32</v>
      </c>
      <c r="AF83" s="75">
        <v>65.5</v>
      </c>
      <c r="AG83" s="87"/>
      <c r="AH83" s="48">
        <f t="shared" si="56"/>
        <v>431</v>
      </c>
      <c r="AI83" s="49">
        <f t="shared" si="57"/>
        <v>-12</v>
      </c>
      <c r="AK83" s="51"/>
      <c r="AY83" s="81"/>
      <c r="BF83" s="80"/>
      <c r="BG83" s="80"/>
      <c r="BH83" s="80"/>
      <c r="BI83" s="80"/>
      <c r="BJ83" s="80"/>
      <c r="BK83" s="81"/>
    </row>
    <row r="84" spans="1:64" x14ac:dyDescent="0.25">
      <c r="A84" s="64" t="s">
        <v>107</v>
      </c>
      <c r="B84" s="75">
        <v>0</v>
      </c>
      <c r="C84" s="75">
        <v>11</v>
      </c>
      <c r="D84" s="75">
        <v>12</v>
      </c>
      <c r="E84" s="88">
        <v>10.4</v>
      </c>
      <c r="F84" s="88">
        <v>10.5</v>
      </c>
      <c r="G84" s="88">
        <v>10.3</v>
      </c>
      <c r="H84" s="88">
        <v>10.5</v>
      </c>
      <c r="I84" s="88">
        <v>11</v>
      </c>
      <c r="J84" s="88">
        <v>17</v>
      </c>
      <c r="K84" s="88">
        <v>40</v>
      </c>
      <c r="L84" s="88">
        <v>36.5</v>
      </c>
      <c r="M84" s="88">
        <v>36.5</v>
      </c>
      <c r="N84" s="88">
        <v>47.1</v>
      </c>
      <c r="O84" s="88">
        <v>44.3</v>
      </c>
      <c r="P84" s="88">
        <v>40.4</v>
      </c>
      <c r="Q84" s="88">
        <v>44.3</v>
      </c>
      <c r="R84" s="88">
        <v>40</v>
      </c>
      <c r="S84" s="88">
        <v>47.2</v>
      </c>
      <c r="T84" s="88">
        <v>45</v>
      </c>
      <c r="U84" s="88">
        <v>45.3</v>
      </c>
      <c r="V84" s="88">
        <v>45</v>
      </c>
      <c r="W84" s="88">
        <v>46.7</v>
      </c>
      <c r="X84" s="88">
        <v>26</v>
      </c>
      <c r="Y84" s="88">
        <v>0</v>
      </c>
      <c r="Z84" s="88">
        <v>0</v>
      </c>
      <c r="AA84" s="88">
        <v>0</v>
      </c>
      <c r="AB84" s="88">
        <v>0</v>
      </c>
      <c r="AC84" s="88">
        <v>0</v>
      </c>
      <c r="AD84" s="88">
        <v>0</v>
      </c>
      <c r="AE84" s="88">
        <v>28</v>
      </c>
      <c r="AF84" s="88">
        <v>36.299999999999997</v>
      </c>
      <c r="AG84" s="87"/>
      <c r="AH84" s="48">
        <f t="shared" si="56"/>
        <v>47.2</v>
      </c>
      <c r="AI84" s="49">
        <f t="shared" si="57"/>
        <v>0</v>
      </c>
      <c r="AK84" s="51"/>
      <c r="AY84" s="81"/>
      <c r="BF84" s="80"/>
      <c r="BG84" s="81">
        <f t="array" ref="BG84:BL107">TRANSPOSE(AZ68:BW73)</f>
        <v>28</v>
      </c>
      <c r="BH84" s="81">
        <v>75</v>
      </c>
      <c r="BI84" s="81">
        <v>0</v>
      </c>
      <c r="BJ84" s="81">
        <v>11</v>
      </c>
      <c r="BK84" s="81">
        <v>53</v>
      </c>
      <c r="BL84" s="81">
        <v>0</v>
      </c>
    </row>
    <row r="85" spans="1:64" x14ac:dyDescent="0.25">
      <c r="A85" s="64" t="s">
        <v>108</v>
      </c>
      <c r="B85" s="46">
        <v>0</v>
      </c>
      <c r="C85" s="46">
        <v>53</v>
      </c>
      <c r="D85" s="46">
        <v>52</v>
      </c>
      <c r="E85" s="46">
        <v>70</v>
      </c>
      <c r="F85" s="46">
        <v>69</v>
      </c>
      <c r="G85" s="46">
        <v>70.400000000000006</v>
      </c>
      <c r="H85" s="46">
        <v>64.900000000000006</v>
      </c>
      <c r="I85" s="46">
        <v>70</v>
      </c>
      <c r="J85" s="46">
        <v>75.3</v>
      </c>
      <c r="K85" s="46">
        <v>73</v>
      </c>
      <c r="L85" s="46">
        <v>73</v>
      </c>
      <c r="M85" s="46">
        <v>80.7</v>
      </c>
      <c r="N85" s="46">
        <v>109.8</v>
      </c>
      <c r="O85" s="46">
        <v>144.80000000000001</v>
      </c>
      <c r="P85" s="46">
        <v>138.69999999999999</v>
      </c>
      <c r="Q85" s="46">
        <v>137.9</v>
      </c>
      <c r="R85" s="46">
        <v>131.9</v>
      </c>
      <c r="S85" s="46">
        <v>145</v>
      </c>
      <c r="T85" s="46">
        <v>45</v>
      </c>
      <c r="U85" s="46">
        <v>70</v>
      </c>
      <c r="V85" s="46">
        <v>108</v>
      </c>
      <c r="W85" s="46">
        <v>128</v>
      </c>
      <c r="X85" s="46">
        <v>100</v>
      </c>
      <c r="Y85" s="46">
        <v>0</v>
      </c>
      <c r="Z85" s="46">
        <v>0</v>
      </c>
      <c r="AA85" s="46">
        <v>0</v>
      </c>
      <c r="AB85" s="46">
        <v>0</v>
      </c>
      <c r="AC85" s="46">
        <v>0</v>
      </c>
      <c r="AD85" s="46">
        <v>0</v>
      </c>
      <c r="AE85" s="46">
        <v>0</v>
      </c>
      <c r="AF85" s="46"/>
      <c r="AG85" s="87"/>
      <c r="AH85" s="48">
        <f t="shared" si="56"/>
        <v>145</v>
      </c>
      <c r="AI85" s="49">
        <f t="shared" si="57"/>
        <v>0</v>
      </c>
      <c r="AK85" s="51"/>
      <c r="AY85" s="81"/>
      <c r="BF85" s="80"/>
      <c r="BG85" s="81">
        <v>24</v>
      </c>
      <c r="BH85" s="81">
        <v>0</v>
      </c>
      <c r="BI85" s="81">
        <v>0</v>
      </c>
      <c r="BJ85" s="81">
        <v>12</v>
      </c>
      <c r="BK85" s="81">
        <v>52</v>
      </c>
      <c r="BL85" s="81">
        <v>0</v>
      </c>
    </row>
    <row r="86" spans="1:64" x14ac:dyDescent="0.25">
      <c r="A86" s="64" t="s">
        <v>109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>
        <v>0</v>
      </c>
      <c r="AF86" s="89"/>
      <c r="AG86" s="87"/>
      <c r="AH86" s="48">
        <f t="shared" si="56"/>
        <v>0</v>
      </c>
      <c r="AI86" s="49">
        <f t="shared" si="57"/>
        <v>0</v>
      </c>
      <c r="AK86" s="51"/>
      <c r="AY86" s="81"/>
      <c r="BF86" s="80"/>
      <c r="BG86" s="81">
        <v>23.3</v>
      </c>
      <c r="BH86" s="81">
        <v>81</v>
      </c>
      <c r="BI86" s="81">
        <v>22.3</v>
      </c>
      <c r="BJ86" s="81">
        <v>10.4</v>
      </c>
      <c r="BK86" s="81">
        <v>70</v>
      </c>
      <c r="BL86" s="81">
        <v>52.6</v>
      </c>
    </row>
    <row r="87" spans="1:64" ht="15.75" thickBot="1" x14ac:dyDescent="0.3">
      <c r="A87" s="64" t="s">
        <v>110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>
        <v>0</v>
      </c>
      <c r="AF87" s="89"/>
      <c r="AG87" s="87"/>
      <c r="AH87" s="48">
        <f t="shared" si="56"/>
        <v>0</v>
      </c>
      <c r="AI87" s="49">
        <f t="shared" si="57"/>
        <v>0</v>
      </c>
      <c r="AK87" s="51"/>
      <c r="AL87" s="90" t="s">
        <v>111</v>
      </c>
      <c r="AM87" s="90"/>
      <c r="AY87" s="81"/>
      <c r="BF87" s="81"/>
      <c r="BG87" s="81">
        <v>21</v>
      </c>
      <c r="BH87" s="81">
        <v>63</v>
      </c>
      <c r="BI87" s="81">
        <v>20</v>
      </c>
      <c r="BJ87" s="81">
        <v>10.5</v>
      </c>
      <c r="BK87" s="81">
        <v>69</v>
      </c>
      <c r="BL87" s="81">
        <v>48.7</v>
      </c>
    </row>
    <row r="88" spans="1:64" x14ac:dyDescent="0.25">
      <c r="A88" s="64" t="s">
        <v>112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>
        <v>0</v>
      </c>
      <c r="AF88" s="89"/>
      <c r="AG88" s="87"/>
      <c r="AH88" s="48">
        <f t="shared" si="56"/>
        <v>0</v>
      </c>
      <c r="AI88" s="49">
        <f t="shared" si="57"/>
        <v>0</v>
      </c>
      <c r="AK88" s="91"/>
      <c r="AL88" s="92"/>
      <c r="AM88" s="92"/>
      <c r="AN88" s="93"/>
      <c r="AY88" s="81"/>
      <c r="BF88" s="81"/>
      <c r="BG88" s="81">
        <v>22</v>
      </c>
      <c r="BH88" s="81">
        <v>70</v>
      </c>
      <c r="BI88" s="81">
        <v>64</v>
      </c>
      <c r="BJ88" s="81">
        <v>10.3</v>
      </c>
      <c r="BK88" s="81">
        <v>70.400000000000006</v>
      </c>
      <c r="BL88" s="81">
        <v>49.6</v>
      </c>
    </row>
    <row r="89" spans="1:64" x14ac:dyDescent="0.25">
      <c r="A89" s="64" t="s">
        <v>113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>
        <v>0</v>
      </c>
      <c r="AF89" s="89"/>
      <c r="AG89" s="87"/>
      <c r="AH89" s="48">
        <f t="shared" si="56"/>
        <v>0</v>
      </c>
      <c r="AI89" s="49">
        <f t="shared" si="57"/>
        <v>0</v>
      </c>
      <c r="AK89" s="94" t="s">
        <v>114</v>
      </c>
      <c r="AL89" s="75"/>
      <c r="AM89" s="88"/>
      <c r="AN89" s="95"/>
      <c r="AY89" s="81"/>
      <c r="BF89" s="81"/>
      <c r="BG89" s="81">
        <v>25</v>
      </c>
      <c r="BH89" s="81">
        <v>75</v>
      </c>
      <c r="BI89" s="81">
        <v>57</v>
      </c>
      <c r="BJ89" s="81">
        <v>11</v>
      </c>
      <c r="BK89" s="81">
        <v>70</v>
      </c>
      <c r="BL89" s="81">
        <v>49.3</v>
      </c>
    </row>
    <row r="90" spans="1:64" x14ac:dyDescent="0.25">
      <c r="A90" s="96" t="s">
        <v>115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>
        <v>0</v>
      </c>
      <c r="AF90" s="89"/>
      <c r="AG90" s="97"/>
      <c r="AH90" s="48">
        <f t="shared" si="56"/>
        <v>0</v>
      </c>
      <c r="AI90" s="49">
        <f t="shared" si="57"/>
        <v>0</v>
      </c>
      <c r="AK90" s="94" t="s">
        <v>116</v>
      </c>
      <c r="AL90" s="88"/>
      <c r="AM90" s="88"/>
      <c r="AN90" s="95"/>
      <c r="AY90" s="81"/>
      <c r="BF90" s="81"/>
      <c r="BG90" s="81">
        <v>40</v>
      </c>
      <c r="BH90" s="81">
        <v>0</v>
      </c>
      <c r="BI90" s="81">
        <v>368</v>
      </c>
      <c r="BJ90" s="81">
        <v>40</v>
      </c>
      <c r="BK90" s="81">
        <v>73</v>
      </c>
      <c r="BL90" s="81">
        <v>62.6</v>
      </c>
    </row>
    <row r="91" spans="1:64" ht="15.75" thickBot="1" x14ac:dyDescent="0.3">
      <c r="A91" s="96" t="s">
        <v>117</v>
      </c>
      <c r="B91" s="89">
        <v>72</v>
      </c>
      <c r="C91" s="89">
        <v>0</v>
      </c>
      <c r="D91" s="89">
        <v>0</v>
      </c>
      <c r="E91" s="89">
        <v>52.6</v>
      </c>
      <c r="F91" s="89">
        <v>48.7</v>
      </c>
      <c r="G91" s="89">
        <v>49.6</v>
      </c>
      <c r="H91" s="89">
        <v>54.2</v>
      </c>
      <c r="I91" s="89">
        <v>49.3</v>
      </c>
      <c r="J91" s="89">
        <v>56.3</v>
      </c>
      <c r="K91" s="89">
        <v>62.6</v>
      </c>
      <c r="L91" s="89">
        <v>62.6</v>
      </c>
      <c r="M91" s="89">
        <v>64.3</v>
      </c>
      <c r="N91" s="89">
        <v>62.2</v>
      </c>
      <c r="O91" s="89">
        <v>71.099999999999994</v>
      </c>
      <c r="P91" s="89">
        <v>75.5</v>
      </c>
      <c r="Q91" s="89">
        <v>73.8</v>
      </c>
      <c r="R91" s="89">
        <v>63.7</v>
      </c>
      <c r="S91" s="89">
        <v>75.7</v>
      </c>
      <c r="T91" s="89">
        <v>70</v>
      </c>
      <c r="U91" s="89">
        <v>70</v>
      </c>
      <c r="V91" s="89">
        <v>69</v>
      </c>
      <c r="W91" s="89">
        <v>70</v>
      </c>
      <c r="X91" s="89">
        <v>66</v>
      </c>
      <c r="Y91" s="89">
        <v>67.5</v>
      </c>
      <c r="Z91" s="89">
        <v>78</v>
      </c>
      <c r="AA91" s="89">
        <v>0</v>
      </c>
      <c r="AB91" s="89">
        <v>0</v>
      </c>
      <c r="AC91" s="89">
        <v>0</v>
      </c>
      <c r="AD91" s="89">
        <v>0</v>
      </c>
      <c r="AE91" s="89">
        <v>0</v>
      </c>
      <c r="AF91" s="89">
        <v>0</v>
      </c>
      <c r="AG91" s="97"/>
      <c r="AH91" s="48">
        <f t="shared" si="56"/>
        <v>78</v>
      </c>
      <c r="AI91" s="49">
        <f t="shared" si="57"/>
        <v>0</v>
      </c>
      <c r="AK91" s="98"/>
      <c r="AL91" s="46"/>
      <c r="AM91" s="46"/>
      <c r="AN91" s="99"/>
      <c r="AY91" s="81"/>
      <c r="BF91" s="81"/>
      <c r="BG91" s="81">
        <v>39.6</v>
      </c>
      <c r="BH91" s="81">
        <v>0</v>
      </c>
      <c r="BI91" s="81">
        <v>413</v>
      </c>
      <c r="BJ91" s="81">
        <v>36.5</v>
      </c>
      <c r="BK91" s="81">
        <v>80.7</v>
      </c>
      <c r="BL91" s="81">
        <v>64.3</v>
      </c>
    </row>
    <row r="92" spans="1:64" ht="15.75" thickBot="1" x14ac:dyDescent="0.3">
      <c r="A92" s="86" t="s">
        <v>118</v>
      </c>
      <c r="B92" s="70">
        <f t="shared" ref="B92" si="58">SUMIF(B81:B91,"&gt;0")</f>
        <v>108</v>
      </c>
      <c r="C92" s="70">
        <f t="shared" ref="C92:AF92" si="59">SUMIF(C81:C91,"&gt;0")</f>
        <v>167</v>
      </c>
      <c r="D92" s="70">
        <f t="shared" si="59"/>
        <v>88</v>
      </c>
      <c r="E92" s="70">
        <f t="shared" si="59"/>
        <v>259.60000000000002</v>
      </c>
      <c r="F92" s="70">
        <f t="shared" si="59"/>
        <v>232.2</v>
      </c>
      <c r="G92" s="70">
        <f t="shared" si="59"/>
        <v>286.3</v>
      </c>
      <c r="H92" s="70">
        <f t="shared" si="59"/>
        <v>279</v>
      </c>
      <c r="I92" s="70">
        <f t="shared" si="59"/>
        <v>287.3</v>
      </c>
      <c r="J92" s="70">
        <f t="shared" si="59"/>
        <v>382.3</v>
      </c>
      <c r="K92" s="70">
        <f t="shared" si="59"/>
        <v>583.6</v>
      </c>
      <c r="L92" s="70">
        <f t="shared" si="59"/>
        <v>615.1</v>
      </c>
      <c r="M92" s="70">
        <f t="shared" si="59"/>
        <v>634.1</v>
      </c>
      <c r="N92" s="70">
        <f t="shared" ref="N92:O92" si="60">SUMIF(N81:N91,"&gt;0")</f>
        <v>622.90000000000009</v>
      </c>
      <c r="O92" s="70">
        <f t="shared" si="60"/>
        <v>699.1</v>
      </c>
      <c r="P92" s="70">
        <f t="shared" ref="P92:Q92" si="61">SUMIF(P81:P91,"&gt;0")</f>
        <v>670.9</v>
      </c>
      <c r="Q92" s="70">
        <f t="shared" si="61"/>
        <v>667.8</v>
      </c>
      <c r="R92" s="70">
        <f t="shared" ref="R92" si="62">SUMIF(R81:R91,"&gt;0")</f>
        <v>655.1</v>
      </c>
      <c r="S92" s="70">
        <f t="shared" si="59"/>
        <v>706.3</v>
      </c>
      <c r="T92" s="70">
        <f t="shared" si="59"/>
        <v>553</v>
      </c>
      <c r="U92" s="70">
        <f t="shared" si="59"/>
        <v>677.3</v>
      </c>
      <c r="V92" s="70">
        <f t="shared" si="59"/>
        <v>700</v>
      </c>
      <c r="W92" s="70">
        <f t="shared" si="59"/>
        <v>655.8</v>
      </c>
      <c r="X92" s="70">
        <f t="shared" si="59"/>
        <v>464</v>
      </c>
      <c r="Y92" s="70">
        <f>SUMIF(Y81:Y91,"&gt;0")</f>
        <v>80</v>
      </c>
      <c r="Z92" s="70">
        <f>SUMIF(Z81:Z91,"&gt;0")</f>
        <v>97</v>
      </c>
      <c r="AA92" s="70">
        <f t="shared" si="59"/>
        <v>21</v>
      </c>
      <c r="AB92" s="70">
        <f t="shared" si="59"/>
        <v>61.1</v>
      </c>
      <c r="AC92" s="70">
        <f t="shared" si="59"/>
        <v>68.599999999999994</v>
      </c>
      <c r="AD92" s="70">
        <f t="shared" si="59"/>
        <v>76.099999999999994</v>
      </c>
      <c r="AE92" s="70">
        <f t="shared" si="59"/>
        <v>87.5</v>
      </c>
      <c r="AF92" s="70">
        <f t="shared" si="59"/>
        <v>122.39999999999999</v>
      </c>
      <c r="AG92" s="100">
        <f>SUM(AG81:AG91)</f>
        <v>0</v>
      </c>
      <c r="AH92" s="48">
        <f t="shared" si="56"/>
        <v>706.3</v>
      </c>
      <c r="AI92" s="49">
        <f t="shared" si="57"/>
        <v>21</v>
      </c>
      <c r="AK92" s="98"/>
      <c r="AL92" s="89"/>
      <c r="AM92" s="101"/>
      <c r="AN92" s="202"/>
      <c r="AY92" s="81"/>
      <c r="BF92" s="81"/>
      <c r="BG92" s="81">
        <v>33.700000000000003</v>
      </c>
      <c r="BH92" s="81">
        <v>0</v>
      </c>
      <c r="BI92" s="81">
        <v>370.1</v>
      </c>
      <c r="BJ92" s="81">
        <v>47.1</v>
      </c>
      <c r="BK92" s="81">
        <v>109.8</v>
      </c>
      <c r="BL92" s="81">
        <v>62.2</v>
      </c>
    </row>
    <row r="93" spans="1:64" x14ac:dyDescent="0.25">
      <c r="A93" s="45" t="s">
        <v>119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56"/>
        <v>0</v>
      </c>
      <c r="AI93" s="49">
        <f t="shared" si="57"/>
        <v>0</v>
      </c>
      <c r="AK93" s="98"/>
      <c r="AL93" s="89"/>
      <c r="AM93" s="89"/>
      <c r="AN93" s="203"/>
      <c r="BF93" s="81"/>
      <c r="BG93" s="81">
        <v>43.7</v>
      </c>
      <c r="BH93" s="81">
        <v>0</v>
      </c>
      <c r="BI93" s="81">
        <v>395.2</v>
      </c>
      <c r="BJ93" s="81">
        <v>44.3</v>
      </c>
      <c r="BK93" s="81">
        <v>144.80000000000001</v>
      </c>
      <c r="BL93" s="81">
        <v>71.099999999999994</v>
      </c>
    </row>
    <row r="94" spans="1:64" ht="15.75" thickBot="1" x14ac:dyDescent="0.3">
      <c r="A94" s="64" t="s">
        <v>120</v>
      </c>
      <c r="B94" s="89">
        <v>0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56"/>
        <v>0</v>
      </c>
      <c r="AI94" s="49">
        <f t="shared" si="57"/>
        <v>0</v>
      </c>
      <c r="AK94" s="103"/>
      <c r="AL94" s="104"/>
      <c r="AM94" s="104"/>
      <c r="AN94" s="105"/>
      <c r="BF94" s="81"/>
      <c r="BG94" s="81">
        <v>43.5</v>
      </c>
      <c r="BH94" s="81">
        <v>0</v>
      </c>
      <c r="BI94" s="81">
        <v>372.8</v>
      </c>
      <c r="BJ94" s="81">
        <v>40.4</v>
      </c>
      <c r="BK94" s="81">
        <v>138.69999999999999</v>
      </c>
      <c r="BL94" s="81">
        <v>75.5</v>
      </c>
    </row>
    <row r="95" spans="1:64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0</v>
      </c>
      <c r="Y95" s="106">
        <v>0</v>
      </c>
      <c r="Z95" s="106">
        <v>0</v>
      </c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56"/>
        <v>0</v>
      </c>
      <c r="AI95" s="49">
        <f t="shared" si="57"/>
        <v>0</v>
      </c>
      <c r="BF95" s="81"/>
      <c r="BG95" s="81">
        <v>41.2</v>
      </c>
      <c r="BH95" s="81">
        <v>0</v>
      </c>
      <c r="BI95" s="81">
        <v>370.6</v>
      </c>
      <c r="BJ95" s="81">
        <v>44.3</v>
      </c>
      <c r="BK95" s="81">
        <v>137.9</v>
      </c>
      <c r="BL95" s="81">
        <v>73.8</v>
      </c>
    </row>
    <row r="96" spans="1:64" ht="15.75" thickBot="1" x14ac:dyDescent="0.3">
      <c r="A96" s="86" t="s">
        <v>122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>
        <v>0</v>
      </c>
      <c r="Y96" s="70">
        <v>250</v>
      </c>
      <c r="Z96" s="70">
        <v>250</v>
      </c>
      <c r="AA96" s="70">
        <v>250</v>
      </c>
      <c r="AB96" s="70"/>
      <c r="AC96" s="70"/>
      <c r="AD96" s="70"/>
      <c r="AE96" s="70"/>
      <c r="AF96" s="70"/>
      <c r="AG96" s="100">
        <f>SUM(AG93:AG95)</f>
        <v>55.4</v>
      </c>
      <c r="AH96" s="48">
        <f t="shared" si="56"/>
        <v>250</v>
      </c>
      <c r="AI96" s="49">
        <f t="shared" si="57"/>
        <v>0</v>
      </c>
      <c r="BF96" s="81"/>
      <c r="BG96" s="81">
        <v>47.2</v>
      </c>
      <c r="BH96" s="81">
        <v>0</v>
      </c>
      <c r="BI96" s="81">
        <v>372.3</v>
      </c>
      <c r="BJ96" s="81">
        <v>40</v>
      </c>
      <c r="BK96" s="81">
        <v>131.9</v>
      </c>
      <c r="BL96" s="81">
        <v>63.7</v>
      </c>
    </row>
    <row r="97" spans="1:64" ht="15.75" thickBot="1" x14ac:dyDescent="0.3">
      <c r="A97" s="86" t="s">
        <v>123</v>
      </c>
      <c r="B97" s="107">
        <f t="shared" ref="B97" si="63">B58+B62+B80+B76+B92+B96</f>
        <v>1127.69</v>
      </c>
      <c r="C97" s="107">
        <f t="shared" ref="C97:AG97" si="64">C58+C62+C80+C76+C92+C96</f>
        <v>1198.79</v>
      </c>
      <c r="D97" s="107">
        <f t="shared" si="64"/>
        <v>1183.29</v>
      </c>
      <c r="E97" s="107">
        <f t="shared" si="64"/>
        <v>1205.0900000000001</v>
      </c>
      <c r="F97" s="107">
        <f t="shared" si="64"/>
        <v>1165.4900000000002</v>
      </c>
      <c r="G97" s="107">
        <f t="shared" si="64"/>
        <v>1219.5900000000001</v>
      </c>
      <c r="H97" s="107">
        <f t="shared" si="64"/>
        <v>1236.8899999999999</v>
      </c>
      <c r="I97" s="107">
        <f t="shared" si="64"/>
        <v>1257.5900000000001</v>
      </c>
      <c r="J97" s="107">
        <f t="shared" si="64"/>
        <v>1269.29</v>
      </c>
      <c r="K97" s="107">
        <f t="shared" si="64"/>
        <v>1375.9900000000002</v>
      </c>
      <c r="L97" s="107">
        <f t="shared" si="64"/>
        <v>1395.9900000000002</v>
      </c>
      <c r="M97" s="107">
        <f t="shared" si="64"/>
        <v>1403.3899999999999</v>
      </c>
      <c r="N97" s="107">
        <f t="shared" ref="N97:O97" si="65">N58+N62+N80+N76+N92+N96</f>
        <v>1425.89</v>
      </c>
      <c r="O97" s="107">
        <f t="shared" si="65"/>
        <v>1498.99</v>
      </c>
      <c r="P97" s="107">
        <f t="shared" ref="P97:Q97" si="66">P58+P62+P80+P76+P92+P96</f>
        <v>1427.59</v>
      </c>
      <c r="Q97" s="107">
        <f t="shared" si="66"/>
        <v>1397.19</v>
      </c>
      <c r="R97" s="107">
        <f t="shared" ref="R97" si="67">R58+R62+R80+R76+R92+R96</f>
        <v>1354.8899999999999</v>
      </c>
      <c r="S97" s="107">
        <f t="shared" si="64"/>
        <v>1388.3899999999999</v>
      </c>
      <c r="T97" s="107">
        <f t="shared" si="64"/>
        <v>1308.49</v>
      </c>
      <c r="U97" s="107">
        <f t="shared" si="64"/>
        <v>1411.29</v>
      </c>
      <c r="V97" s="107">
        <f t="shared" si="64"/>
        <v>1441.99</v>
      </c>
      <c r="W97" s="107">
        <f t="shared" si="64"/>
        <v>1473.3899999999999</v>
      </c>
      <c r="X97" s="107">
        <f t="shared" si="64"/>
        <v>1294.29</v>
      </c>
      <c r="Y97" s="107">
        <f>Y58+Y62+Y80+Y76+Y92+Y96</f>
        <v>1636.75</v>
      </c>
      <c r="Z97" s="107">
        <f>Z58+Z62+Z80+Z76+Z92+Z96</f>
        <v>1634.8899999999999</v>
      </c>
      <c r="AA97" s="107">
        <f t="shared" si="64"/>
        <v>1553.99</v>
      </c>
      <c r="AB97" s="107">
        <f t="shared" si="64"/>
        <v>1447.79</v>
      </c>
      <c r="AC97" s="107">
        <f t="shared" si="64"/>
        <v>1413.09</v>
      </c>
      <c r="AD97" s="107">
        <f t="shared" si="64"/>
        <v>1364.4899999999998</v>
      </c>
      <c r="AE97" s="107">
        <f t="shared" si="64"/>
        <v>1217.79</v>
      </c>
      <c r="AF97" s="107">
        <f t="shared" si="64"/>
        <v>1156.3900000000001</v>
      </c>
      <c r="AG97" s="71">
        <f t="shared" si="64"/>
        <v>2231.81</v>
      </c>
      <c r="AH97" s="48">
        <f t="shared" si="56"/>
        <v>1636.75</v>
      </c>
      <c r="AI97" s="49">
        <f t="shared" si="57"/>
        <v>1127.69</v>
      </c>
      <c r="BF97" s="81"/>
      <c r="BG97" s="81">
        <v>47.7</v>
      </c>
      <c r="BH97" s="81">
        <v>0</v>
      </c>
      <c r="BI97" s="81">
        <v>390.7</v>
      </c>
      <c r="BJ97" s="81">
        <v>47.2</v>
      </c>
      <c r="BK97" s="81">
        <v>145</v>
      </c>
      <c r="BL97" s="81">
        <v>75.7</v>
      </c>
    </row>
    <row r="98" spans="1:64" ht="15.75" thickBot="1" x14ac:dyDescent="0.3">
      <c r="A98" s="108" t="s">
        <v>124</v>
      </c>
      <c r="B98" s="109">
        <v>150</v>
      </c>
      <c r="C98" s="109">
        <v>200</v>
      </c>
      <c r="D98" s="109">
        <v>200</v>
      </c>
      <c r="E98" s="109">
        <v>200</v>
      </c>
      <c r="F98" s="109">
        <v>200</v>
      </c>
      <c r="G98" s="109">
        <v>200</v>
      </c>
      <c r="H98" s="109">
        <v>200</v>
      </c>
      <c r="I98" s="109">
        <v>200</v>
      </c>
      <c r="J98" s="109">
        <v>200</v>
      </c>
      <c r="K98" s="109">
        <v>200</v>
      </c>
      <c r="L98" s="109">
        <v>200</v>
      </c>
      <c r="M98" s="109">
        <v>150</v>
      </c>
      <c r="N98" s="109">
        <v>50</v>
      </c>
      <c r="O98" s="109"/>
      <c r="P98" s="109"/>
      <c r="Q98" s="109"/>
      <c r="R98" s="109"/>
      <c r="S98" s="109"/>
      <c r="T98" s="109"/>
      <c r="U98" s="109"/>
      <c r="V98" s="109"/>
      <c r="W98" s="109"/>
      <c r="X98" s="109">
        <v>250</v>
      </c>
      <c r="Y98" s="109">
        <v>250</v>
      </c>
      <c r="Z98" s="109">
        <v>250</v>
      </c>
      <c r="AA98" s="109">
        <v>250</v>
      </c>
      <c r="AB98" s="109">
        <v>250</v>
      </c>
      <c r="AC98" s="109">
        <v>250</v>
      </c>
      <c r="AD98" s="109">
        <v>250</v>
      </c>
      <c r="AE98" s="109">
        <v>250</v>
      </c>
      <c r="AF98" s="109">
        <v>240</v>
      </c>
      <c r="AG98" s="100"/>
      <c r="AH98" s="48">
        <f t="shared" si="56"/>
        <v>250</v>
      </c>
      <c r="AI98" s="49">
        <f t="shared" si="57"/>
        <v>50</v>
      </c>
      <c r="BF98" s="81"/>
      <c r="BG98" s="81">
        <v>40</v>
      </c>
      <c r="BH98" s="81">
        <v>0</v>
      </c>
      <c r="BI98" s="81">
        <v>353</v>
      </c>
      <c r="BJ98" s="81">
        <v>45</v>
      </c>
      <c r="BK98" s="81">
        <v>45</v>
      </c>
      <c r="BL98" s="81">
        <v>70</v>
      </c>
    </row>
    <row r="99" spans="1:64" ht="15.75" thickBot="1" x14ac:dyDescent="0.3">
      <c r="A99" s="86" t="s">
        <v>125</v>
      </c>
      <c r="B99" s="107">
        <f t="shared" ref="B99" si="68">B97+B98</f>
        <v>1277.69</v>
      </c>
      <c r="C99" s="107">
        <f t="shared" ref="C99:AF99" si="69">C97+C98</f>
        <v>1398.79</v>
      </c>
      <c r="D99" s="107">
        <f t="shared" si="69"/>
        <v>1383.29</v>
      </c>
      <c r="E99" s="107">
        <f t="shared" si="69"/>
        <v>1405.0900000000001</v>
      </c>
      <c r="F99" s="107">
        <f t="shared" si="69"/>
        <v>1365.4900000000002</v>
      </c>
      <c r="G99" s="107">
        <f t="shared" si="69"/>
        <v>1419.5900000000001</v>
      </c>
      <c r="H99" s="107">
        <f t="shared" si="69"/>
        <v>1436.8899999999999</v>
      </c>
      <c r="I99" s="107">
        <f t="shared" si="69"/>
        <v>1457.5900000000001</v>
      </c>
      <c r="J99" s="107">
        <f t="shared" si="69"/>
        <v>1469.29</v>
      </c>
      <c r="K99" s="107">
        <f t="shared" si="69"/>
        <v>1575.9900000000002</v>
      </c>
      <c r="L99" s="107">
        <f t="shared" si="69"/>
        <v>1595.9900000000002</v>
      </c>
      <c r="M99" s="107">
        <f t="shared" si="69"/>
        <v>1553.3899999999999</v>
      </c>
      <c r="N99" s="107">
        <f t="shared" ref="N99:O99" si="70">N97+N98</f>
        <v>1475.89</v>
      </c>
      <c r="O99" s="107">
        <f t="shared" si="70"/>
        <v>1498.99</v>
      </c>
      <c r="P99" s="107">
        <f t="shared" ref="P99:Q99" si="71">P97+P98</f>
        <v>1427.59</v>
      </c>
      <c r="Q99" s="107">
        <f t="shared" si="71"/>
        <v>1397.19</v>
      </c>
      <c r="R99" s="107">
        <f t="shared" ref="R99" si="72">R97+R98</f>
        <v>1354.8899999999999</v>
      </c>
      <c r="S99" s="107">
        <f t="shared" si="69"/>
        <v>1388.3899999999999</v>
      </c>
      <c r="T99" s="107">
        <f t="shared" si="69"/>
        <v>1308.49</v>
      </c>
      <c r="U99" s="107">
        <f t="shared" si="69"/>
        <v>1411.29</v>
      </c>
      <c r="V99" s="107">
        <f t="shared" si="69"/>
        <v>1441.99</v>
      </c>
      <c r="W99" s="107">
        <f t="shared" si="69"/>
        <v>1473.3899999999999</v>
      </c>
      <c r="X99" s="107">
        <f t="shared" si="69"/>
        <v>1544.29</v>
      </c>
      <c r="Y99" s="107">
        <f>Y97+Y98</f>
        <v>1886.75</v>
      </c>
      <c r="Z99" s="107">
        <f>Z97+Z98</f>
        <v>1884.8899999999999</v>
      </c>
      <c r="AA99" s="107">
        <f t="shared" si="69"/>
        <v>1803.99</v>
      </c>
      <c r="AB99" s="107">
        <f t="shared" si="69"/>
        <v>1697.79</v>
      </c>
      <c r="AC99" s="107">
        <f t="shared" si="69"/>
        <v>1663.09</v>
      </c>
      <c r="AD99" s="107">
        <f t="shared" si="69"/>
        <v>1614.4899999999998</v>
      </c>
      <c r="AE99" s="107">
        <f t="shared" si="69"/>
        <v>1467.79</v>
      </c>
      <c r="AF99" s="107">
        <f t="shared" si="69"/>
        <v>1396.39</v>
      </c>
      <c r="AG99" s="100">
        <f>AG96+AG92+AG80+AG76+AG58+AG98</f>
        <v>1693.71</v>
      </c>
      <c r="AH99" s="48">
        <f t="shared" si="56"/>
        <v>1886.75</v>
      </c>
      <c r="AI99" s="49">
        <f t="shared" si="57"/>
        <v>1277.69</v>
      </c>
      <c r="BF99" s="81"/>
      <c r="BG99" s="81">
        <v>61</v>
      </c>
      <c r="BH99" s="81">
        <v>0</v>
      </c>
      <c r="BI99" s="81">
        <v>431</v>
      </c>
      <c r="BJ99" s="81">
        <v>45.3</v>
      </c>
      <c r="BK99" s="81">
        <v>70</v>
      </c>
      <c r="BL99" s="81">
        <v>70</v>
      </c>
    </row>
    <row r="100" spans="1:64" ht="15.75" thickBot="1" x14ac:dyDescent="0.3">
      <c r="A100" s="86" t="s">
        <v>126</v>
      </c>
      <c r="B100" s="107">
        <f t="shared" ref="B100" si="73">B99-(B107)</f>
        <v>1276.69</v>
      </c>
      <c r="C100" s="107">
        <f t="shared" ref="C100:M100" si="74">C99-(C107)</f>
        <v>1398.79</v>
      </c>
      <c r="D100" s="107">
        <f t="shared" si="74"/>
        <v>1383.29</v>
      </c>
      <c r="E100" s="107">
        <f t="shared" si="74"/>
        <v>1405.0900000000001</v>
      </c>
      <c r="F100" s="107">
        <f t="shared" si="74"/>
        <v>1365.4900000000002</v>
      </c>
      <c r="G100" s="107">
        <f t="shared" si="74"/>
        <v>1419.5900000000001</v>
      </c>
      <c r="H100" s="107">
        <f t="shared" si="74"/>
        <v>1436.8899999999999</v>
      </c>
      <c r="I100" s="107">
        <f t="shared" si="74"/>
        <v>1457.5900000000001</v>
      </c>
      <c r="J100" s="107">
        <f t="shared" si="74"/>
        <v>1469.29</v>
      </c>
      <c r="K100" s="107">
        <f t="shared" si="74"/>
        <v>1575.9900000000002</v>
      </c>
      <c r="L100" s="107">
        <f t="shared" si="74"/>
        <v>1595.9900000000002</v>
      </c>
      <c r="M100" s="107">
        <f t="shared" si="74"/>
        <v>1553.3899999999999</v>
      </c>
      <c r="N100" s="107">
        <f t="shared" ref="N100:O100" si="75">N99-(N107)</f>
        <v>1475.89</v>
      </c>
      <c r="O100" s="107">
        <f t="shared" si="75"/>
        <v>1498.99</v>
      </c>
      <c r="P100" s="107">
        <f t="shared" ref="P100:Q100" si="76">P99-(P107)</f>
        <v>1427.59</v>
      </c>
      <c r="Q100" s="107">
        <f t="shared" si="76"/>
        <v>1397.19</v>
      </c>
      <c r="R100" s="107">
        <f t="shared" ref="R100" si="77">R99-(R107)</f>
        <v>1354.8899999999999</v>
      </c>
      <c r="S100" s="107">
        <f t="shared" ref="S100:AF100" si="78">S99-(S107)</f>
        <v>1388.3899999999999</v>
      </c>
      <c r="T100" s="107">
        <f t="shared" si="78"/>
        <v>1308.49</v>
      </c>
      <c r="U100" s="107">
        <f t="shared" si="78"/>
        <v>1411.29</v>
      </c>
      <c r="V100" s="107">
        <f t="shared" si="78"/>
        <v>1441.99</v>
      </c>
      <c r="W100" s="107">
        <f t="shared" si="78"/>
        <v>1473.3899999999999</v>
      </c>
      <c r="X100" s="107">
        <f t="shared" si="78"/>
        <v>1544.29</v>
      </c>
      <c r="Y100" s="107">
        <f t="shared" si="78"/>
        <v>1886.75</v>
      </c>
      <c r="Z100" s="107">
        <f t="shared" si="78"/>
        <v>1872.8899999999999</v>
      </c>
      <c r="AA100" s="107">
        <f t="shared" si="78"/>
        <v>1803.09</v>
      </c>
      <c r="AB100" s="107">
        <f t="shared" si="78"/>
        <v>1697.79</v>
      </c>
      <c r="AC100" s="107">
        <f t="shared" si="78"/>
        <v>1663.09</v>
      </c>
      <c r="AD100" s="107">
        <f t="shared" si="78"/>
        <v>1614.4899999999998</v>
      </c>
      <c r="AE100" s="107">
        <f t="shared" si="78"/>
        <v>1467.79</v>
      </c>
      <c r="AF100" s="107">
        <f t="shared" si="78"/>
        <v>1396.39</v>
      </c>
      <c r="AG100" s="100"/>
      <c r="AH100" s="48">
        <f t="shared" si="56"/>
        <v>1886.75</v>
      </c>
      <c r="AI100" s="49">
        <f t="shared" si="57"/>
        <v>1276.69</v>
      </c>
      <c r="BF100" s="81"/>
      <c r="BG100" s="81">
        <v>62</v>
      </c>
      <c r="BH100" s="81">
        <v>0</v>
      </c>
      <c r="BI100" s="81">
        <v>416</v>
      </c>
      <c r="BJ100" s="81">
        <v>45</v>
      </c>
      <c r="BK100" s="81">
        <v>108</v>
      </c>
      <c r="BL100" s="81">
        <v>69</v>
      </c>
    </row>
    <row r="101" spans="1:64" x14ac:dyDescent="0.25">
      <c r="A101" s="45" t="s">
        <v>107</v>
      </c>
      <c r="B101" s="88">
        <f t="shared" ref="B101" si="79">IF(B84&lt;0,B84*-1,0)</f>
        <v>0</v>
      </c>
      <c r="C101" s="88">
        <f t="shared" ref="C101:AF101" si="80">IF(C84&lt;0,C84*-1,0)</f>
        <v>0</v>
      </c>
      <c r="D101" s="88">
        <f t="shared" si="80"/>
        <v>0</v>
      </c>
      <c r="E101" s="88">
        <f t="shared" si="80"/>
        <v>0</v>
      </c>
      <c r="F101" s="88">
        <f t="shared" si="80"/>
        <v>0</v>
      </c>
      <c r="G101" s="88">
        <f t="shared" si="80"/>
        <v>0</v>
      </c>
      <c r="H101" s="88">
        <f t="shared" si="80"/>
        <v>0</v>
      </c>
      <c r="I101" s="88">
        <f t="shared" si="80"/>
        <v>0</v>
      </c>
      <c r="J101" s="88">
        <f t="shared" si="80"/>
        <v>0</v>
      </c>
      <c r="K101" s="88">
        <f t="shared" si="80"/>
        <v>0</v>
      </c>
      <c r="L101" s="88">
        <f t="shared" si="80"/>
        <v>0</v>
      </c>
      <c r="M101" s="88">
        <f t="shared" si="80"/>
        <v>0</v>
      </c>
      <c r="N101" s="88">
        <f t="shared" ref="N101:O101" si="81">IF(N84&lt;0,N84*-1,0)</f>
        <v>0</v>
      </c>
      <c r="O101" s="88">
        <f t="shared" si="81"/>
        <v>0</v>
      </c>
      <c r="P101" s="88">
        <f t="shared" ref="P101:Q101" si="82">IF(P84&lt;0,P84*-1,0)</f>
        <v>0</v>
      </c>
      <c r="Q101" s="88">
        <f t="shared" si="82"/>
        <v>0</v>
      </c>
      <c r="R101" s="88">
        <f t="shared" ref="R101" si="83">IF(R84&lt;0,R84*-1,0)</f>
        <v>0</v>
      </c>
      <c r="S101" s="88">
        <f t="shared" si="80"/>
        <v>0</v>
      </c>
      <c r="T101" s="88">
        <f t="shared" si="80"/>
        <v>0</v>
      </c>
      <c r="U101" s="88">
        <f t="shared" si="80"/>
        <v>0</v>
      </c>
      <c r="V101" s="88">
        <f t="shared" si="80"/>
        <v>0</v>
      </c>
      <c r="W101" s="88">
        <f t="shared" si="80"/>
        <v>0</v>
      </c>
      <c r="X101" s="88">
        <f t="shared" si="80"/>
        <v>0</v>
      </c>
      <c r="Y101" s="88">
        <f t="shared" si="80"/>
        <v>0</v>
      </c>
      <c r="Z101" s="88">
        <f t="shared" si="80"/>
        <v>0</v>
      </c>
      <c r="AA101" s="88">
        <f t="shared" si="80"/>
        <v>0</v>
      </c>
      <c r="AB101" s="88">
        <f t="shared" si="80"/>
        <v>0</v>
      </c>
      <c r="AC101" s="88">
        <f t="shared" si="80"/>
        <v>0</v>
      </c>
      <c r="AD101" s="88">
        <f t="shared" si="80"/>
        <v>0</v>
      </c>
      <c r="AE101" s="88">
        <f t="shared" si="80"/>
        <v>0</v>
      </c>
      <c r="AF101" s="88">
        <f t="shared" si="80"/>
        <v>0</v>
      </c>
      <c r="AG101" s="60"/>
      <c r="AH101" s="48">
        <f t="shared" si="56"/>
        <v>0</v>
      </c>
      <c r="AI101" s="49">
        <f t="shared" si="57"/>
        <v>0</v>
      </c>
      <c r="BF101" s="80"/>
      <c r="BG101" s="81">
        <v>48</v>
      </c>
      <c r="BH101" s="81">
        <v>0</v>
      </c>
      <c r="BI101" s="81">
        <v>224</v>
      </c>
      <c r="BJ101" s="81">
        <v>26</v>
      </c>
      <c r="BK101" s="81">
        <v>100</v>
      </c>
      <c r="BL101" s="81">
        <v>66</v>
      </c>
    </row>
    <row r="102" spans="1:64" x14ac:dyDescent="0.25">
      <c r="A102" s="64" t="s">
        <v>105</v>
      </c>
      <c r="B102" s="88">
        <f t="shared" ref="B102" si="84">IF(B82&lt;0,B82*-1,0)</f>
        <v>0</v>
      </c>
      <c r="C102" s="88">
        <f t="shared" ref="C102:AF102" si="85">IF(C82&lt;0,C82*-1,0)</f>
        <v>0</v>
      </c>
      <c r="D102" s="88">
        <f t="shared" si="85"/>
        <v>0</v>
      </c>
      <c r="E102" s="88">
        <f t="shared" si="85"/>
        <v>0</v>
      </c>
      <c r="F102" s="88">
        <f t="shared" si="85"/>
        <v>0</v>
      </c>
      <c r="G102" s="88">
        <f t="shared" si="85"/>
        <v>0</v>
      </c>
      <c r="H102" s="88">
        <f t="shared" si="85"/>
        <v>0</v>
      </c>
      <c r="I102" s="88">
        <f t="shared" si="85"/>
        <v>0</v>
      </c>
      <c r="J102" s="88">
        <f t="shared" si="85"/>
        <v>0</v>
      </c>
      <c r="K102" s="88">
        <f t="shared" si="85"/>
        <v>0</v>
      </c>
      <c r="L102" s="88">
        <f t="shared" si="85"/>
        <v>0</v>
      </c>
      <c r="M102" s="88">
        <f t="shared" si="85"/>
        <v>0</v>
      </c>
      <c r="N102" s="88">
        <f t="shared" ref="N102:O102" si="86">IF(N82&lt;0,N82*-1,0)</f>
        <v>0</v>
      </c>
      <c r="O102" s="88">
        <f t="shared" si="86"/>
        <v>0</v>
      </c>
      <c r="P102" s="88">
        <f t="shared" ref="P102:Q102" si="87">IF(P82&lt;0,P82*-1,0)</f>
        <v>0</v>
      </c>
      <c r="Q102" s="88">
        <f t="shared" si="87"/>
        <v>0</v>
      </c>
      <c r="R102" s="88">
        <f t="shared" ref="R102" si="88">IF(R82&lt;0,R82*-1,0)</f>
        <v>0</v>
      </c>
      <c r="S102" s="88">
        <f t="shared" si="85"/>
        <v>0</v>
      </c>
      <c r="T102" s="88">
        <f t="shared" si="85"/>
        <v>0</v>
      </c>
      <c r="U102" s="88">
        <f t="shared" si="85"/>
        <v>0</v>
      </c>
      <c r="V102" s="88">
        <f t="shared" si="85"/>
        <v>0</v>
      </c>
      <c r="W102" s="88">
        <f t="shared" si="85"/>
        <v>0</v>
      </c>
      <c r="X102" s="88">
        <f t="shared" si="85"/>
        <v>0</v>
      </c>
      <c r="Y102" s="88">
        <f t="shared" si="85"/>
        <v>0</v>
      </c>
      <c r="Z102" s="88">
        <f t="shared" si="85"/>
        <v>0</v>
      </c>
      <c r="AA102" s="88">
        <f t="shared" si="85"/>
        <v>0</v>
      </c>
      <c r="AB102" s="88">
        <f t="shared" si="85"/>
        <v>0</v>
      </c>
      <c r="AC102" s="88">
        <f t="shared" si="85"/>
        <v>0</v>
      </c>
      <c r="AD102" s="88">
        <f t="shared" si="85"/>
        <v>0</v>
      </c>
      <c r="AE102" s="88">
        <f t="shared" si="85"/>
        <v>0</v>
      </c>
      <c r="AF102" s="88">
        <f t="shared" si="85"/>
        <v>0</v>
      </c>
      <c r="AG102" s="65"/>
      <c r="AH102" s="48">
        <f t="shared" si="56"/>
        <v>0</v>
      </c>
      <c r="AI102" s="49">
        <f t="shared" si="57"/>
        <v>0</v>
      </c>
      <c r="BF102" s="80"/>
      <c r="BG102" s="81">
        <v>19</v>
      </c>
      <c r="BH102" s="81">
        <v>0</v>
      </c>
      <c r="BI102" s="81">
        <v>-12</v>
      </c>
      <c r="BJ102" s="81">
        <v>0</v>
      </c>
      <c r="BK102" s="81">
        <v>0</v>
      </c>
      <c r="BL102" s="81">
        <v>78</v>
      </c>
    </row>
    <row r="103" spans="1:64" x14ac:dyDescent="0.25">
      <c r="A103" s="96" t="s">
        <v>127</v>
      </c>
      <c r="B103" s="88">
        <f t="shared" ref="B103" si="89">IF(B85&lt;0,B85*-1,0)</f>
        <v>0</v>
      </c>
      <c r="C103" s="88">
        <f t="shared" ref="C103:AF103" si="90">IF(C85&lt;0,C85*-1,0)</f>
        <v>0</v>
      </c>
      <c r="D103" s="88">
        <f t="shared" si="90"/>
        <v>0</v>
      </c>
      <c r="E103" s="88">
        <f t="shared" si="90"/>
        <v>0</v>
      </c>
      <c r="F103" s="88">
        <f t="shared" si="90"/>
        <v>0</v>
      </c>
      <c r="G103" s="88">
        <f t="shared" si="90"/>
        <v>0</v>
      </c>
      <c r="H103" s="88">
        <f t="shared" si="90"/>
        <v>0</v>
      </c>
      <c r="I103" s="88">
        <f t="shared" si="90"/>
        <v>0</v>
      </c>
      <c r="J103" s="88">
        <f t="shared" si="90"/>
        <v>0</v>
      </c>
      <c r="K103" s="88">
        <f t="shared" si="90"/>
        <v>0</v>
      </c>
      <c r="L103" s="88">
        <f t="shared" si="90"/>
        <v>0</v>
      </c>
      <c r="M103" s="88">
        <f t="shared" si="90"/>
        <v>0</v>
      </c>
      <c r="N103" s="88">
        <f t="shared" ref="N103:O103" si="91">IF(N85&lt;0,N85*-1,0)</f>
        <v>0</v>
      </c>
      <c r="O103" s="88">
        <f t="shared" si="91"/>
        <v>0</v>
      </c>
      <c r="P103" s="88">
        <f t="shared" ref="P103:Q103" si="92">IF(P85&lt;0,P85*-1,0)</f>
        <v>0</v>
      </c>
      <c r="Q103" s="88">
        <f t="shared" si="92"/>
        <v>0</v>
      </c>
      <c r="R103" s="88">
        <f t="shared" ref="R103" si="93">IF(R85&lt;0,R85*-1,0)</f>
        <v>0</v>
      </c>
      <c r="S103" s="88">
        <f t="shared" si="90"/>
        <v>0</v>
      </c>
      <c r="T103" s="88">
        <f t="shared" si="90"/>
        <v>0</v>
      </c>
      <c r="U103" s="88">
        <f t="shared" si="90"/>
        <v>0</v>
      </c>
      <c r="V103" s="88">
        <f t="shared" si="90"/>
        <v>0</v>
      </c>
      <c r="W103" s="88">
        <f t="shared" si="90"/>
        <v>0</v>
      </c>
      <c r="X103" s="88">
        <f t="shared" si="90"/>
        <v>0</v>
      </c>
      <c r="Y103" s="88">
        <f t="shared" si="90"/>
        <v>0</v>
      </c>
      <c r="Z103" s="88">
        <f t="shared" si="90"/>
        <v>0</v>
      </c>
      <c r="AA103" s="88">
        <f t="shared" si="90"/>
        <v>0</v>
      </c>
      <c r="AB103" s="88">
        <f t="shared" si="90"/>
        <v>0</v>
      </c>
      <c r="AC103" s="88">
        <f t="shared" si="90"/>
        <v>0</v>
      </c>
      <c r="AD103" s="88">
        <f t="shared" si="90"/>
        <v>0</v>
      </c>
      <c r="AE103" s="88">
        <f t="shared" si="90"/>
        <v>0</v>
      </c>
      <c r="AF103" s="88">
        <f t="shared" si="90"/>
        <v>0</v>
      </c>
      <c r="AG103" s="110"/>
      <c r="AH103" s="48">
        <f t="shared" si="56"/>
        <v>0</v>
      </c>
      <c r="AI103" s="49">
        <f t="shared" si="57"/>
        <v>0</v>
      </c>
      <c r="BF103" s="80"/>
      <c r="BG103" s="81">
        <v>15.9</v>
      </c>
      <c r="BH103" s="81">
        <v>0</v>
      </c>
      <c r="BI103" s="81">
        <v>45.2</v>
      </c>
      <c r="BJ103" s="81">
        <v>0</v>
      </c>
      <c r="BK103" s="81">
        <v>0</v>
      </c>
      <c r="BL103" s="81">
        <v>0</v>
      </c>
    </row>
    <row r="104" spans="1:64" x14ac:dyDescent="0.25">
      <c r="A104" s="96" t="s">
        <v>128</v>
      </c>
      <c r="B104" s="88">
        <f t="shared" ref="B104" si="94">IF(B83&lt;0,B83*-1,0)</f>
        <v>0</v>
      </c>
      <c r="C104" s="88">
        <f t="shared" ref="C104:AF104" si="95">IF(C83&lt;0,C83*-1,0)</f>
        <v>0</v>
      </c>
      <c r="D104" s="88">
        <f t="shared" si="95"/>
        <v>0</v>
      </c>
      <c r="E104" s="88">
        <f t="shared" si="95"/>
        <v>0</v>
      </c>
      <c r="F104" s="88">
        <f t="shared" si="95"/>
        <v>0</v>
      </c>
      <c r="G104" s="88">
        <f t="shared" si="95"/>
        <v>0</v>
      </c>
      <c r="H104" s="88">
        <f t="shared" si="95"/>
        <v>0</v>
      </c>
      <c r="I104" s="88">
        <f t="shared" si="95"/>
        <v>0</v>
      </c>
      <c r="J104" s="88">
        <f t="shared" si="95"/>
        <v>0</v>
      </c>
      <c r="K104" s="88">
        <f t="shared" si="95"/>
        <v>0</v>
      </c>
      <c r="L104" s="88">
        <f t="shared" si="95"/>
        <v>0</v>
      </c>
      <c r="M104" s="88">
        <f t="shared" si="95"/>
        <v>0</v>
      </c>
      <c r="N104" s="88">
        <f t="shared" ref="N104:O104" si="96">IF(N83&lt;0,N83*-1,0)</f>
        <v>0</v>
      </c>
      <c r="O104" s="88">
        <f t="shared" si="96"/>
        <v>0</v>
      </c>
      <c r="P104" s="88">
        <f t="shared" ref="P104:Q104" si="97">IF(P83&lt;0,P83*-1,0)</f>
        <v>0</v>
      </c>
      <c r="Q104" s="88">
        <f t="shared" si="97"/>
        <v>0</v>
      </c>
      <c r="R104" s="88">
        <f t="shared" ref="R104" si="98">IF(R83&lt;0,R83*-1,0)</f>
        <v>0</v>
      </c>
      <c r="S104" s="88">
        <f t="shared" si="95"/>
        <v>0</v>
      </c>
      <c r="T104" s="88">
        <f t="shared" si="95"/>
        <v>0</v>
      </c>
      <c r="U104" s="88">
        <f t="shared" si="95"/>
        <v>0</v>
      </c>
      <c r="V104" s="88">
        <f t="shared" si="95"/>
        <v>0</v>
      </c>
      <c r="W104" s="88">
        <f t="shared" si="95"/>
        <v>0</v>
      </c>
      <c r="X104" s="88">
        <f t="shared" si="95"/>
        <v>0</v>
      </c>
      <c r="Y104" s="88">
        <f t="shared" si="95"/>
        <v>0</v>
      </c>
      <c r="Z104" s="88">
        <f t="shared" si="95"/>
        <v>12</v>
      </c>
      <c r="AA104" s="88">
        <f t="shared" si="95"/>
        <v>0.9</v>
      </c>
      <c r="AB104" s="88">
        <f t="shared" si="95"/>
        <v>0</v>
      </c>
      <c r="AC104" s="88">
        <f t="shared" si="95"/>
        <v>0</v>
      </c>
      <c r="AD104" s="88">
        <f t="shared" si="95"/>
        <v>0</v>
      </c>
      <c r="AE104" s="88">
        <f t="shared" si="95"/>
        <v>0</v>
      </c>
      <c r="AF104" s="88">
        <f t="shared" si="95"/>
        <v>0</v>
      </c>
      <c r="AG104" s="110"/>
      <c r="AH104" s="48">
        <f t="shared" si="56"/>
        <v>12</v>
      </c>
      <c r="AI104" s="49">
        <f t="shared" si="57"/>
        <v>0</v>
      </c>
      <c r="BF104" s="80"/>
      <c r="BG104" s="81">
        <v>26.1</v>
      </c>
      <c r="BH104" s="81">
        <v>0</v>
      </c>
      <c r="BI104" s="81">
        <v>50</v>
      </c>
      <c r="BJ104" s="81">
        <v>0</v>
      </c>
      <c r="BK104" s="81">
        <v>0</v>
      </c>
      <c r="BL104" s="81">
        <v>0</v>
      </c>
    </row>
    <row r="105" spans="1:64" x14ac:dyDescent="0.25">
      <c r="A105" s="96" t="s">
        <v>104</v>
      </c>
      <c r="B105" s="88">
        <f t="shared" ref="B105" si="99">IF(B81&lt;0,B81*-1,0)</f>
        <v>0</v>
      </c>
      <c r="C105" s="88">
        <f t="shared" ref="C105:AF105" si="100">IF(C81&lt;0,C81*-1,0)</f>
        <v>0</v>
      </c>
      <c r="D105" s="88">
        <f t="shared" si="100"/>
        <v>0</v>
      </c>
      <c r="E105" s="88">
        <f t="shared" si="100"/>
        <v>0</v>
      </c>
      <c r="F105" s="88">
        <f t="shared" si="100"/>
        <v>0</v>
      </c>
      <c r="G105" s="88">
        <f t="shared" si="100"/>
        <v>0</v>
      </c>
      <c r="H105" s="88">
        <f t="shared" si="100"/>
        <v>0</v>
      </c>
      <c r="I105" s="88">
        <f t="shared" si="100"/>
        <v>0</v>
      </c>
      <c r="J105" s="88">
        <f t="shared" si="100"/>
        <v>0</v>
      </c>
      <c r="K105" s="88">
        <f t="shared" si="100"/>
        <v>0</v>
      </c>
      <c r="L105" s="88">
        <f t="shared" si="100"/>
        <v>0</v>
      </c>
      <c r="M105" s="88">
        <f t="shared" si="100"/>
        <v>0</v>
      </c>
      <c r="N105" s="88">
        <f t="shared" ref="N105:O105" si="101">IF(N81&lt;0,N81*-1,0)</f>
        <v>0</v>
      </c>
      <c r="O105" s="88">
        <f t="shared" si="101"/>
        <v>0</v>
      </c>
      <c r="P105" s="88">
        <f t="shared" ref="P105:Q105" si="102">IF(P81&lt;0,P81*-1,0)</f>
        <v>0</v>
      </c>
      <c r="Q105" s="88">
        <f t="shared" si="102"/>
        <v>0</v>
      </c>
      <c r="R105" s="88">
        <f t="shared" ref="R105" si="103">IF(R81&lt;0,R81*-1,0)</f>
        <v>0</v>
      </c>
      <c r="S105" s="88">
        <f t="shared" si="100"/>
        <v>0</v>
      </c>
      <c r="T105" s="88">
        <f t="shared" si="100"/>
        <v>0</v>
      </c>
      <c r="U105" s="88">
        <f t="shared" si="100"/>
        <v>0</v>
      </c>
      <c r="V105" s="88">
        <f t="shared" si="100"/>
        <v>0</v>
      </c>
      <c r="W105" s="88">
        <f t="shared" si="100"/>
        <v>0</v>
      </c>
      <c r="X105" s="88">
        <f t="shared" si="100"/>
        <v>0</v>
      </c>
      <c r="Y105" s="88">
        <f t="shared" si="100"/>
        <v>0</v>
      </c>
      <c r="Z105" s="88">
        <f t="shared" si="100"/>
        <v>0</v>
      </c>
      <c r="AA105" s="88">
        <f t="shared" si="100"/>
        <v>0</v>
      </c>
      <c r="AB105" s="88">
        <f t="shared" si="100"/>
        <v>0</v>
      </c>
      <c r="AC105" s="88">
        <f t="shared" si="100"/>
        <v>0</v>
      </c>
      <c r="AD105" s="88">
        <f t="shared" si="100"/>
        <v>0</v>
      </c>
      <c r="AE105" s="88">
        <f t="shared" si="100"/>
        <v>0</v>
      </c>
      <c r="AF105" s="88">
        <f t="shared" si="100"/>
        <v>0</v>
      </c>
      <c r="AG105" s="110"/>
      <c r="AH105" s="48">
        <f t="shared" si="56"/>
        <v>0</v>
      </c>
      <c r="AI105" s="49">
        <f t="shared" si="57"/>
        <v>0</v>
      </c>
      <c r="BF105" s="80"/>
      <c r="BG105" s="81">
        <v>27.5</v>
      </c>
      <c r="BH105" s="81">
        <v>0</v>
      </c>
      <c r="BI105" s="81">
        <v>32</v>
      </c>
      <c r="BJ105" s="81">
        <v>28</v>
      </c>
      <c r="BK105" s="81">
        <v>0</v>
      </c>
      <c r="BL105" s="81">
        <v>0</v>
      </c>
    </row>
    <row r="106" spans="1:64" ht="15.75" thickBot="1" x14ac:dyDescent="0.3">
      <c r="A106" s="96" t="s">
        <v>129</v>
      </c>
      <c r="B106" s="106">
        <v>1</v>
      </c>
      <c r="C106" s="106">
        <v>0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0</v>
      </c>
      <c r="Y106" s="106">
        <v>0</v>
      </c>
      <c r="Z106" s="106">
        <v>0</v>
      </c>
      <c r="AA106" s="106">
        <v>0</v>
      </c>
      <c r="AB106" s="106">
        <v>0</v>
      </c>
      <c r="AC106" s="106">
        <v>0</v>
      </c>
      <c r="AD106" s="106">
        <v>0</v>
      </c>
      <c r="AE106" s="106">
        <v>0</v>
      </c>
      <c r="AF106" s="106">
        <v>0</v>
      </c>
      <c r="AG106" s="97"/>
      <c r="AH106" s="48">
        <f t="shared" si="56"/>
        <v>1</v>
      </c>
      <c r="AI106" s="49">
        <f t="shared" si="57"/>
        <v>0</v>
      </c>
      <c r="BG106" s="81">
        <v>20.6</v>
      </c>
      <c r="BH106" s="81">
        <v>0</v>
      </c>
      <c r="BI106" s="81">
        <v>65.5</v>
      </c>
      <c r="BJ106" s="81">
        <v>36.299999999999997</v>
      </c>
      <c r="BK106" s="81">
        <v>0</v>
      </c>
      <c r="BL106" s="81">
        <v>0</v>
      </c>
    </row>
    <row r="107" spans="1:64" ht="15.75" thickBot="1" x14ac:dyDescent="0.3">
      <c r="A107" s="111" t="s">
        <v>130</v>
      </c>
      <c r="B107" s="70">
        <f t="shared" ref="B107" si="104">SUM(B101:B106)</f>
        <v>1</v>
      </c>
      <c r="C107" s="70">
        <f t="shared" ref="C107" si="105">SUM(C101:C106)</f>
        <v>0</v>
      </c>
      <c r="D107" s="70">
        <f t="shared" ref="D107:AF107" si="106">SUM(D101:D106)</f>
        <v>0</v>
      </c>
      <c r="E107" s="70">
        <f t="shared" si="106"/>
        <v>0</v>
      </c>
      <c r="F107" s="70">
        <f t="shared" si="106"/>
        <v>0</v>
      </c>
      <c r="G107" s="70">
        <f t="shared" si="106"/>
        <v>0</v>
      </c>
      <c r="H107" s="70">
        <f t="shared" si="106"/>
        <v>0</v>
      </c>
      <c r="I107" s="70">
        <f t="shared" si="106"/>
        <v>0</v>
      </c>
      <c r="J107" s="70">
        <f t="shared" si="106"/>
        <v>0</v>
      </c>
      <c r="K107" s="70">
        <f t="shared" si="106"/>
        <v>0</v>
      </c>
      <c r="L107" s="70">
        <f t="shared" si="106"/>
        <v>0</v>
      </c>
      <c r="M107" s="70">
        <f t="shared" si="106"/>
        <v>0</v>
      </c>
      <c r="N107" s="70">
        <f t="shared" ref="N107:O107" si="107">SUM(N101:N106)</f>
        <v>0</v>
      </c>
      <c r="O107" s="70">
        <f t="shared" si="107"/>
        <v>0</v>
      </c>
      <c r="P107" s="70">
        <f t="shared" ref="P107:Q107" si="108">SUM(P101:P106)</f>
        <v>0</v>
      </c>
      <c r="Q107" s="70">
        <f t="shared" si="108"/>
        <v>0</v>
      </c>
      <c r="R107" s="70">
        <f t="shared" ref="R107" si="109">SUM(R101:R106)</f>
        <v>0</v>
      </c>
      <c r="S107" s="70">
        <f t="shared" si="106"/>
        <v>0</v>
      </c>
      <c r="T107" s="70">
        <f t="shared" si="106"/>
        <v>0</v>
      </c>
      <c r="U107" s="70">
        <f t="shared" si="106"/>
        <v>0</v>
      </c>
      <c r="V107" s="70">
        <f t="shared" si="106"/>
        <v>0</v>
      </c>
      <c r="W107" s="70">
        <f t="shared" si="106"/>
        <v>0</v>
      </c>
      <c r="X107" s="70">
        <f t="shared" si="106"/>
        <v>0</v>
      </c>
      <c r="Y107" s="70">
        <f t="shared" si="106"/>
        <v>0</v>
      </c>
      <c r="Z107" s="70">
        <f t="shared" si="106"/>
        <v>12</v>
      </c>
      <c r="AA107" s="70">
        <f t="shared" si="106"/>
        <v>0.9</v>
      </c>
      <c r="AB107" s="70">
        <f t="shared" si="106"/>
        <v>0</v>
      </c>
      <c r="AC107" s="70">
        <f t="shared" si="106"/>
        <v>0</v>
      </c>
      <c r="AD107" s="70">
        <f t="shared" si="106"/>
        <v>0</v>
      </c>
      <c r="AE107" s="70">
        <f t="shared" si="106"/>
        <v>0</v>
      </c>
      <c r="AF107" s="70">
        <f t="shared" si="106"/>
        <v>0</v>
      </c>
      <c r="AG107" s="100"/>
      <c r="AH107" s="48">
        <f t="shared" si="56"/>
        <v>12</v>
      </c>
      <c r="AI107" s="49">
        <f t="shared" si="57"/>
        <v>0</v>
      </c>
      <c r="AK107" s="51"/>
      <c r="BG107" s="81">
        <v>36</v>
      </c>
      <c r="BH107" s="81">
        <v>0</v>
      </c>
      <c r="BI107" s="81">
        <v>0</v>
      </c>
      <c r="BJ107" s="81">
        <v>0</v>
      </c>
      <c r="BK107" s="81">
        <v>0</v>
      </c>
      <c r="BL107" s="81">
        <v>72</v>
      </c>
    </row>
    <row r="108" spans="1:64" ht="15.75" thickBot="1" x14ac:dyDescent="0.3">
      <c r="A108" s="86" t="s">
        <v>131</v>
      </c>
      <c r="B108" s="70">
        <f t="shared" ref="B108" si="110">B92-B107</f>
        <v>107</v>
      </c>
      <c r="C108" s="70">
        <f t="shared" ref="C108:AF108" si="111">C92-C107</f>
        <v>167</v>
      </c>
      <c r="D108" s="70">
        <f t="shared" si="111"/>
        <v>88</v>
      </c>
      <c r="E108" s="70">
        <f t="shared" si="111"/>
        <v>259.60000000000002</v>
      </c>
      <c r="F108" s="70">
        <f t="shared" si="111"/>
        <v>232.2</v>
      </c>
      <c r="G108" s="70">
        <f t="shared" si="111"/>
        <v>286.3</v>
      </c>
      <c r="H108" s="70">
        <f t="shared" si="111"/>
        <v>279</v>
      </c>
      <c r="I108" s="70">
        <f t="shared" si="111"/>
        <v>287.3</v>
      </c>
      <c r="J108" s="70">
        <f t="shared" si="111"/>
        <v>382.3</v>
      </c>
      <c r="K108" s="70">
        <f t="shared" si="111"/>
        <v>583.6</v>
      </c>
      <c r="L108" s="70">
        <f t="shared" si="111"/>
        <v>615.1</v>
      </c>
      <c r="M108" s="70">
        <f t="shared" si="111"/>
        <v>634.1</v>
      </c>
      <c r="N108" s="70">
        <f t="shared" ref="N108:O108" si="112">N92-N107</f>
        <v>622.90000000000009</v>
      </c>
      <c r="O108" s="70">
        <f t="shared" si="112"/>
        <v>699.1</v>
      </c>
      <c r="P108" s="70">
        <f t="shared" ref="P108:Q108" si="113">P92-P107</f>
        <v>670.9</v>
      </c>
      <c r="Q108" s="70">
        <f t="shared" si="113"/>
        <v>667.8</v>
      </c>
      <c r="R108" s="70">
        <f t="shared" ref="R108" si="114">R92-R107</f>
        <v>655.1</v>
      </c>
      <c r="S108" s="70">
        <f t="shared" si="111"/>
        <v>706.3</v>
      </c>
      <c r="T108" s="70">
        <f t="shared" si="111"/>
        <v>553</v>
      </c>
      <c r="U108" s="70">
        <f t="shared" si="111"/>
        <v>677.3</v>
      </c>
      <c r="V108" s="70">
        <f t="shared" si="111"/>
        <v>700</v>
      </c>
      <c r="W108" s="70">
        <f t="shared" si="111"/>
        <v>655.8</v>
      </c>
      <c r="X108" s="70">
        <f t="shared" si="111"/>
        <v>464</v>
      </c>
      <c r="Y108" s="70">
        <f>Y92-Y107</f>
        <v>80</v>
      </c>
      <c r="Z108" s="70">
        <f>Z92-Z107</f>
        <v>85</v>
      </c>
      <c r="AA108" s="70">
        <f t="shared" si="111"/>
        <v>20.100000000000001</v>
      </c>
      <c r="AB108" s="70">
        <f t="shared" si="111"/>
        <v>61.1</v>
      </c>
      <c r="AC108" s="70">
        <f t="shared" si="111"/>
        <v>68.599999999999994</v>
      </c>
      <c r="AD108" s="70">
        <f t="shared" si="111"/>
        <v>76.099999999999994</v>
      </c>
      <c r="AE108" s="70">
        <f t="shared" si="111"/>
        <v>87.5</v>
      </c>
      <c r="AF108" s="70">
        <f t="shared" si="111"/>
        <v>122.39999999999999</v>
      </c>
      <c r="AG108" s="100"/>
      <c r="AH108" s="48">
        <f t="shared" si="56"/>
        <v>706.3</v>
      </c>
      <c r="AI108" s="49">
        <f t="shared" si="57"/>
        <v>20.100000000000001</v>
      </c>
    </row>
    <row r="109" spans="1:64" x14ac:dyDescent="0.25">
      <c r="A109" s="112" t="s">
        <v>132</v>
      </c>
      <c r="B109" s="113">
        <v>50.01</v>
      </c>
      <c r="C109" s="113">
        <v>49.98</v>
      </c>
      <c r="D109" s="113">
        <v>49.97</v>
      </c>
      <c r="E109" s="113">
        <v>49.981999999999999</v>
      </c>
      <c r="F109" s="113">
        <v>49.966999999999999</v>
      </c>
      <c r="G109" s="113">
        <v>50.017000000000003</v>
      </c>
      <c r="H109" s="113">
        <v>50.01</v>
      </c>
      <c r="I109" s="113">
        <v>49.98</v>
      </c>
      <c r="J109" s="113">
        <v>50.087000000000003</v>
      </c>
      <c r="K109" s="113">
        <v>50.201999999999998</v>
      </c>
      <c r="L109" s="113">
        <v>50.201999999999998</v>
      </c>
      <c r="M109" s="113">
        <v>50.149000000000001</v>
      </c>
      <c r="N109" s="113">
        <v>50.13</v>
      </c>
      <c r="O109" s="113">
        <v>50.12</v>
      </c>
      <c r="P109" s="113">
        <v>50.16</v>
      </c>
      <c r="Q109" s="113">
        <v>50.174999999999997</v>
      </c>
      <c r="R109" s="113">
        <v>50.09</v>
      </c>
      <c r="S109" s="113">
        <v>50.002000000000002</v>
      </c>
      <c r="T109" s="113">
        <v>49.868000000000002</v>
      </c>
      <c r="U109" s="113">
        <v>49.999000000000002</v>
      </c>
      <c r="V109" s="113">
        <v>49.991</v>
      </c>
      <c r="W109" s="113">
        <v>50.064</v>
      </c>
      <c r="X109" s="113">
        <v>49.898000000000003</v>
      </c>
      <c r="Y109" s="113">
        <v>50.057000000000002</v>
      </c>
      <c r="Z109" s="113">
        <v>50.02</v>
      </c>
      <c r="AA109" s="113">
        <v>50.000999999999998</v>
      </c>
      <c r="AB109" s="113">
        <v>50.034999999999997</v>
      </c>
      <c r="AC109" s="113">
        <v>50.030999999999999</v>
      </c>
      <c r="AD109" s="113">
        <v>49.98</v>
      </c>
      <c r="AE109" s="113">
        <v>50.01</v>
      </c>
      <c r="AF109" s="113">
        <v>49.965000000000003</v>
      </c>
      <c r="AG109" s="114"/>
      <c r="AH109" s="48">
        <f t="shared" si="56"/>
        <v>50.201999999999998</v>
      </c>
      <c r="AI109" s="49">
        <f t="shared" si="57"/>
        <v>49.868000000000002</v>
      </c>
    </row>
    <row r="110" spans="1:64" x14ac:dyDescent="0.25">
      <c r="A110" s="115" t="s">
        <v>133</v>
      </c>
      <c r="B110" s="75">
        <v>129</v>
      </c>
      <c r="C110" s="75">
        <v>132</v>
      </c>
      <c r="D110" s="75">
        <v>131.4</v>
      </c>
      <c r="E110" s="75">
        <v>132.5</v>
      </c>
      <c r="F110" s="75">
        <v>132.19999999999999</v>
      </c>
      <c r="G110" s="75">
        <v>132.1</v>
      </c>
      <c r="H110" s="75">
        <v>131.69999999999999</v>
      </c>
      <c r="I110" s="75">
        <v>131.69999999999999</v>
      </c>
      <c r="J110" s="75">
        <v>130.19999999999999</v>
      </c>
      <c r="K110" s="75">
        <v>126.3</v>
      </c>
      <c r="L110" s="75">
        <v>126.3</v>
      </c>
      <c r="M110" s="75">
        <v>125.5</v>
      </c>
      <c r="N110" s="75">
        <v>126</v>
      </c>
      <c r="O110" s="75">
        <v>124.5</v>
      </c>
      <c r="P110" s="75">
        <v>124.3</v>
      </c>
      <c r="Q110" s="75">
        <v>126.1</v>
      </c>
      <c r="R110" s="75">
        <v>126</v>
      </c>
      <c r="S110" s="75">
        <v>127.3</v>
      </c>
      <c r="T110" s="75">
        <v>125.6</v>
      </c>
      <c r="U110" s="75">
        <v>124.5</v>
      </c>
      <c r="V110" s="75">
        <v>124.9</v>
      </c>
      <c r="W110" s="75">
        <v>126.5</v>
      </c>
      <c r="X110" s="75">
        <v>128.5</v>
      </c>
      <c r="Y110" s="75">
        <v>123</v>
      </c>
      <c r="Z110" s="75">
        <v>127.2</v>
      </c>
      <c r="AA110" s="75">
        <v>128.1</v>
      </c>
      <c r="AB110" s="75">
        <v>129</v>
      </c>
      <c r="AC110" s="75">
        <v>127.5</v>
      </c>
      <c r="AD110" s="75">
        <v>127.6</v>
      </c>
      <c r="AE110" s="75">
        <v>129.19999999999999</v>
      </c>
      <c r="AF110" s="75">
        <v>130.19999999999999</v>
      </c>
      <c r="AG110" s="116"/>
      <c r="AH110" s="48">
        <f t="shared" si="56"/>
        <v>132.5</v>
      </c>
      <c r="AI110" s="49">
        <f t="shared" si="57"/>
        <v>123</v>
      </c>
    </row>
    <row r="111" spans="1:64" x14ac:dyDescent="0.25">
      <c r="A111" s="115" t="s">
        <v>134</v>
      </c>
      <c r="B111" s="75">
        <v>132</v>
      </c>
      <c r="C111" s="75">
        <v>135</v>
      </c>
      <c r="D111" s="75">
        <v>134.80000000000001</v>
      </c>
      <c r="E111" s="75">
        <v>135.5</v>
      </c>
      <c r="F111" s="75">
        <v>135.5</v>
      </c>
      <c r="G111" s="75">
        <v>135.19999999999999</v>
      </c>
      <c r="H111" s="75">
        <v>134.80000000000001</v>
      </c>
      <c r="I111" s="75">
        <v>134.1</v>
      </c>
      <c r="J111" s="75">
        <v>132.19999999999999</v>
      </c>
      <c r="K111" s="75">
        <v>128.9</v>
      </c>
      <c r="L111" s="75">
        <v>128.9</v>
      </c>
      <c r="M111" s="75">
        <v>128.4</v>
      </c>
      <c r="N111" s="75">
        <v>128.80000000000001</v>
      </c>
      <c r="O111" s="75">
        <v>127.5</v>
      </c>
      <c r="P111" s="75">
        <v>128.1</v>
      </c>
      <c r="Q111" s="75">
        <v>128.69999999999999</v>
      </c>
      <c r="R111" s="75">
        <v>128.69999999999999</v>
      </c>
      <c r="S111" s="75">
        <v>129.19999999999999</v>
      </c>
      <c r="T111" s="75">
        <v>128.4</v>
      </c>
      <c r="U111" s="75">
        <v>127.1</v>
      </c>
      <c r="V111" s="75">
        <v>127.5</v>
      </c>
      <c r="W111" s="75">
        <v>128.9</v>
      </c>
      <c r="X111" s="75">
        <v>130.5</v>
      </c>
      <c r="Y111" s="75">
        <v>126</v>
      </c>
      <c r="Z111" s="75">
        <v>128.19999999999999</v>
      </c>
      <c r="AA111" s="75">
        <v>129.19999999999999</v>
      </c>
      <c r="AB111" s="75">
        <v>131</v>
      </c>
      <c r="AC111" s="75">
        <v>130.30000000000001</v>
      </c>
      <c r="AD111" s="75">
        <v>130.69999999999999</v>
      </c>
      <c r="AE111" s="75">
        <v>132.69999999999999</v>
      </c>
      <c r="AF111" s="75">
        <v>133.80000000000001</v>
      </c>
      <c r="AG111" s="116"/>
      <c r="AH111" s="48">
        <f t="shared" si="56"/>
        <v>135.5</v>
      </c>
      <c r="AI111" s="49">
        <f t="shared" si="57"/>
        <v>126</v>
      </c>
    </row>
    <row r="112" spans="1:64" x14ac:dyDescent="0.25">
      <c r="A112" s="115" t="s">
        <v>135</v>
      </c>
      <c r="B112" s="75">
        <v>130</v>
      </c>
      <c r="C112" s="75"/>
      <c r="D112" s="75">
        <v>130</v>
      </c>
      <c r="E112" s="75">
        <v>131.19999999999999</v>
      </c>
      <c r="F112" s="75">
        <v>131.4</v>
      </c>
      <c r="G112" s="75">
        <v>132</v>
      </c>
      <c r="H112" s="75">
        <v>132.4</v>
      </c>
      <c r="I112" s="75">
        <v>132.30000000000001</v>
      </c>
      <c r="J112" s="75">
        <v>127.7</v>
      </c>
      <c r="K112" s="75">
        <v>123</v>
      </c>
      <c r="L112" s="75">
        <v>123</v>
      </c>
      <c r="M112" s="75">
        <v>125.2</v>
      </c>
      <c r="N112" s="75">
        <v>127</v>
      </c>
      <c r="O112" s="75">
        <v>124.1</v>
      </c>
      <c r="P112" s="75">
        <v>125.6</v>
      </c>
      <c r="Q112" s="75">
        <v>128.5</v>
      </c>
      <c r="R112" s="75">
        <v>127.1</v>
      </c>
      <c r="S112" s="75">
        <v>125.1</v>
      </c>
      <c r="T112" s="75">
        <v>127.5</v>
      </c>
      <c r="U112" s="75">
        <v>125.7</v>
      </c>
      <c r="V112" s="75">
        <v>127.5</v>
      </c>
      <c r="W112" s="75">
        <v>125.6</v>
      </c>
      <c r="X112" s="75">
        <v>129.19999999999999</v>
      </c>
      <c r="Y112" s="75">
        <v>125.5</v>
      </c>
      <c r="Z112" s="75">
        <v>128.69999999999999</v>
      </c>
      <c r="AA112" s="75">
        <v>130.19999999999999</v>
      </c>
      <c r="AB112" s="75">
        <v>127.5</v>
      </c>
      <c r="AC112" s="75">
        <v>129</v>
      </c>
      <c r="AD112" s="75">
        <v>127.6</v>
      </c>
      <c r="AE112" s="75">
        <v>130.19999999999999</v>
      </c>
      <c r="AF112" s="75">
        <v>130.80000000000001</v>
      </c>
      <c r="AG112" s="116"/>
      <c r="AH112" s="48">
        <f t="shared" si="56"/>
        <v>132.4</v>
      </c>
      <c r="AI112" s="49">
        <f t="shared" si="57"/>
        <v>123</v>
      </c>
    </row>
    <row r="113" spans="1:35" x14ac:dyDescent="0.25">
      <c r="A113" s="117" t="s">
        <v>136</v>
      </c>
      <c r="B113" s="75">
        <v>130</v>
      </c>
      <c r="C113" s="75"/>
      <c r="D113" s="75">
        <v>130</v>
      </c>
      <c r="E113" s="75">
        <v>133.5</v>
      </c>
      <c r="F113" s="75">
        <v>132.4</v>
      </c>
      <c r="G113" s="75">
        <v>132.6</v>
      </c>
      <c r="H113" s="75">
        <v>132.19999999999999</v>
      </c>
      <c r="I113" s="75">
        <v>131.1</v>
      </c>
      <c r="J113" s="75">
        <v>126.2</v>
      </c>
      <c r="K113" s="75">
        <v>121.4</v>
      </c>
      <c r="L113" s="75">
        <v>121.4</v>
      </c>
      <c r="M113" s="75">
        <v>124.4</v>
      </c>
      <c r="N113" s="75">
        <v>126.3</v>
      </c>
      <c r="O113" s="75">
        <v>122.9</v>
      </c>
      <c r="P113" s="75">
        <v>124.9</v>
      </c>
      <c r="Q113" s="75">
        <v>124.9</v>
      </c>
      <c r="R113" s="75">
        <v>128.5</v>
      </c>
      <c r="S113" s="75">
        <v>123.9</v>
      </c>
      <c r="T113" s="75">
        <v>126.8</v>
      </c>
      <c r="U113" s="75">
        <v>123.1</v>
      </c>
      <c r="V113" s="75">
        <v>125.5</v>
      </c>
      <c r="W113" s="75">
        <v>125.9</v>
      </c>
      <c r="X113" s="75">
        <v>127.6</v>
      </c>
      <c r="Y113" s="75">
        <v>121.6</v>
      </c>
      <c r="Z113" s="75">
        <v>125.8</v>
      </c>
      <c r="AA113" s="75">
        <v>129.30000000000001</v>
      </c>
      <c r="AB113" s="75">
        <v>127</v>
      </c>
      <c r="AC113" s="75">
        <v>129.1</v>
      </c>
      <c r="AD113" s="75">
        <v>128.4</v>
      </c>
      <c r="AE113" s="75">
        <v>129.5</v>
      </c>
      <c r="AF113" s="75">
        <v>130.5</v>
      </c>
      <c r="AG113" s="116"/>
      <c r="AH113" s="48">
        <f t="shared" si="56"/>
        <v>133.5</v>
      </c>
      <c r="AI113" s="49">
        <f t="shared" si="57"/>
        <v>121.4</v>
      </c>
    </row>
    <row r="114" spans="1:35" x14ac:dyDescent="0.25">
      <c r="A114" s="117" t="s">
        <v>137</v>
      </c>
      <c r="B114" s="118">
        <v>131.69999999999999</v>
      </c>
      <c r="C114" s="118"/>
      <c r="D114" s="118">
        <v>135</v>
      </c>
      <c r="E114" s="118">
        <v>135.5</v>
      </c>
      <c r="F114" s="118">
        <v>134.9</v>
      </c>
      <c r="G114" s="118">
        <v>134.6</v>
      </c>
      <c r="H114" s="118">
        <v>134.19999999999999</v>
      </c>
      <c r="I114" s="118">
        <v>135.1</v>
      </c>
      <c r="J114" s="118">
        <v>134</v>
      </c>
      <c r="K114" s="118">
        <v>132.5</v>
      </c>
      <c r="L114" s="118">
        <v>132.5</v>
      </c>
      <c r="M114" s="118">
        <v>133.6</v>
      </c>
      <c r="N114" s="118">
        <v>133.1</v>
      </c>
      <c r="O114" s="118">
        <v>134.80000000000001</v>
      </c>
      <c r="P114" s="118">
        <v>134</v>
      </c>
      <c r="Q114" s="118">
        <v>134</v>
      </c>
      <c r="R114" s="118">
        <v>132.9</v>
      </c>
      <c r="S114" s="118">
        <v>133</v>
      </c>
      <c r="T114" s="118">
        <v>131.30000000000001</v>
      </c>
      <c r="U114" s="118">
        <v>130.9</v>
      </c>
      <c r="V114" s="118">
        <v>134</v>
      </c>
      <c r="W114" s="118">
        <v>134</v>
      </c>
      <c r="X114" s="118">
        <v>135.6</v>
      </c>
      <c r="Y114" s="118">
        <v>136</v>
      </c>
      <c r="Z114" s="118">
        <v>133.19999999999999</v>
      </c>
      <c r="AA114" s="118">
        <v>131</v>
      </c>
      <c r="AB114" s="118">
        <v>134</v>
      </c>
      <c r="AC114" s="118">
        <v>132.9</v>
      </c>
      <c r="AD114" s="118">
        <v>133</v>
      </c>
      <c r="AE114" s="118">
        <v>134.30000000000001</v>
      </c>
      <c r="AF114" s="118">
        <v>132.6</v>
      </c>
      <c r="AG114" s="119"/>
      <c r="AH114" s="48">
        <f t="shared" si="56"/>
        <v>136</v>
      </c>
      <c r="AI114" s="49">
        <f t="shared" si="57"/>
        <v>130.9</v>
      </c>
    </row>
    <row r="115" spans="1:35" x14ac:dyDescent="0.25">
      <c r="A115" s="115" t="s">
        <v>138</v>
      </c>
      <c r="B115" s="75">
        <v>126</v>
      </c>
      <c r="C115" s="75"/>
      <c r="D115" s="75">
        <v>132</v>
      </c>
      <c r="E115" s="75">
        <v>133.80000000000001</v>
      </c>
      <c r="F115" s="75">
        <v>134</v>
      </c>
      <c r="G115" s="75">
        <v>130.6</v>
      </c>
      <c r="H115" s="75">
        <v>130.1</v>
      </c>
      <c r="I115" s="75">
        <v>128</v>
      </c>
      <c r="J115" s="75">
        <v>125.4</v>
      </c>
      <c r="K115" s="75">
        <v>132.30000000000001</v>
      </c>
      <c r="L115" s="75">
        <v>132.30000000000001</v>
      </c>
      <c r="M115" s="75">
        <v>129.6</v>
      </c>
      <c r="N115" s="75">
        <v>131</v>
      </c>
      <c r="O115" s="75">
        <v>133.69999999999999</v>
      </c>
      <c r="P115" s="75">
        <v>135</v>
      </c>
      <c r="Q115" s="75">
        <v>135</v>
      </c>
      <c r="R115" s="75">
        <v>0</v>
      </c>
      <c r="S115" s="75">
        <v>130</v>
      </c>
      <c r="T115" s="75">
        <v>129.30000000000001</v>
      </c>
      <c r="U115" s="75">
        <v>125</v>
      </c>
      <c r="V115" s="75">
        <v>127.6</v>
      </c>
      <c r="W115" s="75">
        <v>127.7</v>
      </c>
      <c r="X115" s="75">
        <v>130.80000000000001</v>
      </c>
      <c r="Y115" s="75">
        <v>133.4</v>
      </c>
      <c r="Z115" s="75">
        <v>131.30000000000001</v>
      </c>
      <c r="AA115" s="75">
        <v>130.69999999999999</v>
      </c>
      <c r="AB115" s="75">
        <v>133</v>
      </c>
      <c r="AC115" s="75">
        <v>134.30000000000001</v>
      </c>
      <c r="AD115" s="75">
        <v>134.19999999999999</v>
      </c>
      <c r="AE115" s="75">
        <v>134.69999999999999</v>
      </c>
      <c r="AF115" s="75">
        <v>131.30000000000001</v>
      </c>
      <c r="AG115" s="116"/>
      <c r="AH115" s="48">
        <f t="shared" si="56"/>
        <v>135</v>
      </c>
      <c r="AI115" s="49">
        <f t="shared" si="57"/>
        <v>0</v>
      </c>
    </row>
    <row r="116" spans="1:35" ht="15.75" thickBot="1" x14ac:dyDescent="0.3">
      <c r="A116" s="115" t="s">
        <v>139</v>
      </c>
      <c r="B116" s="104">
        <v>66.599999999999994</v>
      </c>
      <c r="C116" s="104"/>
      <c r="D116" s="104">
        <v>67.599999999999994</v>
      </c>
      <c r="E116" s="104">
        <v>67.900000000000006</v>
      </c>
      <c r="F116" s="104">
        <v>68</v>
      </c>
      <c r="G116" s="104">
        <v>67.7</v>
      </c>
      <c r="H116" s="104">
        <v>67.599999999999994</v>
      </c>
      <c r="I116" s="104">
        <v>67</v>
      </c>
      <c r="J116" s="104">
        <v>66</v>
      </c>
      <c r="K116" s="104">
        <v>64.599999999999994</v>
      </c>
      <c r="L116" s="104">
        <v>64.599999999999994</v>
      </c>
      <c r="M116" s="104">
        <v>64.8</v>
      </c>
      <c r="N116" s="104">
        <v>65</v>
      </c>
      <c r="O116" s="104">
        <v>64.2</v>
      </c>
      <c r="P116" s="104">
        <v>64.5</v>
      </c>
      <c r="Q116" s="104">
        <v>64.5</v>
      </c>
      <c r="R116" s="104">
        <v>64.8</v>
      </c>
      <c r="S116" s="104">
        <v>65.2</v>
      </c>
      <c r="T116" s="104">
        <v>64.8</v>
      </c>
      <c r="U116" s="104">
        <v>64.3</v>
      </c>
      <c r="V116" s="104">
        <v>64.2</v>
      </c>
      <c r="W116" s="104">
        <v>65.099999999999994</v>
      </c>
      <c r="X116" s="104">
        <v>65.599999999999994</v>
      </c>
      <c r="Y116" s="104">
        <v>63.7</v>
      </c>
      <c r="Z116" s="104">
        <v>64.599999999999994</v>
      </c>
      <c r="AA116" s="104">
        <v>64.900000000000006</v>
      </c>
      <c r="AB116" s="104">
        <v>65.8</v>
      </c>
      <c r="AC116" s="104">
        <v>65.400000000000006</v>
      </c>
      <c r="AD116" s="104">
        <v>65.8</v>
      </c>
      <c r="AE116" s="104">
        <v>66.8</v>
      </c>
      <c r="AF116" s="104">
        <v>67.400000000000006</v>
      </c>
      <c r="AG116" s="120"/>
      <c r="AH116" s="48">
        <f t="shared" si="56"/>
        <v>68</v>
      </c>
      <c r="AI116" s="49">
        <f t="shared" si="57"/>
        <v>63.7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 t="s">
        <v>140</v>
      </c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56"/>
        <v>0</v>
      </c>
      <c r="AI117" s="49">
        <f t="shared" si="57"/>
        <v>0</v>
      </c>
    </row>
    <row r="118" spans="1:35" ht="15.75" thickBot="1" x14ac:dyDescent="0.3">
      <c r="A118" s="122" t="s">
        <v>141</v>
      </c>
      <c r="B118" s="123">
        <f t="shared" ref="B118" si="115">SUM(B22,B28,B31:B32,B66,B68:B69,B71,B73,B119:B123,B155,B161,B167,B176,B178,B190,B197,B200:B201,B208,B210,B212,B216:B218,B220:B222,B227,B233:B234,B236:B238,B246,B251)</f>
        <v>117.54000000000002</v>
      </c>
      <c r="C118" s="123">
        <f>SUM(C22,C28,C31:C32,C66,C68:C69,C71,C73,C119:C123,C155,C161,C167,C176,C178,C190,C197,C200:C201,C208,C210,C212,C216:C218,C220:C222,C227,C233:C234,C236:C238,C246,C251)</f>
        <v>110.53999999999999</v>
      </c>
      <c r="D118" s="123">
        <f t="shared" ref="D118:M118" si="116">SUM(D22,D28,D31:D32,D66,D68:D69,D71,D73,D119:D123,D155,D161,D167,D176,D178,D190,D197,D200:D201,D208,D210,D212,D216:D218,D220:D222,D227,D233:D234,D236:D238,D246,D251)</f>
        <v>94.54000000000002</v>
      </c>
      <c r="E118" s="123">
        <f t="shared" si="116"/>
        <v>123.83999999999997</v>
      </c>
      <c r="F118" s="123">
        <f t="shared" si="116"/>
        <v>131.24000000000004</v>
      </c>
      <c r="G118" s="123">
        <f t="shared" si="116"/>
        <v>167.24000000000004</v>
      </c>
      <c r="H118" s="123">
        <f t="shared" si="116"/>
        <v>177.60000000000002</v>
      </c>
      <c r="I118" s="123">
        <f t="shared" si="116"/>
        <v>218.14</v>
      </c>
      <c r="J118" s="123">
        <f t="shared" si="116"/>
        <v>263.14</v>
      </c>
      <c r="K118" s="123">
        <f t="shared" si="116"/>
        <v>308.54000000000002</v>
      </c>
      <c r="L118" s="123">
        <f t="shared" ref="L118" si="117">SUM(L22,L28,L31:L32,L66,L68:L69,L71,L73,L119:L123,L155,L161,L167,L176,L178,L190,L197,L200:L201,L208,L210,L212,L216:L218,L220:L222,L227,L233:L234,L236:L238,L246,L251)</f>
        <v>308.54000000000002</v>
      </c>
      <c r="M118" s="123">
        <f t="shared" si="116"/>
        <v>318.84000000000003</v>
      </c>
      <c r="N118" s="123">
        <f t="shared" ref="N118:O118" si="118">SUM(N22,N28,N31:N32,N66,N68:N69,N71,N73,N119:N123,N155,N161,N167,N176,N178,N190,N197,N200:N201,N208,N210,N212,N216:N218,N220:N222,N227,N233:N234,N236:N238,N246,N251)</f>
        <v>311.71999999999997</v>
      </c>
      <c r="O118" s="123">
        <f t="shared" si="118"/>
        <v>311.04000000000002</v>
      </c>
      <c r="P118" s="123">
        <f t="shared" ref="P118:Q118" si="119">SUM(P22,P28,P31:P32,P66,P68:P69,P71,P73,P119:P123,P155,P161,P167,P176,P178,P190,P197,P200:P201,P208,P210,P212,P216:P218,P220:P222,P227,P233:P234,P236:P238,P246,P251)</f>
        <v>305.24</v>
      </c>
      <c r="Q118" s="123">
        <f t="shared" si="119"/>
        <v>282.54000000000002</v>
      </c>
      <c r="R118" s="123">
        <f t="shared" ref="R118" si="120">SUM(R22,R28,R31:R32,R66,R68:R69,R71,R73,R119:R123,R155,R161,R167,R176,R178,R190,R197,R200:R201,R208,R210,R212,R216:R218,R220:R222,R227,R233:R234,R236:R238,R246,R251)</f>
        <v>265.74</v>
      </c>
      <c r="S118" s="123">
        <f t="shared" ref="S118:AF118" si="121">SUM(S22,S28,S31:S32,S66,S68:S69,S71,S73,S119:S123,S155,S161,S167,S176,S178,S190,S197,S200:S201,S208,S210,S212,S216:S218,S220:S222,S227,S233:S234,S236:S238,S246,S251)</f>
        <v>294.94</v>
      </c>
      <c r="T118" s="123">
        <f t="shared" si="121"/>
        <v>289.04000000000002</v>
      </c>
      <c r="U118" s="123">
        <f t="shared" si="121"/>
        <v>298.83999999999997</v>
      </c>
      <c r="V118" s="123">
        <f t="shared" si="121"/>
        <v>292.54000000000002</v>
      </c>
      <c r="W118" s="123">
        <f t="shared" si="121"/>
        <v>297.04000000000002</v>
      </c>
      <c r="X118" s="123">
        <f t="shared" si="121"/>
        <v>293.83999999999997</v>
      </c>
      <c r="Y118" s="123">
        <f t="shared" ref="Y118:Z118" si="122">SUM(Y20,Y26,Y37:Y38,Y66,Y68:Y69,Y71,Y73,Y119:Y123,Y148,Y154,Y160,Y169,Y171,Y183,Y190,Y193:Y194,Y201,Y203,Y205,Y209:Y211,Y213:Y215,Y220,Y226:Y227,Y229:Y231,Y239,Y244)</f>
        <v>325</v>
      </c>
      <c r="Z118" s="123">
        <f t="shared" si="122"/>
        <v>359.59999999999997</v>
      </c>
      <c r="AA118" s="123">
        <f t="shared" si="121"/>
        <v>334.24</v>
      </c>
      <c r="AB118" s="123">
        <f t="shared" si="121"/>
        <v>256.83999999999997</v>
      </c>
      <c r="AC118" s="123">
        <f t="shared" si="121"/>
        <v>214.33999999999997</v>
      </c>
      <c r="AD118" s="123">
        <f t="shared" si="121"/>
        <v>194.14000000000001</v>
      </c>
      <c r="AE118" s="123">
        <f t="shared" si="121"/>
        <v>134.04000000000002</v>
      </c>
      <c r="AF118" s="123">
        <f t="shared" si="121"/>
        <v>106.84</v>
      </c>
      <c r="AG118" s="124"/>
      <c r="AH118" s="48">
        <f t="shared" si="56"/>
        <v>359.59999999999997</v>
      </c>
      <c r="AI118" s="49">
        <f t="shared" si="57"/>
        <v>94.54000000000002</v>
      </c>
    </row>
    <row r="119" spans="1:35" x14ac:dyDescent="0.25">
      <c r="A119" s="125" t="s">
        <v>142</v>
      </c>
      <c r="B119" s="126">
        <v>70</v>
      </c>
      <c r="C119" s="126"/>
      <c r="D119" s="126">
        <v>61</v>
      </c>
      <c r="E119" s="126">
        <v>51.8</v>
      </c>
      <c r="F119" s="126">
        <v>44</v>
      </c>
      <c r="G119" s="126">
        <v>39.200000000000003</v>
      </c>
      <c r="H119" s="126">
        <v>35.96</v>
      </c>
      <c r="I119" s="126">
        <v>24.1</v>
      </c>
      <c r="J119" s="126">
        <v>26</v>
      </c>
      <c r="K119" s="126">
        <v>34</v>
      </c>
      <c r="L119" s="126">
        <v>34</v>
      </c>
      <c r="M119" s="126">
        <v>29</v>
      </c>
      <c r="N119" s="126">
        <v>38</v>
      </c>
      <c r="O119" s="126">
        <v>38</v>
      </c>
      <c r="P119" s="126">
        <v>45.5</v>
      </c>
      <c r="Q119" s="126">
        <v>20.2</v>
      </c>
      <c r="R119" s="126" t="s">
        <v>326</v>
      </c>
      <c r="S119" s="126">
        <v>-0.1</v>
      </c>
      <c r="T119" s="126">
        <v>28.4</v>
      </c>
      <c r="U119" s="126">
        <v>16.7</v>
      </c>
      <c r="V119" s="126">
        <v>14</v>
      </c>
      <c r="W119" s="126">
        <v>13.2</v>
      </c>
      <c r="X119" s="126">
        <v>46.8</v>
      </c>
      <c r="Y119" s="126">
        <v>61.8</v>
      </c>
      <c r="Z119" s="126">
        <v>59.6</v>
      </c>
      <c r="AA119" s="126">
        <v>31.9</v>
      </c>
      <c r="AB119" s="126">
        <v>50</v>
      </c>
      <c r="AC119" s="126">
        <v>53.9</v>
      </c>
      <c r="AD119" s="126">
        <v>61.7</v>
      </c>
      <c r="AE119" s="126">
        <v>45.2</v>
      </c>
      <c r="AF119" s="126">
        <v>26.9</v>
      </c>
      <c r="AG119" s="127">
        <v>75</v>
      </c>
      <c r="AH119" s="48">
        <f t="shared" si="56"/>
        <v>70</v>
      </c>
      <c r="AI119" s="49">
        <f t="shared" si="57"/>
        <v>-0.1</v>
      </c>
    </row>
    <row r="120" spans="1:35" x14ac:dyDescent="0.25">
      <c r="A120" s="128" t="s">
        <v>143</v>
      </c>
      <c r="B120" s="129">
        <v>99</v>
      </c>
      <c r="C120" s="129"/>
      <c r="D120" s="129">
        <v>82</v>
      </c>
      <c r="E120" s="129">
        <v>69.2</v>
      </c>
      <c r="F120" s="129">
        <v>59.2</v>
      </c>
      <c r="G120" s="129">
        <v>52.3</v>
      </c>
      <c r="H120" s="129">
        <v>48.3</v>
      </c>
      <c r="I120" s="129">
        <v>38</v>
      </c>
      <c r="J120" s="129">
        <v>40</v>
      </c>
      <c r="K120" s="129">
        <v>50</v>
      </c>
      <c r="L120" s="129">
        <v>50</v>
      </c>
      <c r="M120" s="129">
        <v>43.6</v>
      </c>
      <c r="N120" s="129">
        <v>53.6</v>
      </c>
      <c r="O120" s="129">
        <v>51.5</v>
      </c>
      <c r="P120" s="129">
        <v>60.9</v>
      </c>
      <c r="Q120" s="129">
        <v>29.9</v>
      </c>
      <c r="R120" s="129">
        <v>16.899999999999999</v>
      </c>
      <c r="S120" s="129">
        <v>0.8</v>
      </c>
      <c r="T120" s="129">
        <v>41</v>
      </c>
      <c r="U120" s="129">
        <v>29.1</v>
      </c>
      <c r="V120" s="129">
        <v>22.5</v>
      </c>
      <c r="W120" s="129">
        <v>21.3</v>
      </c>
      <c r="X120" s="129">
        <v>67.099999999999994</v>
      </c>
      <c r="Y120" s="129">
        <v>88.2</v>
      </c>
      <c r="Z120" s="129">
        <v>83.8</v>
      </c>
      <c r="AA120" s="129">
        <v>49.8</v>
      </c>
      <c r="AB120" s="129">
        <v>75.599999999999994</v>
      </c>
      <c r="AC120" s="129">
        <v>80.2</v>
      </c>
      <c r="AD120" s="129">
        <v>90.5</v>
      </c>
      <c r="AE120" s="129">
        <v>68</v>
      </c>
      <c r="AF120" s="129">
        <v>45.4</v>
      </c>
      <c r="AG120" s="127">
        <v>240</v>
      </c>
      <c r="AH120" s="48">
        <f t="shared" si="56"/>
        <v>99</v>
      </c>
      <c r="AI120" s="49">
        <f t="shared" si="57"/>
        <v>0.8</v>
      </c>
    </row>
    <row r="121" spans="1:35" x14ac:dyDescent="0.25">
      <c r="A121" s="128" t="s">
        <v>144</v>
      </c>
      <c r="B121" s="129">
        <v>-140</v>
      </c>
      <c r="C121" s="129"/>
      <c r="D121" s="129">
        <v>-130</v>
      </c>
      <c r="E121" s="129">
        <v>-86</v>
      </c>
      <c r="F121" s="129">
        <v>-72</v>
      </c>
      <c r="G121" s="129">
        <v>-53</v>
      </c>
      <c r="H121" s="129">
        <v>-44</v>
      </c>
      <c r="I121" s="129">
        <v>-20</v>
      </c>
      <c r="J121" s="129">
        <v>-5</v>
      </c>
      <c r="K121" s="129">
        <v>4</v>
      </c>
      <c r="L121" s="129">
        <v>4</v>
      </c>
      <c r="M121" s="129">
        <v>4.5999999999999996</v>
      </c>
      <c r="N121" s="129">
        <v>0</v>
      </c>
      <c r="O121" s="129">
        <v>-4.5</v>
      </c>
      <c r="P121" s="129">
        <v>-14</v>
      </c>
      <c r="Q121" s="129">
        <v>9.6</v>
      </c>
      <c r="R121" s="129">
        <v>22</v>
      </c>
      <c r="S121" s="129">
        <v>47.2</v>
      </c>
      <c r="T121" s="129">
        <v>9</v>
      </c>
      <c r="U121" s="129">
        <f>14+11</f>
        <v>25</v>
      </c>
      <c r="V121" s="129">
        <v>30</v>
      </c>
      <c r="W121" s="129">
        <v>26</v>
      </c>
      <c r="X121" s="129">
        <v>-11</v>
      </c>
      <c r="Y121" s="129">
        <v>-44</v>
      </c>
      <c r="Z121" s="129">
        <v>-20</v>
      </c>
      <c r="AA121" s="129">
        <v>-1</v>
      </c>
      <c r="AB121" s="129">
        <v>-75</v>
      </c>
      <c r="AC121" s="129">
        <v>-96</v>
      </c>
      <c r="AD121" s="129">
        <v>-110</v>
      </c>
      <c r="AE121" s="129">
        <v>-114</v>
      </c>
      <c r="AF121" s="129">
        <v>-100.8</v>
      </c>
      <c r="AG121" s="127">
        <v>240</v>
      </c>
      <c r="AH121" s="48">
        <f t="shared" si="56"/>
        <v>47.2</v>
      </c>
      <c r="AI121" s="49">
        <f t="shared" si="57"/>
        <v>-140</v>
      </c>
    </row>
    <row r="122" spans="1:35" ht="15.75" thickBot="1" x14ac:dyDescent="0.3">
      <c r="A122" s="128" t="s">
        <v>145</v>
      </c>
      <c r="B122" s="129">
        <v>19</v>
      </c>
      <c r="C122" s="129"/>
      <c r="D122" s="129">
        <v>19</v>
      </c>
      <c r="E122" s="129">
        <v>8</v>
      </c>
      <c r="F122" s="129">
        <v>12.3</v>
      </c>
      <c r="G122" s="129">
        <v>16.100000000000001</v>
      </c>
      <c r="H122" s="129">
        <v>24</v>
      </c>
      <c r="I122" s="129">
        <v>31</v>
      </c>
      <c r="J122" s="129">
        <v>33</v>
      </c>
      <c r="K122" s="129">
        <v>20</v>
      </c>
      <c r="L122" s="129">
        <v>20</v>
      </c>
      <c r="M122" s="129">
        <v>16.8</v>
      </c>
      <c r="N122" s="129">
        <v>7</v>
      </c>
      <c r="O122" s="129">
        <v>5.3</v>
      </c>
      <c r="P122" s="129">
        <v>6.4</v>
      </c>
      <c r="Q122" s="129">
        <v>9.6999999999999993</v>
      </c>
      <c r="R122" s="129">
        <v>9.8000000000000007</v>
      </c>
      <c r="S122" s="129">
        <v>17.600000000000001</v>
      </c>
      <c r="T122" s="129">
        <v>8</v>
      </c>
      <c r="U122" s="129">
        <v>6</v>
      </c>
      <c r="V122" s="129">
        <v>4</v>
      </c>
      <c r="W122" s="129">
        <v>12.5</v>
      </c>
      <c r="X122" s="129">
        <v>12.6</v>
      </c>
      <c r="Y122" s="129">
        <v>11.8</v>
      </c>
      <c r="Z122" s="129">
        <v>42</v>
      </c>
      <c r="AA122" s="129">
        <v>45</v>
      </c>
      <c r="AB122" s="129">
        <v>39.700000000000003</v>
      </c>
      <c r="AC122" s="129">
        <v>34.9</v>
      </c>
      <c r="AD122" s="129">
        <v>32</v>
      </c>
      <c r="AE122" s="129">
        <v>28.9</v>
      </c>
      <c r="AF122" s="129">
        <v>23.1</v>
      </c>
      <c r="AG122" s="127">
        <v>60</v>
      </c>
      <c r="AH122" s="48">
        <f t="shared" si="56"/>
        <v>45</v>
      </c>
      <c r="AI122" s="49">
        <f t="shared" si="57"/>
        <v>4</v>
      </c>
    </row>
    <row r="123" spans="1:35" x14ac:dyDescent="0.25">
      <c r="A123" s="125" t="s">
        <v>146</v>
      </c>
      <c r="B123" s="130">
        <v>-41</v>
      </c>
      <c r="C123" s="130"/>
      <c r="D123" s="130">
        <v>-52</v>
      </c>
      <c r="E123" s="130">
        <v>-34</v>
      </c>
      <c r="F123" s="130">
        <v>-27.1</v>
      </c>
      <c r="G123" s="130">
        <v>-2.2000000000000002</v>
      </c>
      <c r="H123" s="130">
        <v>0.3</v>
      </c>
      <c r="I123" s="130">
        <v>32</v>
      </c>
      <c r="J123" s="130">
        <v>55</v>
      </c>
      <c r="K123" s="130">
        <v>84</v>
      </c>
      <c r="L123" s="130">
        <v>84</v>
      </c>
      <c r="M123" s="130">
        <v>116.8</v>
      </c>
      <c r="N123" s="130">
        <v>103.98</v>
      </c>
      <c r="O123" s="130">
        <v>107.1</v>
      </c>
      <c r="P123" s="130">
        <v>89.8</v>
      </c>
      <c r="Q123" s="130">
        <v>99.5</v>
      </c>
      <c r="R123" s="130">
        <v>110</v>
      </c>
      <c r="S123" s="130">
        <v>117.8</v>
      </c>
      <c r="T123" s="130">
        <v>91</v>
      </c>
      <c r="U123" s="130">
        <v>115</v>
      </c>
      <c r="V123" s="130">
        <v>115</v>
      </c>
      <c r="W123" s="130">
        <v>114.7</v>
      </c>
      <c r="X123" s="130">
        <v>69</v>
      </c>
      <c r="Y123" s="130">
        <v>108</v>
      </c>
      <c r="Z123" s="130">
        <v>95</v>
      </c>
      <c r="AA123" s="130">
        <v>113</v>
      </c>
      <c r="AB123" s="130">
        <v>67.5</v>
      </c>
      <c r="AC123" s="130">
        <v>42.3</v>
      </c>
      <c r="AD123" s="130">
        <v>20.9</v>
      </c>
      <c r="AE123" s="130">
        <v>5.8</v>
      </c>
      <c r="AF123" s="130">
        <v>12.1</v>
      </c>
      <c r="AG123" s="131">
        <v>120</v>
      </c>
      <c r="AH123" s="48">
        <f t="shared" si="56"/>
        <v>117.8</v>
      </c>
      <c r="AI123" s="49">
        <f t="shared" si="57"/>
        <v>-52</v>
      </c>
    </row>
    <row r="124" spans="1:35" x14ac:dyDescent="0.25">
      <c r="A124" s="128" t="s">
        <v>147</v>
      </c>
      <c r="B124" s="130">
        <v>3</v>
      </c>
      <c r="C124" s="130"/>
      <c r="D124" s="130">
        <v>-4</v>
      </c>
      <c r="E124" s="130">
        <v>-5</v>
      </c>
      <c r="F124" s="130">
        <v>9</v>
      </c>
      <c r="G124" s="130">
        <v>20</v>
      </c>
      <c r="H124" s="130">
        <v>22.1</v>
      </c>
      <c r="I124" s="130">
        <v>38</v>
      </c>
      <c r="J124" s="130">
        <v>50</v>
      </c>
      <c r="K124" s="130">
        <v>65</v>
      </c>
      <c r="L124" s="130">
        <v>65</v>
      </c>
      <c r="M124" s="130">
        <v>73.8</v>
      </c>
      <c r="N124" s="130">
        <v>63.2</v>
      </c>
      <c r="O124" s="130">
        <v>64.8</v>
      </c>
      <c r="P124" s="130">
        <v>56.2</v>
      </c>
      <c r="Q124" s="130">
        <v>60.2</v>
      </c>
      <c r="R124" s="130">
        <v>65.8</v>
      </c>
      <c r="S124" s="130">
        <v>69</v>
      </c>
      <c r="T124" s="130">
        <v>57</v>
      </c>
      <c r="U124" s="130">
        <v>70</v>
      </c>
      <c r="V124" s="130">
        <v>73</v>
      </c>
      <c r="W124" s="130">
        <v>73.400000000000006</v>
      </c>
      <c r="X124" s="130">
        <v>60.3</v>
      </c>
      <c r="Y124" s="130">
        <v>78</v>
      </c>
      <c r="Z124" s="130">
        <v>73</v>
      </c>
      <c r="AA124" s="130">
        <v>81</v>
      </c>
      <c r="AB124" s="130">
        <v>59.4</v>
      </c>
      <c r="AC124" s="130">
        <v>46.9</v>
      </c>
      <c r="AD124" s="130">
        <v>35.6</v>
      </c>
      <c r="AE124" s="130">
        <v>27.6</v>
      </c>
      <c r="AF124" s="130">
        <v>31.4</v>
      </c>
      <c r="AG124" s="131"/>
      <c r="AH124" s="48">
        <f t="shared" si="56"/>
        <v>81</v>
      </c>
      <c r="AI124" s="49">
        <f t="shared" si="57"/>
        <v>-5</v>
      </c>
    </row>
    <row r="125" spans="1:35" x14ac:dyDescent="0.25">
      <c r="A125" s="128" t="s">
        <v>148</v>
      </c>
      <c r="B125" s="130">
        <v>-52</v>
      </c>
      <c r="C125" s="130"/>
      <c r="D125" s="130">
        <v>-46</v>
      </c>
      <c r="E125" s="130">
        <v>-33</v>
      </c>
      <c r="F125" s="130">
        <v>-30.4</v>
      </c>
      <c r="G125" s="130">
        <v>-22</v>
      </c>
      <c r="H125" s="130">
        <v>-27.4</v>
      </c>
      <c r="I125" s="130">
        <v>-22</v>
      </c>
      <c r="J125" s="130">
        <v>-24</v>
      </c>
      <c r="K125" s="130">
        <v>-17</v>
      </c>
      <c r="L125" s="130">
        <v>-17</v>
      </c>
      <c r="M125" s="130">
        <v>-20.5</v>
      </c>
      <c r="N125" s="130">
        <v>-24.6</v>
      </c>
      <c r="O125" s="130">
        <v>4.2</v>
      </c>
      <c r="P125" s="130">
        <v>-5</v>
      </c>
      <c r="Q125" s="130">
        <v>15.5</v>
      </c>
      <c r="R125" s="130">
        <v>22.7</v>
      </c>
      <c r="S125" s="130">
        <v>20.2</v>
      </c>
      <c r="T125" s="130">
        <v>-12</v>
      </c>
      <c r="U125" s="130">
        <v>-14</v>
      </c>
      <c r="V125" s="130">
        <v>-11.3</v>
      </c>
      <c r="W125" s="130">
        <v>-11.8</v>
      </c>
      <c r="X125" s="130">
        <v>-45</v>
      </c>
      <c r="Y125" s="130">
        <v>-39</v>
      </c>
      <c r="Z125" s="130">
        <v>-57</v>
      </c>
      <c r="AA125" s="130">
        <v>-33</v>
      </c>
      <c r="AB125" s="130">
        <v>-48.4</v>
      </c>
      <c r="AC125" s="130">
        <v>-51.4</v>
      </c>
      <c r="AD125" s="130">
        <v>-55.4</v>
      </c>
      <c r="AE125" s="130">
        <v>-36.1</v>
      </c>
      <c r="AF125" s="130">
        <v>-13.9</v>
      </c>
      <c r="AG125" s="131"/>
      <c r="AH125" s="48">
        <f t="shared" si="56"/>
        <v>22.7</v>
      </c>
      <c r="AI125" s="49">
        <f t="shared" si="57"/>
        <v>-57</v>
      </c>
    </row>
    <row r="126" spans="1:35" ht="15.75" thickBot="1" x14ac:dyDescent="0.3">
      <c r="A126" s="128" t="s">
        <v>149</v>
      </c>
      <c r="B126" s="130">
        <v>-10</v>
      </c>
      <c r="C126" s="130"/>
      <c r="D126" s="130">
        <v>-23</v>
      </c>
      <c r="E126" s="130">
        <v>-7</v>
      </c>
      <c r="F126" s="130">
        <v>0</v>
      </c>
      <c r="G126" s="130">
        <v>14</v>
      </c>
      <c r="H126" s="130">
        <v>11</v>
      </c>
      <c r="I126" s="130">
        <v>28</v>
      </c>
      <c r="J126" s="130">
        <v>43</v>
      </c>
      <c r="K126" s="130">
        <v>61</v>
      </c>
      <c r="L126" s="130">
        <v>61</v>
      </c>
      <c r="M126" s="130">
        <v>67.599999999999994</v>
      </c>
      <c r="N126" s="130">
        <v>58.4</v>
      </c>
      <c r="O126" s="130">
        <v>64.099999999999994</v>
      </c>
      <c r="P126" s="130">
        <v>53.8</v>
      </c>
      <c r="Q126" s="130">
        <v>55.7</v>
      </c>
      <c r="R126" s="130">
        <v>57.8</v>
      </c>
      <c r="S126" s="130">
        <v>62.5</v>
      </c>
      <c r="T126" s="130">
        <v>53</v>
      </c>
      <c r="U126" s="130">
        <v>70</v>
      </c>
      <c r="V126" s="130">
        <v>70</v>
      </c>
      <c r="W126" s="130">
        <v>63.2</v>
      </c>
      <c r="X126" s="130">
        <v>40.6</v>
      </c>
      <c r="Y126" s="130">
        <v>58</v>
      </c>
      <c r="Z126" s="130">
        <v>55</v>
      </c>
      <c r="AA126" s="130">
        <v>64.8</v>
      </c>
      <c r="AB126" s="130">
        <v>43</v>
      </c>
      <c r="AC126" s="130">
        <v>29.7</v>
      </c>
      <c r="AD126" s="130">
        <v>21.6</v>
      </c>
      <c r="AE126" s="130">
        <v>17.2</v>
      </c>
      <c r="AF126" s="130">
        <v>24.6</v>
      </c>
      <c r="AG126" s="127"/>
      <c r="AH126" s="48">
        <f>MAX(B126:AF126)</f>
        <v>70</v>
      </c>
      <c r="AI126" s="49">
        <f>MIN(B126:AF126)</f>
        <v>-23</v>
      </c>
    </row>
    <row r="127" spans="1:35" x14ac:dyDescent="0.25">
      <c r="A127" s="125" t="s">
        <v>305</v>
      </c>
      <c r="B127" s="130">
        <v>-105</v>
      </c>
      <c r="C127" s="130"/>
      <c r="D127" s="130">
        <v>-100</v>
      </c>
      <c r="E127" s="130">
        <v>-65</v>
      </c>
      <c r="F127" s="130">
        <v>-60</v>
      </c>
      <c r="G127" s="130">
        <v>-47</v>
      </c>
      <c r="H127" s="130">
        <v>-51</v>
      </c>
      <c r="I127" s="130">
        <v>-55</v>
      </c>
      <c r="J127" s="130">
        <v>-16</v>
      </c>
      <c r="K127" s="130">
        <v>6</v>
      </c>
      <c r="L127" s="130">
        <v>6</v>
      </c>
      <c r="M127" s="130">
        <v>20</v>
      </c>
      <c r="N127" s="130">
        <v>9.1</v>
      </c>
      <c r="O127" s="130">
        <v>10.3</v>
      </c>
      <c r="P127" s="130">
        <v>7.1</v>
      </c>
      <c r="Q127" s="130">
        <v>13.1</v>
      </c>
      <c r="R127" s="130">
        <v>20.9</v>
      </c>
      <c r="S127" s="130">
        <v>24</v>
      </c>
      <c r="T127" s="130">
        <v>10</v>
      </c>
      <c r="U127" s="130">
        <v>24.6</v>
      </c>
      <c r="V127" s="130">
        <v>23</v>
      </c>
      <c r="W127" s="130">
        <v>-12.8</v>
      </c>
      <c r="X127" s="130">
        <v>-50</v>
      </c>
      <c r="Y127" s="130">
        <v>-194</v>
      </c>
      <c r="Z127" s="130">
        <v>-193</v>
      </c>
      <c r="AA127" s="130">
        <v>-201</v>
      </c>
      <c r="AB127" s="130">
        <v>-158.6</v>
      </c>
      <c r="AC127" s="130">
        <v>-162.80000000000001</v>
      </c>
      <c r="AD127" s="130">
        <v>-132.6</v>
      </c>
      <c r="AE127" s="130">
        <v>-120.6</v>
      </c>
      <c r="AF127" s="130">
        <v>-103.9</v>
      </c>
      <c r="AG127" s="127"/>
      <c r="AH127" s="48">
        <f>MAX(B127:AF127)</f>
        <v>24.6</v>
      </c>
      <c r="AI127" s="49">
        <f>MIN(B127:AF127)</f>
        <v>-201</v>
      </c>
    </row>
    <row r="128" spans="1:35" x14ac:dyDescent="0.25">
      <c r="A128" s="128" t="s">
        <v>151</v>
      </c>
      <c r="B128" s="118">
        <v>-12</v>
      </c>
      <c r="C128" s="118"/>
      <c r="D128" s="118">
        <v>-23</v>
      </c>
      <c r="E128" s="118">
        <v>-15</v>
      </c>
      <c r="F128" s="118">
        <v>-0.3</v>
      </c>
      <c r="G128" s="118">
        <v>-6</v>
      </c>
      <c r="H128" s="118">
        <v>-10</v>
      </c>
      <c r="I128" s="118">
        <v>-14</v>
      </c>
      <c r="J128" s="118">
        <v>-14.4</v>
      </c>
      <c r="K128" s="118">
        <v>-17</v>
      </c>
      <c r="L128" s="118">
        <v>-17</v>
      </c>
      <c r="M128" s="118">
        <v>-20.9</v>
      </c>
      <c r="N128" s="118">
        <v>-19.600000000000001</v>
      </c>
      <c r="O128" s="118">
        <v>-18.600000000000001</v>
      </c>
      <c r="P128" s="118">
        <v>-14.8</v>
      </c>
      <c r="Q128" s="118">
        <v>-8.1</v>
      </c>
      <c r="R128" s="118">
        <v>-10</v>
      </c>
      <c r="S128" s="118">
        <v>-21.8</v>
      </c>
      <c r="T128" s="118">
        <v>-26</v>
      </c>
      <c r="U128" s="118">
        <v>-29</v>
      </c>
      <c r="V128" s="118">
        <v>-28</v>
      </c>
      <c r="W128" s="118">
        <v>-28</v>
      </c>
      <c r="X128" s="118">
        <v>-33</v>
      </c>
      <c r="Y128" s="118">
        <v>-45</v>
      </c>
      <c r="Z128" s="118">
        <v>-49</v>
      </c>
      <c r="AA128" s="118">
        <v>-41</v>
      </c>
      <c r="AB128" s="118">
        <v>-36.4</v>
      </c>
      <c r="AC128" s="118">
        <v>-33.799999999999997</v>
      </c>
      <c r="AD128" s="118">
        <v>-31.5</v>
      </c>
      <c r="AE128" s="118">
        <v>-14</v>
      </c>
      <c r="AF128" s="118">
        <v>-13.3</v>
      </c>
      <c r="AG128" s="127"/>
      <c r="AH128" s="48">
        <f>MAX(B128:AF128)</f>
        <v>-0.3</v>
      </c>
      <c r="AI128" s="49">
        <f>MIN(B128:AF128)</f>
        <v>-49</v>
      </c>
    </row>
    <row r="129" spans="1:37" x14ac:dyDescent="0.25">
      <c r="A129" s="128" t="s">
        <v>306</v>
      </c>
      <c r="B129" s="118">
        <v>84</v>
      </c>
      <c r="C129" s="118"/>
      <c r="D129" s="118">
        <v>100</v>
      </c>
      <c r="E129" s="118">
        <v>52</v>
      </c>
      <c r="F129" s="118">
        <v>40</v>
      </c>
      <c r="G129" s="118">
        <v>40</v>
      </c>
      <c r="H129" s="118">
        <v>38</v>
      </c>
      <c r="I129" s="118">
        <v>25.3</v>
      </c>
      <c r="J129" s="118">
        <v>66</v>
      </c>
      <c r="K129" s="118">
        <v>98</v>
      </c>
      <c r="L129" s="118">
        <v>98</v>
      </c>
      <c r="M129" s="118">
        <v>108.9</v>
      </c>
      <c r="N129" s="118">
        <v>102.8</v>
      </c>
      <c r="O129" s="118">
        <v>108.6</v>
      </c>
      <c r="P129" s="118">
        <v>110.8</v>
      </c>
      <c r="Q129" s="118">
        <v>101.8</v>
      </c>
      <c r="R129" s="118">
        <v>99.8</v>
      </c>
      <c r="S129" s="118">
        <v>108</v>
      </c>
      <c r="T129" s="118">
        <v>98</v>
      </c>
      <c r="U129" s="118">
        <v>97.5</v>
      </c>
      <c r="V129" s="118">
        <v>92.4</v>
      </c>
      <c r="W129" s="118">
        <v>98.6</v>
      </c>
      <c r="X129" s="118">
        <v>88</v>
      </c>
      <c r="Y129" s="118">
        <v>109</v>
      </c>
      <c r="Z129" s="118">
        <v>106</v>
      </c>
      <c r="AA129" s="118">
        <v>101</v>
      </c>
      <c r="AB129" s="118">
        <v>105.85</v>
      </c>
      <c r="AC129" s="118">
        <v>105.8</v>
      </c>
      <c r="AD129" s="118">
        <v>108</v>
      </c>
      <c r="AE129" s="118">
        <v>84.9</v>
      </c>
      <c r="AF129" s="118">
        <v>78.900000000000006</v>
      </c>
      <c r="AG129" s="127"/>
      <c r="AH129" s="48">
        <f>MAX(B129:AF129)</f>
        <v>110.8</v>
      </c>
      <c r="AI129" s="49">
        <f>MIN(B129:AF129)</f>
        <v>25.3</v>
      </c>
    </row>
    <row r="130" spans="1:37" ht="15.75" thickBot="1" x14ac:dyDescent="0.3">
      <c r="A130" s="128" t="s">
        <v>153</v>
      </c>
      <c r="B130" s="118">
        <v>97</v>
      </c>
      <c r="C130" s="118"/>
      <c r="D130" s="118">
        <v>109</v>
      </c>
      <c r="E130" s="118">
        <v>49</v>
      </c>
      <c r="F130" s="118">
        <v>49</v>
      </c>
      <c r="G130" s="118">
        <v>45</v>
      </c>
      <c r="H130" s="118">
        <v>44</v>
      </c>
      <c r="I130" s="118">
        <v>42</v>
      </c>
      <c r="J130" s="118">
        <v>82.1</v>
      </c>
      <c r="K130" s="118">
        <v>101</v>
      </c>
      <c r="L130" s="118">
        <v>101</v>
      </c>
      <c r="M130" s="118">
        <v>113.8</v>
      </c>
      <c r="N130" s="118">
        <v>111.8</v>
      </c>
      <c r="O130" s="118">
        <v>115.8</v>
      </c>
      <c r="P130" s="118">
        <v>115.8</v>
      </c>
      <c r="Q130" s="118">
        <v>107.8</v>
      </c>
      <c r="R130" s="118">
        <v>101.4</v>
      </c>
      <c r="S130" s="118">
        <v>110.4</v>
      </c>
      <c r="T130" s="118">
        <v>102</v>
      </c>
      <c r="U130" s="118">
        <v>100</v>
      </c>
      <c r="V130" s="118">
        <v>98.2</v>
      </c>
      <c r="W130" s="118">
        <v>106</v>
      </c>
      <c r="X130" s="118">
        <v>98</v>
      </c>
      <c r="Y130" s="118">
        <v>116</v>
      </c>
      <c r="Z130" s="118">
        <v>122</v>
      </c>
      <c r="AA130" s="118">
        <v>112</v>
      </c>
      <c r="AB130" s="118">
        <v>115.8</v>
      </c>
      <c r="AC130" s="118">
        <v>117.2</v>
      </c>
      <c r="AD130" s="118">
        <v>116.8</v>
      </c>
      <c r="AE130" s="118">
        <v>97.1</v>
      </c>
      <c r="AF130" s="118">
        <v>91.7</v>
      </c>
      <c r="AG130" s="127"/>
      <c r="AH130" s="48">
        <f>MAX(B130:AF130)</f>
        <v>122</v>
      </c>
      <c r="AI130" s="49">
        <f>MIN(B130:AF130)</f>
        <v>42</v>
      </c>
    </row>
    <row r="131" spans="1:37" x14ac:dyDescent="0.25">
      <c r="A131" s="132" t="s">
        <v>154</v>
      </c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4"/>
      <c r="AG131" s="44"/>
      <c r="AH131" s="48"/>
      <c r="AI131" s="49"/>
    </row>
    <row r="132" spans="1:37" x14ac:dyDescent="0.25">
      <c r="A132" s="135" t="s">
        <v>155</v>
      </c>
      <c r="B132" s="136">
        <v>1982.62</v>
      </c>
      <c r="C132" s="136">
        <v>1982.85</v>
      </c>
      <c r="D132" s="136">
        <v>1982.98</v>
      </c>
      <c r="E132" s="136">
        <v>1983.2</v>
      </c>
      <c r="F132" s="136"/>
      <c r="G132" s="136">
        <v>1983.65</v>
      </c>
      <c r="H132" s="136"/>
      <c r="I132" s="136">
        <v>1983.85</v>
      </c>
      <c r="J132" s="136"/>
      <c r="K132" s="136">
        <v>1984</v>
      </c>
      <c r="L132" s="136"/>
      <c r="M132" s="136">
        <v>1984.28</v>
      </c>
      <c r="N132" s="136">
        <v>1984.42</v>
      </c>
      <c r="O132" s="136">
        <v>1984.62</v>
      </c>
      <c r="P132" s="136">
        <v>1984.8</v>
      </c>
      <c r="Q132" s="136">
        <v>1985</v>
      </c>
      <c r="R132" s="136">
        <v>1985.22</v>
      </c>
      <c r="S132" s="136">
        <v>1985.41</v>
      </c>
      <c r="T132" s="136">
        <v>1985.59</v>
      </c>
      <c r="U132" s="136">
        <v>1985.75</v>
      </c>
      <c r="V132" s="136">
        <v>1985.95</v>
      </c>
      <c r="W132" s="136"/>
      <c r="X132" s="136">
        <v>1986.05</v>
      </c>
      <c r="Y132" s="136"/>
      <c r="Z132" s="136">
        <v>1985.35</v>
      </c>
      <c r="AA132" s="136"/>
      <c r="AB132" s="136">
        <v>1984.5</v>
      </c>
      <c r="AC132" s="136"/>
      <c r="AD132" s="136">
        <v>1983.55</v>
      </c>
      <c r="AE132" s="136">
        <v>1983.1</v>
      </c>
      <c r="AF132" s="137">
        <v>1982.72</v>
      </c>
      <c r="AG132" s="138"/>
      <c r="AH132" s="48"/>
      <c r="AI132" s="49"/>
    </row>
    <row r="133" spans="1:37" x14ac:dyDescent="0.25">
      <c r="A133" s="135" t="s">
        <v>156</v>
      </c>
      <c r="B133" s="139"/>
      <c r="C133" s="139">
        <v>520.20000000000005</v>
      </c>
      <c r="D133" s="139">
        <v>519.95000000000005</v>
      </c>
      <c r="E133" s="139">
        <v>519.74</v>
      </c>
      <c r="F133" s="139"/>
      <c r="G133" s="139">
        <v>519.94000000000005</v>
      </c>
      <c r="H133" s="139"/>
      <c r="I133" s="139">
        <v>520.08000000000004</v>
      </c>
      <c r="J133" s="139"/>
      <c r="K133" s="139">
        <v>520.29999999999995</v>
      </c>
      <c r="L133" s="139"/>
      <c r="M133" s="139">
        <v>520.58000000000004</v>
      </c>
      <c r="N133" s="139">
        <v>520.79</v>
      </c>
      <c r="O133" s="139">
        <v>520.95000000000005</v>
      </c>
      <c r="P133" s="139">
        <v>521.20000000000005</v>
      </c>
      <c r="Q133" s="139">
        <v>521.41</v>
      </c>
      <c r="R133" s="139">
        <v>521.64</v>
      </c>
      <c r="S133" s="139">
        <v>521.94000000000005</v>
      </c>
      <c r="T133" s="139">
        <v>522.26</v>
      </c>
      <c r="U133" s="139">
        <v>522.41</v>
      </c>
      <c r="V133" s="139">
        <v>522.58000000000004</v>
      </c>
      <c r="W133" s="139"/>
      <c r="X133" s="139">
        <v>522.66999999999996</v>
      </c>
      <c r="Y133" s="139"/>
      <c r="Z133" s="139">
        <v>522.38</v>
      </c>
      <c r="AA133" s="139"/>
      <c r="AB133" s="139">
        <v>521.9</v>
      </c>
      <c r="AC133" s="139"/>
      <c r="AD133" s="139">
        <v>521.38</v>
      </c>
      <c r="AE133" s="139">
        <v>520.83000000000004</v>
      </c>
      <c r="AF133" s="140">
        <v>52.64</v>
      </c>
      <c r="AG133" s="138"/>
      <c r="AH133" s="48"/>
      <c r="AI133" s="49"/>
    </row>
    <row r="134" spans="1:37" x14ac:dyDescent="0.25">
      <c r="A134" s="135" t="s">
        <v>158</v>
      </c>
      <c r="B134" s="139"/>
      <c r="C134" s="139">
        <v>623.05999999999995</v>
      </c>
      <c r="D134" s="139">
        <v>622.79999999999995</v>
      </c>
      <c r="E134" s="139">
        <v>622.61</v>
      </c>
      <c r="F134" s="139"/>
      <c r="G134" s="139">
        <v>622.44000000000005</v>
      </c>
      <c r="H134" s="139"/>
      <c r="I134" s="139">
        <v>622.37</v>
      </c>
      <c r="J134" s="139"/>
      <c r="K134" s="139">
        <v>622.59</v>
      </c>
      <c r="L134" s="139"/>
      <c r="M134" s="139">
        <v>622.96</v>
      </c>
      <c r="N134" s="139">
        <v>523.13</v>
      </c>
      <c r="O134" s="139">
        <v>623.21</v>
      </c>
      <c r="P134" s="139">
        <v>623.28</v>
      </c>
      <c r="Q134" s="139">
        <v>623.41</v>
      </c>
      <c r="R134" s="139">
        <v>623.84</v>
      </c>
      <c r="S134" s="139">
        <v>624.33000000000004</v>
      </c>
      <c r="T134" s="139">
        <v>624.64</v>
      </c>
      <c r="U134" s="139">
        <v>624.62</v>
      </c>
      <c r="V134" s="139">
        <v>624.75</v>
      </c>
      <c r="W134" s="139">
        <v>624.75</v>
      </c>
      <c r="X134" s="139">
        <v>624.78</v>
      </c>
      <c r="Y134" s="139"/>
      <c r="Z134" s="139">
        <v>624.20000000000005</v>
      </c>
      <c r="AA134" s="139"/>
      <c r="AB134" s="139">
        <v>624</v>
      </c>
      <c r="AC134" s="139"/>
      <c r="AD134" s="139">
        <v>623.54999999999995</v>
      </c>
      <c r="AE134" s="139">
        <v>623.28</v>
      </c>
      <c r="AF134" s="140">
        <v>623.32000000000005</v>
      </c>
      <c r="AG134" s="138"/>
      <c r="AH134" s="48"/>
      <c r="AI134" s="49"/>
    </row>
    <row r="135" spans="1:37" x14ac:dyDescent="0.25">
      <c r="A135" s="135" t="s">
        <v>159</v>
      </c>
      <c r="B135" s="139">
        <v>336.28</v>
      </c>
      <c r="C135" s="139">
        <v>336.44</v>
      </c>
      <c r="D135" s="139">
        <v>336.72</v>
      </c>
      <c r="E135" s="139">
        <v>336.79</v>
      </c>
      <c r="F135" s="139"/>
      <c r="G135" s="139">
        <v>337.05</v>
      </c>
      <c r="H135" s="139"/>
      <c r="I135" s="139">
        <v>337.07</v>
      </c>
      <c r="J135" s="139"/>
      <c r="K135" s="139">
        <v>337.06</v>
      </c>
      <c r="L135" s="139"/>
      <c r="M135" s="139">
        <v>337.02</v>
      </c>
      <c r="N135" s="139">
        <v>336.89</v>
      </c>
      <c r="O135" s="139">
        <v>336.76</v>
      </c>
      <c r="P135" s="139">
        <v>336.61</v>
      </c>
      <c r="Q135" s="139">
        <v>336.57</v>
      </c>
      <c r="R135" s="139">
        <v>336.6</v>
      </c>
      <c r="S135" s="139">
        <v>336.63</v>
      </c>
      <c r="T135" s="139">
        <v>336.91</v>
      </c>
      <c r="U135" s="139">
        <v>336.91</v>
      </c>
      <c r="V135" s="139">
        <v>337.04</v>
      </c>
      <c r="W135" s="139">
        <v>337.12</v>
      </c>
      <c r="X135" s="139">
        <v>337.12</v>
      </c>
      <c r="Y135" s="139"/>
      <c r="Z135" s="139">
        <v>336.8</v>
      </c>
      <c r="AA135" s="139"/>
      <c r="AB135" s="139">
        <v>336.37400000000002</v>
      </c>
      <c r="AC135" s="139"/>
      <c r="AD135" s="139">
        <v>335.8</v>
      </c>
      <c r="AE135" s="139">
        <v>335.34</v>
      </c>
      <c r="AF135" s="140">
        <v>335.2</v>
      </c>
      <c r="AG135" s="138"/>
      <c r="AH135" s="48"/>
      <c r="AI135" s="49"/>
    </row>
    <row r="136" spans="1:37" x14ac:dyDescent="0.25">
      <c r="A136" s="135" t="s">
        <v>160</v>
      </c>
      <c r="B136" s="139">
        <v>883.3</v>
      </c>
      <c r="C136" s="139">
        <v>882.8</v>
      </c>
      <c r="D136" s="139">
        <v>882.8</v>
      </c>
      <c r="E136" s="139">
        <v>882.8</v>
      </c>
      <c r="F136" s="139"/>
      <c r="G136" s="139">
        <v>882.6</v>
      </c>
      <c r="H136" s="139"/>
      <c r="I136" s="139">
        <v>882.5</v>
      </c>
      <c r="J136" s="139"/>
      <c r="K136" s="139">
        <v>882.5</v>
      </c>
      <c r="L136" s="139"/>
      <c r="M136" s="139">
        <v>883.6</v>
      </c>
      <c r="N136" s="139">
        <v>884.4</v>
      </c>
      <c r="O136" s="139">
        <v>885.1</v>
      </c>
      <c r="P136" s="139">
        <v>885.6</v>
      </c>
      <c r="Q136" s="139">
        <v>886.1</v>
      </c>
      <c r="R136" s="139">
        <v>886.7</v>
      </c>
      <c r="S136" s="139">
        <v>886.5</v>
      </c>
      <c r="T136" s="139">
        <v>885.5</v>
      </c>
      <c r="U136" s="139">
        <v>886.3</v>
      </c>
      <c r="V136" s="139">
        <v>886.3</v>
      </c>
      <c r="W136" s="139"/>
      <c r="X136" s="139">
        <v>886.3</v>
      </c>
      <c r="Y136" s="139"/>
      <c r="Z136" s="139">
        <v>885.5</v>
      </c>
      <c r="AA136" s="139"/>
      <c r="AB136" s="139">
        <v>884.2</v>
      </c>
      <c r="AC136" s="139"/>
      <c r="AD136" s="139">
        <v>883.4</v>
      </c>
      <c r="AE136" s="139">
        <v>883.3</v>
      </c>
      <c r="AF136" s="140">
        <v>883.2</v>
      </c>
      <c r="AG136" s="138"/>
      <c r="AH136" s="48"/>
      <c r="AI136" s="49"/>
    </row>
    <row r="137" spans="1:37" ht="15.75" thickBot="1" x14ac:dyDescent="0.3">
      <c r="A137" s="135" t="s">
        <v>161</v>
      </c>
      <c r="B137" s="141">
        <v>1519.86</v>
      </c>
      <c r="C137" s="141"/>
      <c r="D137" s="141"/>
      <c r="E137" s="141">
        <v>1519.82</v>
      </c>
      <c r="F137" s="141"/>
      <c r="G137" s="141"/>
      <c r="H137" s="141"/>
      <c r="I137" s="141"/>
      <c r="J137" s="141"/>
      <c r="K137" s="141">
        <v>1519.77</v>
      </c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>
        <v>1519.76</v>
      </c>
      <c r="AC137" s="141"/>
      <c r="AD137" s="141"/>
      <c r="AE137" s="141"/>
      <c r="AF137" s="142"/>
      <c r="AG137" s="138"/>
      <c r="AH137" s="48"/>
      <c r="AI137" s="49"/>
    </row>
    <row r="138" spans="1:37" ht="15.75" thickBot="1" x14ac:dyDescent="0.3">
      <c r="A138" s="143" t="s">
        <v>162</v>
      </c>
      <c r="B138" s="144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123">SUM(B139:B243)</f>
        <v>0</v>
      </c>
      <c r="C244" s="160">
        <f t="shared" si="123"/>
        <v>0</v>
      </c>
      <c r="D244" s="160">
        <f t="shared" si="123"/>
        <v>0</v>
      </c>
      <c r="E244" s="160">
        <f t="shared" si="123"/>
        <v>0</v>
      </c>
      <c r="F244" s="160">
        <f t="shared" si="123"/>
        <v>0</v>
      </c>
      <c r="G244" s="160">
        <f t="shared" si="123"/>
        <v>0</v>
      </c>
      <c r="H244" s="160">
        <f t="shared" si="123"/>
        <v>0</v>
      </c>
      <c r="I244" s="160">
        <f t="shared" si="123"/>
        <v>0</v>
      </c>
      <c r="J244" s="160">
        <f t="shared" si="123"/>
        <v>0</v>
      </c>
      <c r="K244" s="160">
        <f t="shared" si="123"/>
        <v>0</v>
      </c>
      <c r="L244" s="160">
        <f t="shared" si="123"/>
        <v>0</v>
      </c>
      <c r="M244" s="160">
        <f t="shared" si="123"/>
        <v>0</v>
      </c>
      <c r="N244" s="160">
        <f t="shared" si="123"/>
        <v>0</v>
      </c>
      <c r="O244" s="160">
        <f t="shared" si="123"/>
        <v>0</v>
      </c>
      <c r="P244" s="160">
        <f t="shared" si="123"/>
        <v>0</v>
      </c>
      <c r="Q244" s="160">
        <f t="shared" si="123"/>
        <v>0</v>
      </c>
      <c r="R244" s="160">
        <f t="shared" si="123"/>
        <v>0</v>
      </c>
      <c r="S244" s="160">
        <f t="shared" si="123"/>
        <v>0</v>
      </c>
      <c r="T244" s="160">
        <f t="shared" si="123"/>
        <v>0</v>
      </c>
      <c r="U244" s="160">
        <f t="shared" si="123"/>
        <v>0</v>
      </c>
      <c r="V244" s="160">
        <f t="shared" si="123"/>
        <v>0</v>
      </c>
      <c r="W244" s="160">
        <f t="shared" si="123"/>
        <v>0</v>
      </c>
      <c r="X244" s="160">
        <f t="shared" si="123"/>
        <v>0</v>
      </c>
      <c r="Y244" s="160">
        <f t="shared" si="123"/>
        <v>0</v>
      </c>
      <c r="Z244" s="160">
        <f t="shared" si="123"/>
        <v>0</v>
      </c>
      <c r="AA244" s="160">
        <f t="shared" si="123"/>
        <v>0</v>
      </c>
      <c r="AB244" s="160">
        <f t="shared" si="123"/>
        <v>0</v>
      </c>
      <c r="AC244" s="160">
        <f t="shared" si="123"/>
        <v>0</v>
      </c>
      <c r="AD244" s="160">
        <f t="shared" si="123"/>
        <v>0</v>
      </c>
      <c r="AE244" s="160">
        <f t="shared" si="123"/>
        <v>0</v>
      </c>
      <c r="AF244" s="161">
        <f t="shared" si="123"/>
        <v>0</v>
      </c>
      <c r="AG244" s="162">
        <f t="shared" si="123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124">AF246</f>
        <v>0.3</v>
      </c>
      <c r="C246" s="165">
        <v>0.3</v>
      </c>
      <c r="D246" s="165">
        <f t="shared" ref="D246:S251" si="125">C246</f>
        <v>0.3</v>
      </c>
      <c r="E246" s="165">
        <f t="shared" si="125"/>
        <v>0.3</v>
      </c>
      <c r="F246" s="165">
        <f t="shared" si="125"/>
        <v>0.3</v>
      </c>
      <c r="G246" s="165">
        <f t="shared" si="125"/>
        <v>0.3</v>
      </c>
      <c r="H246" s="165">
        <f t="shared" si="125"/>
        <v>0.3</v>
      </c>
      <c r="I246" s="165">
        <f t="shared" si="125"/>
        <v>0.3</v>
      </c>
      <c r="J246" s="165">
        <f t="shared" si="125"/>
        <v>0.3</v>
      </c>
      <c r="K246" s="165">
        <f t="shared" si="125"/>
        <v>0.3</v>
      </c>
      <c r="L246" s="165">
        <f t="shared" si="125"/>
        <v>0.3</v>
      </c>
      <c r="M246" s="165">
        <f t="shared" si="125"/>
        <v>0.3</v>
      </c>
      <c r="N246" s="165">
        <f t="shared" si="125"/>
        <v>0.3</v>
      </c>
      <c r="O246" s="165">
        <f t="shared" si="125"/>
        <v>0.3</v>
      </c>
      <c r="P246" s="165">
        <f t="shared" si="125"/>
        <v>0.3</v>
      </c>
      <c r="Q246" s="165">
        <f t="shared" si="125"/>
        <v>0.3</v>
      </c>
      <c r="R246" s="165">
        <f t="shared" si="125"/>
        <v>0.3</v>
      </c>
      <c r="S246" s="165">
        <f t="shared" si="125"/>
        <v>0.3</v>
      </c>
      <c r="T246" s="165">
        <f t="shared" ref="T246:AF251" si="126">S246</f>
        <v>0.3</v>
      </c>
      <c r="U246" s="165">
        <f t="shared" si="126"/>
        <v>0.3</v>
      </c>
      <c r="V246" s="165">
        <f t="shared" si="126"/>
        <v>0.3</v>
      </c>
      <c r="W246" s="165">
        <f t="shared" si="126"/>
        <v>0.3</v>
      </c>
      <c r="X246" s="165">
        <f t="shared" si="126"/>
        <v>0.3</v>
      </c>
      <c r="Y246" s="165">
        <f t="shared" si="126"/>
        <v>0.3</v>
      </c>
      <c r="Z246" s="165">
        <f t="shared" si="126"/>
        <v>0.3</v>
      </c>
      <c r="AA246" s="165">
        <f t="shared" si="126"/>
        <v>0.3</v>
      </c>
      <c r="AB246" s="165">
        <f t="shared" si="126"/>
        <v>0.3</v>
      </c>
      <c r="AC246" s="165">
        <f t="shared" si="126"/>
        <v>0.3</v>
      </c>
      <c r="AD246" s="165">
        <f t="shared" si="126"/>
        <v>0.3</v>
      </c>
      <c r="AE246" s="165">
        <f t="shared" si="126"/>
        <v>0.3</v>
      </c>
      <c r="AF246" s="165">
        <f t="shared" si="126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124"/>
        <v>0.4</v>
      </c>
      <c r="C247" s="151">
        <v>0.4</v>
      </c>
      <c r="D247" s="151">
        <f t="shared" si="125"/>
        <v>0.4</v>
      </c>
      <c r="E247" s="151">
        <f t="shared" si="125"/>
        <v>0.4</v>
      </c>
      <c r="F247" s="151">
        <f t="shared" si="125"/>
        <v>0.4</v>
      </c>
      <c r="G247" s="151">
        <f t="shared" si="125"/>
        <v>0.4</v>
      </c>
      <c r="H247" s="151">
        <f t="shared" si="125"/>
        <v>0.4</v>
      </c>
      <c r="I247" s="151">
        <f t="shared" si="125"/>
        <v>0.4</v>
      </c>
      <c r="J247" s="151">
        <f t="shared" si="125"/>
        <v>0.4</v>
      </c>
      <c r="K247" s="151">
        <f t="shared" si="125"/>
        <v>0.4</v>
      </c>
      <c r="L247" s="151">
        <f t="shared" si="125"/>
        <v>0.4</v>
      </c>
      <c r="M247" s="151">
        <f t="shared" si="125"/>
        <v>0.4</v>
      </c>
      <c r="N247" s="151">
        <f t="shared" si="125"/>
        <v>0.4</v>
      </c>
      <c r="O247" s="151">
        <f t="shared" si="125"/>
        <v>0.4</v>
      </c>
      <c r="P247" s="151">
        <f t="shared" si="125"/>
        <v>0.4</v>
      </c>
      <c r="Q247" s="151">
        <f t="shared" si="125"/>
        <v>0.4</v>
      </c>
      <c r="R247" s="151">
        <f t="shared" si="125"/>
        <v>0.4</v>
      </c>
      <c r="S247" s="151">
        <f t="shared" si="125"/>
        <v>0.4</v>
      </c>
      <c r="T247" s="151">
        <f t="shared" si="126"/>
        <v>0.4</v>
      </c>
      <c r="U247" s="151">
        <f t="shared" si="126"/>
        <v>0.4</v>
      </c>
      <c r="V247" s="151">
        <f t="shared" si="126"/>
        <v>0.4</v>
      </c>
      <c r="W247" s="151">
        <f t="shared" si="126"/>
        <v>0.4</v>
      </c>
      <c r="X247" s="151">
        <f t="shared" si="126"/>
        <v>0.4</v>
      </c>
      <c r="Y247" s="151">
        <f t="shared" si="126"/>
        <v>0.4</v>
      </c>
      <c r="Z247" s="151">
        <f t="shared" si="126"/>
        <v>0.4</v>
      </c>
      <c r="AA247" s="151">
        <f t="shared" si="126"/>
        <v>0.4</v>
      </c>
      <c r="AB247" s="151">
        <f t="shared" si="126"/>
        <v>0.4</v>
      </c>
      <c r="AC247" s="151">
        <f t="shared" si="126"/>
        <v>0.4</v>
      </c>
      <c r="AD247" s="151">
        <f t="shared" si="126"/>
        <v>0.4</v>
      </c>
      <c r="AE247" s="151">
        <f t="shared" si="126"/>
        <v>0.4</v>
      </c>
      <c r="AF247" s="151">
        <f t="shared" si="126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124"/>
        <v>1.5</v>
      </c>
      <c r="C248" s="151">
        <v>1.5</v>
      </c>
      <c r="D248" s="151">
        <f t="shared" si="125"/>
        <v>1.5</v>
      </c>
      <c r="E248" s="151">
        <f t="shared" si="125"/>
        <v>1.5</v>
      </c>
      <c r="F248" s="151">
        <f t="shared" si="125"/>
        <v>1.5</v>
      </c>
      <c r="G248" s="151">
        <f t="shared" si="125"/>
        <v>1.5</v>
      </c>
      <c r="H248" s="151">
        <f t="shared" si="125"/>
        <v>1.5</v>
      </c>
      <c r="I248" s="151">
        <f t="shared" si="125"/>
        <v>1.5</v>
      </c>
      <c r="J248" s="151">
        <f t="shared" si="125"/>
        <v>1.5</v>
      </c>
      <c r="K248" s="151">
        <f t="shared" si="125"/>
        <v>1.5</v>
      </c>
      <c r="L248" s="151">
        <f t="shared" si="125"/>
        <v>1.5</v>
      </c>
      <c r="M248" s="151">
        <f t="shared" si="125"/>
        <v>1.5</v>
      </c>
      <c r="N248" s="151">
        <f t="shared" si="125"/>
        <v>1.5</v>
      </c>
      <c r="O248" s="151">
        <f t="shared" si="125"/>
        <v>1.5</v>
      </c>
      <c r="P248" s="151">
        <f t="shared" si="125"/>
        <v>1.5</v>
      </c>
      <c r="Q248" s="151">
        <f t="shared" si="125"/>
        <v>1.5</v>
      </c>
      <c r="R248" s="151">
        <f t="shared" si="125"/>
        <v>1.5</v>
      </c>
      <c r="S248" s="151">
        <f t="shared" si="125"/>
        <v>1.5</v>
      </c>
      <c r="T248" s="151">
        <f t="shared" si="126"/>
        <v>1.5</v>
      </c>
      <c r="U248" s="151">
        <f t="shared" si="126"/>
        <v>1.5</v>
      </c>
      <c r="V248" s="151">
        <f t="shared" si="126"/>
        <v>1.5</v>
      </c>
      <c r="W248" s="151">
        <f t="shared" si="126"/>
        <v>1.5</v>
      </c>
      <c r="X248" s="151">
        <f t="shared" si="126"/>
        <v>1.5</v>
      </c>
      <c r="Y248" s="151">
        <f t="shared" si="126"/>
        <v>1.5</v>
      </c>
      <c r="Z248" s="151">
        <f t="shared" si="126"/>
        <v>1.5</v>
      </c>
      <c r="AA248" s="151">
        <f t="shared" si="126"/>
        <v>1.5</v>
      </c>
      <c r="AB248" s="151">
        <f t="shared" si="126"/>
        <v>1.5</v>
      </c>
      <c r="AC248" s="151">
        <f t="shared" si="126"/>
        <v>1.5</v>
      </c>
      <c r="AD248" s="151">
        <f t="shared" si="126"/>
        <v>1.5</v>
      </c>
      <c r="AE248" s="151">
        <f t="shared" si="126"/>
        <v>1.5</v>
      </c>
      <c r="AF248" s="151">
        <f t="shared" si="126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124"/>
        <v>0.3</v>
      </c>
      <c r="C249" s="151">
        <v>0.3</v>
      </c>
      <c r="D249" s="151">
        <f t="shared" si="125"/>
        <v>0.3</v>
      </c>
      <c r="E249" s="151">
        <f t="shared" si="125"/>
        <v>0.3</v>
      </c>
      <c r="F249" s="151">
        <f t="shared" si="125"/>
        <v>0.3</v>
      </c>
      <c r="G249" s="151">
        <f t="shared" si="125"/>
        <v>0.3</v>
      </c>
      <c r="H249" s="151">
        <f t="shared" si="125"/>
        <v>0.3</v>
      </c>
      <c r="I249" s="151">
        <f t="shared" si="125"/>
        <v>0.3</v>
      </c>
      <c r="J249" s="151">
        <f t="shared" si="125"/>
        <v>0.3</v>
      </c>
      <c r="K249" s="151">
        <f t="shared" si="125"/>
        <v>0.3</v>
      </c>
      <c r="L249" s="151">
        <f t="shared" si="125"/>
        <v>0.3</v>
      </c>
      <c r="M249" s="151">
        <f t="shared" si="125"/>
        <v>0.3</v>
      </c>
      <c r="N249" s="151">
        <f t="shared" si="125"/>
        <v>0.3</v>
      </c>
      <c r="O249" s="151">
        <f t="shared" si="125"/>
        <v>0.3</v>
      </c>
      <c r="P249" s="151">
        <f t="shared" si="125"/>
        <v>0.3</v>
      </c>
      <c r="Q249" s="151">
        <f t="shared" si="125"/>
        <v>0.3</v>
      </c>
      <c r="R249" s="151">
        <f t="shared" si="125"/>
        <v>0.3</v>
      </c>
      <c r="S249" s="151">
        <f t="shared" si="125"/>
        <v>0.3</v>
      </c>
      <c r="T249" s="151">
        <f t="shared" si="126"/>
        <v>0.3</v>
      </c>
      <c r="U249" s="151">
        <f t="shared" si="126"/>
        <v>0.3</v>
      </c>
      <c r="V249" s="151">
        <f t="shared" si="126"/>
        <v>0.3</v>
      </c>
      <c r="W249" s="151">
        <f t="shared" si="126"/>
        <v>0.3</v>
      </c>
      <c r="X249" s="151">
        <f t="shared" si="126"/>
        <v>0.3</v>
      </c>
      <c r="Y249" s="151">
        <f t="shared" si="126"/>
        <v>0.3</v>
      </c>
      <c r="Z249" s="151">
        <f t="shared" si="126"/>
        <v>0.3</v>
      </c>
      <c r="AA249" s="151">
        <f t="shared" si="126"/>
        <v>0.3</v>
      </c>
      <c r="AB249" s="151">
        <f t="shared" si="126"/>
        <v>0.3</v>
      </c>
      <c r="AC249" s="151">
        <f t="shared" si="126"/>
        <v>0.3</v>
      </c>
      <c r="AD249" s="151">
        <f t="shared" si="126"/>
        <v>0.3</v>
      </c>
      <c r="AE249" s="151">
        <f t="shared" si="126"/>
        <v>0.3</v>
      </c>
      <c r="AF249" s="151">
        <f t="shared" si="126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124"/>
        <v>0.4</v>
      </c>
      <c r="C250" s="151">
        <v>0.4</v>
      </c>
      <c r="D250" s="151">
        <f t="shared" si="125"/>
        <v>0.4</v>
      </c>
      <c r="E250" s="151">
        <f t="shared" si="125"/>
        <v>0.4</v>
      </c>
      <c r="F250" s="151">
        <f t="shared" si="125"/>
        <v>0.4</v>
      </c>
      <c r="G250" s="151">
        <f t="shared" si="125"/>
        <v>0.4</v>
      </c>
      <c r="H250" s="151">
        <f t="shared" si="125"/>
        <v>0.4</v>
      </c>
      <c r="I250" s="151">
        <f t="shared" si="125"/>
        <v>0.4</v>
      </c>
      <c r="J250" s="151">
        <f t="shared" si="125"/>
        <v>0.4</v>
      </c>
      <c r="K250" s="151">
        <f t="shared" si="125"/>
        <v>0.4</v>
      </c>
      <c r="L250" s="151">
        <f t="shared" si="125"/>
        <v>0.4</v>
      </c>
      <c r="M250" s="151">
        <f t="shared" si="125"/>
        <v>0.4</v>
      </c>
      <c r="N250" s="151">
        <f t="shared" si="125"/>
        <v>0.4</v>
      </c>
      <c r="O250" s="151">
        <f t="shared" si="125"/>
        <v>0.4</v>
      </c>
      <c r="P250" s="151">
        <f t="shared" si="125"/>
        <v>0.4</v>
      </c>
      <c r="Q250" s="151">
        <f t="shared" si="125"/>
        <v>0.4</v>
      </c>
      <c r="R250" s="151">
        <f t="shared" si="125"/>
        <v>0.4</v>
      </c>
      <c r="S250" s="151">
        <f t="shared" si="125"/>
        <v>0.4</v>
      </c>
      <c r="T250" s="151">
        <f t="shared" si="126"/>
        <v>0.4</v>
      </c>
      <c r="U250" s="151">
        <f t="shared" si="126"/>
        <v>0.4</v>
      </c>
      <c r="V250" s="151">
        <f t="shared" si="126"/>
        <v>0.4</v>
      </c>
      <c r="W250" s="151">
        <f t="shared" si="126"/>
        <v>0.4</v>
      </c>
      <c r="X250" s="151">
        <f t="shared" si="126"/>
        <v>0.4</v>
      </c>
      <c r="Y250" s="151">
        <f t="shared" si="126"/>
        <v>0.4</v>
      </c>
      <c r="Z250" s="151">
        <f t="shared" si="126"/>
        <v>0.4</v>
      </c>
      <c r="AA250" s="151">
        <f t="shared" si="126"/>
        <v>0.4</v>
      </c>
      <c r="AB250" s="151">
        <f t="shared" si="126"/>
        <v>0.4</v>
      </c>
      <c r="AC250" s="151">
        <f t="shared" si="126"/>
        <v>0.4</v>
      </c>
      <c r="AD250" s="151">
        <f t="shared" si="126"/>
        <v>0.4</v>
      </c>
      <c r="AE250" s="151">
        <f t="shared" si="126"/>
        <v>0.4</v>
      </c>
      <c r="AF250" s="151">
        <f t="shared" si="126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124"/>
        <v>0.64</v>
      </c>
      <c r="C251" s="156">
        <v>0.64</v>
      </c>
      <c r="D251" s="156">
        <f t="shared" si="125"/>
        <v>0.64</v>
      </c>
      <c r="E251" s="156">
        <f t="shared" si="125"/>
        <v>0.64</v>
      </c>
      <c r="F251" s="156">
        <f t="shared" si="125"/>
        <v>0.64</v>
      </c>
      <c r="G251" s="156">
        <f t="shared" si="125"/>
        <v>0.64</v>
      </c>
      <c r="H251" s="156">
        <f t="shared" si="125"/>
        <v>0.64</v>
      </c>
      <c r="I251" s="156">
        <f t="shared" si="125"/>
        <v>0.64</v>
      </c>
      <c r="J251" s="156">
        <f t="shared" si="125"/>
        <v>0.64</v>
      </c>
      <c r="K251" s="156">
        <f t="shared" si="125"/>
        <v>0.64</v>
      </c>
      <c r="L251" s="156">
        <f t="shared" si="125"/>
        <v>0.64</v>
      </c>
      <c r="M251" s="156">
        <f t="shared" si="125"/>
        <v>0.64</v>
      </c>
      <c r="N251" s="156">
        <f t="shared" si="125"/>
        <v>0.64</v>
      </c>
      <c r="O251" s="156">
        <f t="shared" si="125"/>
        <v>0.64</v>
      </c>
      <c r="P251" s="156">
        <f t="shared" si="125"/>
        <v>0.64</v>
      </c>
      <c r="Q251" s="156">
        <f t="shared" si="125"/>
        <v>0.64</v>
      </c>
      <c r="R251" s="156">
        <f t="shared" si="125"/>
        <v>0.64</v>
      </c>
      <c r="S251" s="156">
        <f t="shared" si="125"/>
        <v>0.64</v>
      </c>
      <c r="T251" s="156">
        <f t="shared" si="126"/>
        <v>0.64</v>
      </c>
      <c r="U251" s="156">
        <f t="shared" si="126"/>
        <v>0.64</v>
      </c>
      <c r="V251" s="156">
        <f t="shared" si="126"/>
        <v>0.64</v>
      </c>
      <c r="W251" s="156">
        <f t="shared" si="126"/>
        <v>0.64</v>
      </c>
      <c r="X251" s="156">
        <f t="shared" si="126"/>
        <v>0.64</v>
      </c>
      <c r="Y251" s="156">
        <f t="shared" si="126"/>
        <v>0.64</v>
      </c>
      <c r="Z251" s="156">
        <f t="shared" si="126"/>
        <v>0.64</v>
      </c>
      <c r="AA251" s="156">
        <f t="shared" si="126"/>
        <v>0.64</v>
      </c>
      <c r="AB251" s="156">
        <f t="shared" si="126"/>
        <v>0.64</v>
      </c>
      <c r="AC251" s="156">
        <f t="shared" si="126"/>
        <v>0.64</v>
      </c>
      <c r="AD251" s="156">
        <f t="shared" si="126"/>
        <v>0.64</v>
      </c>
      <c r="AE251" s="156">
        <f t="shared" si="126"/>
        <v>0.64</v>
      </c>
      <c r="AF251" s="156">
        <f t="shared" si="126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127">SUM(B246:B251)</f>
        <v>3.54</v>
      </c>
      <c r="C252" s="160">
        <f t="shared" si="127"/>
        <v>3.54</v>
      </c>
      <c r="D252" s="160">
        <f t="shared" si="127"/>
        <v>3.54</v>
      </c>
      <c r="E252" s="160">
        <f t="shared" si="127"/>
        <v>3.54</v>
      </c>
      <c r="F252" s="160">
        <f t="shared" si="127"/>
        <v>3.54</v>
      </c>
      <c r="G252" s="160">
        <f t="shared" si="127"/>
        <v>3.54</v>
      </c>
      <c r="H252" s="160">
        <f t="shared" si="127"/>
        <v>3.54</v>
      </c>
      <c r="I252" s="160">
        <f t="shared" si="127"/>
        <v>3.54</v>
      </c>
      <c r="J252" s="160">
        <f t="shared" si="127"/>
        <v>3.54</v>
      </c>
      <c r="K252" s="160">
        <f t="shared" si="127"/>
        <v>3.54</v>
      </c>
      <c r="L252" s="160">
        <f t="shared" si="127"/>
        <v>3.54</v>
      </c>
      <c r="M252" s="160">
        <f t="shared" si="127"/>
        <v>3.54</v>
      </c>
      <c r="N252" s="160">
        <f t="shared" si="127"/>
        <v>3.54</v>
      </c>
      <c r="O252" s="160">
        <f t="shared" si="127"/>
        <v>3.54</v>
      </c>
      <c r="P252" s="160">
        <f t="shared" si="127"/>
        <v>3.54</v>
      </c>
      <c r="Q252" s="160">
        <f t="shared" si="127"/>
        <v>3.54</v>
      </c>
      <c r="R252" s="160">
        <f t="shared" si="127"/>
        <v>3.54</v>
      </c>
      <c r="S252" s="160">
        <f t="shared" si="127"/>
        <v>3.54</v>
      </c>
      <c r="T252" s="160">
        <f t="shared" si="127"/>
        <v>3.54</v>
      </c>
      <c r="U252" s="160">
        <f t="shared" si="127"/>
        <v>3.54</v>
      </c>
      <c r="V252" s="160">
        <f t="shared" si="127"/>
        <v>3.54</v>
      </c>
      <c r="W252" s="160">
        <f t="shared" si="127"/>
        <v>3.54</v>
      </c>
      <c r="X252" s="160">
        <f t="shared" si="127"/>
        <v>3.54</v>
      </c>
      <c r="Y252" s="160">
        <f t="shared" si="127"/>
        <v>3.54</v>
      </c>
      <c r="Z252" s="160">
        <f t="shared" si="127"/>
        <v>3.54</v>
      </c>
      <c r="AA252" s="160">
        <f t="shared" si="127"/>
        <v>3.54</v>
      </c>
      <c r="AB252" s="160">
        <f t="shared" si="127"/>
        <v>3.54</v>
      </c>
      <c r="AC252" s="160">
        <f t="shared" si="127"/>
        <v>3.54</v>
      </c>
      <c r="AD252" s="160">
        <f t="shared" si="127"/>
        <v>3.54</v>
      </c>
      <c r="AE252" s="160">
        <f t="shared" si="127"/>
        <v>3.54</v>
      </c>
      <c r="AF252" s="160">
        <f t="shared" si="127"/>
        <v>3.54</v>
      </c>
      <c r="AG252" s="170">
        <f t="shared" si="127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1595.9900000000002</v>
      </c>
      <c r="C256" s="173">
        <f>INDEX(G9:N9,1,MATCH(MAX(G99:N99),G99:N99,0))</f>
        <v>0.3125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2080/10/19)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1584" priority="96">
      <formula>$AH11=0</formula>
    </cfRule>
  </conditionalFormatting>
  <conditionalFormatting sqref="A132:A253">
    <cfRule type="expression" dxfId="1583" priority="97">
      <formula>$AH132=0</formula>
    </cfRule>
  </conditionalFormatting>
  <conditionalFormatting sqref="B8">
    <cfRule type="expression" dxfId="1582" priority="158">
      <formula>C$9&gt;=20/24</formula>
    </cfRule>
    <cfRule type="expression" dxfId="1581" priority="157">
      <formula>C$9&lt;8/24</formula>
    </cfRule>
    <cfRule type="expression" dxfId="1580" priority="156">
      <formula>AND(C$9&gt;=8/24,C$9&lt;14/24)</formula>
    </cfRule>
    <cfRule type="expression" dxfId="1579" priority="155">
      <formula>AND(C$9&gt;=14/24,C$9&lt;20/24)</formula>
    </cfRule>
  </conditionalFormatting>
  <conditionalFormatting sqref="B53:R57 Z53:AF54 S53:Y55">
    <cfRule type="expression" dxfId="1578" priority="43">
      <formula>B$9&gt;=20/24</formula>
    </cfRule>
  </conditionalFormatting>
  <conditionalFormatting sqref="B11:Y52 E59:L61 B59:D68 E63:R74 C66:C74 B69:M74 S69:AF74 B77:AF99 B9:AF10 B101:AF117 B119:AF137 B244:AF244 B246:B252">
    <cfRule type="expression" dxfId="1577" priority="47">
      <formula>B$9&gt;=20/24</formula>
    </cfRule>
  </conditionalFormatting>
  <conditionalFormatting sqref="B9:AF10 B11:Y52 E59:L61 B59:D68 E63:R74 C66:C74 B69:M74 S69:AF74 B77:AF99 B101:AF117 B119:AF137 B244:AF244 B246:B252">
    <cfRule type="expression" dxfId="1576" priority="50">
      <formula>B$9&lt;8/24</formula>
    </cfRule>
    <cfRule type="expression" dxfId="1575" priority="48">
      <formula>AND(B$9&gt;=14/24,B$9&lt;20/24)</formula>
    </cfRule>
    <cfRule type="expression" dxfId="1574" priority="49">
      <formula>AND(B$9&gt;=8/24,B$9&lt;14/24)</formula>
    </cfRule>
  </conditionalFormatting>
  <conditionalFormatting sqref="D246:AF252">
    <cfRule type="expression" dxfId="1573" priority="141">
      <formula>AND(D$9&gt;=14/24,D$9&lt;20/24)</formula>
    </cfRule>
    <cfRule type="expression" dxfId="1572" priority="142">
      <formula>AND(D$9&gt;=8/24,D$9&lt;14/24)</formula>
    </cfRule>
    <cfRule type="expression" dxfId="1571" priority="143">
      <formula>D$9&lt;8/24</formula>
    </cfRule>
    <cfRule type="expression" dxfId="1570" priority="140">
      <formula>D$9&gt;=20/24</formula>
    </cfRule>
  </conditionalFormatting>
  <conditionalFormatting sqref="E63:R68">
    <cfRule type="expression" dxfId="1569" priority="58">
      <formula>E$9&lt;8/24</formula>
    </cfRule>
    <cfRule type="expression" dxfId="1568" priority="55">
      <formula>E$9&gt;=20/24</formula>
    </cfRule>
    <cfRule type="expression" dxfId="1567" priority="56">
      <formula>AND(E$9&gt;=14/24,E$9&lt;20/24)</formula>
    </cfRule>
    <cfRule type="expression" dxfId="1566" priority="57">
      <formula>AND(E$9&gt;=8/24,E$9&lt;14/24)</formula>
    </cfRule>
  </conditionalFormatting>
  <conditionalFormatting sqref="E59:AF62">
    <cfRule type="expression" dxfId="1565" priority="74">
      <formula>E$9&gt;=20/24</formula>
    </cfRule>
    <cfRule type="expression" dxfId="1564" priority="75">
      <formula>AND(E$9&gt;=14/24,E$9&lt;20/24)</formula>
    </cfRule>
    <cfRule type="expression" dxfId="1563" priority="76">
      <formula>AND(E$9&gt;=8/24,E$9&lt;14/24)</formula>
    </cfRule>
    <cfRule type="expression" dxfId="1562" priority="77">
      <formula>E$9&lt;8/24</formula>
    </cfRule>
  </conditionalFormatting>
  <conditionalFormatting sqref="F63:R65">
    <cfRule type="expression" dxfId="1561" priority="91">
      <formula>F$9&lt;8/24</formula>
    </cfRule>
    <cfRule type="expression" dxfId="1560" priority="90">
      <formula>AND(F$9&gt;=8/24,F$9&lt;14/24)</formula>
    </cfRule>
    <cfRule type="expression" dxfId="1559" priority="89">
      <formula>AND(F$9&gt;=14/24,F$9&lt;20/24)</formula>
    </cfRule>
    <cfRule type="expression" dxfId="1558" priority="88">
      <formula>F$9&gt;=20/24</formula>
    </cfRule>
  </conditionalFormatting>
  <conditionalFormatting sqref="L68:X68">
    <cfRule type="expression" dxfId="1557" priority="86">
      <formula>AND(L$9&gt;=8/24,L$9&lt;14/24)</formula>
    </cfRule>
    <cfRule type="expression" dxfId="1556" priority="87">
      <formula>L$9&lt;8/24</formula>
    </cfRule>
    <cfRule type="expression" dxfId="1555" priority="85">
      <formula>AND(L$9&gt;=14/24,L$9&lt;20/24)</formula>
    </cfRule>
    <cfRule type="expression" dxfId="1554" priority="84">
      <formula>L$9&gt;=20/24</formula>
    </cfRule>
  </conditionalFormatting>
  <conditionalFormatting sqref="M8 S8 AB8">
    <cfRule type="expression" dxfId="1553" priority="147">
      <formula>AND(N$9&gt;=14/24,N$9&lt;20/24)</formula>
    </cfRule>
    <cfRule type="expression" dxfId="1552" priority="149">
      <formula>N$9&lt;8/24</formula>
    </cfRule>
    <cfRule type="expression" dxfId="1551" priority="148">
      <formula>AND(N$9&gt;=8/24,N$9&lt;14/24)</formula>
    </cfRule>
  </conditionalFormatting>
  <conditionalFormatting sqref="M56:R56">
    <cfRule type="expression" dxfId="1550" priority="6">
      <formula>AND(M$9&gt;=8/24,M$9&lt;14/24)</formula>
    </cfRule>
    <cfRule type="expression" dxfId="1549" priority="5">
      <formula>AND(M$9&gt;=14/24,M$9&lt;20/24)</formula>
    </cfRule>
    <cfRule type="expression" dxfId="1548" priority="4">
      <formula>M$9&gt;=20/24</formula>
    </cfRule>
    <cfRule type="expression" dxfId="1547" priority="3">
      <formula>AND(M$9&gt;=8/24,M$9&lt;14/24)</formula>
    </cfRule>
    <cfRule type="expression" dxfId="1546" priority="2">
      <formula>AND(M$9&gt;=14/24,M$9&lt;20/24)</formula>
    </cfRule>
    <cfRule type="expression" dxfId="1545" priority="1">
      <formula>M$9&gt;=20/24</formula>
    </cfRule>
  </conditionalFormatting>
  <conditionalFormatting sqref="M63:V67">
    <cfRule type="expression" dxfId="1544" priority="95">
      <formula>M$9&lt;8/24</formula>
    </cfRule>
    <cfRule type="expression" dxfId="1543" priority="94">
      <formula>AND(M$9&gt;=8/24,M$9&lt;14/24)</formula>
    </cfRule>
    <cfRule type="expression" dxfId="1542" priority="93">
      <formula>AND(M$9&gt;=14/24,M$9&lt;20/24)</formula>
    </cfRule>
    <cfRule type="expression" dxfId="1541" priority="92">
      <formula>M$9&gt;=20/24</formula>
    </cfRule>
  </conditionalFormatting>
  <conditionalFormatting sqref="M56:Y56">
    <cfRule type="expression" dxfId="1540" priority="51">
      <formula>M56&gt;$AG56</formula>
    </cfRule>
    <cfRule type="expression" dxfId="1539" priority="52">
      <formula>M$9&gt;=20/24</formula>
    </cfRule>
    <cfRule type="expression" dxfId="1538" priority="53">
      <formula>AND(M$9&gt;=14/24,M$9&lt;20/24)</formula>
    </cfRule>
    <cfRule type="expression" dxfId="1537" priority="54">
      <formula>AND(M$9&gt;=8/24,M$9&lt;14/24)</formula>
    </cfRule>
  </conditionalFormatting>
  <conditionalFormatting sqref="O3:P3">
    <cfRule type="iconSet" priority="144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536" priority="146">
      <formula>N$9&gt;=20/24</formula>
    </cfRule>
  </conditionalFormatting>
  <conditionalFormatting sqref="S8">
    <cfRule type="expression" dxfId="1535" priority="136">
      <formula>U$9&lt;8/24</formula>
    </cfRule>
    <cfRule type="expression" dxfId="1534" priority="135">
      <formula>AND(U$9&gt;=8/24,U$9&lt;14/24)</formula>
    </cfRule>
    <cfRule type="expression" dxfId="1533" priority="134">
      <formula>AND(U$9&gt;=14/24,U$9&lt;20/24)</formula>
    </cfRule>
    <cfRule type="expression" dxfId="1532" priority="133">
      <formula>U$9&gt;=20/24</formula>
    </cfRule>
  </conditionalFormatting>
  <conditionalFormatting sqref="S11:Y55 B11:R80 Z56:AF57 S57:Y57 S58:AF61 S62:AG62 S63:AF80 AG80">
    <cfRule type="expression" dxfId="1531" priority="46">
      <formula>B11&gt;$AG11</formula>
    </cfRule>
  </conditionalFormatting>
  <conditionalFormatting sqref="S53:Y56 B53:R57">
    <cfRule type="expression" dxfId="1530" priority="59">
      <formula>B$9&lt;8/24</formula>
    </cfRule>
  </conditionalFormatting>
  <conditionalFormatting sqref="S57:Y57">
    <cfRule type="expression" dxfId="1529" priority="73">
      <formula>S$9&lt;8/24</formula>
    </cfRule>
  </conditionalFormatting>
  <conditionalFormatting sqref="T63:AF68">
    <cfRule type="expression" dxfId="1528" priority="78">
      <formula>T$9&gt;=20/24</formula>
    </cfRule>
    <cfRule type="expression" dxfId="1527" priority="79">
      <formula>AND(T$9&gt;=14/24,T$9&lt;20/24)</formula>
    </cfRule>
    <cfRule type="expression" dxfId="1526" priority="80">
      <formula>AND(T$9&gt;=8/24,T$9&lt;14/24)</formula>
    </cfRule>
    <cfRule type="expression" dxfId="1525" priority="81">
      <formula>T$9&lt;8/24</formula>
    </cfRule>
  </conditionalFormatting>
  <conditionalFormatting sqref="V3 AB3">
    <cfRule type="iconSet" priority="145">
      <iconSet iconSet="3TrafficLights2" reverse="1">
        <cfvo type="percent" val="0"/>
        <cfvo type="num" val="1"/>
        <cfvo type="num" val="1"/>
      </iconSet>
    </cfRule>
  </conditionalFormatting>
  <conditionalFormatting sqref="Z11:AF52">
    <cfRule type="expression" dxfId="1524" priority="68">
      <formula>Z$9&lt;8/24</formula>
    </cfRule>
    <cfRule type="expression" dxfId="1523" priority="67">
      <formula>AND(Z$9&gt;=8/24,Z$9&lt;14/24)</formula>
    </cfRule>
    <cfRule type="expression" dxfId="1522" priority="66">
      <formula>AND(Z$9&gt;=14/24,Z$9&lt;20/24)</formula>
    </cfRule>
    <cfRule type="expression" dxfId="1521" priority="65">
      <formula>Z$9&gt;=20/24</formula>
    </cfRule>
    <cfRule type="expression" dxfId="1520" priority="64">
      <formula>Z11&gt;$AG11</formula>
    </cfRule>
  </conditionalFormatting>
  <conditionalFormatting sqref="Z53:AF54 S53:Y55 B53:R57">
    <cfRule type="expression" dxfId="1519" priority="44">
      <formula>AND(B$9&gt;=14/24,B$9&lt;20/24)</formula>
    </cfRule>
    <cfRule type="expression" dxfId="1518" priority="45">
      <formula>AND(B$9&gt;=8/24,B$9&lt;14/24)</formula>
    </cfRule>
  </conditionalFormatting>
  <conditionalFormatting sqref="Z53:AF55">
    <cfRule type="expression" dxfId="1517" priority="83">
      <formula>Z53&gt;$AG53</formula>
    </cfRule>
  </conditionalFormatting>
  <conditionalFormatting sqref="Z53:AF57">
    <cfRule type="expression" dxfId="1516" priority="82">
      <formula>Z$9&lt;8/24</formula>
    </cfRule>
  </conditionalFormatting>
  <conditionalFormatting sqref="Z55:AF57 S57:Y57">
    <cfRule type="expression" dxfId="1515" priority="72">
      <formula>AND(S$9&gt;=8/24,S$9&lt;14/24)</formula>
    </cfRule>
    <cfRule type="expression" dxfId="1514" priority="71">
      <formula>AND(S$9&gt;=14/24,S$9&lt;20/24)</formula>
    </cfRule>
    <cfRule type="expression" dxfId="1513" priority="70">
      <formula>S$9&gt;=20/24</formula>
    </cfRule>
  </conditionalFormatting>
  <conditionalFormatting sqref="AB8">
    <cfRule type="expression" dxfId="1512" priority="129">
      <formula>AD$9&gt;=20/24</formula>
    </cfRule>
    <cfRule type="expression" dxfId="1511" priority="132">
      <formula>AD$9&lt;8/24</formula>
    </cfRule>
    <cfRule type="expression" dxfId="1510" priority="131">
      <formula>AND(AD$9&gt;=8/24,AD$9&lt;14/24)</formula>
    </cfRule>
    <cfRule type="expression" dxfId="1509" priority="130">
      <formula>AND(AD$9&gt;=14/24,AD$9&lt;20/24)</formula>
    </cfRule>
  </conditionalFormatting>
  <conditionalFormatting sqref="AC57:AF57">
    <cfRule type="expression" dxfId="1508" priority="69">
      <formula>AC57&gt;$AG57</formula>
    </cfRule>
  </conditionalFormatting>
  <conditionalFormatting sqref="AG58">
    <cfRule type="expression" dxfId="1507" priority="124">
      <formula>AG58&gt;$AG58</formula>
    </cfRule>
  </conditionalFormatting>
  <conditionalFormatting sqref="AG62">
    <cfRule type="expression" dxfId="1506" priority="108">
      <formula>AND(AG$9&gt;=14/24,AG$9&lt;20/24)</formula>
    </cfRule>
    <cfRule type="expression" dxfId="1505" priority="107">
      <formula>AG$9&gt;=20/24</formula>
    </cfRule>
    <cfRule type="expression" dxfId="1504" priority="110">
      <formula>AG$9&lt;8/24</formula>
    </cfRule>
    <cfRule type="expression" dxfId="1503" priority="109">
      <formula>AND(AG$9&gt;=8/24,AG$9&lt;14/24)</formula>
    </cfRule>
  </conditionalFormatting>
  <conditionalFormatting sqref="AG75:AG76">
    <cfRule type="expression" dxfId="1502" priority="102">
      <formula>AG75&gt;$AG75</formula>
    </cfRule>
  </conditionalFormatting>
  <conditionalFormatting sqref="AG80">
    <cfRule type="expression" dxfId="1501" priority="103">
      <formula>AG$9&gt;=20/24</formula>
    </cfRule>
    <cfRule type="expression" dxfId="1500" priority="104">
      <formula>AND(AG$9&gt;=14/24,AG$9&lt;20/24)</formula>
    </cfRule>
    <cfRule type="expression" dxfId="1499" priority="105">
      <formula>AND(AG$9&gt;=8/24,AG$9&lt;14/24)</formula>
    </cfRule>
    <cfRule type="expression" dxfId="1498" priority="106">
      <formula>AG$9&lt;8/24</formula>
    </cfRule>
  </conditionalFormatting>
  <conditionalFormatting sqref="AG97">
    <cfRule type="expression" dxfId="1497" priority="127">
      <formula>AND(AG$9&gt;=8/24,AG$9&lt;14/24)</formula>
    </cfRule>
    <cfRule type="expression" dxfId="1496" priority="126">
      <formula>AND(AG$9&gt;=14/24,AG$9&lt;20/24)</formula>
    </cfRule>
    <cfRule type="expression" dxfId="1495" priority="125">
      <formula>AG$9&gt;=20/24</formula>
    </cfRule>
    <cfRule type="expression" dxfId="1494" priority="128">
      <formula>AG$9&lt;8/24</formula>
    </cfRule>
  </conditionalFormatting>
  <conditionalFormatting sqref="AL4:AL6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2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493" priority="150">
      <formula>AJ$9&gt;=20/24</formula>
    </cfRule>
    <cfRule type="expression" dxfId="1492" priority="151">
      <formula>AND(AJ$9&gt;=14/24,AJ$9&lt;20/24)</formula>
    </cfRule>
    <cfRule type="expression" dxfId="1491" priority="152">
      <formula>AND(AJ$9&gt;=8/24,AJ$9&lt;14/24)</formula>
    </cfRule>
    <cfRule type="expression" dxfId="1490" priority="153">
      <formula>AJ$9&lt;8/24</formula>
    </cfRule>
  </conditionalFormatting>
  <conditionalFormatting sqref="AL88:AN88 AL94:AN94">
    <cfRule type="expression" dxfId="1489" priority="117">
      <formula>AL$9&gt;=20/24</formula>
    </cfRule>
    <cfRule type="expression" dxfId="1488" priority="118">
      <formula>AND(AL$9&gt;=14/24,AL$9&lt;20/24)</formula>
    </cfRule>
    <cfRule type="expression" dxfId="1487" priority="119">
      <formula>AND(AL$9&gt;=8/24,AL$9&lt;14/24)</formula>
    </cfRule>
    <cfRule type="expression" dxfId="1486" priority="120">
      <formula>AL$9&lt;8/24</formula>
    </cfRule>
  </conditionalFormatting>
  <conditionalFormatting sqref="AM15:AM21 AN16:AR21">
    <cfRule type="expression" dxfId="1485" priority="22">
      <formula>AX$9&lt;8/24</formula>
    </cfRule>
    <cfRule type="expression" dxfId="1484" priority="21">
      <formula>AND(AX$9&gt;=8/24,AX$9&lt;14/24)</formula>
    </cfRule>
    <cfRule type="expression" dxfId="1483" priority="19">
      <formula>AX$9&gt;=20/24</formula>
    </cfRule>
    <cfRule type="expression" dxfId="1482" priority="20">
      <formula>AND(AX$9&gt;=14/24,AX$9&lt;20/24)</formula>
    </cfRule>
  </conditionalFormatting>
  <conditionalFormatting sqref="AN89:AN92">
    <cfRule type="expression" dxfId="1481" priority="113">
      <formula>AN$9&gt;=20/24</formula>
    </cfRule>
    <cfRule type="expression" dxfId="1480" priority="115">
      <formula>AND(AN$9&gt;=8/24,AN$9&lt;14/24)</formula>
    </cfRule>
    <cfRule type="expression" dxfId="1479" priority="116">
      <formula>AN$9&lt;8/24</formula>
    </cfRule>
    <cfRule type="expression" dxfId="1478" priority="114">
      <formula>AND(AN$9&gt;=14/24,AN$9&lt;20/24)</formula>
    </cfRule>
  </conditionalFormatting>
  <conditionalFormatting sqref="AN15:AR15">
    <cfRule type="expression" dxfId="1477" priority="8">
      <formula>AND(U$9&gt;=14/24,U$9&lt;20/24)</formula>
    </cfRule>
    <cfRule type="expression" dxfId="1476" priority="9">
      <formula>AND(U$9&gt;=8/24,U$9&lt;14/24)</formula>
    </cfRule>
    <cfRule type="expression" dxfId="1475" priority="10">
      <formula>U$9&lt;8/24</formula>
    </cfRule>
    <cfRule type="expression" dxfId="1474" priority="7">
      <formula>U$9&gt;=20/24</formula>
    </cfRule>
  </conditionalFormatting>
  <conditionalFormatting sqref="AS15">
    <cfRule type="expression" dxfId="1473" priority="18">
      <formula>AA$9&lt;8/24</formula>
    </cfRule>
    <cfRule type="expression" dxfId="1472" priority="17">
      <formula>AND(AA$9&gt;=8/24,AA$9&lt;14/24)</formula>
    </cfRule>
    <cfRule type="expression" dxfId="1471" priority="16">
      <formula>AND(AA$9&gt;=14/24,AA$9&lt;20/24)</formula>
    </cfRule>
    <cfRule type="expression" dxfId="1470" priority="15">
      <formula>AA$9&gt;=20/24</formula>
    </cfRule>
  </conditionalFormatting>
  <conditionalFormatting sqref="AS16:AS21">
    <cfRule type="expression" dxfId="1469" priority="23">
      <formula>BE$9&gt;=20/24</formula>
    </cfRule>
    <cfRule type="expression" dxfId="1468" priority="26">
      <formula>BE$9&lt;8/24</formula>
    </cfRule>
    <cfRule type="expression" dxfId="1467" priority="25">
      <formula>AND(BE$9&gt;=8/24,BE$9&lt;14/24)</formula>
    </cfRule>
    <cfRule type="expression" dxfId="1466" priority="24">
      <formula>AND(BE$9&gt;=14/24,BE$9&lt;20/24)</formula>
    </cfRule>
  </conditionalFormatting>
  <conditionalFormatting sqref="AT15 AX15">
    <cfRule type="expression" dxfId="1465" priority="30">
      <formula>AC$9&lt;8/24</formula>
    </cfRule>
    <cfRule type="expression" dxfId="1464" priority="29">
      <formula>AND(AC$9&gt;=8/24,AC$9&lt;14/24)</formula>
    </cfRule>
    <cfRule type="expression" dxfId="1463" priority="28">
      <formula>AND(AC$9&gt;=14/24,AC$9&lt;20/24)</formula>
    </cfRule>
    <cfRule type="expression" dxfId="1462" priority="27">
      <formula>AC$9&gt;=20/24</formula>
    </cfRule>
  </conditionalFormatting>
  <conditionalFormatting sqref="AT16:AT21">
    <cfRule type="expression" dxfId="1461" priority="34">
      <formula>BG$9&lt;8/24</formula>
    </cfRule>
    <cfRule type="expression" dxfId="1460" priority="33">
      <formula>AND(BG$9&gt;=8/24,BG$9&lt;14/24)</formula>
    </cfRule>
    <cfRule type="expression" dxfId="1459" priority="32">
      <formula>AND(BG$9&gt;=14/24,BG$9&lt;20/24)</formula>
    </cfRule>
    <cfRule type="expression" dxfId="1458" priority="31">
      <formula>BG$9&gt;=20/24</formula>
    </cfRule>
  </conditionalFormatting>
  <conditionalFormatting sqref="AU15:AV15">
    <cfRule type="expression" dxfId="1457" priority="38">
      <formula>AE$9&lt;8/24</formula>
    </cfRule>
    <cfRule type="expression" dxfId="1456" priority="37">
      <formula>AND(AE$9&gt;=8/24,AE$9&lt;14/24)</formula>
    </cfRule>
    <cfRule type="expression" dxfId="1455" priority="36">
      <formula>AND(AE$9&gt;=14/24,AE$9&lt;20/24)</formula>
    </cfRule>
    <cfRule type="expression" dxfId="1454" priority="35">
      <formula>AE$9&gt;=20/24</formula>
    </cfRule>
  </conditionalFormatting>
  <conditionalFormatting sqref="AU16:AX21">
    <cfRule type="expression" dxfId="1453" priority="39">
      <formula>BI$9&gt;=20/24</formula>
    </cfRule>
    <cfRule type="expression" dxfId="1452" priority="40">
      <formula>AND(BI$9&gt;=14/24,BI$9&lt;20/24)</formula>
    </cfRule>
    <cfRule type="expression" dxfId="1451" priority="41">
      <formula>AND(BI$9&gt;=8/24,BI$9&lt;14/24)</formula>
    </cfRule>
    <cfRule type="expression" dxfId="1450" priority="42">
      <formula>BI$9&lt;8/24</formula>
    </cfRule>
  </conditionalFormatting>
  <conditionalFormatting sqref="AW15">
    <cfRule type="expression" dxfId="1449" priority="14">
      <formula>B$9&lt;8/24</formula>
    </cfRule>
    <cfRule type="expression" dxfId="1448" priority="13">
      <formula>AND(B$9&gt;=8/24,B$9&lt;14/24)</formula>
    </cfRule>
    <cfRule type="expression" dxfId="1447" priority="12">
      <formula>AND(B$9&gt;=14/24,B$9&lt;20/24)</formula>
    </cfRule>
    <cfRule type="expression" dxfId="1446" priority="11">
      <formula>B$9&gt;=20/24</formula>
    </cfRule>
  </conditionalFormatting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9465D-38A6-4A20-8419-6B34DA59D90F}">
  <sheetPr codeName="Sheet24"/>
  <dimension ref="A1:CJ294"/>
  <sheetViews>
    <sheetView zoomScale="106" workbookViewId="0">
      <pane xSplit="1" ySplit="10" topLeftCell="B83" activePane="bottomRight" state="frozen"/>
      <selection activeCell="Z63" sqref="Z63"/>
      <selection pane="topRight" activeCell="Z63" sqref="Z63"/>
      <selection pane="bottomLeft" activeCell="Z63" sqref="Z63"/>
      <selection pane="bottomRight" activeCell="B77" sqref="B7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2080/10/20</v>
      </c>
      <c r="C4" s="214"/>
      <c r="D4" s="214"/>
      <c r="E4" s="215" t="str">
        <f ca="1">"2080/"&amp;"10/"&amp;INT(MID(CELL("filename",G6),FIND("]",CELL("filename",G6))+1,200))</f>
        <v>2080/10/20</v>
      </c>
      <c r="F4" s="215"/>
      <c r="G4" s="215"/>
      <c r="H4" s="215" t="str">
        <f ca="1">TEXT(E4,"dddd")</f>
        <v>Sunday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334.2</v>
      </c>
      <c r="C5" s="30">
        <f t="shared" ref="C5:AE5" si="0">D92</f>
        <v>307.29999999999995</v>
      </c>
      <c r="D5" s="30">
        <f t="shared" si="0"/>
        <v>318.99999999999994</v>
      </c>
      <c r="E5" s="30">
        <f t="shared" si="0"/>
        <v>312.40000000000003</v>
      </c>
      <c r="F5" s="30">
        <f t="shared" si="0"/>
        <v>345.6</v>
      </c>
      <c r="G5" s="30">
        <f t="shared" si="0"/>
        <v>348.7</v>
      </c>
      <c r="H5" s="30">
        <f t="shared" si="0"/>
        <v>357.3</v>
      </c>
      <c r="I5" s="30">
        <f t="shared" si="0"/>
        <v>501.7</v>
      </c>
      <c r="J5" s="30">
        <f t="shared" si="0"/>
        <v>535.26</v>
      </c>
      <c r="K5" s="30">
        <f t="shared" si="0"/>
        <v>451.09999999999997</v>
      </c>
      <c r="L5" s="30">
        <f t="shared" si="0"/>
        <v>537.79999999999995</v>
      </c>
      <c r="M5" s="30">
        <f t="shared" si="0"/>
        <v>589</v>
      </c>
      <c r="N5" s="30">
        <f t="shared" si="0"/>
        <v>670.9</v>
      </c>
      <c r="O5" s="30">
        <f t="shared" si="0"/>
        <v>660.7</v>
      </c>
      <c r="P5" s="30">
        <f t="shared" si="0"/>
        <v>689.2</v>
      </c>
      <c r="Q5" s="30">
        <f t="shared" si="0"/>
        <v>705.2</v>
      </c>
      <c r="R5" s="30">
        <f t="shared" si="0"/>
        <v>766.3</v>
      </c>
      <c r="S5" s="30">
        <f t="shared" si="0"/>
        <v>857.30000000000007</v>
      </c>
      <c r="T5" s="30">
        <f t="shared" si="0"/>
        <v>699.8</v>
      </c>
      <c r="U5" s="30">
        <f t="shared" si="0"/>
        <v>768</v>
      </c>
      <c r="V5" s="30">
        <f t="shared" si="0"/>
        <v>613</v>
      </c>
      <c r="W5" s="30">
        <f t="shared" si="0"/>
        <v>483.8</v>
      </c>
      <c r="X5" s="30">
        <f t="shared" si="0"/>
        <v>69.8</v>
      </c>
      <c r="Y5" s="30">
        <f t="shared" si="0"/>
        <v>76.900000000000006</v>
      </c>
      <c r="Z5" s="30">
        <f t="shared" si="0"/>
        <v>55.900000000000006</v>
      </c>
      <c r="AA5" s="30">
        <f t="shared" si="0"/>
        <v>60.4</v>
      </c>
      <c r="AB5" s="30">
        <f t="shared" si="0"/>
        <v>138.6</v>
      </c>
      <c r="AC5" s="30">
        <f t="shared" si="0"/>
        <v>145</v>
      </c>
      <c r="AD5" s="30">
        <f t="shared" si="0"/>
        <v>118</v>
      </c>
      <c r="AE5" s="30">
        <f t="shared" si="0"/>
        <v>155.69999999999999</v>
      </c>
      <c r="AF5" s="30">
        <f>B92</f>
        <v>208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1584MW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Load=1226</v>
      </c>
      <c r="B7" s="35">
        <f>B100</f>
        <v>1271.19</v>
      </c>
      <c r="C7" s="35">
        <f t="shared" ref="C7:AF7" si="1">C100</f>
        <v>1264.5899999999999</v>
      </c>
      <c r="D7" s="35">
        <f t="shared" si="1"/>
        <v>1225.8900000000001</v>
      </c>
      <c r="E7" s="35">
        <f t="shared" si="1"/>
        <v>1237.5900000000001</v>
      </c>
      <c r="F7" s="35">
        <f t="shared" si="1"/>
        <v>1230.9900000000002</v>
      </c>
      <c r="G7" s="35">
        <f t="shared" si="1"/>
        <v>1264.19</v>
      </c>
      <c r="H7" s="35">
        <f t="shared" si="1"/>
        <v>1326.59</v>
      </c>
      <c r="I7" s="35">
        <f t="shared" si="1"/>
        <v>1386.99</v>
      </c>
      <c r="J7" s="35">
        <f t="shared" si="1"/>
        <v>1515.99</v>
      </c>
      <c r="K7" s="35">
        <f t="shared" si="1"/>
        <v>1544.95</v>
      </c>
      <c r="L7" s="35">
        <f t="shared" si="1"/>
        <v>1511.29</v>
      </c>
      <c r="M7" s="35">
        <f t="shared" si="1"/>
        <v>1584.1899999999998</v>
      </c>
      <c r="N7" s="35">
        <f t="shared" si="1"/>
        <v>1414.59</v>
      </c>
      <c r="O7" s="35">
        <f t="shared" si="1"/>
        <v>1538.79</v>
      </c>
      <c r="P7" s="35">
        <f t="shared" si="1"/>
        <v>1524.89</v>
      </c>
      <c r="Q7" s="35">
        <f t="shared" si="1"/>
        <v>1535.9900000000002</v>
      </c>
      <c r="R7" s="35">
        <f t="shared" si="1"/>
        <v>1540.4899999999998</v>
      </c>
      <c r="S7" s="35">
        <f t="shared" si="1"/>
        <v>1513.79</v>
      </c>
      <c r="T7" s="35">
        <f t="shared" si="1"/>
        <v>1601.79</v>
      </c>
      <c r="U7" s="35">
        <f t="shared" si="1"/>
        <v>1481.3899999999999</v>
      </c>
      <c r="V7" s="35">
        <f t="shared" si="1"/>
        <v>1533.09</v>
      </c>
      <c r="W7" s="35">
        <f t="shared" si="1"/>
        <v>1559.19</v>
      </c>
      <c r="X7" s="35">
        <f t="shared" si="1"/>
        <v>1433.59</v>
      </c>
      <c r="Y7" s="35">
        <f t="shared" si="1"/>
        <v>1741.55</v>
      </c>
      <c r="Z7" s="35">
        <f t="shared" si="1"/>
        <v>1881.0500000000002</v>
      </c>
      <c r="AA7" s="35">
        <f t="shared" si="1"/>
        <v>1802.0900000000001</v>
      </c>
      <c r="AB7" s="35">
        <f t="shared" si="1"/>
        <v>1693.89</v>
      </c>
      <c r="AC7" s="35">
        <f t="shared" si="1"/>
        <v>1663.09</v>
      </c>
      <c r="AD7" s="35">
        <f t="shared" si="1"/>
        <v>1603.9900000000002</v>
      </c>
      <c r="AE7" s="35">
        <f t="shared" si="1"/>
        <v>1476.0900000000001</v>
      </c>
      <c r="AF7" s="35">
        <f t="shared" si="1"/>
        <v>1264.69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1584.19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1584.19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23.2</v>
      </c>
      <c r="C11" s="46">
        <v>23.2</v>
      </c>
      <c r="D11" s="46">
        <v>24.7</v>
      </c>
      <c r="E11" s="46">
        <v>24.7</v>
      </c>
      <c r="F11" s="46">
        <v>24.7</v>
      </c>
      <c r="G11" s="46">
        <v>24.7</v>
      </c>
      <c r="H11" s="46">
        <v>24.7</v>
      </c>
      <c r="I11" s="46">
        <v>24.7</v>
      </c>
      <c r="J11" s="46">
        <v>24.7</v>
      </c>
      <c r="K11" s="46">
        <v>24.7</v>
      </c>
      <c r="L11" s="46">
        <v>24.7</v>
      </c>
      <c r="M11" s="46">
        <v>15.1</v>
      </c>
      <c r="N11" s="46">
        <v>18.5</v>
      </c>
      <c r="O11" s="46">
        <v>20.2</v>
      </c>
      <c r="P11" s="46">
        <v>30.4</v>
      </c>
      <c r="Q11" s="46">
        <v>31.5</v>
      </c>
      <c r="R11" s="46">
        <v>24.6</v>
      </c>
      <c r="S11" s="46">
        <v>24.6</v>
      </c>
      <c r="T11" s="46">
        <v>24.6</v>
      </c>
      <c r="U11" s="46">
        <v>24.6</v>
      </c>
      <c r="V11" s="46">
        <v>24.6</v>
      </c>
      <c r="W11" s="46">
        <v>24.6</v>
      </c>
      <c r="X11" s="46">
        <v>24.6</v>
      </c>
      <c r="Y11" s="46">
        <v>24.6</v>
      </c>
      <c r="Z11" s="46">
        <v>24.6</v>
      </c>
      <c r="AA11" s="46">
        <v>24.6</v>
      </c>
      <c r="AB11" s="46">
        <v>22.3</v>
      </c>
      <c r="AC11" s="46">
        <v>22.3</v>
      </c>
      <c r="AD11" s="46">
        <v>22.3</v>
      </c>
      <c r="AE11" s="46">
        <v>22.3</v>
      </c>
      <c r="AF11" s="46">
        <v>22.3</v>
      </c>
      <c r="AG11" s="47">
        <v>86</v>
      </c>
      <c r="AH11" s="48">
        <f t="shared" ref="AH11:AH16" si="2">MAX(B11:AF11)</f>
        <v>31.5</v>
      </c>
      <c r="AI11" s="49">
        <f t="shared" ref="AI11:AI16" si="3">MIN(B11:AF11)</f>
        <v>15.1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11</v>
      </c>
      <c r="C12" s="46">
        <v>11</v>
      </c>
      <c r="D12" s="46">
        <v>11</v>
      </c>
      <c r="E12" s="46">
        <v>11</v>
      </c>
      <c r="F12" s="46">
        <v>11</v>
      </c>
      <c r="G12" s="46">
        <v>11</v>
      </c>
      <c r="H12" s="46">
        <v>11</v>
      </c>
      <c r="I12" s="46">
        <v>11</v>
      </c>
      <c r="J12" s="46">
        <v>11</v>
      </c>
      <c r="K12" s="46">
        <v>11</v>
      </c>
      <c r="L12" s="46">
        <v>11</v>
      </c>
      <c r="M12" s="46">
        <v>11</v>
      </c>
      <c r="N12" s="46">
        <v>11</v>
      </c>
      <c r="O12" s="46">
        <v>11</v>
      </c>
      <c r="P12" s="46">
        <v>11</v>
      </c>
      <c r="Q12" s="46">
        <v>11</v>
      </c>
      <c r="R12" s="46">
        <v>11</v>
      </c>
      <c r="S12" s="46">
        <v>11</v>
      </c>
      <c r="T12" s="46">
        <v>11</v>
      </c>
      <c r="U12" s="46">
        <v>11</v>
      </c>
      <c r="V12" s="46">
        <v>11</v>
      </c>
      <c r="W12" s="46">
        <v>11</v>
      </c>
      <c r="X12" s="46">
        <v>11</v>
      </c>
      <c r="Y12" s="46">
        <v>11</v>
      </c>
      <c r="Z12" s="46">
        <v>11</v>
      </c>
      <c r="AA12" s="46">
        <v>11</v>
      </c>
      <c r="AB12" s="46">
        <v>11</v>
      </c>
      <c r="AC12" s="46">
        <v>11</v>
      </c>
      <c r="AD12" s="46">
        <v>11</v>
      </c>
      <c r="AE12" s="46">
        <v>11</v>
      </c>
      <c r="AF12" s="46">
        <v>11</v>
      </c>
      <c r="AG12" s="50">
        <v>54</v>
      </c>
      <c r="AH12" s="48">
        <f t="shared" si="2"/>
        <v>11</v>
      </c>
      <c r="AI12" s="49">
        <f t="shared" si="3"/>
        <v>11</v>
      </c>
      <c r="AK12" s="51"/>
      <c r="AL12" s="52" t="str">
        <f ca="1">MID(CELL("filename",C7),FIND("]",CELL("filename",C7))+1,600)</f>
        <v>20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17.899999999999999</v>
      </c>
      <c r="C13" s="46">
        <v>17.899999999999999</v>
      </c>
      <c r="D13" s="46">
        <v>18.399999999999999</v>
      </c>
      <c r="E13" s="46">
        <v>18.399999999999999</v>
      </c>
      <c r="F13" s="46">
        <v>18.399999999999999</v>
      </c>
      <c r="G13" s="46">
        <v>18.399999999999999</v>
      </c>
      <c r="H13" s="46">
        <v>18.399999999999999</v>
      </c>
      <c r="I13" s="46">
        <v>18.399999999999999</v>
      </c>
      <c r="J13" s="46">
        <v>18.399999999999999</v>
      </c>
      <c r="K13" s="46">
        <v>18.399999999999999</v>
      </c>
      <c r="L13" s="46">
        <v>18.399999999999999</v>
      </c>
      <c r="M13" s="46">
        <v>15.5</v>
      </c>
      <c r="N13" s="46">
        <v>15.5</v>
      </c>
      <c r="O13" s="46">
        <v>15.5</v>
      </c>
      <c r="P13" s="46">
        <v>15.5</v>
      </c>
      <c r="Q13" s="46">
        <v>15.5</v>
      </c>
      <c r="R13" s="46">
        <v>15.5</v>
      </c>
      <c r="S13" s="46">
        <v>15.5</v>
      </c>
      <c r="T13" s="46">
        <v>15.5</v>
      </c>
      <c r="U13" s="46">
        <v>15.5</v>
      </c>
      <c r="V13" s="46">
        <v>15.5</v>
      </c>
      <c r="W13" s="46">
        <v>15.5</v>
      </c>
      <c r="X13" s="46">
        <v>15.5</v>
      </c>
      <c r="Y13" s="46">
        <v>15.5</v>
      </c>
      <c r="Z13" s="46">
        <v>15.5</v>
      </c>
      <c r="AA13" s="46">
        <v>15.5</v>
      </c>
      <c r="AB13" s="46">
        <v>21.8</v>
      </c>
      <c r="AC13" s="46">
        <v>21.8</v>
      </c>
      <c r="AD13" s="46">
        <v>21.8</v>
      </c>
      <c r="AE13" s="46">
        <v>21.8</v>
      </c>
      <c r="AF13" s="46">
        <v>21.8</v>
      </c>
      <c r="AG13" s="50">
        <v>54</v>
      </c>
      <c r="AH13" s="48">
        <f t="shared" si="2"/>
        <v>21.8</v>
      </c>
      <c r="AI13" s="49">
        <f t="shared" si="3"/>
        <v>15.5</v>
      </c>
      <c r="AK13" s="51"/>
      <c r="AL13" s="52" t="str">
        <f ca="1">"Daily Load Curve(Excluding of Export) of Nepal ("&amp;A4&amp;" "&amp;B4&amp;")"</f>
        <v>Daily Load Curve(Excluding of Export) of Nepal (Nepali Date: 2080/10/20)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14.5</v>
      </c>
      <c r="C14" s="46">
        <v>14.5</v>
      </c>
      <c r="D14" s="46">
        <v>15</v>
      </c>
      <c r="E14" s="46">
        <v>15</v>
      </c>
      <c r="F14" s="46">
        <v>15</v>
      </c>
      <c r="G14" s="46">
        <v>15</v>
      </c>
      <c r="H14" s="46">
        <v>15</v>
      </c>
      <c r="I14" s="46">
        <v>15</v>
      </c>
      <c r="J14" s="46">
        <v>15</v>
      </c>
      <c r="K14" s="46">
        <v>15</v>
      </c>
      <c r="L14" s="46">
        <v>15</v>
      </c>
      <c r="M14" s="46">
        <v>14</v>
      </c>
      <c r="N14" s="46">
        <v>14</v>
      </c>
      <c r="O14" s="46">
        <v>14</v>
      </c>
      <c r="P14" s="46">
        <v>14</v>
      </c>
      <c r="Q14" s="46">
        <v>14</v>
      </c>
      <c r="R14" s="46">
        <v>14</v>
      </c>
      <c r="S14" s="46">
        <v>14</v>
      </c>
      <c r="T14" s="46">
        <v>14</v>
      </c>
      <c r="U14" s="46">
        <v>14</v>
      </c>
      <c r="V14" s="46">
        <v>14</v>
      </c>
      <c r="W14" s="46">
        <v>14</v>
      </c>
      <c r="X14" s="46">
        <v>14</v>
      </c>
      <c r="Y14" s="46">
        <v>14</v>
      </c>
      <c r="Z14" s="46">
        <v>14</v>
      </c>
      <c r="AA14" s="46">
        <v>14</v>
      </c>
      <c r="AB14" s="46">
        <v>13.7</v>
      </c>
      <c r="AC14" s="46">
        <v>13.7</v>
      </c>
      <c r="AD14" s="46">
        <v>13.7</v>
      </c>
      <c r="AE14" s="46">
        <v>13.7</v>
      </c>
      <c r="AF14" s="46">
        <v>13.7</v>
      </c>
      <c r="AG14" s="47">
        <v>52.4</v>
      </c>
      <c r="AH14" s="48">
        <f t="shared" si="2"/>
        <v>15</v>
      </c>
      <c r="AI14" s="49">
        <f t="shared" si="3"/>
        <v>13.7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35.700000000000003</v>
      </c>
      <c r="C15" s="46">
        <v>35.700000000000003</v>
      </c>
      <c r="D15" s="46">
        <v>35.6</v>
      </c>
      <c r="E15" s="46">
        <v>35.6</v>
      </c>
      <c r="F15" s="46">
        <v>35.6</v>
      </c>
      <c r="G15" s="46">
        <v>35.6</v>
      </c>
      <c r="H15" s="46">
        <v>38</v>
      </c>
      <c r="I15" s="46">
        <v>38</v>
      </c>
      <c r="J15" s="46">
        <v>38</v>
      </c>
      <c r="K15" s="46">
        <v>38</v>
      </c>
      <c r="L15" s="46">
        <v>38</v>
      </c>
      <c r="M15" s="46">
        <v>38</v>
      </c>
      <c r="N15" s="46">
        <v>38</v>
      </c>
      <c r="O15" s="46">
        <v>38</v>
      </c>
      <c r="P15" s="46">
        <v>38</v>
      </c>
      <c r="Q15" s="46">
        <v>38</v>
      </c>
      <c r="R15" s="46">
        <v>38</v>
      </c>
      <c r="S15" s="46">
        <v>38</v>
      </c>
      <c r="T15" s="46">
        <v>38</v>
      </c>
      <c r="U15" s="46">
        <v>38</v>
      </c>
      <c r="V15" s="46">
        <v>38</v>
      </c>
      <c r="W15" s="46">
        <v>38</v>
      </c>
      <c r="X15" s="46">
        <v>38</v>
      </c>
      <c r="Y15" s="46">
        <v>38</v>
      </c>
      <c r="Z15" s="46">
        <v>38</v>
      </c>
      <c r="AA15" s="46">
        <v>38</v>
      </c>
      <c r="AB15" s="53">
        <v>33.9</v>
      </c>
      <c r="AC15" s="53">
        <v>33.9</v>
      </c>
      <c r="AD15" s="53">
        <v>33.9</v>
      </c>
      <c r="AE15" s="53">
        <v>33.9</v>
      </c>
      <c r="AF15" s="53">
        <v>33.9</v>
      </c>
      <c r="AG15" s="50">
        <v>50</v>
      </c>
      <c r="AH15" s="48">
        <f t="shared" si="2"/>
        <v>38</v>
      </c>
      <c r="AI15" s="49">
        <f t="shared" si="3"/>
        <v>33.9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15</v>
      </c>
      <c r="C16" s="46">
        <v>15</v>
      </c>
      <c r="D16" s="46">
        <v>15</v>
      </c>
      <c r="E16" s="46">
        <v>15</v>
      </c>
      <c r="F16" s="46">
        <v>15</v>
      </c>
      <c r="G16" s="46">
        <v>15</v>
      </c>
      <c r="H16" s="46">
        <v>15</v>
      </c>
      <c r="I16" s="46">
        <v>15</v>
      </c>
      <c r="J16" s="46">
        <v>15</v>
      </c>
      <c r="K16" s="46">
        <v>15</v>
      </c>
      <c r="L16" s="46">
        <v>15</v>
      </c>
      <c r="M16" s="46">
        <v>15</v>
      </c>
      <c r="N16" s="46">
        <v>15</v>
      </c>
      <c r="O16" s="46">
        <v>15</v>
      </c>
      <c r="P16" s="46">
        <v>15</v>
      </c>
      <c r="Q16" s="46">
        <v>15</v>
      </c>
      <c r="R16" s="46">
        <v>15</v>
      </c>
      <c r="S16" s="46">
        <v>15</v>
      </c>
      <c r="T16" s="46">
        <v>15</v>
      </c>
      <c r="U16" s="46">
        <v>15</v>
      </c>
      <c r="V16" s="46">
        <v>15</v>
      </c>
      <c r="W16" s="46">
        <v>15</v>
      </c>
      <c r="X16" s="46">
        <v>15</v>
      </c>
      <c r="Y16" s="46">
        <v>15</v>
      </c>
      <c r="Z16" s="46">
        <v>15</v>
      </c>
      <c r="AA16" s="46">
        <v>15</v>
      </c>
      <c r="AB16" s="46">
        <v>15.1</v>
      </c>
      <c r="AC16" s="46">
        <v>15.1</v>
      </c>
      <c r="AD16" s="46">
        <v>15.1</v>
      </c>
      <c r="AE16" s="46">
        <v>15.1</v>
      </c>
      <c r="AF16" s="46">
        <v>15.1</v>
      </c>
      <c r="AG16" s="50">
        <v>45</v>
      </c>
      <c r="AH16" s="48">
        <f t="shared" si="2"/>
        <v>15.1</v>
      </c>
      <c r="AI16" s="49">
        <f t="shared" si="3"/>
        <v>15</v>
      </c>
      <c r="AK16" s="51"/>
      <c r="AL16" s="54" t="s">
        <v>7</v>
      </c>
      <c r="AM16" s="59">
        <f>B58</f>
        <v>519.25</v>
      </c>
      <c r="AN16" s="59">
        <f t="shared" ref="AN16:AR16" si="4">C58</f>
        <v>519.25</v>
      </c>
      <c r="AO16" s="59">
        <f t="shared" si="4"/>
        <v>521.65000000000009</v>
      </c>
      <c r="AP16" s="59">
        <f t="shared" si="4"/>
        <v>521.65000000000009</v>
      </c>
      <c r="AQ16" s="59">
        <f t="shared" si="4"/>
        <v>521.65000000000009</v>
      </c>
      <c r="AR16" s="59">
        <f t="shared" si="4"/>
        <v>521.65000000000009</v>
      </c>
      <c r="AS16" s="59">
        <f>I58</f>
        <v>524.04999999999995</v>
      </c>
      <c r="AT16" s="59">
        <f>K58</f>
        <v>524.04999999999995</v>
      </c>
      <c r="AU16" s="59">
        <f t="shared" ref="AU16:AX16" si="5">M58</f>
        <v>510.54999999999995</v>
      </c>
      <c r="AV16" s="59">
        <f t="shared" si="5"/>
        <v>502.95</v>
      </c>
      <c r="AW16" s="59">
        <f t="shared" si="5"/>
        <v>504.65</v>
      </c>
      <c r="AX16" s="59">
        <f t="shared" si="5"/>
        <v>514.85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27</v>
      </c>
      <c r="C17" s="46">
        <v>27</v>
      </c>
      <c r="D17" s="46">
        <v>27</v>
      </c>
      <c r="E17" s="46">
        <v>27</v>
      </c>
      <c r="F17" s="46">
        <v>27</v>
      </c>
      <c r="G17" s="46">
        <v>27</v>
      </c>
      <c r="H17" s="46">
        <v>27</v>
      </c>
      <c r="I17" s="46">
        <v>27</v>
      </c>
      <c r="J17" s="46">
        <v>27</v>
      </c>
      <c r="K17" s="46">
        <v>27</v>
      </c>
      <c r="L17" s="46">
        <v>27</v>
      </c>
      <c r="M17" s="46">
        <v>27</v>
      </c>
      <c r="N17" s="46">
        <v>27</v>
      </c>
      <c r="O17" s="46">
        <v>27</v>
      </c>
      <c r="P17" s="46">
        <v>27</v>
      </c>
      <c r="Q17" s="46">
        <v>27</v>
      </c>
      <c r="R17" s="46">
        <v>27</v>
      </c>
      <c r="S17" s="46">
        <v>27</v>
      </c>
      <c r="T17" s="46">
        <v>27</v>
      </c>
      <c r="U17" s="46">
        <v>27</v>
      </c>
      <c r="V17" s="46">
        <v>27</v>
      </c>
      <c r="W17" s="46">
        <v>27</v>
      </c>
      <c r="X17" s="46">
        <v>27</v>
      </c>
      <c r="Y17" s="46">
        <v>27</v>
      </c>
      <c r="Z17" s="46">
        <v>27</v>
      </c>
      <c r="AA17" s="46">
        <v>27</v>
      </c>
      <c r="AB17" s="46">
        <v>27</v>
      </c>
      <c r="AC17" s="46">
        <v>27</v>
      </c>
      <c r="AD17" s="46">
        <v>27</v>
      </c>
      <c r="AE17" s="46">
        <v>27</v>
      </c>
      <c r="AF17" s="46">
        <v>27</v>
      </c>
      <c r="AG17" s="50">
        <v>44</v>
      </c>
      <c r="AH17" s="48">
        <f>MAX(B17:AG17)</f>
        <v>44</v>
      </c>
      <c r="AI17" s="49">
        <f>MIN(B17:AG17)</f>
        <v>27</v>
      </c>
      <c r="AK17" s="51"/>
      <c r="AL17" s="54" t="s">
        <v>27</v>
      </c>
      <c r="AM17" s="59">
        <f>B62</f>
        <v>78.900000000000006</v>
      </c>
      <c r="AN17" s="59">
        <f t="shared" ref="AN17:AR17" si="6">C62</f>
        <v>38.700000000000003</v>
      </c>
      <c r="AO17" s="59">
        <f t="shared" si="6"/>
        <v>38.700000000000003</v>
      </c>
      <c r="AP17" s="59">
        <f t="shared" si="6"/>
        <v>38.700000000000003</v>
      </c>
      <c r="AQ17" s="59">
        <f t="shared" si="6"/>
        <v>38.700000000000003</v>
      </c>
      <c r="AR17" s="59">
        <f t="shared" si="6"/>
        <v>38.700000000000003</v>
      </c>
      <c r="AS17" s="59">
        <f>I62</f>
        <v>93.9</v>
      </c>
      <c r="AT17" s="59">
        <f>K62</f>
        <v>52.7</v>
      </c>
      <c r="AU17" s="59">
        <f t="shared" ref="AU17:AX17" si="7">M62</f>
        <v>52.900000000000006</v>
      </c>
      <c r="AV17" s="59">
        <f t="shared" si="7"/>
        <v>52.7</v>
      </c>
      <c r="AW17" s="59">
        <f t="shared" si="7"/>
        <v>82.899999999999991</v>
      </c>
      <c r="AX17" s="59">
        <f t="shared" si="7"/>
        <v>52.900000000000006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9</v>
      </c>
      <c r="C18" s="46">
        <v>9</v>
      </c>
      <c r="D18" s="46">
        <v>9</v>
      </c>
      <c r="E18" s="46">
        <v>9</v>
      </c>
      <c r="F18" s="46">
        <v>9</v>
      </c>
      <c r="G18" s="46">
        <v>9</v>
      </c>
      <c r="H18" s="46">
        <v>9</v>
      </c>
      <c r="I18" s="46">
        <v>9</v>
      </c>
      <c r="J18" s="46">
        <v>9</v>
      </c>
      <c r="K18" s="46">
        <v>9</v>
      </c>
      <c r="L18" s="46">
        <v>9</v>
      </c>
      <c r="M18" s="46">
        <v>9</v>
      </c>
      <c r="N18" s="46">
        <v>9</v>
      </c>
      <c r="O18" s="46">
        <v>9</v>
      </c>
      <c r="P18" s="46">
        <v>9</v>
      </c>
      <c r="Q18" s="46">
        <v>9</v>
      </c>
      <c r="R18" s="46">
        <v>9</v>
      </c>
      <c r="S18" s="46">
        <v>9</v>
      </c>
      <c r="T18" s="46">
        <v>9</v>
      </c>
      <c r="U18" s="46">
        <v>9</v>
      </c>
      <c r="V18" s="46">
        <v>9</v>
      </c>
      <c r="W18" s="46">
        <v>9</v>
      </c>
      <c r="X18" s="46">
        <v>9</v>
      </c>
      <c r="Y18" s="46">
        <v>9</v>
      </c>
      <c r="Z18" s="46">
        <v>9</v>
      </c>
      <c r="AA18" s="46">
        <v>9</v>
      </c>
      <c r="AB18" s="46">
        <v>14.4</v>
      </c>
      <c r="AC18" s="46">
        <v>14.4</v>
      </c>
      <c r="AD18" s="46">
        <v>14.4</v>
      </c>
      <c r="AE18" s="46">
        <v>14.4</v>
      </c>
      <c r="AF18" s="46">
        <v>14.4</v>
      </c>
      <c r="AG18" s="50">
        <v>42</v>
      </c>
      <c r="AH18" s="48">
        <f t="shared" ref="AH18:AH81" si="8">MAX(B18:AF18)</f>
        <v>14.4</v>
      </c>
      <c r="AI18" s="49">
        <f t="shared" ref="AI18:AI81" si="9">MIN(B18:AF18)</f>
        <v>9</v>
      </c>
      <c r="AK18" s="51"/>
      <c r="AL18" s="54" t="s">
        <v>29</v>
      </c>
      <c r="AM18" s="59">
        <f>B76</f>
        <v>211.43999999999997</v>
      </c>
      <c r="AN18" s="59">
        <f t="shared" ref="AN18:AR18" si="10">C76</f>
        <v>172.43999999999997</v>
      </c>
      <c r="AO18" s="59">
        <f t="shared" si="10"/>
        <v>158.23999999999998</v>
      </c>
      <c r="AP18" s="59">
        <f t="shared" si="10"/>
        <v>158.23999999999998</v>
      </c>
      <c r="AQ18" s="59">
        <f t="shared" si="10"/>
        <v>158.23999999999998</v>
      </c>
      <c r="AR18" s="59">
        <f t="shared" si="10"/>
        <v>158.23999999999998</v>
      </c>
      <c r="AS18" s="59">
        <f>I76</f>
        <v>211.73999999999998</v>
      </c>
      <c r="AT18" s="59">
        <f>K76</f>
        <v>232.94</v>
      </c>
      <c r="AU18" s="59">
        <f t="shared" ref="AU18:AX18" si="11">M76</f>
        <v>282.94</v>
      </c>
      <c r="AV18" s="59">
        <f t="shared" si="11"/>
        <v>269.94</v>
      </c>
      <c r="AW18" s="59">
        <f t="shared" si="11"/>
        <v>280.34000000000003</v>
      </c>
      <c r="AX18" s="59">
        <f t="shared" si="11"/>
        <v>296.44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14</v>
      </c>
      <c r="C19" s="46">
        <v>14</v>
      </c>
      <c r="D19" s="46">
        <v>14</v>
      </c>
      <c r="E19" s="46">
        <v>14</v>
      </c>
      <c r="F19" s="46">
        <v>14</v>
      </c>
      <c r="G19" s="46">
        <v>14</v>
      </c>
      <c r="H19" s="46">
        <v>14</v>
      </c>
      <c r="I19" s="46">
        <v>14</v>
      </c>
      <c r="J19" s="46">
        <v>14</v>
      </c>
      <c r="K19" s="46">
        <v>14</v>
      </c>
      <c r="L19" s="46">
        <v>14</v>
      </c>
      <c r="M19" s="46">
        <v>14</v>
      </c>
      <c r="N19" s="46">
        <v>14</v>
      </c>
      <c r="O19" s="46">
        <v>14</v>
      </c>
      <c r="P19" s="46">
        <v>14</v>
      </c>
      <c r="Q19" s="46">
        <v>14</v>
      </c>
      <c r="R19" s="46">
        <v>14</v>
      </c>
      <c r="S19" s="46">
        <v>14</v>
      </c>
      <c r="T19" s="46">
        <v>14</v>
      </c>
      <c r="U19" s="46">
        <v>14</v>
      </c>
      <c r="V19" s="46">
        <v>14</v>
      </c>
      <c r="W19" s="46">
        <v>14</v>
      </c>
      <c r="X19" s="46">
        <v>14</v>
      </c>
      <c r="Y19" s="46">
        <v>14</v>
      </c>
      <c r="Z19" s="46">
        <v>14</v>
      </c>
      <c r="AA19" s="46">
        <v>14</v>
      </c>
      <c r="AB19" s="46">
        <v>14.6</v>
      </c>
      <c r="AC19" s="46">
        <v>14.6</v>
      </c>
      <c r="AD19" s="46">
        <v>14.6</v>
      </c>
      <c r="AE19" s="46">
        <v>14.6</v>
      </c>
      <c r="AF19" s="46">
        <v>14.6</v>
      </c>
      <c r="AG19" s="50">
        <v>38.46</v>
      </c>
      <c r="AH19" s="48">
        <f t="shared" si="8"/>
        <v>14.6</v>
      </c>
      <c r="AI19" s="49">
        <f t="shared" si="9"/>
        <v>14</v>
      </c>
      <c r="AK19" s="51"/>
      <c r="AL19" s="54" t="s">
        <v>31</v>
      </c>
      <c r="AM19" s="59">
        <f>B92</f>
        <v>208</v>
      </c>
      <c r="AN19" s="59">
        <f t="shared" ref="AN19:AR19" si="12">C92</f>
        <v>334.2</v>
      </c>
      <c r="AO19" s="59">
        <f t="shared" si="12"/>
        <v>307.29999999999995</v>
      </c>
      <c r="AP19" s="59">
        <f t="shared" si="12"/>
        <v>318.99999999999994</v>
      </c>
      <c r="AQ19" s="59">
        <f t="shared" si="12"/>
        <v>312.40000000000003</v>
      </c>
      <c r="AR19" s="59">
        <f t="shared" si="12"/>
        <v>345.6</v>
      </c>
      <c r="AS19" s="59">
        <f>I92</f>
        <v>357.3</v>
      </c>
      <c r="AT19" s="59">
        <f>K92</f>
        <v>535.26</v>
      </c>
      <c r="AU19" s="59">
        <f t="shared" ref="AU19:AX19" si="13">M92</f>
        <v>537.79999999999995</v>
      </c>
      <c r="AV19" s="59">
        <f t="shared" si="13"/>
        <v>589</v>
      </c>
      <c r="AW19" s="59">
        <f t="shared" si="13"/>
        <v>670.9</v>
      </c>
      <c r="AX19" s="59">
        <f t="shared" si="13"/>
        <v>660.7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7.8</v>
      </c>
      <c r="C20" s="46">
        <v>7.8</v>
      </c>
      <c r="D20" s="46">
        <v>7.8</v>
      </c>
      <c r="E20" s="46">
        <v>7.8</v>
      </c>
      <c r="F20" s="46">
        <v>7.8</v>
      </c>
      <c r="G20" s="46">
        <v>7.8</v>
      </c>
      <c r="H20" s="46">
        <v>7.8</v>
      </c>
      <c r="I20" s="46">
        <v>7.8</v>
      </c>
      <c r="J20" s="46">
        <v>7.8</v>
      </c>
      <c r="K20" s="46">
        <v>7.8</v>
      </c>
      <c r="L20" s="46">
        <v>7.8</v>
      </c>
      <c r="M20" s="46">
        <v>7.8</v>
      </c>
      <c r="N20" s="46">
        <v>7.8</v>
      </c>
      <c r="O20" s="46">
        <v>7.8</v>
      </c>
      <c r="P20" s="46">
        <v>7.8</v>
      </c>
      <c r="Q20" s="46">
        <v>7.8</v>
      </c>
      <c r="R20" s="46">
        <v>7.8</v>
      </c>
      <c r="S20" s="46">
        <v>7.8</v>
      </c>
      <c r="T20" s="46">
        <v>7.8</v>
      </c>
      <c r="U20" s="46">
        <v>7.8</v>
      </c>
      <c r="V20" s="46">
        <v>7.8</v>
      </c>
      <c r="W20" s="46">
        <v>7.8</v>
      </c>
      <c r="X20" s="46">
        <v>7.8</v>
      </c>
      <c r="Y20" s="46">
        <v>7.8</v>
      </c>
      <c r="Z20" s="46">
        <v>7.8</v>
      </c>
      <c r="AA20" s="46">
        <v>7.8</v>
      </c>
      <c r="AB20" s="46">
        <v>7.8</v>
      </c>
      <c r="AC20" s="46">
        <v>7.8</v>
      </c>
      <c r="AD20" s="46">
        <v>7.8</v>
      </c>
      <c r="AE20" s="46">
        <v>7.8</v>
      </c>
      <c r="AF20" s="46">
        <v>7.8</v>
      </c>
      <c r="AG20" s="50">
        <v>38.46</v>
      </c>
      <c r="AH20" s="48">
        <f t="shared" si="8"/>
        <v>7.8</v>
      </c>
      <c r="AI20" s="49">
        <f t="shared" si="9"/>
        <v>7.8</v>
      </c>
      <c r="AK20" s="51"/>
      <c r="AL20" s="54" t="s">
        <v>33</v>
      </c>
      <c r="AM20" s="59">
        <f>B80</f>
        <v>53.599999999999994</v>
      </c>
      <c r="AN20" s="59">
        <f t="shared" ref="AN20:AR20" si="14">C80</f>
        <v>0</v>
      </c>
      <c r="AO20" s="59">
        <f t="shared" si="14"/>
        <v>0</v>
      </c>
      <c r="AP20" s="59">
        <f t="shared" si="14"/>
        <v>0</v>
      </c>
      <c r="AQ20" s="59">
        <f t="shared" si="14"/>
        <v>0</v>
      </c>
      <c r="AR20" s="59">
        <f t="shared" si="14"/>
        <v>0</v>
      </c>
      <c r="AS20" s="59">
        <f>I80</f>
        <v>0</v>
      </c>
      <c r="AT20" s="59">
        <f>K80</f>
        <v>0</v>
      </c>
      <c r="AU20" s="59">
        <f t="shared" ref="AU20:AX20" si="15">M80</f>
        <v>0</v>
      </c>
      <c r="AV20" s="59">
        <f t="shared" si="15"/>
        <v>0</v>
      </c>
      <c r="AW20" s="59">
        <f t="shared" si="15"/>
        <v>0</v>
      </c>
      <c r="AX20" s="59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11</v>
      </c>
      <c r="C21" s="46">
        <v>11</v>
      </c>
      <c r="D21" s="46">
        <v>11</v>
      </c>
      <c r="E21" s="46">
        <v>11</v>
      </c>
      <c r="F21" s="46">
        <v>11</v>
      </c>
      <c r="G21" s="46">
        <v>11</v>
      </c>
      <c r="H21" s="46">
        <v>11</v>
      </c>
      <c r="I21" s="46">
        <v>11</v>
      </c>
      <c r="J21" s="46">
        <v>11</v>
      </c>
      <c r="K21" s="46">
        <v>11</v>
      </c>
      <c r="L21" s="46">
        <v>11</v>
      </c>
      <c r="M21" s="46">
        <v>11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11</v>
      </c>
      <c r="Z21" s="46">
        <v>11</v>
      </c>
      <c r="AA21" s="46">
        <v>11</v>
      </c>
      <c r="AB21" s="46">
        <v>11</v>
      </c>
      <c r="AC21" s="46">
        <v>11</v>
      </c>
      <c r="AD21" s="46">
        <v>11</v>
      </c>
      <c r="AE21" s="46">
        <v>11</v>
      </c>
      <c r="AF21" s="46">
        <v>11</v>
      </c>
      <c r="AG21" s="50">
        <v>36</v>
      </c>
      <c r="AH21" s="48">
        <f t="shared" si="8"/>
        <v>11</v>
      </c>
      <c r="AI21" s="49">
        <f t="shared" si="9"/>
        <v>0</v>
      </c>
      <c r="AK21" s="51"/>
      <c r="AL21" s="54" t="s">
        <v>35</v>
      </c>
      <c r="AM21" s="59">
        <f>B98</f>
        <v>200</v>
      </c>
      <c r="AN21" s="59">
        <f t="shared" ref="AN21:AR21" si="16">C98</f>
        <v>200</v>
      </c>
      <c r="AO21" s="59">
        <f t="shared" si="16"/>
        <v>200</v>
      </c>
      <c r="AP21" s="59">
        <f t="shared" si="16"/>
        <v>200</v>
      </c>
      <c r="AQ21" s="59">
        <f t="shared" si="16"/>
        <v>200</v>
      </c>
      <c r="AR21" s="59">
        <f t="shared" si="16"/>
        <v>200</v>
      </c>
      <c r="AS21" s="59">
        <f>I98</f>
        <v>200</v>
      </c>
      <c r="AT21" s="59">
        <f>K98</f>
        <v>200</v>
      </c>
      <c r="AU21" s="59">
        <f t="shared" ref="AU21:AX21" si="17">M98</f>
        <v>200</v>
      </c>
      <c r="AV21" s="59">
        <f t="shared" si="17"/>
        <v>0</v>
      </c>
      <c r="AW21" s="59">
        <f t="shared" si="17"/>
        <v>0</v>
      </c>
      <c r="AX21" s="59">
        <f t="shared" si="17"/>
        <v>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10.8</v>
      </c>
      <c r="C22" s="46">
        <v>10.8</v>
      </c>
      <c r="D22" s="46">
        <v>10.8</v>
      </c>
      <c r="E22" s="46">
        <v>10.8</v>
      </c>
      <c r="F22" s="46">
        <v>10.8</v>
      </c>
      <c r="G22" s="46">
        <v>10.8</v>
      </c>
      <c r="H22" s="46">
        <v>10.8</v>
      </c>
      <c r="I22" s="46">
        <v>10.8</v>
      </c>
      <c r="J22" s="46">
        <v>10.8</v>
      </c>
      <c r="K22" s="46">
        <v>10.8</v>
      </c>
      <c r="L22" s="46">
        <v>10.8</v>
      </c>
      <c r="M22" s="46">
        <v>10.8</v>
      </c>
      <c r="N22" s="46">
        <v>10.8</v>
      </c>
      <c r="O22" s="46">
        <v>10.8</v>
      </c>
      <c r="P22" s="46">
        <v>10.8</v>
      </c>
      <c r="Q22" s="46">
        <v>10.8</v>
      </c>
      <c r="R22" s="46">
        <v>10.8</v>
      </c>
      <c r="S22" s="46">
        <v>10.8</v>
      </c>
      <c r="T22" s="46">
        <v>10.8</v>
      </c>
      <c r="U22" s="46">
        <v>10.8</v>
      </c>
      <c r="V22" s="46">
        <v>10.8</v>
      </c>
      <c r="W22" s="46">
        <v>10.8</v>
      </c>
      <c r="X22" s="46">
        <v>10.8</v>
      </c>
      <c r="Y22" s="46">
        <v>10.8</v>
      </c>
      <c r="Z22" s="46">
        <v>10.8</v>
      </c>
      <c r="AA22" s="46">
        <v>10.8</v>
      </c>
      <c r="AB22" s="46">
        <v>10.8</v>
      </c>
      <c r="AC22" s="46">
        <v>10.8</v>
      </c>
      <c r="AD22" s="46">
        <v>10.8</v>
      </c>
      <c r="AE22" s="46">
        <v>10.8</v>
      </c>
      <c r="AF22" s="46">
        <v>10.8</v>
      </c>
      <c r="AG22" s="60">
        <v>30</v>
      </c>
      <c r="AH22" s="48">
        <f t="shared" si="8"/>
        <v>10.8</v>
      </c>
      <c r="AI22" s="49">
        <f t="shared" si="9"/>
        <v>10.8</v>
      </c>
      <c r="AK22" s="51"/>
      <c r="AL22" s="61" t="s">
        <v>37</v>
      </c>
      <c r="AM22" s="62">
        <f>SUM(AM16:AM21)</f>
        <v>1271.1899999999998</v>
      </c>
      <c r="AN22" s="62">
        <f t="shared" ref="AN22:AX22" si="18">SUM(AN16:AN21)</f>
        <v>1264.5899999999999</v>
      </c>
      <c r="AO22" s="62">
        <f t="shared" si="18"/>
        <v>1225.8900000000001</v>
      </c>
      <c r="AP22" s="62">
        <f t="shared" si="18"/>
        <v>1237.5900000000001</v>
      </c>
      <c r="AQ22" s="62">
        <f t="shared" si="18"/>
        <v>1230.9900000000002</v>
      </c>
      <c r="AR22" s="62">
        <f t="shared" si="18"/>
        <v>1264.19</v>
      </c>
      <c r="AS22" s="62">
        <f t="shared" si="18"/>
        <v>1386.99</v>
      </c>
      <c r="AT22" s="62">
        <f t="shared" si="18"/>
        <v>1544.95</v>
      </c>
      <c r="AU22" s="62">
        <f t="shared" si="18"/>
        <v>1584.1899999999998</v>
      </c>
      <c r="AV22" s="62">
        <f t="shared" si="18"/>
        <v>1414.59</v>
      </c>
      <c r="AW22" s="62">
        <f t="shared" si="18"/>
        <v>1538.79</v>
      </c>
      <c r="AX22" s="62">
        <f t="shared" si="18"/>
        <v>1524.89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9</v>
      </c>
      <c r="C23" s="46">
        <v>9</v>
      </c>
      <c r="D23" s="46">
        <v>9</v>
      </c>
      <c r="E23" s="46">
        <v>9</v>
      </c>
      <c r="F23" s="46">
        <v>9</v>
      </c>
      <c r="G23" s="46">
        <v>9</v>
      </c>
      <c r="H23" s="46">
        <v>9</v>
      </c>
      <c r="I23" s="46">
        <v>9</v>
      </c>
      <c r="J23" s="46">
        <v>9</v>
      </c>
      <c r="K23" s="46">
        <v>9</v>
      </c>
      <c r="L23" s="46">
        <v>9</v>
      </c>
      <c r="M23" s="46">
        <v>9</v>
      </c>
      <c r="N23" s="46">
        <v>9</v>
      </c>
      <c r="O23" s="46">
        <v>9</v>
      </c>
      <c r="P23" s="46">
        <v>9</v>
      </c>
      <c r="Q23" s="46">
        <v>9</v>
      </c>
      <c r="R23" s="46">
        <v>9</v>
      </c>
      <c r="S23" s="46">
        <v>9</v>
      </c>
      <c r="T23" s="46">
        <v>9</v>
      </c>
      <c r="U23" s="46">
        <v>9</v>
      </c>
      <c r="V23" s="46">
        <v>9</v>
      </c>
      <c r="W23" s="46">
        <v>9</v>
      </c>
      <c r="X23" s="46">
        <v>9</v>
      </c>
      <c r="Y23" s="46">
        <v>9</v>
      </c>
      <c r="Z23" s="46">
        <v>9</v>
      </c>
      <c r="AA23" s="46">
        <v>9</v>
      </c>
      <c r="AB23" s="46">
        <v>9</v>
      </c>
      <c r="AC23" s="46">
        <v>9</v>
      </c>
      <c r="AD23" s="46">
        <v>9</v>
      </c>
      <c r="AE23" s="46">
        <v>9</v>
      </c>
      <c r="AF23" s="46">
        <v>9</v>
      </c>
      <c r="AG23" s="50">
        <v>24.2</v>
      </c>
      <c r="AH23" s="48">
        <f t="shared" si="8"/>
        <v>9</v>
      </c>
      <c r="AI23" s="49">
        <f t="shared" si="9"/>
        <v>9</v>
      </c>
      <c r="AK23" s="51"/>
      <c r="AL23" s="61" t="s">
        <v>39</v>
      </c>
      <c r="AM23" s="62">
        <f>B107*-1</f>
        <v>0</v>
      </c>
      <c r="AN23" s="62">
        <f t="shared" ref="AN23:AR23" si="19">C107*-1</f>
        <v>0</v>
      </c>
      <c r="AO23" s="62">
        <f t="shared" si="19"/>
        <v>0</v>
      </c>
      <c r="AP23" s="62">
        <f t="shared" si="19"/>
        <v>0</v>
      </c>
      <c r="AQ23" s="62">
        <f t="shared" si="19"/>
        <v>0</v>
      </c>
      <c r="AR23" s="62">
        <f t="shared" si="19"/>
        <v>0</v>
      </c>
      <c r="AS23" s="62">
        <f>I107*-1</f>
        <v>0</v>
      </c>
      <c r="AT23" s="62">
        <f>K107*-1</f>
        <v>0</v>
      </c>
      <c r="AU23" s="62">
        <f t="shared" ref="AU23:AX23" si="20">M107*-1</f>
        <v>0</v>
      </c>
      <c r="AV23" s="62">
        <f t="shared" si="20"/>
        <v>0</v>
      </c>
      <c r="AW23" s="62">
        <f t="shared" si="20"/>
        <v>0</v>
      </c>
      <c r="AX23" s="62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7.3</v>
      </c>
      <c r="C24" s="46">
        <v>7.3</v>
      </c>
      <c r="D24" s="46">
        <v>7.3</v>
      </c>
      <c r="E24" s="46">
        <v>7.3</v>
      </c>
      <c r="F24" s="46">
        <v>7.3</v>
      </c>
      <c r="G24" s="46">
        <v>7.3</v>
      </c>
      <c r="H24" s="46">
        <v>7.3</v>
      </c>
      <c r="I24" s="46">
        <v>7.3</v>
      </c>
      <c r="J24" s="46">
        <v>7.3</v>
      </c>
      <c r="K24" s="46">
        <v>7.3</v>
      </c>
      <c r="L24" s="46">
        <v>7.3</v>
      </c>
      <c r="M24" s="46">
        <v>7.3</v>
      </c>
      <c r="N24" s="46">
        <v>7.3</v>
      </c>
      <c r="O24" s="46">
        <v>7.3</v>
      </c>
      <c r="P24" s="46">
        <v>7.3</v>
      </c>
      <c r="Q24" s="46">
        <v>7.3</v>
      </c>
      <c r="R24" s="46">
        <v>7.3</v>
      </c>
      <c r="S24" s="46">
        <v>7.3</v>
      </c>
      <c r="T24" s="46">
        <v>7.3</v>
      </c>
      <c r="U24" s="46">
        <v>7.3</v>
      </c>
      <c r="V24" s="46">
        <v>7.3</v>
      </c>
      <c r="W24" s="46">
        <v>7.3</v>
      </c>
      <c r="X24" s="46">
        <v>7.3</v>
      </c>
      <c r="Y24" s="46">
        <v>7.3</v>
      </c>
      <c r="Z24" s="46">
        <v>7.3</v>
      </c>
      <c r="AA24" s="46">
        <v>7.3</v>
      </c>
      <c r="AB24" s="46">
        <v>7.3</v>
      </c>
      <c r="AC24" s="46">
        <v>7.3</v>
      </c>
      <c r="AD24" s="46">
        <v>7.3</v>
      </c>
      <c r="AE24" s="46">
        <v>7.3</v>
      </c>
      <c r="AF24" s="46">
        <v>7.3</v>
      </c>
      <c r="AG24" s="50">
        <v>28</v>
      </c>
      <c r="AH24" s="48">
        <f t="shared" si="8"/>
        <v>7.3</v>
      </c>
      <c r="AI24" s="49">
        <f t="shared" si="9"/>
        <v>7.3</v>
      </c>
      <c r="AK24" s="51"/>
      <c r="AL24" s="61" t="s">
        <v>41</v>
      </c>
      <c r="AM24" s="62">
        <f>AM22+AM23</f>
        <v>1271.1899999999998</v>
      </c>
      <c r="AN24" s="62">
        <f t="shared" ref="AN24:AX24" si="21">AN22+AN23</f>
        <v>1264.5899999999999</v>
      </c>
      <c r="AO24" s="62">
        <f t="shared" si="21"/>
        <v>1225.8900000000001</v>
      </c>
      <c r="AP24" s="62">
        <f t="shared" si="21"/>
        <v>1237.5900000000001</v>
      </c>
      <c r="AQ24" s="62">
        <f t="shared" si="21"/>
        <v>1230.9900000000002</v>
      </c>
      <c r="AR24" s="62">
        <f t="shared" si="21"/>
        <v>1264.19</v>
      </c>
      <c r="AS24" s="62">
        <f t="shared" si="21"/>
        <v>1386.99</v>
      </c>
      <c r="AT24" s="62">
        <f t="shared" si="21"/>
        <v>1544.95</v>
      </c>
      <c r="AU24" s="62">
        <f t="shared" si="21"/>
        <v>1584.1899999999998</v>
      </c>
      <c r="AV24" s="62">
        <f t="shared" si="21"/>
        <v>1414.59</v>
      </c>
      <c r="AW24" s="62">
        <f t="shared" si="21"/>
        <v>1538.79</v>
      </c>
      <c r="AX24" s="62">
        <f t="shared" si="21"/>
        <v>1524.89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0</v>
      </c>
      <c r="C25" s="46">
        <v>0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0</v>
      </c>
      <c r="J25" s="46">
        <v>0</v>
      </c>
      <c r="K25" s="46">
        <v>0</v>
      </c>
      <c r="L25" s="46">
        <v>0</v>
      </c>
      <c r="M25" s="46">
        <v>0</v>
      </c>
      <c r="N25" s="46">
        <v>0</v>
      </c>
      <c r="O25" s="46">
        <v>0</v>
      </c>
      <c r="P25" s="46">
        <v>0</v>
      </c>
      <c r="Q25" s="46">
        <v>0</v>
      </c>
      <c r="R25" s="46">
        <v>0</v>
      </c>
      <c r="S25" s="46">
        <v>0</v>
      </c>
      <c r="T25" s="46">
        <v>0</v>
      </c>
      <c r="U25" s="46">
        <v>0</v>
      </c>
      <c r="V25" s="46">
        <v>0</v>
      </c>
      <c r="W25" s="46">
        <v>0</v>
      </c>
      <c r="X25" s="46">
        <v>0</v>
      </c>
      <c r="Y25" s="46">
        <v>0</v>
      </c>
      <c r="Z25" s="46">
        <v>0</v>
      </c>
      <c r="AA25" s="46">
        <v>0</v>
      </c>
      <c r="AB25" s="46">
        <v>0</v>
      </c>
      <c r="AC25" s="46">
        <v>0</v>
      </c>
      <c r="AD25" s="46">
        <v>0</v>
      </c>
      <c r="AE25" s="46">
        <v>0</v>
      </c>
      <c r="AF25" s="46">
        <v>0</v>
      </c>
      <c r="AG25" s="60">
        <v>30</v>
      </c>
      <c r="AH25" s="48">
        <f t="shared" si="8"/>
        <v>0</v>
      </c>
      <c r="AI25" s="49">
        <f t="shared" si="9"/>
        <v>0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11.7</v>
      </c>
      <c r="C26" s="46">
        <v>11.7</v>
      </c>
      <c r="D26" s="46">
        <v>11.7</v>
      </c>
      <c r="E26" s="46">
        <v>11.7</v>
      </c>
      <c r="F26" s="46">
        <v>11.7</v>
      </c>
      <c r="G26" s="46">
        <v>11.7</v>
      </c>
      <c r="H26" s="46">
        <v>11.7</v>
      </c>
      <c r="I26" s="46">
        <v>11.7</v>
      </c>
      <c r="J26" s="46">
        <v>11.7</v>
      </c>
      <c r="K26" s="46">
        <v>11.7</v>
      </c>
      <c r="L26" s="46">
        <v>11.7</v>
      </c>
      <c r="M26" s="46">
        <v>11.7</v>
      </c>
      <c r="N26" s="46">
        <v>11.7</v>
      </c>
      <c r="O26" s="46">
        <v>11.7</v>
      </c>
      <c r="P26" s="46">
        <v>11.7</v>
      </c>
      <c r="Q26" s="46">
        <v>11.7</v>
      </c>
      <c r="R26" s="46">
        <v>11.7</v>
      </c>
      <c r="S26" s="46">
        <v>11.7</v>
      </c>
      <c r="T26" s="46">
        <v>11.7</v>
      </c>
      <c r="U26" s="46">
        <v>11.7</v>
      </c>
      <c r="V26" s="46">
        <v>11.7</v>
      </c>
      <c r="W26" s="46">
        <v>11.7</v>
      </c>
      <c r="X26" s="46">
        <v>11.7</v>
      </c>
      <c r="Y26" s="46">
        <v>11.7</v>
      </c>
      <c r="Z26" s="46">
        <v>11.7</v>
      </c>
      <c r="AA26" s="46">
        <v>11.7</v>
      </c>
      <c r="AB26" s="46">
        <v>11.7</v>
      </c>
      <c r="AC26" s="46">
        <v>11.7</v>
      </c>
      <c r="AD26" s="46">
        <v>11.7</v>
      </c>
      <c r="AE26" s="46">
        <v>11.7</v>
      </c>
      <c r="AF26" s="46">
        <v>11.7</v>
      </c>
      <c r="AG26" s="50">
        <v>25</v>
      </c>
      <c r="AH26" s="48">
        <f t="shared" si="8"/>
        <v>11.7</v>
      </c>
      <c r="AI26" s="49">
        <f t="shared" si="9"/>
        <v>11.7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5</v>
      </c>
      <c r="N27" s="46">
        <v>5</v>
      </c>
      <c r="O27" s="46">
        <v>5</v>
      </c>
      <c r="P27" s="46">
        <v>5</v>
      </c>
      <c r="Q27" s="46">
        <v>5</v>
      </c>
      <c r="R27" s="46">
        <v>5</v>
      </c>
      <c r="S27" s="46">
        <v>5</v>
      </c>
      <c r="T27" s="46">
        <v>5</v>
      </c>
      <c r="U27" s="46">
        <v>5</v>
      </c>
      <c r="V27" s="46">
        <v>5</v>
      </c>
      <c r="W27" s="46">
        <v>5</v>
      </c>
      <c r="X27" s="46">
        <v>5</v>
      </c>
      <c r="Y27" s="46">
        <v>5</v>
      </c>
      <c r="Z27" s="46">
        <v>5</v>
      </c>
      <c r="AA27" s="46">
        <v>5</v>
      </c>
      <c r="AB27" s="46">
        <v>5</v>
      </c>
      <c r="AC27" s="46">
        <v>5</v>
      </c>
      <c r="AD27" s="46">
        <v>5</v>
      </c>
      <c r="AE27" s="46">
        <v>5</v>
      </c>
      <c r="AF27" s="46">
        <v>5</v>
      </c>
      <c r="AG27" s="50">
        <v>25</v>
      </c>
      <c r="AH27" s="48">
        <f t="shared" si="8"/>
        <v>5</v>
      </c>
      <c r="AI27" s="49">
        <f t="shared" si="9"/>
        <v>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10</v>
      </c>
      <c r="C28" s="46">
        <v>10</v>
      </c>
      <c r="D28" s="46">
        <v>10</v>
      </c>
      <c r="E28" s="46">
        <v>10</v>
      </c>
      <c r="F28" s="46">
        <v>10</v>
      </c>
      <c r="G28" s="46">
        <v>10</v>
      </c>
      <c r="H28" s="46">
        <v>10</v>
      </c>
      <c r="I28" s="46">
        <v>10</v>
      </c>
      <c r="J28" s="46">
        <v>10</v>
      </c>
      <c r="K28" s="46">
        <v>10</v>
      </c>
      <c r="L28" s="46">
        <v>10</v>
      </c>
      <c r="M28" s="46">
        <v>10</v>
      </c>
      <c r="N28" s="46">
        <v>10</v>
      </c>
      <c r="O28" s="46">
        <v>10</v>
      </c>
      <c r="P28" s="46">
        <v>10</v>
      </c>
      <c r="Q28" s="46">
        <v>10</v>
      </c>
      <c r="R28" s="46">
        <v>10</v>
      </c>
      <c r="S28" s="46">
        <v>10</v>
      </c>
      <c r="T28" s="46">
        <v>10</v>
      </c>
      <c r="U28" s="46">
        <v>10</v>
      </c>
      <c r="V28" s="46">
        <v>10</v>
      </c>
      <c r="W28" s="46">
        <v>10</v>
      </c>
      <c r="X28" s="46">
        <v>10</v>
      </c>
      <c r="Y28" s="46">
        <v>10</v>
      </c>
      <c r="Z28" s="46">
        <v>10</v>
      </c>
      <c r="AA28" s="46">
        <v>10</v>
      </c>
      <c r="AB28" s="46">
        <v>10</v>
      </c>
      <c r="AC28" s="46">
        <v>10</v>
      </c>
      <c r="AD28" s="46">
        <v>10</v>
      </c>
      <c r="AE28" s="46">
        <v>10</v>
      </c>
      <c r="AF28" s="46">
        <v>10</v>
      </c>
      <c r="AG28" s="50">
        <v>25</v>
      </c>
      <c r="AH28" s="48">
        <f t="shared" si="8"/>
        <v>10</v>
      </c>
      <c r="AI28" s="49">
        <f t="shared" si="9"/>
        <v>10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14.6</v>
      </c>
      <c r="C29" s="46">
        <v>14.6</v>
      </c>
      <c r="D29" s="46">
        <v>14.6</v>
      </c>
      <c r="E29" s="46">
        <v>14.6</v>
      </c>
      <c r="F29" s="46">
        <v>14.6</v>
      </c>
      <c r="G29" s="46">
        <v>14.6</v>
      </c>
      <c r="H29" s="46">
        <v>14.6</v>
      </c>
      <c r="I29" s="46">
        <v>14.6</v>
      </c>
      <c r="J29" s="46">
        <v>14.6</v>
      </c>
      <c r="K29" s="46">
        <v>14.6</v>
      </c>
      <c r="L29" s="46">
        <v>14.6</v>
      </c>
      <c r="M29" s="46">
        <v>14.6</v>
      </c>
      <c r="N29" s="46">
        <v>14.6</v>
      </c>
      <c r="O29" s="46">
        <v>14.6</v>
      </c>
      <c r="P29" s="46">
        <v>14.6</v>
      </c>
      <c r="Q29" s="46">
        <v>14.6</v>
      </c>
      <c r="R29" s="46">
        <v>14.6</v>
      </c>
      <c r="S29" s="46">
        <v>14.6</v>
      </c>
      <c r="T29" s="46">
        <v>14.6</v>
      </c>
      <c r="U29" s="46">
        <v>14.6</v>
      </c>
      <c r="V29" s="46">
        <v>14.6</v>
      </c>
      <c r="W29" s="46">
        <v>14.6</v>
      </c>
      <c r="X29" s="46">
        <v>14.6</v>
      </c>
      <c r="Y29" s="46">
        <v>14.6</v>
      </c>
      <c r="Z29" s="46">
        <v>14.6</v>
      </c>
      <c r="AA29" s="46">
        <v>14.6</v>
      </c>
      <c r="AB29" s="46">
        <v>14.6</v>
      </c>
      <c r="AC29" s="46">
        <v>14.6</v>
      </c>
      <c r="AD29" s="46">
        <v>14.6</v>
      </c>
      <c r="AE29" s="46">
        <v>14.6</v>
      </c>
      <c r="AF29" s="46">
        <v>14.6</v>
      </c>
      <c r="AG29" s="50">
        <v>25</v>
      </c>
      <c r="AH29" s="48">
        <f t="shared" si="8"/>
        <v>14.6</v>
      </c>
      <c r="AI29" s="49">
        <f t="shared" si="9"/>
        <v>14.6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7.1</v>
      </c>
      <c r="C30" s="46">
        <v>7.1</v>
      </c>
      <c r="D30" s="46">
        <v>7.1</v>
      </c>
      <c r="E30" s="46">
        <v>7.1</v>
      </c>
      <c r="F30" s="46">
        <v>7.1</v>
      </c>
      <c r="G30" s="46">
        <v>7.1</v>
      </c>
      <c r="H30" s="46">
        <v>7.1</v>
      </c>
      <c r="I30" s="46">
        <v>7.1</v>
      </c>
      <c r="J30" s="46">
        <v>7.1</v>
      </c>
      <c r="K30" s="46">
        <v>7.1</v>
      </c>
      <c r="L30" s="46">
        <v>7.1</v>
      </c>
      <c r="M30" s="46">
        <v>7.1</v>
      </c>
      <c r="N30" s="46">
        <v>7.1</v>
      </c>
      <c r="O30" s="46">
        <v>7.1</v>
      </c>
      <c r="P30" s="46">
        <v>7.1</v>
      </c>
      <c r="Q30" s="46">
        <v>7.1</v>
      </c>
      <c r="R30" s="46">
        <v>7.1</v>
      </c>
      <c r="S30" s="46">
        <v>7.1</v>
      </c>
      <c r="T30" s="46">
        <v>7.1</v>
      </c>
      <c r="U30" s="46">
        <v>7.1</v>
      </c>
      <c r="V30" s="46">
        <v>7.1</v>
      </c>
      <c r="W30" s="46">
        <v>7.1</v>
      </c>
      <c r="X30" s="46">
        <v>7.1</v>
      </c>
      <c r="Y30" s="46">
        <v>7.1</v>
      </c>
      <c r="Z30" s="46">
        <v>7.1</v>
      </c>
      <c r="AA30" s="46">
        <v>7.1</v>
      </c>
      <c r="AB30" s="46">
        <v>7.1</v>
      </c>
      <c r="AC30" s="46">
        <v>7.1</v>
      </c>
      <c r="AD30" s="46">
        <v>7.1</v>
      </c>
      <c r="AE30" s="46">
        <v>7.1</v>
      </c>
      <c r="AF30" s="46">
        <v>7.1</v>
      </c>
      <c r="AG30" s="50">
        <v>23.5</v>
      </c>
      <c r="AH30" s="48">
        <f t="shared" si="8"/>
        <v>7.1</v>
      </c>
      <c r="AI30" s="49">
        <f t="shared" si="9"/>
        <v>7.1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>
        <v>3</v>
      </c>
      <c r="V31" s="46">
        <v>3</v>
      </c>
      <c r="W31" s="46">
        <v>3</v>
      </c>
      <c r="X31" s="46">
        <v>3</v>
      </c>
      <c r="Y31" s="46">
        <v>3</v>
      </c>
      <c r="Z31" s="46">
        <v>3</v>
      </c>
      <c r="AA31" s="46">
        <v>3</v>
      </c>
      <c r="AB31" s="46">
        <v>3</v>
      </c>
      <c r="AC31" s="46">
        <v>3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8"/>
        <v>3</v>
      </c>
      <c r="AI31" s="49">
        <f t="shared" si="9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5.5</v>
      </c>
      <c r="Q32" s="46">
        <v>5.5</v>
      </c>
      <c r="R32" s="46">
        <v>5.5</v>
      </c>
      <c r="S32" s="46">
        <v>5.5</v>
      </c>
      <c r="T32" s="46">
        <v>5.5</v>
      </c>
      <c r="U32" s="46">
        <v>5.5</v>
      </c>
      <c r="V32" s="46">
        <v>5.5</v>
      </c>
      <c r="W32" s="46">
        <v>5.5</v>
      </c>
      <c r="X32" s="46">
        <v>5.5</v>
      </c>
      <c r="Y32" s="46">
        <v>5.5</v>
      </c>
      <c r="Z32" s="46">
        <v>5.5</v>
      </c>
      <c r="AA32" s="46">
        <v>5.5</v>
      </c>
      <c r="AB32" s="46">
        <v>5.5</v>
      </c>
      <c r="AC32" s="46">
        <v>5.5</v>
      </c>
      <c r="AD32" s="46">
        <v>5.5</v>
      </c>
      <c r="AE32" s="46">
        <v>5.5</v>
      </c>
      <c r="AF32" s="46">
        <v>5.5</v>
      </c>
      <c r="AG32" s="50">
        <v>22.1</v>
      </c>
      <c r="AH32" s="48">
        <f t="shared" si="8"/>
        <v>5.5</v>
      </c>
      <c r="AI32" s="49">
        <f t="shared" si="9"/>
        <v>5.5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5</v>
      </c>
      <c r="C33" s="46">
        <v>5</v>
      </c>
      <c r="D33" s="46">
        <v>5</v>
      </c>
      <c r="E33" s="46">
        <v>5</v>
      </c>
      <c r="F33" s="46">
        <v>5</v>
      </c>
      <c r="G33" s="46">
        <v>5</v>
      </c>
      <c r="H33" s="46">
        <v>5</v>
      </c>
      <c r="I33" s="46">
        <v>5</v>
      </c>
      <c r="J33" s="46">
        <v>5</v>
      </c>
      <c r="K33" s="46">
        <v>5</v>
      </c>
      <c r="L33" s="46">
        <v>5</v>
      </c>
      <c r="M33" s="46">
        <v>5</v>
      </c>
      <c r="N33" s="46">
        <v>5</v>
      </c>
      <c r="O33" s="46">
        <v>5</v>
      </c>
      <c r="P33" s="46">
        <v>5</v>
      </c>
      <c r="Q33" s="46">
        <v>5</v>
      </c>
      <c r="R33" s="46">
        <v>5</v>
      </c>
      <c r="S33" s="46">
        <v>5</v>
      </c>
      <c r="T33" s="46">
        <v>5</v>
      </c>
      <c r="U33" s="46">
        <v>5</v>
      </c>
      <c r="V33" s="46">
        <v>5</v>
      </c>
      <c r="W33" s="46">
        <v>5</v>
      </c>
      <c r="X33" s="46">
        <v>5</v>
      </c>
      <c r="Y33" s="46">
        <v>5</v>
      </c>
      <c r="Z33" s="46">
        <v>5</v>
      </c>
      <c r="AA33" s="46">
        <v>5</v>
      </c>
      <c r="AB33" s="46">
        <v>5</v>
      </c>
      <c r="AC33" s="46">
        <v>5</v>
      </c>
      <c r="AD33" s="46">
        <v>5</v>
      </c>
      <c r="AE33" s="46">
        <v>5</v>
      </c>
      <c r="AF33" s="46">
        <v>5</v>
      </c>
      <c r="AG33" s="50">
        <v>22</v>
      </c>
      <c r="AH33" s="48">
        <f t="shared" si="8"/>
        <v>5</v>
      </c>
      <c r="AI33" s="49">
        <f t="shared" si="9"/>
        <v>5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11.8</v>
      </c>
      <c r="C34" s="46">
        <v>11.8</v>
      </c>
      <c r="D34" s="46">
        <v>11.8</v>
      </c>
      <c r="E34" s="46">
        <v>11.8</v>
      </c>
      <c r="F34" s="46">
        <v>11.8</v>
      </c>
      <c r="G34" s="46">
        <v>11.8</v>
      </c>
      <c r="H34" s="46">
        <v>11.8</v>
      </c>
      <c r="I34" s="46">
        <v>11.8</v>
      </c>
      <c r="J34" s="46">
        <v>11.8</v>
      </c>
      <c r="K34" s="46">
        <v>11.8</v>
      </c>
      <c r="L34" s="46">
        <v>11.8</v>
      </c>
      <c r="M34" s="46">
        <v>11.8</v>
      </c>
      <c r="N34" s="46">
        <v>11.8</v>
      </c>
      <c r="O34" s="46">
        <v>11.8</v>
      </c>
      <c r="P34" s="46">
        <v>11.8</v>
      </c>
      <c r="Q34" s="46">
        <v>11.8</v>
      </c>
      <c r="R34" s="46">
        <v>11.8</v>
      </c>
      <c r="S34" s="46">
        <v>11.8</v>
      </c>
      <c r="T34" s="46">
        <v>11.8</v>
      </c>
      <c r="U34" s="46">
        <v>11.8</v>
      </c>
      <c r="V34" s="46">
        <v>11.8</v>
      </c>
      <c r="W34" s="46">
        <v>11.8</v>
      </c>
      <c r="X34" s="46">
        <v>11.8</v>
      </c>
      <c r="Y34" s="46">
        <v>11.8</v>
      </c>
      <c r="Z34" s="46">
        <v>11.8</v>
      </c>
      <c r="AA34" s="46">
        <v>11.8</v>
      </c>
      <c r="AB34" s="46">
        <v>11.8</v>
      </c>
      <c r="AC34" s="46">
        <v>11.8</v>
      </c>
      <c r="AD34" s="46">
        <v>11.8</v>
      </c>
      <c r="AE34" s="46">
        <v>11.8</v>
      </c>
      <c r="AF34" s="46">
        <v>11.8</v>
      </c>
      <c r="AG34" s="50">
        <v>22</v>
      </c>
      <c r="AH34" s="48">
        <f t="shared" si="8"/>
        <v>11.8</v>
      </c>
      <c r="AI34" s="49">
        <f t="shared" si="9"/>
        <v>11.8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8"/>
        <v>4</v>
      </c>
      <c r="AI35" s="49">
        <f t="shared" si="9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>
        <v>4</v>
      </c>
      <c r="V36" s="46">
        <v>4</v>
      </c>
      <c r="W36" s="46">
        <v>4</v>
      </c>
      <c r="X36" s="46">
        <v>4</v>
      </c>
      <c r="Y36" s="46">
        <v>4</v>
      </c>
      <c r="Z36" s="46">
        <v>4</v>
      </c>
      <c r="AA36" s="46">
        <v>4</v>
      </c>
      <c r="AB36" s="46">
        <v>4</v>
      </c>
      <c r="AC36" s="46">
        <v>4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8"/>
        <v>4</v>
      </c>
      <c r="AI36" s="49">
        <f t="shared" si="9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>
        <v>5.7</v>
      </c>
      <c r="V37" s="46">
        <v>5.7</v>
      </c>
      <c r="W37" s="46">
        <v>5.7</v>
      </c>
      <c r="X37" s="46">
        <v>5.7</v>
      </c>
      <c r="Y37" s="46">
        <v>5.7</v>
      </c>
      <c r="Z37" s="46">
        <v>5.7</v>
      </c>
      <c r="AA37" s="46">
        <v>5.7</v>
      </c>
      <c r="AB37" s="46">
        <v>5.7</v>
      </c>
      <c r="AC37" s="46">
        <v>5.7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8"/>
        <v>5.7</v>
      </c>
      <c r="AI37" s="49">
        <f t="shared" si="9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7.2</v>
      </c>
      <c r="Q38" s="46">
        <v>7.2</v>
      </c>
      <c r="R38" s="46">
        <v>7.2</v>
      </c>
      <c r="S38" s="46">
        <v>7.2</v>
      </c>
      <c r="T38" s="46">
        <v>7.2</v>
      </c>
      <c r="U38" s="46">
        <v>7.2</v>
      </c>
      <c r="V38" s="46">
        <v>7.2</v>
      </c>
      <c r="W38" s="46">
        <v>7.2</v>
      </c>
      <c r="X38" s="46">
        <v>7.2</v>
      </c>
      <c r="Y38" s="46">
        <v>7.2</v>
      </c>
      <c r="Z38" s="46">
        <v>7.2</v>
      </c>
      <c r="AA38" s="46">
        <v>7.2</v>
      </c>
      <c r="AB38" s="46">
        <v>7.2</v>
      </c>
      <c r="AC38" s="46">
        <v>7.2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8"/>
        <v>7.2</v>
      </c>
      <c r="AI38" s="49">
        <f t="shared" si="9"/>
        <v>7.2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8</v>
      </c>
      <c r="C40" s="46">
        <v>8</v>
      </c>
      <c r="D40" s="46">
        <v>8</v>
      </c>
      <c r="E40" s="46">
        <v>8</v>
      </c>
      <c r="F40" s="46">
        <v>8</v>
      </c>
      <c r="G40" s="46">
        <v>8</v>
      </c>
      <c r="H40" s="46">
        <v>8</v>
      </c>
      <c r="I40" s="46">
        <v>8</v>
      </c>
      <c r="J40" s="46">
        <v>8</v>
      </c>
      <c r="K40" s="46">
        <v>8</v>
      </c>
      <c r="L40" s="46">
        <v>8</v>
      </c>
      <c r="M40" s="46">
        <v>8</v>
      </c>
      <c r="N40" s="46">
        <v>8</v>
      </c>
      <c r="O40" s="46">
        <v>8</v>
      </c>
      <c r="P40" s="46">
        <v>8</v>
      </c>
      <c r="Q40" s="46">
        <v>8</v>
      </c>
      <c r="R40" s="46">
        <v>8</v>
      </c>
      <c r="S40" s="46">
        <v>8</v>
      </c>
      <c r="T40" s="46">
        <v>8</v>
      </c>
      <c r="U40" s="46">
        <v>8</v>
      </c>
      <c r="V40" s="46">
        <v>8</v>
      </c>
      <c r="W40" s="46">
        <v>8</v>
      </c>
      <c r="X40" s="46">
        <v>8</v>
      </c>
      <c r="Y40" s="46">
        <v>8</v>
      </c>
      <c r="Z40" s="46">
        <v>8</v>
      </c>
      <c r="AA40" s="46">
        <v>8</v>
      </c>
      <c r="AB40" s="46">
        <v>8</v>
      </c>
      <c r="AC40" s="46">
        <v>8</v>
      </c>
      <c r="AD40" s="46">
        <v>8</v>
      </c>
      <c r="AE40" s="46">
        <v>8</v>
      </c>
      <c r="AF40" s="46">
        <v>8</v>
      </c>
      <c r="AG40" s="50">
        <v>14.9</v>
      </c>
      <c r="AH40" s="48">
        <f t="shared" si="8"/>
        <v>8</v>
      </c>
      <c r="AI40" s="49">
        <f t="shared" si="9"/>
        <v>8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8"/>
        <v>4</v>
      </c>
      <c r="AI41" s="49">
        <f t="shared" si="9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>
        <v>1.8</v>
      </c>
      <c r="V42" s="46">
        <v>1.8</v>
      </c>
      <c r="W42" s="46">
        <v>1.8</v>
      </c>
      <c r="X42" s="46">
        <v>1.8</v>
      </c>
      <c r="Y42" s="46">
        <v>1.8</v>
      </c>
      <c r="Z42" s="46">
        <v>1.8</v>
      </c>
      <c r="AA42" s="46">
        <v>1.8</v>
      </c>
      <c r="AB42" s="46">
        <v>1.8</v>
      </c>
      <c r="AC42" s="46">
        <v>1.8</v>
      </c>
      <c r="AD42" s="46">
        <v>1.8</v>
      </c>
      <c r="AE42" s="46">
        <v>1.8</v>
      </c>
      <c r="AF42" s="46">
        <v>1.8</v>
      </c>
      <c r="AG42" s="50">
        <v>13.6</v>
      </c>
      <c r="AH42" s="48">
        <f t="shared" si="8"/>
        <v>1.8</v>
      </c>
      <c r="AI42" s="49">
        <f t="shared" si="9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>
        <v>3.8</v>
      </c>
      <c r="V43" s="46">
        <v>3.8</v>
      </c>
      <c r="W43" s="46">
        <v>3.8</v>
      </c>
      <c r="X43" s="46">
        <v>3.8</v>
      </c>
      <c r="Y43" s="46">
        <v>3.8</v>
      </c>
      <c r="Z43" s="46">
        <v>3.8</v>
      </c>
      <c r="AA43" s="46">
        <v>3.8</v>
      </c>
      <c r="AB43" s="46">
        <v>3.8</v>
      </c>
      <c r="AC43" s="46">
        <v>3.8</v>
      </c>
      <c r="AD43" s="46">
        <v>3.8</v>
      </c>
      <c r="AE43" s="46">
        <v>3.8</v>
      </c>
      <c r="AF43" s="46">
        <v>3.8</v>
      </c>
      <c r="AG43" s="50">
        <v>13</v>
      </c>
      <c r="AH43" s="48">
        <f t="shared" si="8"/>
        <v>3.8</v>
      </c>
      <c r="AI43" s="49">
        <f t="shared" si="9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6.4</v>
      </c>
      <c r="C44" s="46">
        <v>6.4</v>
      </c>
      <c r="D44" s="46">
        <v>6.4</v>
      </c>
      <c r="E44" s="46">
        <v>6.4</v>
      </c>
      <c r="F44" s="46">
        <v>6.4</v>
      </c>
      <c r="G44" s="46">
        <v>6.4</v>
      </c>
      <c r="H44" s="46">
        <v>6.4</v>
      </c>
      <c r="I44" s="46">
        <v>6.4</v>
      </c>
      <c r="J44" s="46">
        <v>6.4</v>
      </c>
      <c r="K44" s="46">
        <v>6.4</v>
      </c>
      <c r="L44" s="46">
        <v>6.4</v>
      </c>
      <c r="M44" s="46">
        <v>6.4</v>
      </c>
      <c r="N44" s="46">
        <v>6.4</v>
      </c>
      <c r="O44" s="46">
        <v>6.4</v>
      </c>
      <c r="P44" s="46">
        <v>6.4</v>
      </c>
      <c r="Q44" s="46">
        <v>6.4</v>
      </c>
      <c r="R44" s="46">
        <v>6.4</v>
      </c>
      <c r="S44" s="46">
        <v>6.4</v>
      </c>
      <c r="T44" s="46">
        <v>6.4</v>
      </c>
      <c r="U44" s="46">
        <v>6.4</v>
      </c>
      <c r="V44" s="46">
        <v>6.4</v>
      </c>
      <c r="W44" s="46">
        <v>6.4</v>
      </c>
      <c r="X44" s="46">
        <v>6.4</v>
      </c>
      <c r="Y44" s="46">
        <v>6.4</v>
      </c>
      <c r="Z44" s="46">
        <v>6.4</v>
      </c>
      <c r="AA44" s="46">
        <v>6.4</v>
      </c>
      <c r="AB44" s="46">
        <v>6.4</v>
      </c>
      <c r="AC44" s="46">
        <v>6.4</v>
      </c>
      <c r="AD44" s="46">
        <v>6.4</v>
      </c>
      <c r="AE44" s="46">
        <v>6.4</v>
      </c>
      <c r="AF44" s="46">
        <v>6.4</v>
      </c>
      <c r="AG44" s="50">
        <v>12</v>
      </c>
      <c r="AH44" s="48">
        <f t="shared" si="8"/>
        <v>6.4</v>
      </c>
      <c r="AI44" s="49">
        <f t="shared" si="9"/>
        <v>6.4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>
        <v>9</v>
      </c>
      <c r="V45" s="46">
        <v>9</v>
      </c>
      <c r="W45" s="46">
        <v>9</v>
      </c>
      <c r="X45" s="46">
        <v>9</v>
      </c>
      <c r="Y45" s="46">
        <v>9</v>
      </c>
      <c r="Z45" s="46">
        <v>9</v>
      </c>
      <c r="AA45" s="46">
        <v>9</v>
      </c>
      <c r="AB45" s="46">
        <v>9</v>
      </c>
      <c r="AC45" s="46">
        <v>9</v>
      </c>
      <c r="AD45" s="46">
        <v>9</v>
      </c>
      <c r="AE45" s="46">
        <v>9</v>
      </c>
      <c r="AF45" s="46">
        <v>9</v>
      </c>
      <c r="AG45" s="50">
        <v>12</v>
      </c>
      <c r="AH45" s="48">
        <f t="shared" si="8"/>
        <v>9</v>
      </c>
      <c r="AI45" s="49">
        <f t="shared" si="9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>
        <v>3.5</v>
      </c>
      <c r="V47" s="46">
        <v>3.5</v>
      </c>
      <c r="W47" s="46">
        <v>3.5</v>
      </c>
      <c r="X47" s="46">
        <v>3.5</v>
      </c>
      <c r="Y47" s="46">
        <v>3.5</v>
      </c>
      <c r="Z47" s="46">
        <v>3.5</v>
      </c>
      <c r="AA47" s="46">
        <v>3.5</v>
      </c>
      <c r="AB47" s="46">
        <v>3.5</v>
      </c>
      <c r="AC47" s="46">
        <v>3.5</v>
      </c>
      <c r="AD47" s="46">
        <v>3.5</v>
      </c>
      <c r="AE47" s="46">
        <v>3.5</v>
      </c>
      <c r="AF47" s="46">
        <v>3.5</v>
      </c>
      <c r="AG47" s="63">
        <v>22</v>
      </c>
      <c r="AH47" s="48">
        <f t="shared" si="8"/>
        <v>3.5</v>
      </c>
      <c r="AI47" s="49">
        <f t="shared" si="9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>
        <v>5</v>
      </c>
      <c r="V48" s="46">
        <v>5</v>
      </c>
      <c r="W48" s="46">
        <v>5</v>
      </c>
      <c r="X48" s="46">
        <v>5</v>
      </c>
      <c r="Y48" s="46">
        <v>5</v>
      </c>
      <c r="Z48" s="46">
        <v>5</v>
      </c>
      <c r="AA48" s="46">
        <v>5</v>
      </c>
      <c r="AB48" s="46">
        <v>5</v>
      </c>
      <c r="AC48" s="46">
        <v>5</v>
      </c>
      <c r="AD48" s="46">
        <v>5</v>
      </c>
      <c r="AE48" s="46">
        <v>5</v>
      </c>
      <c r="AF48" s="46">
        <v>5</v>
      </c>
      <c r="AG48" s="60">
        <v>11.88</v>
      </c>
      <c r="AH48" s="48">
        <f t="shared" si="8"/>
        <v>5</v>
      </c>
      <c r="AI48" s="49">
        <f t="shared" si="9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5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4" t="s">
        <v>67</v>
      </c>
      <c r="B50" s="46">
        <v>2.4500000000000002</v>
      </c>
      <c r="C50" s="46">
        <v>2.4500000000000002</v>
      </c>
      <c r="D50" s="46">
        <v>2.4500000000000002</v>
      </c>
      <c r="E50" s="46">
        <v>2.4500000000000002</v>
      </c>
      <c r="F50" s="46">
        <v>2.4500000000000002</v>
      </c>
      <c r="G50" s="46">
        <v>2.4500000000000002</v>
      </c>
      <c r="H50" s="46">
        <v>2.4500000000000002</v>
      </c>
      <c r="I50" s="46">
        <v>2.4500000000000002</v>
      </c>
      <c r="J50" s="46">
        <v>2.4500000000000002</v>
      </c>
      <c r="K50" s="46">
        <v>2.4500000000000002</v>
      </c>
      <c r="L50" s="46">
        <v>2.4500000000000002</v>
      </c>
      <c r="M50" s="46">
        <v>2.4500000000000002</v>
      </c>
      <c r="N50" s="46">
        <v>2.4500000000000002</v>
      </c>
      <c r="O50" s="46">
        <v>2.4500000000000002</v>
      </c>
      <c r="P50" s="46">
        <v>2.4500000000000002</v>
      </c>
      <c r="Q50" s="46">
        <v>2.4500000000000002</v>
      </c>
      <c r="R50" s="46">
        <v>2.4500000000000002</v>
      </c>
      <c r="S50" s="46">
        <v>2.4500000000000002</v>
      </c>
      <c r="T50" s="46">
        <v>2.4500000000000002</v>
      </c>
      <c r="U50" s="46">
        <v>2.4500000000000002</v>
      </c>
      <c r="V50" s="46">
        <v>2.4500000000000002</v>
      </c>
      <c r="W50" s="46">
        <v>2.4500000000000002</v>
      </c>
      <c r="X50" s="46">
        <v>2.4500000000000002</v>
      </c>
      <c r="Y50" s="46">
        <v>2.4500000000000002</v>
      </c>
      <c r="Z50" s="46">
        <v>2.4500000000000002</v>
      </c>
      <c r="AA50" s="46">
        <v>2.4500000000000002</v>
      </c>
      <c r="AB50" s="46">
        <v>2.4500000000000002</v>
      </c>
      <c r="AC50" s="46">
        <v>2.4500000000000002</v>
      </c>
      <c r="AD50" s="46">
        <v>2.4500000000000002</v>
      </c>
      <c r="AE50" s="46">
        <v>2.4500000000000002</v>
      </c>
      <c r="AF50" s="46">
        <v>2.4500000000000002</v>
      </c>
      <c r="AG50" s="65">
        <v>11</v>
      </c>
      <c r="AH50" s="48">
        <f t="shared" si="8"/>
        <v>2.4500000000000002</v>
      </c>
      <c r="AI50" s="49">
        <f t="shared" si="9"/>
        <v>2.4500000000000002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65">
        <v>11</v>
      </c>
      <c r="AH51" s="48">
        <f t="shared" si="8"/>
        <v>3</v>
      </c>
      <c r="AI51" s="49">
        <f t="shared" si="9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5">
        <v>10</v>
      </c>
      <c r="AH52" s="48">
        <f t="shared" si="8"/>
        <v>4</v>
      </c>
      <c r="AI52" s="49">
        <f t="shared" si="9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>
        <v>4.5</v>
      </c>
      <c r="V53" s="46">
        <v>4.5</v>
      </c>
      <c r="W53" s="46">
        <v>4.5</v>
      </c>
      <c r="X53" s="46">
        <v>4.5</v>
      </c>
      <c r="Y53" s="46">
        <v>4.5</v>
      </c>
      <c r="Z53" s="46">
        <v>4.5</v>
      </c>
      <c r="AA53" s="46">
        <v>4.5</v>
      </c>
      <c r="AB53" s="46">
        <v>4.5</v>
      </c>
      <c r="AC53" s="46">
        <v>4.5</v>
      </c>
      <c r="AD53" s="46">
        <v>4.5</v>
      </c>
      <c r="AE53" s="46">
        <v>4.5</v>
      </c>
      <c r="AF53" s="46">
        <v>4.5</v>
      </c>
      <c r="AG53" s="65">
        <v>10</v>
      </c>
      <c r="AH53" s="48">
        <f t="shared" si="8"/>
        <v>4.5</v>
      </c>
      <c r="AI53" s="49">
        <f t="shared" si="9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5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5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>
        <v>150</v>
      </c>
      <c r="W56" s="67">
        <v>150</v>
      </c>
      <c r="X56" s="67">
        <v>150</v>
      </c>
      <c r="Y56" s="67">
        <v>150</v>
      </c>
      <c r="Z56" s="67">
        <v>150</v>
      </c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8" t="s">
        <v>74</v>
      </c>
      <c r="B57" s="67">
        <v>41.1</v>
      </c>
      <c r="C57" s="67">
        <v>41.1</v>
      </c>
      <c r="D57" s="67">
        <v>39</v>
      </c>
      <c r="E57" s="67">
        <v>39</v>
      </c>
      <c r="F57" s="67">
        <v>39</v>
      </c>
      <c r="G57" s="67">
        <v>39</v>
      </c>
      <c r="H57" s="67">
        <v>39</v>
      </c>
      <c r="I57" s="67">
        <v>39</v>
      </c>
      <c r="J57" s="67">
        <v>43</v>
      </c>
      <c r="K57" s="67">
        <v>43</v>
      </c>
      <c r="L57" s="67">
        <v>43</v>
      </c>
      <c r="M57" s="53">
        <f>25.4+17</f>
        <v>42.4</v>
      </c>
      <c r="N57" s="53">
        <f>23.4+14.5</f>
        <v>37.9</v>
      </c>
      <c r="O57" s="53">
        <f>23.2+14.2</f>
        <v>37.4</v>
      </c>
      <c r="P57" s="53">
        <f>22.7+13.9</f>
        <v>36.6</v>
      </c>
      <c r="Q57" s="53">
        <f>23.1+15.6</f>
        <v>38.700000000000003</v>
      </c>
      <c r="R57" s="53">
        <f>21.6+13.4</f>
        <v>35</v>
      </c>
      <c r="S57" s="53">
        <v>39.299999999999997</v>
      </c>
      <c r="T57" s="53">
        <v>36.5</v>
      </c>
      <c r="U57" s="53">
        <v>36.5</v>
      </c>
      <c r="V57" s="53">
        <v>34.6</v>
      </c>
      <c r="W57" s="53">
        <v>35</v>
      </c>
      <c r="X57" s="53">
        <v>31.8</v>
      </c>
      <c r="Y57" s="53">
        <v>28.8</v>
      </c>
      <c r="Z57" s="53">
        <v>29.7</v>
      </c>
      <c r="AA57" s="53">
        <v>29.7</v>
      </c>
      <c r="AB57" s="53">
        <v>30.2</v>
      </c>
      <c r="AC57" s="53">
        <v>30.2</v>
      </c>
      <c r="AD57" s="53">
        <v>30.2</v>
      </c>
      <c r="AE57" s="53">
        <v>30.2</v>
      </c>
      <c r="AF57" s="53">
        <v>30.2</v>
      </c>
      <c r="AG57" s="65">
        <v>240</v>
      </c>
      <c r="AH57" s="48">
        <f t="shared" si="8"/>
        <v>43</v>
      </c>
      <c r="AI57" s="49">
        <f t="shared" si="9"/>
        <v>28.8</v>
      </c>
      <c r="AK57" s="51"/>
    </row>
    <row r="58" spans="1:88" ht="15.75" thickBot="1" x14ac:dyDescent="0.3">
      <c r="A58" s="69" t="s">
        <v>75</v>
      </c>
      <c r="B58" s="70">
        <f t="shared" ref="B58:AF58" si="22">SUM(B11:B56)</f>
        <v>519.25</v>
      </c>
      <c r="C58" s="70">
        <f t="shared" si="22"/>
        <v>519.25</v>
      </c>
      <c r="D58" s="70">
        <f t="shared" si="22"/>
        <v>521.65000000000009</v>
      </c>
      <c r="E58" s="70">
        <f t="shared" si="22"/>
        <v>521.65000000000009</v>
      </c>
      <c r="F58" s="70">
        <f t="shared" si="22"/>
        <v>521.65000000000009</v>
      </c>
      <c r="G58" s="70">
        <f t="shared" si="22"/>
        <v>521.65000000000009</v>
      </c>
      <c r="H58" s="70">
        <f t="shared" si="22"/>
        <v>524.04999999999995</v>
      </c>
      <c r="I58" s="70">
        <f t="shared" si="22"/>
        <v>524.04999999999995</v>
      </c>
      <c r="J58" s="70">
        <f t="shared" si="22"/>
        <v>524.04999999999995</v>
      </c>
      <c r="K58" s="70">
        <f t="shared" si="22"/>
        <v>524.04999999999995</v>
      </c>
      <c r="L58" s="70">
        <f t="shared" si="22"/>
        <v>524.04999999999995</v>
      </c>
      <c r="M58" s="70">
        <f t="shared" si="22"/>
        <v>510.54999999999995</v>
      </c>
      <c r="N58" s="70">
        <f t="shared" si="22"/>
        <v>502.95</v>
      </c>
      <c r="O58" s="70">
        <f t="shared" si="22"/>
        <v>504.65</v>
      </c>
      <c r="P58" s="70">
        <f t="shared" si="22"/>
        <v>514.85</v>
      </c>
      <c r="Q58" s="70">
        <f t="shared" si="22"/>
        <v>515.95000000000005</v>
      </c>
      <c r="R58" s="70">
        <f t="shared" si="22"/>
        <v>509.04999999999995</v>
      </c>
      <c r="S58" s="70">
        <f t="shared" si="22"/>
        <v>509.04999999999995</v>
      </c>
      <c r="T58" s="70">
        <f t="shared" si="22"/>
        <v>509.04999999999995</v>
      </c>
      <c r="U58" s="70">
        <f t="shared" si="22"/>
        <v>509.04999999999995</v>
      </c>
      <c r="V58" s="70">
        <f t="shared" si="22"/>
        <v>509.04999999999995</v>
      </c>
      <c r="W58" s="70">
        <f t="shared" si="22"/>
        <v>509.04999999999995</v>
      </c>
      <c r="X58" s="70">
        <f t="shared" si="22"/>
        <v>509.04999999999995</v>
      </c>
      <c r="Y58" s="70">
        <f t="shared" si="22"/>
        <v>520.04999999999995</v>
      </c>
      <c r="Z58" s="70">
        <f t="shared" si="22"/>
        <v>520.04999999999995</v>
      </c>
      <c r="AA58" s="70">
        <f t="shared" si="22"/>
        <v>520.04999999999995</v>
      </c>
      <c r="AB58" s="70">
        <f t="shared" si="22"/>
        <v>525.75</v>
      </c>
      <c r="AC58" s="70">
        <f t="shared" si="22"/>
        <v>525.75</v>
      </c>
      <c r="AD58" s="70">
        <f t="shared" si="22"/>
        <v>525.75</v>
      </c>
      <c r="AE58" s="70">
        <f t="shared" si="22"/>
        <v>525.75</v>
      </c>
      <c r="AF58" s="70">
        <f t="shared" si="22"/>
        <v>525.75</v>
      </c>
      <c r="AG58" s="71">
        <f>SUM(AG14:AG56)</f>
        <v>1042.4000000000001</v>
      </c>
      <c r="AH58" s="48">
        <f t="shared" si="8"/>
        <v>525.75</v>
      </c>
      <c r="AI58" s="49">
        <f t="shared" si="9"/>
        <v>502.95</v>
      </c>
      <c r="AK58" s="51"/>
    </row>
    <row r="59" spans="1:88" x14ac:dyDescent="0.25">
      <c r="A59" s="72" t="s">
        <v>76</v>
      </c>
      <c r="B59" s="46">
        <v>40</v>
      </c>
      <c r="C59" s="46">
        <v>0</v>
      </c>
      <c r="D59" s="46">
        <v>0</v>
      </c>
      <c r="E59" s="46">
        <v>0</v>
      </c>
      <c r="F59" s="46">
        <v>0</v>
      </c>
      <c r="G59" s="46">
        <v>0</v>
      </c>
      <c r="H59" s="46">
        <v>0</v>
      </c>
      <c r="I59" s="46">
        <v>55.2</v>
      </c>
      <c r="J59" s="46">
        <v>30</v>
      </c>
      <c r="K59" s="46">
        <v>15</v>
      </c>
      <c r="L59" s="46">
        <v>24.2</v>
      </c>
      <c r="M59" s="46">
        <v>15.2</v>
      </c>
      <c r="N59" s="73">
        <v>15.1</v>
      </c>
      <c r="O59" s="73">
        <v>45.3</v>
      </c>
      <c r="P59" s="73">
        <v>15.2</v>
      </c>
      <c r="Q59" s="73">
        <v>0</v>
      </c>
      <c r="R59" s="73">
        <v>0</v>
      </c>
      <c r="S59" s="73">
        <v>0</v>
      </c>
      <c r="T59" s="73">
        <v>0</v>
      </c>
      <c r="U59" s="73">
        <v>0</v>
      </c>
      <c r="V59" s="73">
        <v>0</v>
      </c>
      <c r="W59" s="73">
        <v>126</v>
      </c>
      <c r="X59" s="73">
        <v>141</v>
      </c>
      <c r="Y59" s="73">
        <v>409</v>
      </c>
      <c r="Z59" s="73">
        <v>456</v>
      </c>
      <c r="AA59" s="73">
        <v>400</v>
      </c>
      <c r="AB59" s="46">
        <v>361</v>
      </c>
      <c r="AC59" s="46">
        <v>290</v>
      </c>
      <c r="AD59" s="46">
        <v>251</v>
      </c>
      <c r="AE59" s="46">
        <v>180</v>
      </c>
      <c r="AF59" s="46">
        <v>251</v>
      </c>
      <c r="AG59" s="60">
        <v>456</v>
      </c>
      <c r="AH59" s="48">
        <f t="shared" si="8"/>
        <v>456</v>
      </c>
      <c r="AI59" s="49">
        <f t="shared" si="9"/>
        <v>0</v>
      </c>
      <c r="AK59" s="51"/>
    </row>
    <row r="60" spans="1:88" x14ac:dyDescent="0.25">
      <c r="A60" s="74" t="s">
        <v>77</v>
      </c>
      <c r="B60" s="75">
        <v>22.7</v>
      </c>
      <c r="C60" s="75">
        <v>22.5</v>
      </c>
      <c r="D60" s="75">
        <v>22.5</v>
      </c>
      <c r="E60" s="75">
        <v>22.5</v>
      </c>
      <c r="F60" s="75">
        <v>22.5</v>
      </c>
      <c r="G60" s="75">
        <v>22.5</v>
      </c>
      <c r="H60" s="75">
        <v>22.5</v>
      </c>
      <c r="I60" s="75">
        <v>22.5</v>
      </c>
      <c r="J60" s="75">
        <v>22.5</v>
      </c>
      <c r="K60" s="75">
        <v>22.5</v>
      </c>
      <c r="L60" s="75">
        <v>22.5</v>
      </c>
      <c r="M60" s="75">
        <v>22.5</v>
      </c>
      <c r="N60" s="75">
        <v>22.5</v>
      </c>
      <c r="O60" s="75">
        <v>22.5</v>
      </c>
      <c r="P60" s="75">
        <v>22.5</v>
      </c>
      <c r="Q60" s="75">
        <v>22.5</v>
      </c>
      <c r="R60" s="75">
        <v>22.5</v>
      </c>
      <c r="S60" s="75">
        <v>22.5</v>
      </c>
      <c r="T60" s="75">
        <v>22.5</v>
      </c>
      <c r="U60" s="75">
        <v>22.5</v>
      </c>
      <c r="V60" s="75">
        <v>22.5</v>
      </c>
      <c r="W60" s="75">
        <v>22.5</v>
      </c>
      <c r="X60" s="75">
        <v>22.5</v>
      </c>
      <c r="Y60" s="75">
        <v>22.5</v>
      </c>
      <c r="Z60" s="75">
        <v>22.5</v>
      </c>
      <c r="AA60" s="75">
        <v>22.5</v>
      </c>
      <c r="AB60" s="75">
        <v>22</v>
      </c>
      <c r="AC60" s="75">
        <v>22</v>
      </c>
      <c r="AD60" s="75">
        <v>22</v>
      </c>
      <c r="AE60" s="75">
        <v>22</v>
      </c>
      <c r="AF60" s="75">
        <v>22</v>
      </c>
      <c r="AG60" s="65">
        <v>60</v>
      </c>
      <c r="AH60" s="48">
        <f t="shared" si="8"/>
        <v>22.7</v>
      </c>
      <c r="AI60" s="49">
        <f t="shared" si="9"/>
        <v>22</v>
      </c>
      <c r="AK60" s="51"/>
    </row>
    <row r="61" spans="1:88" ht="15.75" thickBot="1" x14ac:dyDescent="0.3">
      <c r="A61" s="76" t="s">
        <v>78</v>
      </c>
      <c r="B61" s="77">
        <v>16.2</v>
      </c>
      <c r="C61" s="77">
        <v>16.2</v>
      </c>
      <c r="D61" s="77">
        <v>16.2</v>
      </c>
      <c r="E61" s="77">
        <v>16.2</v>
      </c>
      <c r="F61" s="77">
        <v>16.2</v>
      </c>
      <c r="G61" s="77">
        <v>16.2</v>
      </c>
      <c r="H61" s="77">
        <v>16.2</v>
      </c>
      <c r="I61" s="77">
        <v>16.2</v>
      </c>
      <c r="J61" s="77">
        <v>15.2</v>
      </c>
      <c r="K61" s="77">
        <v>15.2</v>
      </c>
      <c r="L61" s="77">
        <v>15.1</v>
      </c>
      <c r="M61" s="77">
        <v>15.2</v>
      </c>
      <c r="N61" s="77">
        <v>15.1</v>
      </c>
      <c r="O61" s="77">
        <v>15.1</v>
      </c>
      <c r="P61" s="77">
        <v>15.2</v>
      </c>
      <c r="Q61" s="77">
        <v>15.2</v>
      </c>
      <c r="R61" s="77">
        <v>13.8</v>
      </c>
      <c r="S61" s="77">
        <v>13.8</v>
      </c>
      <c r="T61" s="77">
        <v>13.8</v>
      </c>
      <c r="U61" s="77">
        <v>13.8</v>
      </c>
      <c r="V61" s="77">
        <v>13.8</v>
      </c>
      <c r="W61" s="77">
        <v>13.8</v>
      </c>
      <c r="X61" s="77">
        <v>13.8</v>
      </c>
      <c r="Y61" s="77">
        <v>13.8</v>
      </c>
      <c r="Z61" s="77">
        <v>20.2</v>
      </c>
      <c r="AA61" s="77">
        <v>20.2</v>
      </c>
      <c r="AB61" s="77">
        <v>20.100000000000001</v>
      </c>
      <c r="AC61" s="77">
        <v>20.100000000000001</v>
      </c>
      <c r="AD61" s="77">
        <v>20.100000000000001</v>
      </c>
      <c r="AE61" s="77">
        <v>20.100000000000001</v>
      </c>
      <c r="AF61" s="77">
        <v>20.100000000000001</v>
      </c>
      <c r="AG61" s="78">
        <v>22.1</v>
      </c>
      <c r="AH61" s="48">
        <f t="shared" si="8"/>
        <v>20.2</v>
      </c>
      <c r="AI61" s="49">
        <f t="shared" si="9"/>
        <v>13.8</v>
      </c>
      <c r="AK61" s="51"/>
    </row>
    <row r="62" spans="1:88" ht="15.75" thickBot="1" x14ac:dyDescent="0.3">
      <c r="A62" s="79" t="s">
        <v>79</v>
      </c>
      <c r="B62" s="70">
        <f t="shared" ref="B62:AG62" si="23">SUM(B59:B61)</f>
        <v>78.900000000000006</v>
      </c>
      <c r="C62" s="70">
        <f t="shared" si="23"/>
        <v>38.700000000000003</v>
      </c>
      <c r="D62" s="70">
        <f t="shared" si="23"/>
        <v>38.700000000000003</v>
      </c>
      <c r="E62" s="70">
        <f t="shared" si="23"/>
        <v>38.700000000000003</v>
      </c>
      <c r="F62" s="70">
        <f t="shared" si="23"/>
        <v>38.700000000000003</v>
      </c>
      <c r="G62" s="70">
        <f t="shared" si="23"/>
        <v>38.700000000000003</v>
      </c>
      <c r="H62" s="70">
        <f t="shared" si="23"/>
        <v>38.700000000000003</v>
      </c>
      <c r="I62" s="70">
        <f t="shared" si="23"/>
        <v>93.9</v>
      </c>
      <c r="J62" s="70">
        <f t="shared" si="23"/>
        <v>67.7</v>
      </c>
      <c r="K62" s="70">
        <f t="shared" si="23"/>
        <v>52.7</v>
      </c>
      <c r="L62" s="70">
        <f t="shared" si="23"/>
        <v>61.800000000000004</v>
      </c>
      <c r="M62" s="70">
        <f t="shared" si="23"/>
        <v>52.900000000000006</v>
      </c>
      <c r="N62" s="70">
        <f t="shared" si="23"/>
        <v>52.7</v>
      </c>
      <c r="O62" s="70">
        <f t="shared" si="23"/>
        <v>82.899999999999991</v>
      </c>
      <c r="P62" s="70">
        <f t="shared" si="23"/>
        <v>52.900000000000006</v>
      </c>
      <c r="Q62" s="70">
        <f t="shared" si="23"/>
        <v>37.700000000000003</v>
      </c>
      <c r="R62" s="70">
        <f t="shared" si="23"/>
        <v>36.299999999999997</v>
      </c>
      <c r="S62" s="70">
        <f t="shared" si="23"/>
        <v>36.299999999999997</v>
      </c>
      <c r="T62" s="70">
        <f t="shared" si="23"/>
        <v>36.299999999999997</v>
      </c>
      <c r="U62" s="70">
        <f t="shared" si="23"/>
        <v>36.299999999999997</v>
      </c>
      <c r="V62" s="70">
        <f t="shared" si="23"/>
        <v>36.299999999999997</v>
      </c>
      <c r="W62" s="70">
        <f t="shared" si="23"/>
        <v>162.30000000000001</v>
      </c>
      <c r="X62" s="70">
        <f t="shared" si="23"/>
        <v>177.3</v>
      </c>
      <c r="Y62" s="70">
        <f t="shared" si="23"/>
        <v>445.3</v>
      </c>
      <c r="Z62" s="70">
        <f t="shared" si="23"/>
        <v>498.7</v>
      </c>
      <c r="AA62" s="70">
        <f t="shared" si="23"/>
        <v>442.7</v>
      </c>
      <c r="AB62" s="70">
        <f t="shared" si="23"/>
        <v>403.1</v>
      </c>
      <c r="AC62" s="70">
        <f t="shared" si="23"/>
        <v>332.1</v>
      </c>
      <c r="AD62" s="70">
        <f t="shared" si="23"/>
        <v>293.10000000000002</v>
      </c>
      <c r="AE62" s="70">
        <f t="shared" si="23"/>
        <v>222.1</v>
      </c>
      <c r="AF62" s="70">
        <f t="shared" si="23"/>
        <v>293.10000000000002</v>
      </c>
      <c r="AG62" s="71">
        <f t="shared" si="23"/>
        <v>538.1</v>
      </c>
      <c r="AH62" s="48">
        <f t="shared" si="8"/>
        <v>498.7</v>
      </c>
      <c r="AI62" s="49">
        <f t="shared" si="9"/>
        <v>36.299999999999997</v>
      </c>
      <c r="AK62" s="51"/>
    </row>
    <row r="63" spans="1:88" x14ac:dyDescent="0.25">
      <c r="A63" s="45" t="s">
        <v>80</v>
      </c>
      <c r="B63" s="46">
        <v>50</v>
      </c>
      <c r="C63" s="46">
        <v>30.4</v>
      </c>
      <c r="D63" s="46">
        <v>30.9</v>
      </c>
      <c r="E63" s="46">
        <v>30.9</v>
      </c>
      <c r="F63" s="46">
        <v>30.9</v>
      </c>
      <c r="G63" s="46">
        <v>30.7</v>
      </c>
      <c r="H63" s="46">
        <v>31</v>
      </c>
      <c r="I63" s="46">
        <v>30</v>
      </c>
      <c r="J63" s="46">
        <v>30.6</v>
      </c>
      <c r="K63" s="46">
        <v>40.6</v>
      </c>
      <c r="L63" s="46">
        <v>64.2</v>
      </c>
      <c r="M63" s="46">
        <v>71.599999999999994</v>
      </c>
      <c r="N63" s="46">
        <v>62.3</v>
      </c>
      <c r="O63" s="46">
        <v>62.9</v>
      </c>
      <c r="P63" s="46">
        <v>63.3</v>
      </c>
      <c r="Q63" s="46">
        <v>70.2</v>
      </c>
      <c r="R63" s="46">
        <v>70.3</v>
      </c>
      <c r="S63" s="46">
        <v>30</v>
      </c>
      <c r="T63" s="46">
        <v>30</v>
      </c>
      <c r="U63" s="46">
        <v>48.8</v>
      </c>
      <c r="V63" s="46">
        <v>61.3</v>
      </c>
      <c r="W63" s="46">
        <v>97</v>
      </c>
      <c r="X63" s="46">
        <v>92</v>
      </c>
      <c r="Y63" s="46">
        <v>132.80000000000001</v>
      </c>
      <c r="Z63" s="46">
        <v>143</v>
      </c>
      <c r="AA63" s="46">
        <v>143</v>
      </c>
      <c r="AB63" s="46">
        <v>143</v>
      </c>
      <c r="AC63" s="46">
        <v>120</v>
      </c>
      <c r="AD63" s="46">
        <v>101</v>
      </c>
      <c r="AE63" s="46">
        <v>100</v>
      </c>
      <c r="AF63" s="46">
        <v>81</v>
      </c>
      <c r="AG63" s="60">
        <v>144</v>
      </c>
      <c r="AH63" s="48">
        <f t="shared" si="8"/>
        <v>143</v>
      </c>
      <c r="AI63" s="49">
        <f t="shared" si="9"/>
        <v>30</v>
      </c>
      <c r="AK63" s="51"/>
    </row>
    <row r="64" spans="1:88" x14ac:dyDescent="0.25">
      <c r="A64" s="64" t="s">
        <v>81</v>
      </c>
      <c r="B64" s="75">
        <v>35</v>
      </c>
      <c r="C64" s="75">
        <v>36.1</v>
      </c>
      <c r="D64" s="75">
        <v>23.1</v>
      </c>
      <c r="E64" s="75">
        <v>23.1</v>
      </c>
      <c r="F64" s="75">
        <v>23.1</v>
      </c>
      <c r="G64" s="75">
        <v>22.5</v>
      </c>
      <c r="H64" s="75">
        <v>24.2</v>
      </c>
      <c r="I64" s="75">
        <v>23.5</v>
      </c>
      <c r="J64" s="75">
        <v>35.299999999999997</v>
      </c>
      <c r="K64" s="75">
        <v>34.299999999999997</v>
      </c>
      <c r="L64" s="75">
        <v>53.2</v>
      </c>
      <c r="M64" s="75">
        <v>53</v>
      </c>
      <c r="N64" s="75">
        <v>47.6</v>
      </c>
      <c r="O64" s="75">
        <v>53.9</v>
      </c>
      <c r="P64" s="75">
        <v>64.8</v>
      </c>
      <c r="Q64" s="75">
        <v>34.799999999999997</v>
      </c>
      <c r="R64" s="75">
        <v>34.799999999999997</v>
      </c>
      <c r="S64" s="75">
        <v>24</v>
      </c>
      <c r="T64" s="75">
        <v>24</v>
      </c>
      <c r="U64" s="75">
        <v>35</v>
      </c>
      <c r="V64" s="75">
        <v>24</v>
      </c>
      <c r="W64" s="75">
        <v>35</v>
      </c>
      <c r="X64" s="75">
        <v>24.8</v>
      </c>
      <c r="Y64" s="75">
        <v>54.9</v>
      </c>
      <c r="Z64" s="75">
        <v>70</v>
      </c>
      <c r="AA64" s="75">
        <v>70</v>
      </c>
      <c r="AB64" s="46">
        <v>46.6</v>
      </c>
      <c r="AC64" s="46">
        <v>46.6</v>
      </c>
      <c r="AD64" s="46">
        <v>47</v>
      </c>
      <c r="AE64" s="46">
        <v>24</v>
      </c>
      <c r="AF64" s="46">
        <v>24</v>
      </c>
      <c r="AG64" s="65">
        <v>70</v>
      </c>
      <c r="AH64" s="48">
        <f t="shared" si="8"/>
        <v>70</v>
      </c>
      <c r="AI64" s="49">
        <f t="shared" si="9"/>
        <v>22.5</v>
      </c>
      <c r="AK64" s="51"/>
    </row>
    <row r="65" spans="1:75" x14ac:dyDescent="0.25">
      <c r="A65" s="64" t="s">
        <v>82</v>
      </c>
      <c r="B65" s="75">
        <v>33.799999999999997</v>
      </c>
      <c r="C65" s="75">
        <v>15.6</v>
      </c>
      <c r="D65" s="75">
        <v>15.9</v>
      </c>
      <c r="E65" s="75">
        <v>15.9</v>
      </c>
      <c r="F65" s="75">
        <v>15.9</v>
      </c>
      <c r="G65" s="75">
        <v>16.2</v>
      </c>
      <c r="H65" s="75">
        <v>72.3</v>
      </c>
      <c r="I65" s="75">
        <v>70.599999999999994</v>
      </c>
      <c r="J65" s="75">
        <v>57.6</v>
      </c>
      <c r="K65" s="75">
        <v>56.4</v>
      </c>
      <c r="L65" s="75">
        <v>52.8</v>
      </c>
      <c r="M65" s="75">
        <v>52.5</v>
      </c>
      <c r="N65" s="75">
        <v>52.4</v>
      </c>
      <c r="O65" s="75">
        <v>52</v>
      </c>
      <c r="P65" s="75">
        <v>54.8</v>
      </c>
      <c r="Q65" s="75">
        <v>68.8</v>
      </c>
      <c r="R65" s="75">
        <v>68.8</v>
      </c>
      <c r="S65" s="75">
        <v>35</v>
      </c>
      <c r="T65" s="75">
        <v>35</v>
      </c>
      <c r="U65" s="75">
        <v>46.3</v>
      </c>
      <c r="V65" s="75">
        <v>34.299999999999997</v>
      </c>
      <c r="W65" s="75">
        <v>46</v>
      </c>
      <c r="X65" s="75">
        <v>50.2</v>
      </c>
      <c r="Y65" s="75">
        <v>68.5</v>
      </c>
      <c r="Z65" s="75">
        <v>68.5</v>
      </c>
      <c r="AA65" s="75">
        <v>68.5</v>
      </c>
      <c r="AB65" s="46">
        <v>38.299999999999997</v>
      </c>
      <c r="AC65" s="46">
        <v>38.299999999999997</v>
      </c>
      <c r="AD65" s="46">
        <v>46</v>
      </c>
      <c r="AE65" s="46">
        <v>45</v>
      </c>
      <c r="AF65" s="46">
        <v>45</v>
      </c>
      <c r="AG65" s="65">
        <v>69</v>
      </c>
      <c r="AH65" s="48">
        <f t="shared" si="8"/>
        <v>72.3</v>
      </c>
      <c r="AI65" s="49">
        <f t="shared" si="9"/>
        <v>15.6</v>
      </c>
      <c r="AK65" s="51"/>
    </row>
    <row r="66" spans="1:75" x14ac:dyDescent="0.25">
      <c r="A66" s="64" t="s">
        <v>83</v>
      </c>
      <c r="B66" s="75">
        <v>52.4</v>
      </c>
      <c r="C66" s="75">
        <v>50.1</v>
      </c>
      <c r="D66" s="75">
        <v>48.1</v>
      </c>
      <c r="E66" s="75">
        <v>48.1</v>
      </c>
      <c r="F66" s="75">
        <v>48.1</v>
      </c>
      <c r="G66" s="75">
        <v>48.6</v>
      </c>
      <c r="H66" s="75">
        <v>47.4</v>
      </c>
      <c r="I66" s="75">
        <v>47.4</v>
      </c>
      <c r="J66" s="75">
        <v>47.6</v>
      </c>
      <c r="K66" s="67">
        <v>48.6</v>
      </c>
      <c r="L66" s="67">
        <v>48.3</v>
      </c>
      <c r="M66" s="75">
        <v>46.3</v>
      </c>
      <c r="N66" s="75">
        <v>44.1</v>
      </c>
      <c r="O66" s="75">
        <v>44.4</v>
      </c>
      <c r="P66" s="75">
        <v>44.4</v>
      </c>
      <c r="Q66" s="75">
        <v>44.4</v>
      </c>
      <c r="R66" s="75">
        <v>42.6</v>
      </c>
      <c r="S66" s="75">
        <v>42.6</v>
      </c>
      <c r="T66" s="75">
        <v>42.6</v>
      </c>
      <c r="U66" s="75">
        <v>42.6</v>
      </c>
      <c r="V66" s="75">
        <v>42.6</v>
      </c>
      <c r="W66" s="75">
        <v>40</v>
      </c>
      <c r="X66" s="75">
        <v>40</v>
      </c>
      <c r="Y66" s="75">
        <v>40</v>
      </c>
      <c r="Z66" s="75">
        <v>40</v>
      </c>
      <c r="AA66" s="75">
        <v>40</v>
      </c>
      <c r="AB66" s="46">
        <v>28.2</v>
      </c>
      <c r="AC66" s="46">
        <v>28.2</v>
      </c>
      <c r="AD66" s="46">
        <v>38.5</v>
      </c>
      <c r="AE66" s="46">
        <v>38.5</v>
      </c>
      <c r="AF66" s="46">
        <v>38.5</v>
      </c>
      <c r="AG66" s="65">
        <v>60</v>
      </c>
      <c r="AH66" s="48">
        <f t="shared" si="8"/>
        <v>52.4</v>
      </c>
      <c r="AI66" s="49">
        <f t="shared" si="9"/>
        <v>28.2</v>
      </c>
      <c r="AK66" s="51"/>
    </row>
    <row r="67" spans="1:75" x14ac:dyDescent="0.25">
      <c r="A67" s="64" t="s">
        <v>84</v>
      </c>
      <c r="B67" s="46">
        <v>0</v>
      </c>
      <c r="C67" s="46">
        <v>0</v>
      </c>
      <c r="D67" s="46">
        <v>0</v>
      </c>
      <c r="E67" s="46">
        <v>0</v>
      </c>
      <c r="F67" s="46">
        <v>0</v>
      </c>
      <c r="G67" s="46">
        <v>0</v>
      </c>
      <c r="H67" s="46">
        <v>0</v>
      </c>
      <c r="I67" s="46">
        <v>0</v>
      </c>
      <c r="J67" s="75">
        <v>10</v>
      </c>
      <c r="K67" s="75">
        <v>10.3</v>
      </c>
      <c r="L67" s="67">
        <v>10.4</v>
      </c>
      <c r="M67" s="75">
        <v>10.3</v>
      </c>
      <c r="N67" s="75">
        <v>10.199999999999999</v>
      </c>
      <c r="O67" s="75">
        <v>10.3</v>
      </c>
      <c r="P67" s="75">
        <v>10.4</v>
      </c>
      <c r="Q67" s="75">
        <v>15</v>
      </c>
      <c r="R67" s="75">
        <v>15</v>
      </c>
      <c r="S67" s="75">
        <v>15</v>
      </c>
      <c r="T67" s="75">
        <v>15</v>
      </c>
      <c r="U67" s="75">
        <v>15</v>
      </c>
      <c r="V67" s="75">
        <v>14.7</v>
      </c>
      <c r="W67" s="75">
        <v>14.7</v>
      </c>
      <c r="X67" s="75">
        <v>14.7</v>
      </c>
      <c r="Y67" s="75">
        <v>23</v>
      </c>
      <c r="Z67" s="75">
        <v>28</v>
      </c>
      <c r="AA67" s="75">
        <v>28</v>
      </c>
      <c r="AB67" s="46">
        <v>23.8</v>
      </c>
      <c r="AC67" s="46">
        <v>23.8</v>
      </c>
      <c r="AD67" s="46">
        <v>11</v>
      </c>
      <c r="AE67" s="46">
        <v>11</v>
      </c>
      <c r="AF67" s="46">
        <v>9.9</v>
      </c>
      <c r="AG67" s="65">
        <v>30</v>
      </c>
      <c r="AH67" s="48">
        <f t="shared" si="8"/>
        <v>28</v>
      </c>
      <c r="AI67" s="49">
        <f t="shared" si="9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</row>
    <row r="68" spans="1:75" x14ac:dyDescent="0.25">
      <c r="A68" s="64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1.2</v>
      </c>
      <c r="K68" s="46">
        <v>2.5</v>
      </c>
      <c r="L68" s="75">
        <v>5.2</v>
      </c>
      <c r="M68" s="75">
        <v>9</v>
      </c>
      <c r="N68" s="75">
        <v>13.1</v>
      </c>
      <c r="O68" s="75">
        <v>16.600000000000001</v>
      </c>
      <c r="P68" s="75">
        <v>18.5</v>
      </c>
      <c r="Q68" s="75">
        <v>19.7</v>
      </c>
      <c r="R68" s="75">
        <v>18.2</v>
      </c>
      <c r="S68" s="75">
        <v>16.2</v>
      </c>
      <c r="T68" s="75">
        <v>13.2</v>
      </c>
      <c r="U68" s="75">
        <v>7.5</v>
      </c>
      <c r="V68" s="75">
        <v>1.8</v>
      </c>
      <c r="W68" s="75">
        <v>0.7</v>
      </c>
      <c r="X68" s="75">
        <v>0.3</v>
      </c>
      <c r="Y68" s="75">
        <v>0</v>
      </c>
      <c r="Z68" s="75">
        <v>0</v>
      </c>
      <c r="AA68" s="75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5">
        <v>25</v>
      </c>
      <c r="AH68" s="48">
        <f t="shared" si="8"/>
        <v>19.7</v>
      </c>
      <c r="AI68" s="49">
        <f t="shared" si="9"/>
        <v>0</v>
      </c>
      <c r="AK68" s="51"/>
      <c r="AY68" s="1" t="s">
        <v>86</v>
      </c>
      <c r="AZ68" s="81">
        <f>ROUND(C81,0)</f>
        <v>25</v>
      </c>
      <c r="BA68" s="80">
        <f t="shared" ref="BA68:BD72" si="24">D81</f>
        <v>23.7</v>
      </c>
      <c r="BB68" s="80">
        <f t="shared" si="24"/>
        <v>21.7</v>
      </c>
      <c r="BC68" s="80">
        <f t="shared" si="24"/>
        <v>19.8</v>
      </c>
      <c r="BD68" s="80">
        <f t="shared" si="24"/>
        <v>18</v>
      </c>
      <c r="BE68" s="81">
        <f>I81</f>
        <v>21.5</v>
      </c>
      <c r="BF68" s="81">
        <f>K81</f>
        <v>41.2</v>
      </c>
      <c r="BG68" s="81">
        <f t="shared" ref="BG68:BP72" si="25">M81</f>
        <v>45.9</v>
      </c>
      <c r="BH68" s="81">
        <f t="shared" si="25"/>
        <v>46.4</v>
      </c>
      <c r="BI68" s="81">
        <f t="shared" si="25"/>
        <v>45.4</v>
      </c>
      <c r="BJ68" s="81">
        <f t="shared" si="25"/>
        <v>32.1</v>
      </c>
      <c r="BK68" s="81">
        <f t="shared" si="25"/>
        <v>53.2</v>
      </c>
      <c r="BL68" s="81">
        <f t="shared" si="25"/>
        <v>50.2</v>
      </c>
      <c r="BM68" s="81">
        <f t="shared" si="25"/>
        <v>61.4</v>
      </c>
      <c r="BN68" s="81">
        <f t="shared" si="25"/>
        <v>66.2</v>
      </c>
      <c r="BO68" s="81">
        <f t="shared" si="25"/>
        <v>66</v>
      </c>
      <c r="BP68" s="81">
        <f t="shared" si="25"/>
        <v>52.6</v>
      </c>
      <c r="BQ68" s="81">
        <f>X81</f>
        <v>53.9</v>
      </c>
      <c r="BR68" s="81">
        <f>Z81</f>
        <v>18.899999999999999</v>
      </c>
      <c r="BS68" s="80">
        <f>AB81</f>
        <v>18.600000000000001</v>
      </c>
      <c r="BT68" s="80">
        <f>AD81</f>
        <v>25</v>
      </c>
      <c r="BU68" s="80">
        <f>AE81</f>
        <v>18</v>
      </c>
      <c r="BV68" s="80">
        <f>AF81</f>
        <v>12.7</v>
      </c>
      <c r="BW68" s="80">
        <f>B81</f>
        <v>27</v>
      </c>
    </row>
    <row r="69" spans="1:75" x14ac:dyDescent="0.25">
      <c r="A69" s="64" t="s">
        <v>87</v>
      </c>
      <c r="B69" s="75">
        <v>15</v>
      </c>
      <c r="C69" s="75">
        <v>15</v>
      </c>
      <c r="D69" s="75">
        <v>15</v>
      </c>
      <c r="E69" s="75">
        <v>15</v>
      </c>
      <c r="F69" s="75">
        <v>15</v>
      </c>
      <c r="G69" s="75">
        <v>15</v>
      </c>
      <c r="H69" s="75">
        <v>15</v>
      </c>
      <c r="I69" s="75">
        <v>15</v>
      </c>
      <c r="J69" s="75">
        <v>15</v>
      </c>
      <c r="K69" s="75">
        <v>15</v>
      </c>
      <c r="L69" s="75">
        <v>15</v>
      </c>
      <c r="M69" s="75">
        <v>15</v>
      </c>
      <c r="N69" s="75">
        <v>15</v>
      </c>
      <c r="O69" s="75">
        <v>15</v>
      </c>
      <c r="P69" s="75">
        <v>15</v>
      </c>
      <c r="Q69" s="75">
        <v>15</v>
      </c>
      <c r="R69" s="75">
        <v>15</v>
      </c>
      <c r="S69" s="75">
        <v>15</v>
      </c>
      <c r="T69" s="75">
        <v>15</v>
      </c>
      <c r="U69" s="75">
        <v>15</v>
      </c>
      <c r="V69" s="75">
        <v>15</v>
      </c>
      <c r="W69" s="75">
        <v>15</v>
      </c>
      <c r="X69" s="75">
        <v>15</v>
      </c>
      <c r="Y69" s="75">
        <v>15</v>
      </c>
      <c r="Z69" s="75">
        <v>15</v>
      </c>
      <c r="AA69" s="75">
        <v>15</v>
      </c>
      <c r="AB69" s="75">
        <v>15</v>
      </c>
      <c r="AC69" s="75">
        <v>15</v>
      </c>
      <c r="AD69" s="75">
        <v>15</v>
      </c>
      <c r="AE69" s="75">
        <v>15</v>
      </c>
      <c r="AF69" s="75">
        <v>15</v>
      </c>
      <c r="AG69" s="65">
        <v>24</v>
      </c>
      <c r="AH69" s="48">
        <f t="shared" si="8"/>
        <v>15</v>
      </c>
      <c r="AI69" s="49">
        <f t="shared" si="9"/>
        <v>15</v>
      </c>
      <c r="AK69" s="51"/>
      <c r="AY69" s="1" t="s">
        <v>88</v>
      </c>
      <c r="AZ69" s="81">
        <f>ROUND(C82,0)</f>
        <v>120</v>
      </c>
      <c r="BA69" s="80">
        <f t="shared" si="24"/>
        <v>114.9</v>
      </c>
      <c r="BB69" s="80">
        <f t="shared" si="24"/>
        <v>114</v>
      </c>
      <c r="BC69" s="80">
        <f t="shared" si="24"/>
        <v>109.5</v>
      </c>
      <c r="BD69" s="80">
        <f t="shared" si="24"/>
        <v>110</v>
      </c>
      <c r="BE69" s="81">
        <f t="shared" ref="BE69:BE72" si="26">I82</f>
        <v>121.6</v>
      </c>
      <c r="BF69" s="81">
        <f t="shared" ref="BF69:BF72" si="27">K82</f>
        <v>0</v>
      </c>
      <c r="BG69" s="81">
        <f t="shared" si="25"/>
        <v>0</v>
      </c>
      <c r="BH69" s="81">
        <f t="shared" si="25"/>
        <v>0</v>
      </c>
      <c r="BI69" s="81">
        <f t="shared" si="25"/>
        <v>0</v>
      </c>
      <c r="BJ69" s="81">
        <f t="shared" si="25"/>
        <v>0</v>
      </c>
      <c r="BK69" s="81">
        <f t="shared" si="25"/>
        <v>0</v>
      </c>
      <c r="BL69" s="81">
        <f t="shared" si="25"/>
        <v>0</v>
      </c>
      <c r="BM69" s="81">
        <f t="shared" si="25"/>
        <v>0</v>
      </c>
      <c r="BN69" s="81">
        <f t="shared" si="25"/>
        <v>0</v>
      </c>
      <c r="BO69" s="81">
        <f t="shared" si="25"/>
        <v>0</v>
      </c>
      <c r="BP69" s="81">
        <f t="shared" si="25"/>
        <v>0</v>
      </c>
      <c r="BQ69" s="81">
        <f t="shared" ref="BQ69:BQ72" si="28">X82</f>
        <v>0</v>
      </c>
      <c r="BR69" s="81">
        <f t="shared" ref="BR69:BR72" si="29">Z82</f>
        <v>0</v>
      </c>
      <c r="BS69" s="80">
        <f t="shared" ref="BS69:BS72" si="30">AB82</f>
        <v>0</v>
      </c>
      <c r="BT69" s="80">
        <f t="shared" ref="BT69:BV72" si="31">AD82</f>
        <v>0</v>
      </c>
      <c r="BU69" s="80">
        <f t="shared" si="31"/>
        <v>0</v>
      </c>
      <c r="BV69" s="80">
        <f t="shared" si="31"/>
        <v>0</v>
      </c>
      <c r="BW69" s="80">
        <f t="shared" ref="BW69:BW72" si="32">B82</f>
        <v>0</v>
      </c>
    </row>
    <row r="70" spans="1:75" x14ac:dyDescent="0.25">
      <c r="A70" s="64" t="s">
        <v>89</v>
      </c>
      <c r="B70" s="75">
        <v>0</v>
      </c>
      <c r="C70" s="75">
        <v>0</v>
      </c>
      <c r="D70" s="75">
        <v>0</v>
      </c>
      <c r="E70" s="75">
        <v>0</v>
      </c>
      <c r="F70" s="75">
        <v>0</v>
      </c>
      <c r="G70" s="75">
        <v>0</v>
      </c>
      <c r="H70" s="75">
        <v>0</v>
      </c>
      <c r="I70" s="75">
        <v>0</v>
      </c>
      <c r="J70" s="75">
        <v>0</v>
      </c>
      <c r="K70" s="75">
        <v>0</v>
      </c>
      <c r="L70" s="75">
        <v>0</v>
      </c>
      <c r="M70" s="75">
        <v>0</v>
      </c>
      <c r="N70" s="75">
        <v>0</v>
      </c>
      <c r="O70" s="75">
        <v>0</v>
      </c>
      <c r="P70" s="75">
        <v>0</v>
      </c>
      <c r="Q70" s="75">
        <v>0</v>
      </c>
      <c r="R70" s="75">
        <v>0</v>
      </c>
      <c r="S70" s="75">
        <v>0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5">
        <v>0</v>
      </c>
      <c r="Z70" s="75">
        <v>0</v>
      </c>
      <c r="AA70" s="75">
        <v>0</v>
      </c>
      <c r="AB70" s="75">
        <v>0</v>
      </c>
      <c r="AC70" s="75">
        <v>0</v>
      </c>
      <c r="AD70" s="75">
        <v>0</v>
      </c>
      <c r="AE70" s="75">
        <v>0</v>
      </c>
      <c r="AF70" s="75">
        <v>0</v>
      </c>
      <c r="AG70" s="65">
        <v>15</v>
      </c>
      <c r="AH70" s="48">
        <f t="shared" si="8"/>
        <v>0</v>
      </c>
      <c r="AI70" s="49">
        <f t="shared" si="9"/>
        <v>0</v>
      </c>
      <c r="AK70" s="51"/>
      <c r="AL70" s="82"/>
      <c r="AO70" s="82"/>
      <c r="AY70" s="1" t="s">
        <v>90</v>
      </c>
      <c r="AZ70" s="81">
        <f>ROUND(C83,0)</f>
        <v>29</v>
      </c>
      <c r="BA70" s="80">
        <f t="shared" si="24"/>
        <v>4</v>
      </c>
      <c r="BB70" s="80">
        <f t="shared" si="24"/>
        <v>31.5</v>
      </c>
      <c r="BC70" s="80">
        <f t="shared" si="24"/>
        <v>35.9</v>
      </c>
      <c r="BD70" s="80">
        <f t="shared" si="24"/>
        <v>71.8</v>
      </c>
      <c r="BE70" s="81">
        <f t="shared" si="26"/>
        <v>60.9</v>
      </c>
      <c r="BF70" s="81">
        <f t="shared" si="27"/>
        <v>351.06</v>
      </c>
      <c r="BG70" s="81">
        <f t="shared" si="25"/>
        <v>379.9</v>
      </c>
      <c r="BH70" s="81">
        <f t="shared" si="25"/>
        <v>378</v>
      </c>
      <c r="BI70" s="81">
        <f t="shared" si="25"/>
        <v>379</v>
      </c>
      <c r="BJ70" s="81">
        <f t="shared" si="25"/>
        <v>380</v>
      </c>
      <c r="BK70" s="81">
        <f t="shared" si="25"/>
        <v>372</v>
      </c>
      <c r="BL70" s="81">
        <f t="shared" si="25"/>
        <v>389.3</v>
      </c>
      <c r="BM70" s="81">
        <f t="shared" si="25"/>
        <v>452.4</v>
      </c>
      <c r="BN70" s="81">
        <f t="shared" si="25"/>
        <v>537</v>
      </c>
      <c r="BO70" s="81">
        <f t="shared" si="25"/>
        <v>518.29999999999995</v>
      </c>
      <c r="BP70" s="81">
        <f t="shared" si="25"/>
        <v>479</v>
      </c>
      <c r="BQ70" s="81">
        <f t="shared" si="28"/>
        <v>231</v>
      </c>
      <c r="BR70" s="81">
        <f t="shared" si="29"/>
        <v>0</v>
      </c>
      <c r="BS70" s="80">
        <f t="shared" si="30"/>
        <v>0</v>
      </c>
      <c r="BT70" s="80">
        <f t="shared" si="31"/>
        <v>-3.1</v>
      </c>
      <c r="BU70" s="80">
        <f t="shared" si="31"/>
        <v>52</v>
      </c>
      <c r="BV70" s="80">
        <f t="shared" si="31"/>
        <v>92</v>
      </c>
      <c r="BW70" s="80">
        <f t="shared" si="32"/>
        <v>46</v>
      </c>
    </row>
    <row r="71" spans="1:75" s="82" customFormat="1" x14ac:dyDescent="0.25">
      <c r="A71" s="64" t="s">
        <v>91</v>
      </c>
      <c r="B71" s="75">
        <v>7.2</v>
      </c>
      <c r="C71" s="75">
        <v>7.2</v>
      </c>
      <c r="D71" s="75">
        <v>7.2</v>
      </c>
      <c r="E71" s="75">
        <v>7.2</v>
      </c>
      <c r="F71" s="75">
        <v>7.2</v>
      </c>
      <c r="G71" s="75">
        <v>7.2</v>
      </c>
      <c r="H71" s="75">
        <v>7.2</v>
      </c>
      <c r="I71" s="75">
        <v>7.2</v>
      </c>
      <c r="J71" s="75">
        <v>7.2</v>
      </c>
      <c r="K71" s="75">
        <v>7.2</v>
      </c>
      <c r="L71" s="75">
        <v>7.2</v>
      </c>
      <c r="M71" s="75">
        <v>7.2</v>
      </c>
      <c r="N71" s="75">
        <v>7.2</v>
      </c>
      <c r="O71" s="75">
        <v>7.2</v>
      </c>
      <c r="P71" s="75">
        <v>7.2</v>
      </c>
      <c r="Q71" s="75">
        <v>7.2</v>
      </c>
      <c r="R71" s="75">
        <v>7.2</v>
      </c>
      <c r="S71" s="75">
        <v>7.2</v>
      </c>
      <c r="T71" s="75">
        <v>7.2</v>
      </c>
      <c r="U71" s="75">
        <v>8.9</v>
      </c>
      <c r="V71" s="75">
        <v>8.9</v>
      </c>
      <c r="W71" s="75">
        <v>9.3000000000000007</v>
      </c>
      <c r="X71" s="75">
        <v>9.3000000000000007</v>
      </c>
      <c r="Y71" s="75">
        <v>10</v>
      </c>
      <c r="Z71" s="75">
        <v>10</v>
      </c>
      <c r="AA71" s="75">
        <v>10</v>
      </c>
      <c r="AB71" s="75">
        <v>10</v>
      </c>
      <c r="AC71" s="75">
        <v>10</v>
      </c>
      <c r="AD71" s="75">
        <v>10</v>
      </c>
      <c r="AE71" s="75">
        <v>10</v>
      </c>
      <c r="AF71" s="75">
        <v>10</v>
      </c>
      <c r="AG71" s="65">
        <v>14.1</v>
      </c>
      <c r="AH71" s="48">
        <f t="shared" si="8"/>
        <v>10</v>
      </c>
      <c r="AI71" s="49">
        <f t="shared" si="9"/>
        <v>7.2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41</v>
      </c>
      <c r="BA71" s="80">
        <f t="shared" si="24"/>
        <v>41.3</v>
      </c>
      <c r="BB71" s="80">
        <f t="shared" si="24"/>
        <v>31.6</v>
      </c>
      <c r="BC71" s="80">
        <f t="shared" si="24"/>
        <v>29.5</v>
      </c>
      <c r="BD71" s="80">
        <f t="shared" si="24"/>
        <v>28.7</v>
      </c>
      <c r="BE71" s="81">
        <f t="shared" si="26"/>
        <v>32.700000000000003</v>
      </c>
      <c r="BF71" s="81">
        <f t="shared" si="27"/>
        <v>19.2</v>
      </c>
      <c r="BG71" s="81">
        <f t="shared" si="25"/>
        <v>17.5</v>
      </c>
      <c r="BH71" s="81">
        <f t="shared" si="25"/>
        <v>36.799999999999997</v>
      </c>
      <c r="BI71" s="81">
        <f t="shared" si="25"/>
        <v>36.799999999999997</v>
      </c>
      <c r="BJ71" s="81">
        <f t="shared" si="25"/>
        <v>42.1</v>
      </c>
      <c r="BK71" s="81">
        <f t="shared" si="25"/>
        <v>46.5</v>
      </c>
      <c r="BL71" s="81">
        <f t="shared" si="25"/>
        <v>43.7</v>
      </c>
      <c r="BM71" s="81">
        <f t="shared" si="25"/>
        <v>40</v>
      </c>
      <c r="BN71" s="81">
        <f t="shared" si="25"/>
        <v>42.3</v>
      </c>
      <c r="BO71" s="81">
        <f t="shared" si="25"/>
        <v>40.700000000000003</v>
      </c>
      <c r="BP71" s="81">
        <f t="shared" si="25"/>
        <v>51</v>
      </c>
      <c r="BQ71" s="81">
        <f t="shared" si="28"/>
        <v>31.6</v>
      </c>
      <c r="BR71" s="81">
        <f t="shared" si="29"/>
        <v>0</v>
      </c>
      <c r="BS71" s="80">
        <f t="shared" si="30"/>
        <v>0</v>
      </c>
      <c r="BT71" s="80">
        <f t="shared" si="31"/>
        <v>0</v>
      </c>
      <c r="BU71" s="80">
        <f t="shared" si="31"/>
        <v>0</v>
      </c>
      <c r="BV71" s="80">
        <f t="shared" si="31"/>
        <v>0</v>
      </c>
      <c r="BW71" s="80">
        <f t="shared" si="32"/>
        <v>38</v>
      </c>
    </row>
    <row r="72" spans="1:75" x14ac:dyDescent="0.25">
      <c r="A72" s="83" t="s">
        <v>93</v>
      </c>
      <c r="B72" s="75">
        <v>6</v>
      </c>
      <c r="C72" s="75">
        <v>6</v>
      </c>
      <c r="D72" s="75">
        <v>6</v>
      </c>
      <c r="E72" s="75">
        <v>6</v>
      </c>
      <c r="F72" s="75">
        <v>6</v>
      </c>
      <c r="G72" s="75">
        <v>6</v>
      </c>
      <c r="H72" s="75">
        <v>6</v>
      </c>
      <c r="I72" s="75">
        <v>6</v>
      </c>
      <c r="J72" s="75">
        <v>6</v>
      </c>
      <c r="K72" s="75">
        <v>6</v>
      </c>
      <c r="L72" s="75">
        <v>6</v>
      </c>
      <c r="M72" s="75">
        <v>6</v>
      </c>
      <c r="N72" s="75">
        <v>6</v>
      </c>
      <c r="O72" s="75">
        <v>6</v>
      </c>
      <c r="P72" s="75">
        <v>6</v>
      </c>
      <c r="Q72" s="75">
        <v>6</v>
      </c>
      <c r="R72" s="75">
        <v>6</v>
      </c>
      <c r="S72" s="75">
        <v>5.0999999999999996</v>
      </c>
      <c r="T72" s="75">
        <v>5.0999999999999996</v>
      </c>
      <c r="U72" s="75">
        <v>5.0999999999999996</v>
      </c>
      <c r="V72" s="75">
        <v>5.0999999999999996</v>
      </c>
      <c r="W72" s="75">
        <v>5.0999999999999996</v>
      </c>
      <c r="X72" s="75">
        <v>5.0999999999999996</v>
      </c>
      <c r="Y72" s="75">
        <v>5.7</v>
      </c>
      <c r="Z72" s="75">
        <v>5.7</v>
      </c>
      <c r="AA72" s="75">
        <v>5.7</v>
      </c>
      <c r="AB72" s="75">
        <v>5.7</v>
      </c>
      <c r="AC72" s="75">
        <v>5.7</v>
      </c>
      <c r="AD72" s="75">
        <v>5.7</v>
      </c>
      <c r="AE72" s="75">
        <v>5.7</v>
      </c>
      <c r="AF72" s="75">
        <v>5.7</v>
      </c>
      <c r="AG72" s="65">
        <v>14</v>
      </c>
      <c r="AH72" s="48">
        <f t="shared" si="8"/>
        <v>6</v>
      </c>
      <c r="AI72" s="49">
        <f t="shared" si="9"/>
        <v>5.0999999999999996</v>
      </c>
      <c r="AK72" s="51"/>
      <c r="AY72" s="1" t="s">
        <v>94</v>
      </c>
      <c r="AZ72" s="81">
        <f>ROUND(C85,0)</f>
        <v>63</v>
      </c>
      <c r="BA72" s="80">
        <f t="shared" si="24"/>
        <v>64</v>
      </c>
      <c r="BB72" s="80">
        <f t="shared" si="24"/>
        <v>64</v>
      </c>
      <c r="BC72" s="80">
        <f t="shared" si="24"/>
        <v>63</v>
      </c>
      <c r="BD72" s="80">
        <f t="shared" si="24"/>
        <v>63.5</v>
      </c>
      <c r="BE72" s="81">
        <f t="shared" si="26"/>
        <v>65</v>
      </c>
      <c r="BF72" s="81">
        <f t="shared" si="27"/>
        <v>65</v>
      </c>
      <c r="BG72" s="81">
        <f t="shared" si="25"/>
        <v>43</v>
      </c>
      <c r="BH72" s="81">
        <f t="shared" si="25"/>
        <v>80</v>
      </c>
      <c r="BI72" s="81">
        <f t="shared" si="25"/>
        <v>146.19999999999999</v>
      </c>
      <c r="BJ72" s="81">
        <f t="shared" si="25"/>
        <v>140.5</v>
      </c>
      <c r="BK72" s="81">
        <f t="shared" si="25"/>
        <v>148</v>
      </c>
      <c r="BL72" s="81">
        <f t="shared" si="25"/>
        <v>154</v>
      </c>
      <c r="BM72" s="81">
        <f t="shared" si="25"/>
        <v>160.1</v>
      </c>
      <c r="BN72" s="81">
        <f t="shared" si="25"/>
        <v>138.19999999999999</v>
      </c>
      <c r="BO72" s="81">
        <f t="shared" si="25"/>
        <v>0</v>
      </c>
      <c r="BP72" s="81">
        <f t="shared" si="25"/>
        <v>114.8</v>
      </c>
      <c r="BQ72" s="81">
        <f t="shared" si="28"/>
        <v>103</v>
      </c>
      <c r="BR72" s="81">
        <f t="shared" si="29"/>
        <v>0</v>
      </c>
      <c r="BS72" s="80">
        <f t="shared" si="30"/>
        <v>0</v>
      </c>
      <c r="BT72" s="80">
        <f t="shared" si="31"/>
        <v>71</v>
      </c>
      <c r="BU72" s="80">
        <f t="shared" si="31"/>
        <v>0</v>
      </c>
      <c r="BV72" s="80">
        <f t="shared" si="31"/>
        <v>0</v>
      </c>
      <c r="BW72" s="80">
        <f t="shared" si="32"/>
        <v>55</v>
      </c>
    </row>
    <row r="73" spans="1:75" x14ac:dyDescent="0.25">
      <c r="A73" s="64" t="s">
        <v>95</v>
      </c>
      <c r="B73" s="75">
        <v>4.5</v>
      </c>
      <c r="C73" s="75">
        <v>4.5</v>
      </c>
      <c r="D73" s="75">
        <v>4.5</v>
      </c>
      <c r="E73" s="75">
        <v>4.5</v>
      </c>
      <c r="F73" s="75">
        <v>4.5</v>
      </c>
      <c r="G73" s="75">
        <v>4.5</v>
      </c>
      <c r="H73" s="75">
        <v>4.5</v>
      </c>
      <c r="I73" s="75">
        <v>4.5</v>
      </c>
      <c r="J73" s="75">
        <v>4.5</v>
      </c>
      <c r="K73" s="75">
        <v>4.5</v>
      </c>
      <c r="L73" s="75">
        <v>4.5</v>
      </c>
      <c r="M73" s="75">
        <v>4.5</v>
      </c>
      <c r="N73" s="75">
        <v>4.5</v>
      </c>
      <c r="O73" s="75">
        <v>4.5</v>
      </c>
      <c r="P73" s="75">
        <v>4.5</v>
      </c>
      <c r="Q73" s="75">
        <v>4.5</v>
      </c>
      <c r="R73" s="75">
        <v>4.5</v>
      </c>
      <c r="S73" s="75">
        <v>4.5</v>
      </c>
      <c r="T73" s="75">
        <v>4.5</v>
      </c>
      <c r="U73" s="75">
        <v>4.5</v>
      </c>
      <c r="V73" s="75">
        <v>4.5</v>
      </c>
      <c r="W73" s="75">
        <v>4.5</v>
      </c>
      <c r="X73" s="75">
        <v>4.5</v>
      </c>
      <c r="Y73" s="75">
        <v>4.5</v>
      </c>
      <c r="Z73" s="75">
        <v>4.5</v>
      </c>
      <c r="AA73" s="75">
        <v>4.5</v>
      </c>
      <c r="AB73" s="75">
        <v>4.5</v>
      </c>
      <c r="AC73" s="75">
        <v>4.5</v>
      </c>
      <c r="AD73" s="75">
        <v>4.5</v>
      </c>
      <c r="AE73" s="75">
        <v>4.5</v>
      </c>
      <c r="AF73" s="75">
        <v>4.5</v>
      </c>
      <c r="AG73" s="65">
        <v>10.050000000000001</v>
      </c>
      <c r="AH73" s="48">
        <f t="shared" si="8"/>
        <v>4.5</v>
      </c>
      <c r="AI73" s="49">
        <f t="shared" si="9"/>
        <v>4.5</v>
      </c>
      <c r="AK73" s="51"/>
      <c r="AY73" s="1" t="s">
        <v>96</v>
      </c>
      <c r="AZ73" s="81">
        <f>ROUND(C91,0)</f>
        <v>57</v>
      </c>
      <c r="BA73" s="81">
        <f>D91</f>
        <v>59.4</v>
      </c>
      <c r="BB73" s="81">
        <f>E91</f>
        <v>56.2</v>
      </c>
      <c r="BC73" s="81">
        <f>F91</f>
        <v>54.7</v>
      </c>
      <c r="BD73" s="81">
        <f>G91</f>
        <v>53.6</v>
      </c>
      <c r="BE73" s="81">
        <f>I91</f>
        <v>55.6</v>
      </c>
      <c r="BF73" s="81">
        <f>K91</f>
        <v>58.8</v>
      </c>
      <c r="BG73" s="81">
        <f t="shared" ref="BG73:BP73" si="33">M91</f>
        <v>51.5</v>
      </c>
      <c r="BH73" s="81">
        <f t="shared" si="33"/>
        <v>47.8</v>
      </c>
      <c r="BI73" s="81">
        <f t="shared" si="33"/>
        <v>63.5</v>
      </c>
      <c r="BJ73" s="81">
        <f t="shared" si="33"/>
        <v>66</v>
      </c>
      <c r="BK73" s="81">
        <f t="shared" si="33"/>
        <v>69.5</v>
      </c>
      <c r="BL73" s="81">
        <f t="shared" si="33"/>
        <v>68</v>
      </c>
      <c r="BM73" s="81">
        <f t="shared" si="33"/>
        <v>52.4</v>
      </c>
      <c r="BN73" s="81">
        <f t="shared" si="33"/>
        <v>73.599999999999994</v>
      </c>
      <c r="BO73" s="81">
        <f t="shared" si="33"/>
        <v>74.8</v>
      </c>
      <c r="BP73" s="81">
        <f t="shared" si="33"/>
        <v>70.599999999999994</v>
      </c>
      <c r="BQ73" s="81">
        <f>X91</f>
        <v>64.3</v>
      </c>
      <c r="BR73" s="81">
        <f>Z91</f>
        <v>58</v>
      </c>
      <c r="BS73" s="81">
        <f>AB91</f>
        <v>41.8</v>
      </c>
      <c r="BT73" s="81">
        <f>AD91</f>
        <v>49</v>
      </c>
      <c r="BU73" s="81">
        <f>AE91</f>
        <v>48</v>
      </c>
      <c r="BV73" s="81">
        <f>AF91</f>
        <v>51</v>
      </c>
      <c r="BW73" s="81">
        <f>B91</f>
        <v>42</v>
      </c>
    </row>
    <row r="74" spans="1:75" x14ac:dyDescent="0.25">
      <c r="A74" s="64" t="s">
        <v>97</v>
      </c>
      <c r="B74" s="75">
        <v>4</v>
      </c>
      <c r="C74" s="75">
        <v>4</v>
      </c>
      <c r="D74" s="75">
        <v>4</v>
      </c>
      <c r="E74" s="75">
        <v>4</v>
      </c>
      <c r="F74" s="75">
        <v>4</v>
      </c>
      <c r="G74" s="75">
        <v>4</v>
      </c>
      <c r="H74" s="75">
        <v>4</v>
      </c>
      <c r="I74" s="75">
        <v>4</v>
      </c>
      <c r="J74" s="75">
        <v>4</v>
      </c>
      <c r="K74" s="75">
        <v>4</v>
      </c>
      <c r="L74" s="75">
        <v>4</v>
      </c>
      <c r="M74" s="75">
        <v>4</v>
      </c>
      <c r="N74" s="75">
        <v>4</v>
      </c>
      <c r="O74" s="75">
        <v>4</v>
      </c>
      <c r="P74" s="75">
        <v>4</v>
      </c>
      <c r="Q74" s="75">
        <v>4</v>
      </c>
      <c r="R74" s="75">
        <v>4</v>
      </c>
      <c r="S74" s="75">
        <v>4</v>
      </c>
      <c r="T74" s="75">
        <v>4</v>
      </c>
      <c r="U74" s="75">
        <v>4</v>
      </c>
      <c r="V74" s="75">
        <v>4</v>
      </c>
      <c r="W74" s="75">
        <v>4</v>
      </c>
      <c r="X74" s="75">
        <v>4</v>
      </c>
      <c r="Y74" s="75">
        <v>4</v>
      </c>
      <c r="Z74" s="75">
        <v>4</v>
      </c>
      <c r="AA74" s="75">
        <v>4</v>
      </c>
      <c r="AB74" s="75">
        <v>4</v>
      </c>
      <c r="AC74" s="75">
        <v>4</v>
      </c>
      <c r="AD74" s="75">
        <v>4</v>
      </c>
      <c r="AE74" s="75">
        <v>4</v>
      </c>
      <c r="AF74" s="75">
        <v>4</v>
      </c>
      <c r="AG74" s="65">
        <v>6.2</v>
      </c>
      <c r="AH74" s="48">
        <f t="shared" si="8"/>
        <v>4</v>
      </c>
      <c r="AI74" s="49">
        <f t="shared" si="9"/>
        <v>4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</row>
    <row r="75" spans="1:75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>
        <v>3.54</v>
      </c>
      <c r="W75" s="84">
        <v>3.54</v>
      </c>
      <c r="X75" s="84">
        <v>3.54</v>
      </c>
      <c r="Y75" s="84">
        <v>3.5</v>
      </c>
      <c r="Z75" s="84">
        <v>5.5</v>
      </c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8"/>
        <v>5.5</v>
      </c>
      <c r="AI75" s="49">
        <f t="shared" si="9"/>
        <v>3.5</v>
      </c>
      <c r="AK75" s="51"/>
      <c r="AZ75" s="81">
        <f>VALUE(AZ68)</f>
        <v>25</v>
      </c>
      <c r="BA75" s="81">
        <f t="shared" ref="BA75:BW75" si="34">VALUE(BA68)</f>
        <v>23.7</v>
      </c>
      <c r="BB75" s="81">
        <f t="shared" si="34"/>
        <v>21.7</v>
      </c>
      <c r="BC75" s="81">
        <f t="shared" si="34"/>
        <v>19.8</v>
      </c>
      <c r="BD75" s="81">
        <f t="shared" si="34"/>
        <v>18</v>
      </c>
      <c r="BE75" s="81">
        <f t="shared" si="34"/>
        <v>21.5</v>
      </c>
      <c r="BF75" s="81">
        <f t="shared" si="34"/>
        <v>41.2</v>
      </c>
      <c r="BG75" s="81">
        <f t="shared" si="34"/>
        <v>45.9</v>
      </c>
      <c r="BH75" s="81">
        <f t="shared" si="34"/>
        <v>46.4</v>
      </c>
      <c r="BI75" s="81">
        <f t="shared" si="34"/>
        <v>45.4</v>
      </c>
      <c r="BJ75" s="81">
        <f t="shared" si="34"/>
        <v>32.1</v>
      </c>
      <c r="BK75" s="81">
        <f t="shared" si="34"/>
        <v>53.2</v>
      </c>
      <c r="BL75" s="81">
        <f t="shared" si="34"/>
        <v>50.2</v>
      </c>
      <c r="BM75" s="81">
        <f t="shared" si="34"/>
        <v>61.4</v>
      </c>
      <c r="BN75" s="81">
        <f t="shared" si="34"/>
        <v>66.2</v>
      </c>
      <c r="BO75" s="81">
        <f t="shared" si="34"/>
        <v>66</v>
      </c>
      <c r="BP75" s="81">
        <f t="shared" si="34"/>
        <v>52.6</v>
      </c>
      <c r="BQ75" s="81">
        <f t="shared" si="34"/>
        <v>53.9</v>
      </c>
      <c r="BR75" s="81">
        <f t="shared" si="34"/>
        <v>18.899999999999999</v>
      </c>
      <c r="BS75" s="81">
        <f t="shared" si="34"/>
        <v>18.600000000000001</v>
      </c>
      <c r="BT75" s="81">
        <f t="shared" si="34"/>
        <v>25</v>
      </c>
      <c r="BU75" s="81">
        <f t="shared" si="34"/>
        <v>18</v>
      </c>
      <c r="BV75" s="81">
        <f t="shared" si="34"/>
        <v>12.7</v>
      </c>
      <c r="BW75" s="81">
        <f t="shared" si="34"/>
        <v>27</v>
      </c>
    </row>
    <row r="76" spans="1:75" ht="15.75" thickBot="1" x14ac:dyDescent="0.3">
      <c r="A76" s="86" t="s">
        <v>99</v>
      </c>
      <c r="B76" s="70">
        <f t="shared" ref="B76:AG76" si="35">SUM(B63:B75)</f>
        <v>211.43999999999997</v>
      </c>
      <c r="C76" s="70">
        <f t="shared" si="35"/>
        <v>172.43999999999997</v>
      </c>
      <c r="D76" s="70">
        <f t="shared" si="35"/>
        <v>158.23999999999998</v>
      </c>
      <c r="E76" s="70">
        <f t="shared" si="35"/>
        <v>158.23999999999998</v>
      </c>
      <c r="F76" s="70">
        <f t="shared" si="35"/>
        <v>158.23999999999998</v>
      </c>
      <c r="G76" s="70">
        <f t="shared" si="35"/>
        <v>158.23999999999998</v>
      </c>
      <c r="H76" s="70">
        <f t="shared" si="35"/>
        <v>215.14</v>
      </c>
      <c r="I76" s="70">
        <f t="shared" si="35"/>
        <v>211.73999999999998</v>
      </c>
      <c r="J76" s="70">
        <f t="shared" si="35"/>
        <v>222.53999999999996</v>
      </c>
      <c r="K76" s="70">
        <f t="shared" si="35"/>
        <v>232.94</v>
      </c>
      <c r="L76" s="70">
        <f t="shared" si="35"/>
        <v>274.34000000000003</v>
      </c>
      <c r="M76" s="70">
        <f t="shared" si="35"/>
        <v>282.94</v>
      </c>
      <c r="N76" s="70">
        <f t="shared" si="35"/>
        <v>269.94</v>
      </c>
      <c r="O76" s="70">
        <f t="shared" si="35"/>
        <v>280.34000000000003</v>
      </c>
      <c r="P76" s="70">
        <f t="shared" si="35"/>
        <v>296.44</v>
      </c>
      <c r="Q76" s="70">
        <f t="shared" si="35"/>
        <v>293.14</v>
      </c>
      <c r="R76" s="70">
        <f t="shared" si="35"/>
        <v>289.93999999999994</v>
      </c>
      <c r="S76" s="70">
        <f t="shared" si="35"/>
        <v>202.13999999999996</v>
      </c>
      <c r="T76" s="70">
        <f t="shared" si="35"/>
        <v>199.13999999999996</v>
      </c>
      <c r="U76" s="70">
        <f t="shared" si="35"/>
        <v>236.23999999999998</v>
      </c>
      <c r="V76" s="70">
        <f t="shared" si="35"/>
        <v>219.73999999999998</v>
      </c>
      <c r="W76" s="70">
        <f t="shared" si="35"/>
        <v>274.84000000000003</v>
      </c>
      <c r="X76" s="70">
        <f t="shared" si="35"/>
        <v>263.44</v>
      </c>
      <c r="Y76" s="70">
        <f>SUM(Y63:Y75)</f>
        <v>361.90000000000003</v>
      </c>
      <c r="Z76" s="70">
        <f>SUM(Z63:Z75)</f>
        <v>394.2</v>
      </c>
      <c r="AA76" s="70">
        <f t="shared" si="35"/>
        <v>392.24</v>
      </c>
      <c r="AB76" s="70">
        <f t="shared" si="35"/>
        <v>322.64</v>
      </c>
      <c r="AC76" s="70">
        <f t="shared" si="35"/>
        <v>299.64</v>
      </c>
      <c r="AD76" s="70">
        <f t="shared" si="35"/>
        <v>286.24</v>
      </c>
      <c r="AE76" s="70">
        <f t="shared" si="35"/>
        <v>261.24</v>
      </c>
      <c r="AF76" s="70">
        <f t="shared" si="35"/>
        <v>241.14</v>
      </c>
      <c r="AG76" s="71">
        <f t="shared" si="35"/>
        <v>489.91</v>
      </c>
      <c r="AH76" s="48">
        <f t="shared" si="8"/>
        <v>394.2</v>
      </c>
      <c r="AI76" s="49">
        <f t="shared" si="9"/>
        <v>158.23999999999998</v>
      </c>
      <c r="AK76" s="51"/>
      <c r="AZ76" s="81">
        <f t="shared" ref="AZ76:BW80" si="36">VALUE(AZ69)</f>
        <v>120</v>
      </c>
      <c r="BA76" s="81">
        <f t="shared" si="36"/>
        <v>114.9</v>
      </c>
      <c r="BB76" s="81">
        <f t="shared" si="36"/>
        <v>114</v>
      </c>
      <c r="BC76" s="81">
        <f t="shared" si="36"/>
        <v>109.5</v>
      </c>
      <c r="BD76" s="81">
        <f t="shared" si="36"/>
        <v>110</v>
      </c>
      <c r="BE76" s="81">
        <f t="shared" si="36"/>
        <v>121.6</v>
      </c>
      <c r="BF76" s="81">
        <f t="shared" si="36"/>
        <v>0</v>
      </c>
      <c r="BG76" s="81">
        <f t="shared" si="36"/>
        <v>0</v>
      </c>
      <c r="BH76" s="81">
        <f t="shared" si="36"/>
        <v>0</v>
      </c>
      <c r="BI76" s="81">
        <f t="shared" si="36"/>
        <v>0</v>
      </c>
      <c r="BJ76" s="81">
        <f t="shared" si="36"/>
        <v>0</v>
      </c>
      <c r="BK76" s="81">
        <f t="shared" si="36"/>
        <v>0</v>
      </c>
      <c r="BL76" s="81">
        <f t="shared" si="36"/>
        <v>0</v>
      </c>
      <c r="BM76" s="81">
        <f t="shared" si="36"/>
        <v>0</v>
      </c>
      <c r="BN76" s="81">
        <f t="shared" si="36"/>
        <v>0</v>
      </c>
      <c r="BO76" s="81">
        <f t="shared" si="36"/>
        <v>0</v>
      </c>
      <c r="BP76" s="81">
        <f t="shared" si="36"/>
        <v>0</v>
      </c>
      <c r="BQ76" s="81">
        <f t="shared" si="36"/>
        <v>0</v>
      </c>
      <c r="BR76" s="81">
        <f t="shared" si="36"/>
        <v>0</v>
      </c>
      <c r="BS76" s="81">
        <f t="shared" si="36"/>
        <v>0</v>
      </c>
      <c r="BT76" s="81">
        <f t="shared" si="36"/>
        <v>0</v>
      </c>
      <c r="BU76" s="81">
        <f t="shared" si="36"/>
        <v>0</v>
      </c>
      <c r="BV76" s="81">
        <f t="shared" si="36"/>
        <v>0</v>
      </c>
      <c r="BW76" s="81">
        <f t="shared" si="36"/>
        <v>0</v>
      </c>
    </row>
    <row r="77" spans="1:75" x14ac:dyDescent="0.25">
      <c r="A77" s="45" t="s">
        <v>100</v>
      </c>
      <c r="B77" s="46">
        <v>30</v>
      </c>
      <c r="C77" s="46">
        <v>0</v>
      </c>
      <c r="D77" s="46">
        <v>0</v>
      </c>
      <c r="E77" s="46">
        <v>0</v>
      </c>
      <c r="F77" s="46">
        <v>0</v>
      </c>
      <c r="G77" s="46">
        <v>0</v>
      </c>
      <c r="H77" s="46">
        <v>0</v>
      </c>
      <c r="I77" s="46">
        <v>0</v>
      </c>
      <c r="J77" s="46">
        <v>0</v>
      </c>
      <c r="K77" s="46">
        <v>0</v>
      </c>
      <c r="L77" s="46">
        <v>0</v>
      </c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>
        <v>30</v>
      </c>
      <c r="Z77" s="46">
        <v>55</v>
      </c>
      <c r="AA77" s="46">
        <v>55</v>
      </c>
      <c r="AB77" s="46">
        <v>55</v>
      </c>
      <c r="AC77" s="46">
        <v>40</v>
      </c>
      <c r="AD77" s="46">
        <v>30</v>
      </c>
      <c r="AE77" s="46">
        <v>30</v>
      </c>
      <c r="AF77" s="46">
        <v>30</v>
      </c>
      <c r="AG77" s="60">
        <v>60</v>
      </c>
      <c r="AH77" s="48">
        <f t="shared" si="8"/>
        <v>55</v>
      </c>
      <c r="AI77" s="49">
        <f t="shared" si="9"/>
        <v>0</v>
      </c>
      <c r="AK77" s="51"/>
      <c r="AZ77" s="81">
        <f t="shared" si="36"/>
        <v>29</v>
      </c>
      <c r="BA77" s="81">
        <f t="shared" si="36"/>
        <v>4</v>
      </c>
      <c r="BB77" s="81">
        <f t="shared" si="36"/>
        <v>31.5</v>
      </c>
      <c r="BC77" s="81">
        <f t="shared" si="36"/>
        <v>35.9</v>
      </c>
      <c r="BD77" s="81">
        <f t="shared" si="36"/>
        <v>71.8</v>
      </c>
      <c r="BE77" s="81">
        <f t="shared" si="36"/>
        <v>60.9</v>
      </c>
      <c r="BF77" s="81">
        <f t="shared" si="36"/>
        <v>351.06</v>
      </c>
      <c r="BG77" s="81">
        <f t="shared" si="36"/>
        <v>379.9</v>
      </c>
      <c r="BH77" s="81">
        <f t="shared" si="36"/>
        <v>378</v>
      </c>
      <c r="BI77" s="81">
        <f t="shared" si="36"/>
        <v>379</v>
      </c>
      <c r="BJ77" s="81">
        <f t="shared" si="36"/>
        <v>380</v>
      </c>
      <c r="BK77" s="81">
        <f t="shared" si="36"/>
        <v>372</v>
      </c>
      <c r="BL77" s="81">
        <f t="shared" si="36"/>
        <v>389.3</v>
      </c>
      <c r="BM77" s="81">
        <f t="shared" si="36"/>
        <v>452.4</v>
      </c>
      <c r="BN77" s="81">
        <f t="shared" si="36"/>
        <v>537</v>
      </c>
      <c r="BO77" s="81">
        <f t="shared" si="36"/>
        <v>518.29999999999995</v>
      </c>
      <c r="BP77" s="81">
        <f t="shared" si="36"/>
        <v>479</v>
      </c>
      <c r="BQ77" s="81">
        <f t="shared" si="36"/>
        <v>231</v>
      </c>
      <c r="BR77" s="81">
        <f t="shared" si="36"/>
        <v>0</v>
      </c>
      <c r="BS77" s="81">
        <f t="shared" si="36"/>
        <v>0</v>
      </c>
      <c r="BT77" s="81">
        <f t="shared" si="36"/>
        <v>-3.1</v>
      </c>
      <c r="BU77" s="81">
        <f t="shared" si="36"/>
        <v>52</v>
      </c>
      <c r="BV77" s="81">
        <f t="shared" si="36"/>
        <v>92</v>
      </c>
      <c r="BW77" s="81">
        <f t="shared" si="36"/>
        <v>46</v>
      </c>
    </row>
    <row r="78" spans="1:75" x14ac:dyDescent="0.25">
      <c r="A78" s="64" t="s">
        <v>101</v>
      </c>
      <c r="B78" s="75">
        <v>17.3</v>
      </c>
      <c r="C78" s="75">
        <v>0</v>
      </c>
      <c r="D78" s="75">
        <v>0</v>
      </c>
      <c r="E78" s="75">
        <v>0</v>
      </c>
      <c r="F78" s="75">
        <v>0</v>
      </c>
      <c r="G78" s="75">
        <v>0</v>
      </c>
      <c r="H78" s="75">
        <v>0</v>
      </c>
      <c r="I78" s="75">
        <v>0</v>
      </c>
      <c r="J78" s="75">
        <v>0</v>
      </c>
      <c r="K78" s="75">
        <v>0</v>
      </c>
      <c r="L78" s="75">
        <v>0</v>
      </c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>
        <v>10.6</v>
      </c>
      <c r="Z78" s="75">
        <v>26.5</v>
      </c>
      <c r="AA78" s="75">
        <v>26.5</v>
      </c>
      <c r="AB78" s="75">
        <v>19.8</v>
      </c>
      <c r="AC78" s="75">
        <v>19.8</v>
      </c>
      <c r="AD78" s="75">
        <v>19.8</v>
      </c>
      <c r="AE78" s="75">
        <v>14</v>
      </c>
      <c r="AF78" s="75">
        <v>14</v>
      </c>
      <c r="AG78" s="65">
        <v>32</v>
      </c>
      <c r="AH78" s="48">
        <f t="shared" si="8"/>
        <v>26.5</v>
      </c>
      <c r="AI78" s="49">
        <f t="shared" si="9"/>
        <v>0</v>
      </c>
      <c r="AK78" s="51"/>
      <c r="AZ78" s="81">
        <f t="shared" si="36"/>
        <v>41</v>
      </c>
      <c r="BA78" s="81">
        <f t="shared" si="36"/>
        <v>41.3</v>
      </c>
      <c r="BB78" s="81">
        <f t="shared" si="36"/>
        <v>31.6</v>
      </c>
      <c r="BC78" s="81">
        <f t="shared" si="36"/>
        <v>29.5</v>
      </c>
      <c r="BD78" s="81">
        <f t="shared" si="36"/>
        <v>28.7</v>
      </c>
      <c r="BE78" s="81">
        <f t="shared" si="36"/>
        <v>32.700000000000003</v>
      </c>
      <c r="BF78" s="81">
        <f t="shared" si="36"/>
        <v>19.2</v>
      </c>
      <c r="BG78" s="81">
        <f t="shared" si="36"/>
        <v>17.5</v>
      </c>
      <c r="BH78" s="81">
        <f t="shared" si="36"/>
        <v>36.799999999999997</v>
      </c>
      <c r="BI78" s="81">
        <f t="shared" si="36"/>
        <v>36.799999999999997</v>
      </c>
      <c r="BJ78" s="81">
        <f t="shared" si="36"/>
        <v>42.1</v>
      </c>
      <c r="BK78" s="81">
        <f t="shared" si="36"/>
        <v>46.5</v>
      </c>
      <c r="BL78" s="81">
        <f t="shared" si="36"/>
        <v>43.7</v>
      </c>
      <c r="BM78" s="81">
        <f t="shared" si="36"/>
        <v>40</v>
      </c>
      <c r="BN78" s="81">
        <f t="shared" si="36"/>
        <v>42.3</v>
      </c>
      <c r="BO78" s="81">
        <f t="shared" si="36"/>
        <v>40.700000000000003</v>
      </c>
      <c r="BP78" s="81">
        <f t="shared" si="36"/>
        <v>51</v>
      </c>
      <c r="BQ78" s="81">
        <f t="shared" si="36"/>
        <v>31.6</v>
      </c>
      <c r="BR78" s="81">
        <f t="shared" si="36"/>
        <v>0</v>
      </c>
      <c r="BS78" s="81">
        <f t="shared" si="36"/>
        <v>0</v>
      </c>
      <c r="BT78" s="81">
        <f t="shared" si="36"/>
        <v>0</v>
      </c>
      <c r="BU78" s="81">
        <f t="shared" si="36"/>
        <v>0</v>
      </c>
      <c r="BV78" s="81">
        <f t="shared" si="36"/>
        <v>0</v>
      </c>
      <c r="BW78" s="81">
        <f t="shared" si="36"/>
        <v>38</v>
      </c>
    </row>
    <row r="79" spans="1:75" ht="15.75" thickBot="1" x14ac:dyDescent="0.3">
      <c r="A79" s="83" t="s">
        <v>102</v>
      </c>
      <c r="B79" s="77">
        <v>6.3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>
        <v>3.9</v>
      </c>
      <c r="Z79" s="77">
        <v>9.6999999999999993</v>
      </c>
      <c r="AA79" s="77">
        <v>9.6999999999999993</v>
      </c>
      <c r="AB79" s="77">
        <v>7.2</v>
      </c>
      <c r="AC79" s="77">
        <v>7.2</v>
      </c>
      <c r="AD79" s="77">
        <v>7.2</v>
      </c>
      <c r="AE79" s="77">
        <v>5</v>
      </c>
      <c r="AF79" s="77">
        <v>5</v>
      </c>
      <c r="AG79" s="78">
        <v>14</v>
      </c>
      <c r="AH79" s="48">
        <f t="shared" si="8"/>
        <v>9.6999999999999993</v>
      </c>
      <c r="AI79" s="49">
        <f t="shared" si="9"/>
        <v>0</v>
      </c>
      <c r="AK79" s="51"/>
      <c r="AZ79" s="81">
        <f t="shared" si="36"/>
        <v>63</v>
      </c>
      <c r="BA79" s="81">
        <f t="shared" si="36"/>
        <v>64</v>
      </c>
      <c r="BB79" s="81">
        <f t="shared" si="36"/>
        <v>64</v>
      </c>
      <c r="BC79" s="81">
        <f t="shared" si="36"/>
        <v>63</v>
      </c>
      <c r="BD79" s="81">
        <f t="shared" si="36"/>
        <v>63.5</v>
      </c>
      <c r="BE79" s="81">
        <f t="shared" si="36"/>
        <v>65</v>
      </c>
      <c r="BF79" s="81">
        <f t="shared" si="36"/>
        <v>65</v>
      </c>
      <c r="BG79" s="81">
        <f t="shared" si="36"/>
        <v>43</v>
      </c>
      <c r="BH79" s="81">
        <f t="shared" si="36"/>
        <v>80</v>
      </c>
      <c r="BI79" s="81">
        <f t="shared" si="36"/>
        <v>146.19999999999999</v>
      </c>
      <c r="BJ79" s="81">
        <f t="shared" si="36"/>
        <v>140.5</v>
      </c>
      <c r="BK79" s="81">
        <f t="shared" si="36"/>
        <v>148</v>
      </c>
      <c r="BL79" s="81">
        <f t="shared" si="36"/>
        <v>154</v>
      </c>
      <c r="BM79" s="81">
        <f t="shared" si="36"/>
        <v>160.1</v>
      </c>
      <c r="BN79" s="81">
        <f t="shared" si="36"/>
        <v>138.19999999999999</v>
      </c>
      <c r="BO79" s="81">
        <f t="shared" si="36"/>
        <v>0</v>
      </c>
      <c r="BP79" s="81">
        <f t="shared" si="36"/>
        <v>114.8</v>
      </c>
      <c r="BQ79" s="81">
        <f t="shared" si="36"/>
        <v>103</v>
      </c>
      <c r="BR79" s="81">
        <f t="shared" si="36"/>
        <v>0</v>
      </c>
      <c r="BS79" s="81">
        <f t="shared" si="36"/>
        <v>0</v>
      </c>
      <c r="BT79" s="81">
        <f t="shared" si="36"/>
        <v>71</v>
      </c>
      <c r="BU79" s="81">
        <f t="shared" si="36"/>
        <v>0</v>
      </c>
      <c r="BV79" s="81">
        <f t="shared" si="36"/>
        <v>0</v>
      </c>
      <c r="BW79" s="81">
        <f t="shared" si="36"/>
        <v>55</v>
      </c>
    </row>
    <row r="80" spans="1:75" ht="15.75" thickBot="1" x14ac:dyDescent="0.3">
      <c r="A80" s="86" t="s">
        <v>103</v>
      </c>
      <c r="B80" s="70">
        <f t="shared" ref="B80:AF80" si="37">B77+B78+B79</f>
        <v>53.599999999999994</v>
      </c>
      <c r="C80" s="70">
        <f t="shared" si="37"/>
        <v>0</v>
      </c>
      <c r="D80" s="70">
        <f t="shared" si="37"/>
        <v>0</v>
      </c>
      <c r="E80" s="70">
        <f t="shared" si="37"/>
        <v>0</v>
      </c>
      <c r="F80" s="70">
        <f t="shared" si="37"/>
        <v>0</v>
      </c>
      <c r="G80" s="70">
        <f t="shared" si="37"/>
        <v>0</v>
      </c>
      <c r="H80" s="70">
        <f t="shared" si="37"/>
        <v>0</v>
      </c>
      <c r="I80" s="70">
        <f t="shared" si="37"/>
        <v>0</v>
      </c>
      <c r="J80" s="70">
        <f t="shared" si="37"/>
        <v>0</v>
      </c>
      <c r="K80" s="70">
        <f t="shared" si="37"/>
        <v>0</v>
      </c>
      <c r="L80" s="70">
        <f t="shared" si="37"/>
        <v>0</v>
      </c>
      <c r="M80" s="70">
        <f t="shared" si="37"/>
        <v>0</v>
      </c>
      <c r="N80" s="70">
        <f t="shared" si="37"/>
        <v>0</v>
      </c>
      <c r="O80" s="70">
        <f t="shared" si="37"/>
        <v>0</v>
      </c>
      <c r="P80" s="70">
        <f t="shared" si="37"/>
        <v>0</v>
      </c>
      <c r="Q80" s="70">
        <f t="shared" si="37"/>
        <v>0</v>
      </c>
      <c r="R80" s="70">
        <f t="shared" si="37"/>
        <v>0</v>
      </c>
      <c r="S80" s="70">
        <f t="shared" si="37"/>
        <v>0</v>
      </c>
      <c r="T80" s="70">
        <f t="shared" si="37"/>
        <v>0</v>
      </c>
      <c r="U80" s="70">
        <f t="shared" si="37"/>
        <v>0</v>
      </c>
      <c r="V80" s="70">
        <f t="shared" si="37"/>
        <v>0</v>
      </c>
      <c r="W80" s="70">
        <f t="shared" si="37"/>
        <v>0</v>
      </c>
      <c r="X80" s="70">
        <f t="shared" si="37"/>
        <v>0</v>
      </c>
      <c r="Y80" s="70">
        <f>Y77+Y78+Y79</f>
        <v>44.5</v>
      </c>
      <c r="Z80" s="70">
        <f>Z77+Z78+Z79</f>
        <v>91.2</v>
      </c>
      <c r="AA80" s="70">
        <f t="shared" si="37"/>
        <v>91.2</v>
      </c>
      <c r="AB80" s="70">
        <f t="shared" si="37"/>
        <v>82</v>
      </c>
      <c r="AC80" s="70">
        <f t="shared" si="37"/>
        <v>67</v>
      </c>
      <c r="AD80" s="70">
        <f t="shared" si="37"/>
        <v>57</v>
      </c>
      <c r="AE80" s="70">
        <f t="shared" si="37"/>
        <v>49</v>
      </c>
      <c r="AF80" s="70">
        <f t="shared" si="37"/>
        <v>49</v>
      </c>
      <c r="AG80" s="71">
        <f>SUM(AG77:AG79)</f>
        <v>106</v>
      </c>
      <c r="AH80" s="48">
        <f t="shared" si="8"/>
        <v>91.2</v>
      </c>
      <c r="AI80" s="49">
        <f t="shared" si="9"/>
        <v>0</v>
      </c>
      <c r="AK80" s="51"/>
      <c r="AZ80" s="81">
        <f t="shared" si="36"/>
        <v>57</v>
      </c>
      <c r="BA80" s="81">
        <f t="shared" si="36"/>
        <v>59.4</v>
      </c>
      <c r="BB80" s="81">
        <f t="shared" si="36"/>
        <v>56.2</v>
      </c>
      <c r="BC80" s="81">
        <f t="shared" si="36"/>
        <v>54.7</v>
      </c>
      <c r="BD80" s="81">
        <f t="shared" si="36"/>
        <v>53.6</v>
      </c>
      <c r="BE80" s="81">
        <f t="shared" si="36"/>
        <v>55.6</v>
      </c>
      <c r="BF80" s="81">
        <f t="shared" si="36"/>
        <v>58.8</v>
      </c>
      <c r="BG80" s="81">
        <f t="shared" si="36"/>
        <v>51.5</v>
      </c>
      <c r="BH80" s="81">
        <f t="shared" si="36"/>
        <v>47.8</v>
      </c>
      <c r="BI80" s="81">
        <f t="shared" si="36"/>
        <v>63.5</v>
      </c>
      <c r="BJ80" s="81">
        <f t="shared" si="36"/>
        <v>66</v>
      </c>
      <c r="BK80" s="81">
        <f t="shared" si="36"/>
        <v>69.5</v>
      </c>
      <c r="BL80" s="81">
        <f t="shared" si="36"/>
        <v>68</v>
      </c>
      <c r="BM80" s="81">
        <f t="shared" si="36"/>
        <v>52.4</v>
      </c>
      <c r="BN80" s="81">
        <f t="shared" si="36"/>
        <v>73.599999999999994</v>
      </c>
      <c r="BO80" s="81">
        <f t="shared" si="36"/>
        <v>74.8</v>
      </c>
      <c r="BP80" s="81">
        <f t="shared" si="36"/>
        <v>70.599999999999994</v>
      </c>
      <c r="BQ80" s="81">
        <f t="shared" si="36"/>
        <v>64.3</v>
      </c>
      <c r="BR80" s="81">
        <f t="shared" si="36"/>
        <v>58</v>
      </c>
      <c r="BS80" s="81">
        <f t="shared" si="36"/>
        <v>41.8</v>
      </c>
      <c r="BT80" s="81">
        <f t="shared" si="36"/>
        <v>49</v>
      </c>
      <c r="BU80" s="81">
        <f t="shared" si="36"/>
        <v>48</v>
      </c>
      <c r="BV80" s="81">
        <f t="shared" si="36"/>
        <v>51</v>
      </c>
      <c r="BW80" s="81">
        <f t="shared" si="36"/>
        <v>42</v>
      </c>
    </row>
    <row r="81" spans="1:64" x14ac:dyDescent="0.25">
      <c r="A81" s="45" t="s">
        <v>104</v>
      </c>
      <c r="B81" s="46">
        <v>27</v>
      </c>
      <c r="C81" s="46">
        <v>24.8</v>
      </c>
      <c r="D81" s="46">
        <v>23.7</v>
      </c>
      <c r="E81" s="46">
        <v>21.7</v>
      </c>
      <c r="F81" s="46">
        <v>19.8</v>
      </c>
      <c r="G81" s="46">
        <v>18</v>
      </c>
      <c r="H81" s="46">
        <v>21.5</v>
      </c>
      <c r="I81" s="46">
        <v>21.5</v>
      </c>
      <c r="J81" s="46">
        <v>41.9</v>
      </c>
      <c r="K81" s="46">
        <v>41.2</v>
      </c>
      <c r="L81" s="46">
        <v>39.200000000000003</v>
      </c>
      <c r="M81" s="46">
        <v>45.9</v>
      </c>
      <c r="N81" s="46">
        <v>46.4</v>
      </c>
      <c r="O81" s="46">
        <v>45.4</v>
      </c>
      <c r="P81" s="46">
        <v>32.1</v>
      </c>
      <c r="Q81" s="46">
        <v>53.2</v>
      </c>
      <c r="R81" s="46">
        <v>50.2</v>
      </c>
      <c r="S81" s="46">
        <v>61.4</v>
      </c>
      <c r="T81" s="46">
        <v>66.2</v>
      </c>
      <c r="U81" s="46">
        <v>66</v>
      </c>
      <c r="V81" s="46">
        <v>52.6</v>
      </c>
      <c r="W81" s="46">
        <v>57</v>
      </c>
      <c r="X81" s="46">
        <v>53.9</v>
      </c>
      <c r="Y81" s="46">
        <v>14.4</v>
      </c>
      <c r="Z81" s="46">
        <v>18.899999999999999</v>
      </c>
      <c r="AA81" s="46">
        <v>19.8</v>
      </c>
      <c r="AB81" s="46">
        <v>18.600000000000001</v>
      </c>
      <c r="AC81" s="46">
        <v>18.600000000000001</v>
      </c>
      <c r="AD81" s="46">
        <v>25</v>
      </c>
      <c r="AE81" s="46">
        <v>18</v>
      </c>
      <c r="AF81" s="46">
        <v>12.7</v>
      </c>
      <c r="AG81" s="60"/>
      <c r="AH81" s="48">
        <f t="shared" si="8"/>
        <v>66.2</v>
      </c>
      <c r="AI81" s="49">
        <f t="shared" si="9"/>
        <v>12.7</v>
      </c>
      <c r="AK81" s="51"/>
      <c r="AY81" s="81"/>
    </row>
    <row r="82" spans="1:64" x14ac:dyDescent="0.25">
      <c r="A82" s="64" t="s">
        <v>105</v>
      </c>
      <c r="B82" s="75">
        <v>0</v>
      </c>
      <c r="C82" s="75">
        <v>119.6</v>
      </c>
      <c r="D82" s="75">
        <v>114.9</v>
      </c>
      <c r="E82" s="75">
        <v>114</v>
      </c>
      <c r="F82" s="75">
        <v>109.5</v>
      </c>
      <c r="G82" s="75">
        <v>110</v>
      </c>
      <c r="H82" s="75">
        <v>118.3</v>
      </c>
      <c r="I82" s="75">
        <v>121.6</v>
      </c>
      <c r="J82" s="75">
        <v>0</v>
      </c>
      <c r="K82" s="75">
        <v>0</v>
      </c>
      <c r="L82" s="75">
        <v>0</v>
      </c>
      <c r="M82" s="75">
        <v>0</v>
      </c>
      <c r="N82" s="75">
        <v>0</v>
      </c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65"/>
      <c r="AH82" s="48">
        <f t="shared" ref="AH82:AH125" si="38">MAX(B82:AF82)</f>
        <v>121.6</v>
      </c>
      <c r="AI82" s="49">
        <f t="shared" ref="AI82:AI125" si="39">MIN(B82:AF82)</f>
        <v>0</v>
      </c>
      <c r="AK82" s="51"/>
      <c r="AY82" s="81"/>
      <c r="BF82" s="81"/>
      <c r="BG82" s="81"/>
      <c r="BH82" s="81"/>
      <c r="BI82" s="81"/>
      <c r="BJ82" s="81"/>
      <c r="BK82" s="81"/>
    </row>
    <row r="83" spans="1:64" x14ac:dyDescent="0.25">
      <c r="A83" s="64" t="s">
        <v>106</v>
      </c>
      <c r="B83" s="75">
        <v>46</v>
      </c>
      <c r="C83" s="75">
        <v>28.8</v>
      </c>
      <c r="D83" s="75">
        <v>4</v>
      </c>
      <c r="E83" s="75">
        <v>31.5</v>
      </c>
      <c r="F83" s="75">
        <v>35.9</v>
      </c>
      <c r="G83" s="75">
        <v>71.8</v>
      </c>
      <c r="H83" s="75">
        <v>61.2</v>
      </c>
      <c r="I83" s="75">
        <v>60.9</v>
      </c>
      <c r="J83" s="75">
        <v>299.60000000000002</v>
      </c>
      <c r="K83" s="75">
        <v>351.06</v>
      </c>
      <c r="L83" s="75">
        <v>347</v>
      </c>
      <c r="M83" s="75">
        <v>379.9</v>
      </c>
      <c r="N83" s="75">
        <v>378</v>
      </c>
      <c r="O83" s="75">
        <v>379</v>
      </c>
      <c r="P83" s="75">
        <v>380</v>
      </c>
      <c r="Q83" s="75">
        <v>372</v>
      </c>
      <c r="R83" s="75">
        <v>389.3</v>
      </c>
      <c r="S83" s="75">
        <v>452.4</v>
      </c>
      <c r="T83" s="75">
        <v>537</v>
      </c>
      <c r="U83" s="75">
        <v>518.29999999999995</v>
      </c>
      <c r="V83" s="75">
        <v>479</v>
      </c>
      <c r="W83" s="75">
        <v>340</v>
      </c>
      <c r="X83" s="75">
        <v>231</v>
      </c>
      <c r="Y83" s="75">
        <v>7</v>
      </c>
      <c r="Z83" s="75">
        <v>0</v>
      </c>
      <c r="AA83" s="75">
        <v>0</v>
      </c>
      <c r="AB83" s="75">
        <v>0</v>
      </c>
      <c r="AC83" s="75">
        <v>0</v>
      </c>
      <c r="AD83" s="75">
        <v>-3.1</v>
      </c>
      <c r="AE83" s="75">
        <v>52</v>
      </c>
      <c r="AF83" s="75">
        <v>92</v>
      </c>
      <c r="AG83" s="87"/>
      <c r="AH83" s="48">
        <f t="shared" si="38"/>
        <v>537</v>
      </c>
      <c r="AI83" s="49">
        <f t="shared" si="39"/>
        <v>-3.1</v>
      </c>
      <c r="AK83" s="51"/>
      <c r="AY83" s="81"/>
      <c r="BF83" s="80"/>
      <c r="BG83" s="80"/>
      <c r="BH83" s="80"/>
      <c r="BI83" s="80"/>
      <c r="BJ83" s="80"/>
      <c r="BK83" s="81"/>
    </row>
    <row r="84" spans="1:64" x14ac:dyDescent="0.25">
      <c r="A84" s="64" t="s">
        <v>107</v>
      </c>
      <c r="B84" s="75">
        <v>38</v>
      </c>
      <c r="C84" s="75">
        <v>41.3</v>
      </c>
      <c r="D84" s="75">
        <v>41.3</v>
      </c>
      <c r="E84" s="88">
        <v>31.6</v>
      </c>
      <c r="F84" s="88">
        <v>29.5</v>
      </c>
      <c r="G84" s="88">
        <v>28.7</v>
      </c>
      <c r="H84" s="88">
        <v>25.8</v>
      </c>
      <c r="I84" s="88">
        <v>32.700000000000003</v>
      </c>
      <c r="J84" s="88">
        <v>36.5</v>
      </c>
      <c r="K84" s="88">
        <v>19.2</v>
      </c>
      <c r="L84" s="88">
        <v>21.9</v>
      </c>
      <c r="M84" s="88">
        <v>17.5</v>
      </c>
      <c r="N84" s="88">
        <v>36.799999999999997</v>
      </c>
      <c r="O84" s="88">
        <v>36.799999999999997</v>
      </c>
      <c r="P84" s="88">
        <v>42.1</v>
      </c>
      <c r="Q84" s="88">
        <v>46.5</v>
      </c>
      <c r="R84" s="88">
        <v>43.7</v>
      </c>
      <c r="S84" s="88">
        <v>40</v>
      </c>
      <c r="T84" s="88">
        <v>42.3</v>
      </c>
      <c r="U84" s="88">
        <v>40.700000000000003</v>
      </c>
      <c r="V84" s="88">
        <v>51</v>
      </c>
      <c r="W84" s="88">
        <v>47</v>
      </c>
      <c r="X84" s="88">
        <v>31.6</v>
      </c>
      <c r="Y84" s="88">
        <v>0</v>
      </c>
      <c r="Z84" s="88">
        <v>0</v>
      </c>
      <c r="AA84" s="88">
        <v>0</v>
      </c>
      <c r="AB84" s="88">
        <v>0</v>
      </c>
      <c r="AC84" s="88">
        <v>0</v>
      </c>
      <c r="AD84" s="88">
        <v>0</v>
      </c>
      <c r="AE84" s="88">
        <v>0</v>
      </c>
      <c r="AF84" s="88"/>
      <c r="AG84" s="87"/>
      <c r="AH84" s="48">
        <f t="shared" si="38"/>
        <v>51</v>
      </c>
      <c r="AI84" s="49">
        <f t="shared" si="39"/>
        <v>0</v>
      </c>
      <c r="AK84" s="51"/>
      <c r="AY84" s="81"/>
      <c r="BF84" s="80"/>
      <c r="BG84" s="81">
        <f t="array" ref="BG84:BL107">TRANSPOSE(AZ68:BW73)</f>
        <v>25</v>
      </c>
      <c r="BH84" s="81">
        <v>120</v>
      </c>
      <c r="BI84" s="81">
        <v>29</v>
      </c>
      <c r="BJ84" s="81">
        <v>41</v>
      </c>
      <c r="BK84" s="81">
        <v>63</v>
      </c>
      <c r="BL84" s="81">
        <v>57</v>
      </c>
    </row>
    <row r="85" spans="1:64" x14ac:dyDescent="0.25">
      <c r="A85" s="64" t="s">
        <v>108</v>
      </c>
      <c r="B85" s="46">
        <v>55</v>
      </c>
      <c r="C85" s="46">
        <v>62.8</v>
      </c>
      <c r="D85" s="46">
        <v>64</v>
      </c>
      <c r="E85" s="46">
        <v>64</v>
      </c>
      <c r="F85" s="46">
        <v>63</v>
      </c>
      <c r="G85" s="46">
        <v>63.5</v>
      </c>
      <c r="H85" s="46">
        <v>64</v>
      </c>
      <c r="I85" s="46">
        <v>65</v>
      </c>
      <c r="J85" s="46">
        <v>65</v>
      </c>
      <c r="K85" s="46">
        <v>65</v>
      </c>
      <c r="L85" s="46">
        <v>43</v>
      </c>
      <c r="M85" s="46">
        <v>43</v>
      </c>
      <c r="N85" s="46">
        <v>80</v>
      </c>
      <c r="O85" s="46">
        <v>146.19999999999999</v>
      </c>
      <c r="P85" s="46">
        <v>140.5</v>
      </c>
      <c r="Q85" s="46">
        <v>148</v>
      </c>
      <c r="R85" s="46">
        <v>154</v>
      </c>
      <c r="S85" s="46">
        <v>160.1</v>
      </c>
      <c r="T85" s="46">
        <v>138.19999999999999</v>
      </c>
      <c r="U85" s="46">
        <v>0</v>
      </c>
      <c r="V85" s="46">
        <v>114.8</v>
      </c>
      <c r="W85" s="46">
        <v>103</v>
      </c>
      <c r="X85" s="46">
        <v>103</v>
      </c>
      <c r="Y85" s="46">
        <v>0</v>
      </c>
      <c r="Z85" s="46">
        <v>0</v>
      </c>
      <c r="AA85" s="46">
        <v>0</v>
      </c>
      <c r="AB85" s="46">
        <v>0</v>
      </c>
      <c r="AC85" s="46">
        <v>70</v>
      </c>
      <c r="AD85" s="46">
        <v>71</v>
      </c>
      <c r="AE85" s="46">
        <v>0</v>
      </c>
      <c r="AF85" s="46"/>
      <c r="AG85" s="87"/>
      <c r="AH85" s="48">
        <f t="shared" si="38"/>
        <v>160.1</v>
      </c>
      <c r="AI85" s="49">
        <f t="shared" si="39"/>
        <v>0</v>
      </c>
      <c r="AK85" s="51"/>
      <c r="AY85" s="81"/>
      <c r="BF85" s="80"/>
      <c r="BG85" s="81">
        <v>23.7</v>
      </c>
      <c r="BH85" s="81">
        <v>114.9</v>
      </c>
      <c r="BI85" s="81">
        <v>4</v>
      </c>
      <c r="BJ85" s="81">
        <v>41.3</v>
      </c>
      <c r="BK85" s="81">
        <v>64</v>
      </c>
      <c r="BL85" s="81">
        <v>59.4</v>
      </c>
    </row>
    <row r="86" spans="1:64" x14ac:dyDescent="0.25">
      <c r="A86" s="64" t="s">
        <v>109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7"/>
      <c r="AH86" s="48">
        <f t="shared" si="38"/>
        <v>0</v>
      </c>
      <c r="AI86" s="49">
        <f t="shared" si="39"/>
        <v>0</v>
      </c>
      <c r="AK86" s="51"/>
      <c r="AY86" s="81"/>
      <c r="BF86" s="80"/>
      <c r="BG86" s="81">
        <v>21.7</v>
      </c>
      <c r="BH86" s="81">
        <v>114</v>
      </c>
      <c r="BI86" s="81">
        <v>31.5</v>
      </c>
      <c r="BJ86" s="81">
        <v>31.6</v>
      </c>
      <c r="BK86" s="81">
        <v>64</v>
      </c>
      <c r="BL86" s="81">
        <v>56.2</v>
      </c>
    </row>
    <row r="87" spans="1:64" ht="15.75" thickBot="1" x14ac:dyDescent="0.3">
      <c r="A87" s="64" t="s">
        <v>110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7"/>
      <c r="AH87" s="48">
        <f t="shared" si="38"/>
        <v>0</v>
      </c>
      <c r="AI87" s="49">
        <f t="shared" si="39"/>
        <v>0</v>
      </c>
      <c r="AK87" s="51"/>
      <c r="AL87" s="90" t="s">
        <v>111</v>
      </c>
      <c r="AM87" s="90"/>
      <c r="AY87" s="81"/>
      <c r="BF87" s="81"/>
      <c r="BG87" s="81">
        <v>19.8</v>
      </c>
      <c r="BH87" s="81">
        <v>109.5</v>
      </c>
      <c r="BI87" s="81">
        <v>35.9</v>
      </c>
      <c r="BJ87" s="81">
        <v>29.5</v>
      </c>
      <c r="BK87" s="81">
        <v>63</v>
      </c>
      <c r="BL87" s="81">
        <v>54.7</v>
      </c>
    </row>
    <row r="88" spans="1:64" x14ac:dyDescent="0.25">
      <c r="A88" s="64" t="s">
        <v>112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7"/>
      <c r="AH88" s="48">
        <f t="shared" si="38"/>
        <v>0</v>
      </c>
      <c r="AI88" s="49">
        <f t="shared" si="39"/>
        <v>0</v>
      </c>
      <c r="AK88" s="91"/>
      <c r="AL88" s="92"/>
      <c r="AM88" s="92"/>
      <c r="AN88" s="93"/>
      <c r="AY88" s="81"/>
      <c r="BF88" s="81"/>
      <c r="BG88" s="81">
        <v>18</v>
      </c>
      <c r="BH88" s="81">
        <v>110</v>
      </c>
      <c r="BI88" s="81">
        <v>71.8</v>
      </c>
      <c r="BJ88" s="81">
        <v>28.7</v>
      </c>
      <c r="BK88" s="81">
        <v>63.5</v>
      </c>
      <c r="BL88" s="81">
        <v>53.6</v>
      </c>
    </row>
    <row r="89" spans="1:64" x14ac:dyDescent="0.25">
      <c r="A89" s="64" t="s">
        <v>113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7"/>
      <c r="AH89" s="48">
        <f t="shared" si="38"/>
        <v>0</v>
      </c>
      <c r="AI89" s="49">
        <f t="shared" si="39"/>
        <v>0</v>
      </c>
      <c r="AK89" s="94" t="s">
        <v>114</v>
      </c>
      <c r="AL89" s="75"/>
      <c r="AM89" s="88"/>
      <c r="AN89" s="95"/>
      <c r="AY89" s="81"/>
      <c r="BF89" s="81"/>
      <c r="BG89" s="81">
        <v>21.5</v>
      </c>
      <c r="BH89" s="81">
        <v>121.6</v>
      </c>
      <c r="BI89" s="81">
        <v>60.9</v>
      </c>
      <c r="BJ89" s="81">
        <v>32.700000000000003</v>
      </c>
      <c r="BK89" s="81">
        <v>65</v>
      </c>
      <c r="BL89" s="81">
        <v>55.6</v>
      </c>
    </row>
    <row r="90" spans="1:64" x14ac:dyDescent="0.25">
      <c r="A90" s="96" t="s">
        <v>115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97"/>
      <c r="AH90" s="48">
        <f t="shared" si="38"/>
        <v>0</v>
      </c>
      <c r="AI90" s="49">
        <f t="shared" si="39"/>
        <v>0</v>
      </c>
      <c r="AK90" s="94" t="s">
        <v>116</v>
      </c>
      <c r="AL90" s="88"/>
      <c r="AM90" s="88"/>
      <c r="AN90" s="95"/>
      <c r="AY90" s="81"/>
      <c r="BF90" s="81"/>
      <c r="BG90" s="81">
        <v>41.2</v>
      </c>
      <c r="BH90" s="81">
        <v>0</v>
      </c>
      <c r="BI90" s="81">
        <v>351.06</v>
      </c>
      <c r="BJ90" s="81">
        <v>19.2</v>
      </c>
      <c r="BK90" s="81">
        <v>65</v>
      </c>
      <c r="BL90" s="81">
        <v>58.8</v>
      </c>
    </row>
    <row r="91" spans="1:64" ht="15.75" thickBot="1" x14ac:dyDescent="0.3">
      <c r="A91" s="96" t="s">
        <v>117</v>
      </c>
      <c r="B91" s="89">
        <v>42</v>
      </c>
      <c r="C91" s="89">
        <v>56.9</v>
      </c>
      <c r="D91" s="89">
        <v>59.4</v>
      </c>
      <c r="E91" s="89">
        <v>56.2</v>
      </c>
      <c r="F91" s="89">
        <v>54.7</v>
      </c>
      <c r="G91" s="89">
        <v>53.6</v>
      </c>
      <c r="H91" s="89">
        <v>57.9</v>
      </c>
      <c r="I91" s="89">
        <v>55.6</v>
      </c>
      <c r="J91" s="89">
        <v>58.7</v>
      </c>
      <c r="K91" s="89">
        <v>58.8</v>
      </c>
      <c r="L91" s="89"/>
      <c r="M91" s="89">
        <v>51.5</v>
      </c>
      <c r="N91" s="89">
        <v>47.8</v>
      </c>
      <c r="O91" s="89">
        <v>63.5</v>
      </c>
      <c r="P91" s="89">
        <v>66</v>
      </c>
      <c r="Q91" s="89">
        <v>69.5</v>
      </c>
      <c r="R91" s="89">
        <v>68</v>
      </c>
      <c r="S91" s="89">
        <v>52.4</v>
      </c>
      <c r="T91" s="89">
        <v>73.599999999999994</v>
      </c>
      <c r="U91" s="89">
        <v>74.8</v>
      </c>
      <c r="V91" s="89">
        <v>70.599999999999994</v>
      </c>
      <c r="W91" s="89">
        <v>66</v>
      </c>
      <c r="X91" s="89">
        <v>64.3</v>
      </c>
      <c r="Y91" s="89">
        <v>48.4</v>
      </c>
      <c r="Z91" s="89">
        <v>58</v>
      </c>
      <c r="AA91" s="89">
        <v>36.1</v>
      </c>
      <c r="AB91" s="89">
        <v>41.8</v>
      </c>
      <c r="AC91" s="89">
        <v>50</v>
      </c>
      <c r="AD91" s="89">
        <v>49</v>
      </c>
      <c r="AE91" s="89">
        <v>48</v>
      </c>
      <c r="AF91" s="89">
        <v>51</v>
      </c>
      <c r="AG91" s="97"/>
      <c r="AH91" s="48">
        <f t="shared" si="38"/>
        <v>74.8</v>
      </c>
      <c r="AI91" s="49">
        <f t="shared" si="39"/>
        <v>36.1</v>
      </c>
      <c r="AK91" s="98"/>
      <c r="AL91" s="46"/>
      <c r="AM91" s="46"/>
      <c r="AN91" s="99"/>
      <c r="AY91" s="81"/>
      <c r="BF91" s="81"/>
      <c r="BG91" s="81">
        <v>45.9</v>
      </c>
      <c r="BH91" s="81">
        <v>0</v>
      </c>
      <c r="BI91" s="81">
        <v>379.9</v>
      </c>
      <c r="BJ91" s="81">
        <v>17.5</v>
      </c>
      <c r="BK91" s="81">
        <v>43</v>
      </c>
      <c r="BL91" s="81">
        <v>51.5</v>
      </c>
    </row>
    <row r="92" spans="1:64" ht="15.75" thickBot="1" x14ac:dyDescent="0.3">
      <c r="A92" s="86" t="s">
        <v>118</v>
      </c>
      <c r="B92" s="70">
        <f t="shared" ref="B92:AF92" si="40">SUMIF(B81:B91,"&gt;0")</f>
        <v>208</v>
      </c>
      <c r="C92" s="70">
        <f t="shared" si="40"/>
        <v>334.2</v>
      </c>
      <c r="D92" s="70">
        <f t="shared" si="40"/>
        <v>307.29999999999995</v>
      </c>
      <c r="E92" s="70">
        <f t="shared" si="40"/>
        <v>318.99999999999994</v>
      </c>
      <c r="F92" s="70">
        <f t="shared" si="40"/>
        <v>312.40000000000003</v>
      </c>
      <c r="G92" s="70">
        <f t="shared" si="40"/>
        <v>345.6</v>
      </c>
      <c r="H92" s="70">
        <f t="shared" si="40"/>
        <v>348.7</v>
      </c>
      <c r="I92" s="70">
        <f t="shared" si="40"/>
        <v>357.3</v>
      </c>
      <c r="J92" s="70">
        <f t="shared" si="40"/>
        <v>501.7</v>
      </c>
      <c r="K92" s="70">
        <f t="shared" si="40"/>
        <v>535.26</v>
      </c>
      <c r="L92" s="70">
        <f t="shared" si="40"/>
        <v>451.09999999999997</v>
      </c>
      <c r="M92" s="70">
        <f t="shared" si="40"/>
        <v>537.79999999999995</v>
      </c>
      <c r="N92" s="70">
        <f t="shared" si="40"/>
        <v>589</v>
      </c>
      <c r="O92" s="70">
        <f t="shared" si="40"/>
        <v>670.9</v>
      </c>
      <c r="P92" s="70">
        <f t="shared" si="40"/>
        <v>660.7</v>
      </c>
      <c r="Q92" s="70">
        <f t="shared" si="40"/>
        <v>689.2</v>
      </c>
      <c r="R92" s="70">
        <f t="shared" si="40"/>
        <v>705.2</v>
      </c>
      <c r="S92" s="70">
        <f t="shared" si="40"/>
        <v>766.3</v>
      </c>
      <c r="T92" s="70">
        <f t="shared" si="40"/>
        <v>857.30000000000007</v>
      </c>
      <c r="U92" s="70">
        <f t="shared" si="40"/>
        <v>699.8</v>
      </c>
      <c r="V92" s="70">
        <f t="shared" si="40"/>
        <v>768</v>
      </c>
      <c r="W92" s="70">
        <f t="shared" si="40"/>
        <v>613</v>
      </c>
      <c r="X92" s="70">
        <f t="shared" si="40"/>
        <v>483.8</v>
      </c>
      <c r="Y92" s="70">
        <f>SUMIF(Y81:Y91,"&gt;0")</f>
        <v>69.8</v>
      </c>
      <c r="Z92" s="70">
        <f>SUMIF(Z81:Z91,"&gt;0")</f>
        <v>76.900000000000006</v>
      </c>
      <c r="AA92" s="70">
        <f t="shared" si="40"/>
        <v>55.900000000000006</v>
      </c>
      <c r="AB92" s="70">
        <f t="shared" si="40"/>
        <v>60.4</v>
      </c>
      <c r="AC92" s="70">
        <f t="shared" si="40"/>
        <v>138.6</v>
      </c>
      <c r="AD92" s="70">
        <f t="shared" si="40"/>
        <v>145</v>
      </c>
      <c r="AE92" s="70">
        <f t="shared" si="40"/>
        <v>118</v>
      </c>
      <c r="AF92" s="70">
        <f t="shared" si="40"/>
        <v>155.69999999999999</v>
      </c>
      <c r="AG92" s="100">
        <f>SUM(AG81:AG91)</f>
        <v>0</v>
      </c>
      <c r="AH92" s="48">
        <f t="shared" si="38"/>
        <v>857.30000000000007</v>
      </c>
      <c r="AI92" s="49">
        <f t="shared" si="39"/>
        <v>55.900000000000006</v>
      </c>
      <c r="AK92" s="98"/>
      <c r="AL92" s="89"/>
      <c r="AM92" s="101"/>
      <c r="AN92" s="202"/>
      <c r="AY92" s="81"/>
      <c r="BF92" s="81"/>
      <c r="BG92" s="81">
        <v>46.4</v>
      </c>
      <c r="BH92" s="81">
        <v>0</v>
      </c>
      <c r="BI92" s="81">
        <v>378</v>
      </c>
      <c r="BJ92" s="81">
        <v>36.799999999999997</v>
      </c>
      <c r="BK92" s="81">
        <v>80</v>
      </c>
      <c r="BL92" s="81">
        <v>47.8</v>
      </c>
    </row>
    <row r="93" spans="1:64" x14ac:dyDescent="0.25">
      <c r="A93" s="45" t="s">
        <v>119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38"/>
        <v>0</v>
      </c>
      <c r="AI93" s="49">
        <f t="shared" si="39"/>
        <v>0</v>
      </c>
      <c r="AK93" s="98"/>
      <c r="AL93" s="89"/>
      <c r="AM93" s="89"/>
      <c r="AN93" s="203"/>
      <c r="BF93" s="81"/>
      <c r="BG93" s="81">
        <v>45.4</v>
      </c>
      <c r="BH93" s="81">
        <v>0</v>
      </c>
      <c r="BI93" s="81">
        <v>379</v>
      </c>
      <c r="BJ93" s="81">
        <v>36.799999999999997</v>
      </c>
      <c r="BK93" s="81">
        <v>146.19999999999999</v>
      </c>
      <c r="BL93" s="81">
        <v>63.5</v>
      </c>
    </row>
    <row r="94" spans="1:64" ht="15.75" thickBot="1" x14ac:dyDescent="0.3">
      <c r="A94" s="64" t="s">
        <v>120</v>
      </c>
      <c r="B94" s="89">
        <v>0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38"/>
        <v>0</v>
      </c>
      <c r="AI94" s="49">
        <f t="shared" si="39"/>
        <v>0</v>
      </c>
      <c r="AK94" s="103"/>
      <c r="AL94" s="104"/>
      <c r="AM94" s="104"/>
      <c r="AN94" s="105"/>
      <c r="BF94" s="81"/>
      <c r="BG94" s="81">
        <v>32.1</v>
      </c>
      <c r="BH94" s="81">
        <v>0</v>
      </c>
      <c r="BI94" s="81">
        <v>380</v>
      </c>
      <c r="BJ94" s="81">
        <v>42.1</v>
      </c>
      <c r="BK94" s="81">
        <v>140.5</v>
      </c>
      <c r="BL94" s="81">
        <v>66</v>
      </c>
    </row>
    <row r="95" spans="1:64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0</v>
      </c>
      <c r="Y95" s="106">
        <v>0</v>
      </c>
      <c r="Z95" s="106">
        <v>0</v>
      </c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38"/>
        <v>0</v>
      </c>
      <c r="AI95" s="49">
        <f t="shared" si="39"/>
        <v>0</v>
      </c>
      <c r="BF95" s="81"/>
      <c r="BG95" s="81">
        <v>53.2</v>
      </c>
      <c r="BH95" s="81">
        <v>0</v>
      </c>
      <c r="BI95" s="81">
        <v>372</v>
      </c>
      <c r="BJ95" s="81">
        <v>46.5</v>
      </c>
      <c r="BK95" s="81">
        <v>148</v>
      </c>
      <c r="BL95" s="81">
        <v>69.5</v>
      </c>
    </row>
    <row r="96" spans="1:64" ht="15.75" thickBot="1" x14ac:dyDescent="0.3">
      <c r="A96" s="86" t="s">
        <v>122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100">
        <f>SUM(AG93:AG95)</f>
        <v>55.4</v>
      </c>
      <c r="AH96" s="48">
        <f t="shared" si="38"/>
        <v>0</v>
      </c>
      <c r="AI96" s="49">
        <f t="shared" si="39"/>
        <v>0</v>
      </c>
      <c r="BF96" s="81"/>
      <c r="BG96" s="81">
        <v>50.2</v>
      </c>
      <c r="BH96" s="81">
        <v>0</v>
      </c>
      <c r="BI96" s="81">
        <v>389.3</v>
      </c>
      <c r="BJ96" s="81">
        <v>43.7</v>
      </c>
      <c r="BK96" s="81">
        <v>154</v>
      </c>
      <c r="BL96" s="81">
        <v>68</v>
      </c>
    </row>
    <row r="97" spans="1:64" ht="15.75" thickBot="1" x14ac:dyDescent="0.3">
      <c r="A97" s="86" t="s">
        <v>123</v>
      </c>
      <c r="B97" s="107">
        <f t="shared" ref="B97:AG97" si="41">B58+B62+B80+B76+B92+B96</f>
        <v>1071.19</v>
      </c>
      <c r="C97" s="107">
        <f t="shared" si="41"/>
        <v>1064.5899999999999</v>
      </c>
      <c r="D97" s="107">
        <f t="shared" si="41"/>
        <v>1025.8900000000001</v>
      </c>
      <c r="E97" s="107">
        <f t="shared" si="41"/>
        <v>1037.5900000000001</v>
      </c>
      <c r="F97" s="107">
        <f t="shared" si="41"/>
        <v>1030.9900000000002</v>
      </c>
      <c r="G97" s="107">
        <f t="shared" si="41"/>
        <v>1064.19</v>
      </c>
      <c r="H97" s="107">
        <f t="shared" si="41"/>
        <v>1126.5899999999999</v>
      </c>
      <c r="I97" s="107">
        <f t="shared" si="41"/>
        <v>1186.99</v>
      </c>
      <c r="J97" s="107">
        <f t="shared" si="41"/>
        <v>1315.99</v>
      </c>
      <c r="K97" s="107">
        <f t="shared" si="41"/>
        <v>1344.95</v>
      </c>
      <c r="L97" s="107">
        <f t="shared" si="41"/>
        <v>1311.29</v>
      </c>
      <c r="M97" s="107">
        <f t="shared" si="41"/>
        <v>1384.1899999999998</v>
      </c>
      <c r="N97" s="107">
        <f t="shared" si="41"/>
        <v>1414.59</v>
      </c>
      <c r="O97" s="107">
        <f t="shared" si="41"/>
        <v>1538.79</v>
      </c>
      <c r="P97" s="107">
        <f t="shared" si="41"/>
        <v>1524.89</v>
      </c>
      <c r="Q97" s="107">
        <f t="shared" si="41"/>
        <v>1535.9900000000002</v>
      </c>
      <c r="R97" s="107">
        <f t="shared" si="41"/>
        <v>1540.4899999999998</v>
      </c>
      <c r="S97" s="107">
        <f t="shared" si="41"/>
        <v>1513.79</v>
      </c>
      <c r="T97" s="107">
        <f t="shared" si="41"/>
        <v>1601.79</v>
      </c>
      <c r="U97" s="107">
        <f t="shared" si="41"/>
        <v>1481.3899999999999</v>
      </c>
      <c r="V97" s="107">
        <f t="shared" si="41"/>
        <v>1533.09</v>
      </c>
      <c r="W97" s="107">
        <f t="shared" si="41"/>
        <v>1559.19</v>
      </c>
      <c r="X97" s="107">
        <f t="shared" si="41"/>
        <v>1433.59</v>
      </c>
      <c r="Y97" s="107">
        <f>Y58+Y62+Y80+Y76+Y92+Y96</f>
        <v>1441.55</v>
      </c>
      <c r="Z97" s="107">
        <f>Z58+Z62+Z80+Z76+Z92+Z96</f>
        <v>1581.0500000000002</v>
      </c>
      <c r="AA97" s="107">
        <f t="shared" si="41"/>
        <v>1502.0900000000001</v>
      </c>
      <c r="AB97" s="107">
        <f t="shared" si="41"/>
        <v>1393.89</v>
      </c>
      <c r="AC97" s="107">
        <f t="shared" si="41"/>
        <v>1363.09</v>
      </c>
      <c r="AD97" s="107">
        <f t="shared" si="41"/>
        <v>1307.0900000000001</v>
      </c>
      <c r="AE97" s="107">
        <f t="shared" si="41"/>
        <v>1176.0900000000001</v>
      </c>
      <c r="AF97" s="107">
        <f t="shared" si="41"/>
        <v>1264.69</v>
      </c>
      <c r="AG97" s="71">
        <f t="shared" si="41"/>
        <v>2231.81</v>
      </c>
      <c r="AH97" s="48">
        <f t="shared" si="38"/>
        <v>1601.79</v>
      </c>
      <c r="AI97" s="49">
        <f t="shared" si="39"/>
        <v>1025.8900000000001</v>
      </c>
      <c r="BF97" s="81"/>
      <c r="BG97" s="81">
        <v>61.4</v>
      </c>
      <c r="BH97" s="81">
        <v>0</v>
      </c>
      <c r="BI97" s="81">
        <v>452.4</v>
      </c>
      <c r="BJ97" s="81">
        <v>40</v>
      </c>
      <c r="BK97" s="81">
        <v>160.1</v>
      </c>
      <c r="BL97" s="81">
        <v>52.4</v>
      </c>
    </row>
    <row r="98" spans="1:64" ht="15.75" thickBot="1" x14ac:dyDescent="0.3">
      <c r="A98" s="108" t="s">
        <v>124</v>
      </c>
      <c r="B98" s="109">
        <v>200</v>
      </c>
      <c r="C98" s="109">
        <v>200</v>
      </c>
      <c r="D98" s="109">
        <v>200</v>
      </c>
      <c r="E98" s="109">
        <v>200</v>
      </c>
      <c r="F98" s="109">
        <v>200</v>
      </c>
      <c r="G98" s="109">
        <v>200</v>
      </c>
      <c r="H98" s="109">
        <v>200</v>
      </c>
      <c r="I98" s="109">
        <v>200</v>
      </c>
      <c r="J98" s="109">
        <v>200</v>
      </c>
      <c r="K98" s="109">
        <v>200</v>
      </c>
      <c r="L98" s="109">
        <v>200</v>
      </c>
      <c r="M98" s="109">
        <v>200</v>
      </c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>
        <v>300</v>
      </c>
      <c r="Z98" s="109">
        <v>300</v>
      </c>
      <c r="AA98" s="109">
        <v>300</v>
      </c>
      <c r="AB98" s="109">
        <v>300</v>
      </c>
      <c r="AC98" s="109">
        <v>300</v>
      </c>
      <c r="AD98" s="109">
        <v>300</v>
      </c>
      <c r="AE98" s="109">
        <v>300</v>
      </c>
      <c r="AF98" s="109"/>
      <c r="AG98" s="100"/>
      <c r="AH98" s="48">
        <f t="shared" si="38"/>
        <v>300</v>
      </c>
      <c r="AI98" s="49">
        <f t="shared" si="39"/>
        <v>200</v>
      </c>
      <c r="BF98" s="81"/>
      <c r="BG98" s="81">
        <v>66.2</v>
      </c>
      <c r="BH98" s="81">
        <v>0</v>
      </c>
      <c r="BI98" s="81">
        <v>537</v>
      </c>
      <c r="BJ98" s="81">
        <v>42.3</v>
      </c>
      <c r="BK98" s="81">
        <v>138.19999999999999</v>
      </c>
      <c r="BL98" s="81">
        <v>73.599999999999994</v>
      </c>
    </row>
    <row r="99" spans="1:64" ht="15.75" thickBot="1" x14ac:dyDescent="0.3">
      <c r="A99" s="86" t="s">
        <v>125</v>
      </c>
      <c r="B99" s="107">
        <f t="shared" ref="B99:AF99" si="42">B97+B98</f>
        <v>1271.19</v>
      </c>
      <c r="C99" s="107">
        <f t="shared" si="42"/>
        <v>1264.5899999999999</v>
      </c>
      <c r="D99" s="107">
        <f t="shared" si="42"/>
        <v>1225.8900000000001</v>
      </c>
      <c r="E99" s="107">
        <f t="shared" si="42"/>
        <v>1237.5900000000001</v>
      </c>
      <c r="F99" s="107">
        <f t="shared" si="42"/>
        <v>1230.9900000000002</v>
      </c>
      <c r="G99" s="107">
        <f t="shared" si="42"/>
        <v>1264.19</v>
      </c>
      <c r="H99" s="107">
        <f t="shared" si="42"/>
        <v>1326.59</v>
      </c>
      <c r="I99" s="107">
        <f t="shared" si="42"/>
        <v>1386.99</v>
      </c>
      <c r="J99" s="107">
        <f t="shared" si="42"/>
        <v>1515.99</v>
      </c>
      <c r="K99" s="107">
        <f t="shared" si="42"/>
        <v>1544.95</v>
      </c>
      <c r="L99" s="107">
        <f t="shared" si="42"/>
        <v>1511.29</v>
      </c>
      <c r="M99" s="107">
        <f t="shared" si="42"/>
        <v>1584.1899999999998</v>
      </c>
      <c r="N99" s="107">
        <f t="shared" si="42"/>
        <v>1414.59</v>
      </c>
      <c r="O99" s="107">
        <f t="shared" si="42"/>
        <v>1538.79</v>
      </c>
      <c r="P99" s="107">
        <f t="shared" si="42"/>
        <v>1524.89</v>
      </c>
      <c r="Q99" s="107">
        <f t="shared" si="42"/>
        <v>1535.9900000000002</v>
      </c>
      <c r="R99" s="107">
        <f t="shared" si="42"/>
        <v>1540.4899999999998</v>
      </c>
      <c r="S99" s="107">
        <f t="shared" si="42"/>
        <v>1513.79</v>
      </c>
      <c r="T99" s="107">
        <f t="shared" si="42"/>
        <v>1601.79</v>
      </c>
      <c r="U99" s="107">
        <f t="shared" si="42"/>
        <v>1481.3899999999999</v>
      </c>
      <c r="V99" s="107">
        <f t="shared" si="42"/>
        <v>1533.09</v>
      </c>
      <c r="W99" s="107">
        <f t="shared" si="42"/>
        <v>1559.19</v>
      </c>
      <c r="X99" s="107">
        <f t="shared" si="42"/>
        <v>1433.59</v>
      </c>
      <c r="Y99" s="107">
        <f>Y97+Y98</f>
        <v>1741.55</v>
      </c>
      <c r="Z99" s="107">
        <f>Z97+Z98</f>
        <v>1881.0500000000002</v>
      </c>
      <c r="AA99" s="107">
        <f t="shared" si="42"/>
        <v>1802.0900000000001</v>
      </c>
      <c r="AB99" s="107">
        <f t="shared" si="42"/>
        <v>1693.89</v>
      </c>
      <c r="AC99" s="107">
        <f t="shared" si="42"/>
        <v>1663.09</v>
      </c>
      <c r="AD99" s="107">
        <f t="shared" si="42"/>
        <v>1607.0900000000001</v>
      </c>
      <c r="AE99" s="107">
        <f t="shared" si="42"/>
        <v>1476.0900000000001</v>
      </c>
      <c r="AF99" s="107">
        <f t="shared" si="42"/>
        <v>1264.69</v>
      </c>
      <c r="AG99" s="100">
        <f>AG96+AG92+AG80+AG76+AG58+AG98</f>
        <v>1693.71</v>
      </c>
      <c r="AH99" s="48">
        <f t="shared" si="38"/>
        <v>1881.0500000000002</v>
      </c>
      <c r="AI99" s="49">
        <f t="shared" si="39"/>
        <v>1225.8900000000001</v>
      </c>
      <c r="BF99" s="81"/>
      <c r="BG99" s="81">
        <v>66</v>
      </c>
      <c r="BH99" s="81">
        <v>0</v>
      </c>
      <c r="BI99" s="81">
        <v>518.29999999999995</v>
      </c>
      <c r="BJ99" s="81">
        <v>40.700000000000003</v>
      </c>
      <c r="BK99" s="81">
        <v>0</v>
      </c>
      <c r="BL99" s="81">
        <v>74.8</v>
      </c>
    </row>
    <row r="100" spans="1:64" ht="15.75" thickBot="1" x14ac:dyDescent="0.3">
      <c r="A100" s="86" t="s">
        <v>126</v>
      </c>
      <c r="B100" s="107">
        <f t="shared" ref="B100:M100" si="43">B99-(B107)</f>
        <v>1271.19</v>
      </c>
      <c r="C100" s="107">
        <f t="shared" si="43"/>
        <v>1264.5899999999999</v>
      </c>
      <c r="D100" s="107">
        <f t="shared" si="43"/>
        <v>1225.8900000000001</v>
      </c>
      <c r="E100" s="107">
        <f t="shared" si="43"/>
        <v>1237.5900000000001</v>
      </c>
      <c r="F100" s="107">
        <f t="shared" si="43"/>
        <v>1230.9900000000002</v>
      </c>
      <c r="G100" s="107">
        <f t="shared" si="43"/>
        <v>1264.19</v>
      </c>
      <c r="H100" s="107">
        <f t="shared" si="43"/>
        <v>1326.59</v>
      </c>
      <c r="I100" s="107">
        <f t="shared" si="43"/>
        <v>1386.99</v>
      </c>
      <c r="J100" s="107">
        <f t="shared" si="43"/>
        <v>1515.99</v>
      </c>
      <c r="K100" s="107">
        <f t="shared" si="43"/>
        <v>1544.95</v>
      </c>
      <c r="L100" s="107">
        <f t="shared" si="43"/>
        <v>1511.29</v>
      </c>
      <c r="M100" s="107">
        <f t="shared" si="43"/>
        <v>1584.1899999999998</v>
      </c>
      <c r="N100" s="107">
        <f>N99-(N107)</f>
        <v>1414.59</v>
      </c>
      <c r="O100" s="107">
        <f t="shared" ref="O100:AF100" si="44">O99-(O107)</f>
        <v>1538.79</v>
      </c>
      <c r="P100" s="107">
        <f t="shared" si="44"/>
        <v>1524.89</v>
      </c>
      <c r="Q100" s="107">
        <f t="shared" si="44"/>
        <v>1535.9900000000002</v>
      </c>
      <c r="R100" s="107">
        <f t="shared" si="44"/>
        <v>1540.4899999999998</v>
      </c>
      <c r="S100" s="107">
        <f t="shared" si="44"/>
        <v>1513.79</v>
      </c>
      <c r="T100" s="107">
        <f t="shared" si="44"/>
        <v>1601.79</v>
      </c>
      <c r="U100" s="107">
        <f t="shared" si="44"/>
        <v>1481.3899999999999</v>
      </c>
      <c r="V100" s="107">
        <f t="shared" si="44"/>
        <v>1533.09</v>
      </c>
      <c r="W100" s="107">
        <f t="shared" si="44"/>
        <v>1559.19</v>
      </c>
      <c r="X100" s="107">
        <f t="shared" si="44"/>
        <v>1433.59</v>
      </c>
      <c r="Y100" s="107">
        <f t="shared" si="44"/>
        <v>1741.55</v>
      </c>
      <c r="Z100" s="107">
        <f t="shared" si="44"/>
        <v>1881.0500000000002</v>
      </c>
      <c r="AA100" s="107">
        <f t="shared" si="44"/>
        <v>1802.0900000000001</v>
      </c>
      <c r="AB100" s="107">
        <f t="shared" si="44"/>
        <v>1693.89</v>
      </c>
      <c r="AC100" s="107">
        <f t="shared" si="44"/>
        <v>1663.09</v>
      </c>
      <c r="AD100" s="107">
        <f t="shared" si="44"/>
        <v>1603.9900000000002</v>
      </c>
      <c r="AE100" s="107">
        <f t="shared" si="44"/>
        <v>1476.0900000000001</v>
      </c>
      <c r="AF100" s="107">
        <f t="shared" si="44"/>
        <v>1264.69</v>
      </c>
      <c r="AG100" s="100"/>
      <c r="AH100" s="48">
        <f t="shared" si="38"/>
        <v>1881.0500000000002</v>
      </c>
      <c r="AI100" s="49">
        <f t="shared" si="39"/>
        <v>1225.8900000000001</v>
      </c>
      <c r="BF100" s="81"/>
      <c r="BG100" s="81">
        <v>52.6</v>
      </c>
      <c r="BH100" s="81">
        <v>0</v>
      </c>
      <c r="BI100" s="81">
        <v>479</v>
      </c>
      <c r="BJ100" s="81">
        <v>51</v>
      </c>
      <c r="BK100" s="81">
        <v>114.8</v>
      </c>
      <c r="BL100" s="81">
        <v>70.599999999999994</v>
      </c>
    </row>
    <row r="101" spans="1:64" x14ac:dyDescent="0.25">
      <c r="A101" s="45" t="s">
        <v>107</v>
      </c>
      <c r="B101" s="88">
        <f t="shared" ref="B101:AF101" si="45">IF(B84&lt;0,B84*-1,0)</f>
        <v>0</v>
      </c>
      <c r="C101" s="88">
        <f t="shared" si="45"/>
        <v>0</v>
      </c>
      <c r="D101" s="88">
        <f t="shared" si="45"/>
        <v>0</v>
      </c>
      <c r="E101" s="88">
        <f t="shared" si="45"/>
        <v>0</v>
      </c>
      <c r="F101" s="88">
        <f t="shared" si="45"/>
        <v>0</v>
      </c>
      <c r="G101" s="88">
        <f t="shared" si="45"/>
        <v>0</v>
      </c>
      <c r="H101" s="88">
        <f t="shared" si="45"/>
        <v>0</v>
      </c>
      <c r="I101" s="88">
        <f t="shared" si="45"/>
        <v>0</v>
      </c>
      <c r="J101" s="88">
        <f t="shared" si="45"/>
        <v>0</v>
      </c>
      <c r="K101" s="88">
        <f t="shared" si="45"/>
        <v>0</v>
      </c>
      <c r="L101" s="88">
        <f t="shared" si="45"/>
        <v>0</v>
      </c>
      <c r="M101" s="88">
        <f t="shared" si="45"/>
        <v>0</v>
      </c>
      <c r="N101" s="88">
        <f t="shared" si="45"/>
        <v>0</v>
      </c>
      <c r="O101" s="88">
        <f t="shared" si="45"/>
        <v>0</v>
      </c>
      <c r="P101" s="88">
        <f t="shared" si="45"/>
        <v>0</v>
      </c>
      <c r="Q101" s="88">
        <f t="shared" si="45"/>
        <v>0</v>
      </c>
      <c r="R101" s="88">
        <f t="shared" si="45"/>
        <v>0</v>
      </c>
      <c r="S101" s="88">
        <f t="shared" si="45"/>
        <v>0</v>
      </c>
      <c r="T101" s="88">
        <f t="shared" si="45"/>
        <v>0</v>
      </c>
      <c r="U101" s="88">
        <f t="shared" si="45"/>
        <v>0</v>
      </c>
      <c r="V101" s="88">
        <f t="shared" si="45"/>
        <v>0</v>
      </c>
      <c r="W101" s="88">
        <f t="shared" si="45"/>
        <v>0</v>
      </c>
      <c r="X101" s="88">
        <f t="shared" si="45"/>
        <v>0</v>
      </c>
      <c r="Y101" s="88">
        <f t="shared" si="45"/>
        <v>0</v>
      </c>
      <c r="Z101" s="88">
        <f t="shared" si="45"/>
        <v>0</v>
      </c>
      <c r="AA101" s="88">
        <f t="shared" si="45"/>
        <v>0</v>
      </c>
      <c r="AB101" s="88">
        <f t="shared" si="45"/>
        <v>0</v>
      </c>
      <c r="AC101" s="88">
        <f t="shared" si="45"/>
        <v>0</v>
      </c>
      <c r="AD101" s="88">
        <f t="shared" si="45"/>
        <v>0</v>
      </c>
      <c r="AE101" s="88">
        <f t="shared" si="45"/>
        <v>0</v>
      </c>
      <c r="AF101" s="88">
        <f t="shared" si="45"/>
        <v>0</v>
      </c>
      <c r="AG101" s="60"/>
      <c r="AH101" s="48">
        <f t="shared" si="38"/>
        <v>0</v>
      </c>
      <c r="AI101" s="49">
        <f t="shared" si="39"/>
        <v>0</v>
      </c>
      <c r="BF101" s="80"/>
      <c r="BG101" s="81">
        <v>53.9</v>
      </c>
      <c r="BH101" s="81">
        <v>0</v>
      </c>
      <c r="BI101" s="81">
        <v>231</v>
      </c>
      <c r="BJ101" s="81">
        <v>31.6</v>
      </c>
      <c r="BK101" s="81">
        <v>103</v>
      </c>
      <c r="BL101" s="81">
        <v>64.3</v>
      </c>
    </row>
    <row r="102" spans="1:64" x14ac:dyDescent="0.25">
      <c r="A102" s="64" t="s">
        <v>105</v>
      </c>
      <c r="B102" s="88">
        <f t="shared" ref="B102:AF102" si="46">IF(B82&lt;0,B82*-1,0)</f>
        <v>0</v>
      </c>
      <c r="C102" s="88">
        <f t="shared" si="46"/>
        <v>0</v>
      </c>
      <c r="D102" s="88">
        <f t="shared" si="46"/>
        <v>0</v>
      </c>
      <c r="E102" s="88">
        <f t="shared" si="46"/>
        <v>0</v>
      </c>
      <c r="F102" s="88">
        <f t="shared" si="46"/>
        <v>0</v>
      </c>
      <c r="G102" s="88">
        <f t="shared" si="46"/>
        <v>0</v>
      </c>
      <c r="H102" s="88">
        <f t="shared" si="46"/>
        <v>0</v>
      </c>
      <c r="I102" s="88">
        <f t="shared" si="46"/>
        <v>0</v>
      </c>
      <c r="J102" s="88">
        <f t="shared" si="46"/>
        <v>0</v>
      </c>
      <c r="K102" s="88">
        <f t="shared" si="46"/>
        <v>0</v>
      </c>
      <c r="L102" s="88">
        <f t="shared" si="46"/>
        <v>0</v>
      </c>
      <c r="M102" s="88">
        <f t="shared" si="46"/>
        <v>0</v>
      </c>
      <c r="N102" s="88">
        <f t="shared" si="46"/>
        <v>0</v>
      </c>
      <c r="O102" s="88">
        <f t="shared" si="46"/>
        <v>0</v>
      </c>
      <c r="P102" s="88">
        <f t="shared" si="46"/>
        <v>0</v>
      </c>
      <c r="Q102" s="88">
        <f t="shared" si="46"/>
        <v>0</v>
      </c>
      <c r="R102" s="88">
        <f t="shared" si="46"/>
        <v>0</v>
      </c>
      <c r="S102" s="88">
        <f t="shared" si="46"/>
        <v>0</v>
      </c>
      <c r="T102" s="88">
        <f t="shared" si="46"/>
        <v>0</v>
      </c>
      <c r="U102" s="88">
        <f t="shared" si="46"/>
        <v>0</v>
      </c>
      <c r="V102" s="88">
        <f t="shared" si="46"/>
        <v>0</v>
      </c>
      <c r="W102" s="88">
        <f t="shared" si="46"/>
        <v>0</v>
      </c>
      <c r="X102" s="88">
        <f t="shared" si="46"/>
        <v>0</v>
      </c>
      <c r="Y102" s="88">
        <f t="shared" si="46"/>
        <v>0</v>
      </c>
      <c r="Z102" s="88">
        <f t="shared" si="46"/>
        <v>0</v>
      </c>
      <c r="AA102" s="88">
        <f t="shared" si="46"/>
        <v>0</v>
      </c>
      <c r="AB102" s="88">
        <f t="shared" si="46"/>
        <v>0</v>
      </c>
      <c r="AC102" s="88">
        <f t="shared" si="46"/>
        <v>0</v>
      </c>
      <c r="AD102" s="88">
        <f t="shared" si="46"/>
        <v>0</v>
      </c>
      <c r="AE102" s="88">
        <f t="shared" si="46"/>
        <v>0</v>
      </c>
      <c r="AF102" s="88">
        <f t="shared" si="46"/>
        <v>0</v>
      </c>
      <c r="AG102" s="65"/>
      <c r="AH102" s="48">
        <f t="shared" si="38"/>
        <v>0</v>
      </c>
      <c r="AI102" s="49">
        <f t="shared" si="39"/>
        <v>0</v>
      </c>
      <c r="BF102" s="80"/>
      <c r="BG102" s="81">
        <v>18.899999999999999</v>
      </c>
      <c r="BH102" s="81">
        <v>0</v>
      </c>
      <c r="BI102" s="81">
        <v>0</v>
      </c>
      <c r="BJ102" s="81">
        <v>0</v>
      </c>
      <c r="BK102" s="81">
        <v>0</v>
      </c>
      <c r="BL102" s="81">
        <v>58</v>
      </c>
    </row>
    <row r="103" spans="1:64" x14ac:dyDescent="0.25">
      <c r="A103" s="96" t="s">
        <v>127</v>
      </c>
      <c r="B103" s="88">
        <f t="shared" ref="B103:AF103" si="47">IF(B85&lt;0,B85*-1,0)</f>
        <v>0</v>
      </c>
      <c r="C103" s="88">
        <f t="shared" si="47"/>
        <v>0</v>
      </c>
      <c r="D103" s="88">
        <f t="shared" si="47"/>
        <v>0</v>
      </c>
      <c r="E103" s="88">
        <f t="shared" si="47"/>
        <v>0</v>
      </c>
      <c r="F103" s="88">
        <f t="shared" si="47"/>
        <v>0</v>
      </c>
      <c r="G103" s="88">
        <f t="shared" si="47"/>
        <v>0</v>
      </c>
      <c r="H103" s="88">
        <f t="shared" si="47"/>
        <v>0</v>
      </c>
      <c r="I103" s="88">
        <f t="shared" si="47"/>
        <v>0</v>
      </c>
      <c r="J103" s="88">
        <f t="shared" si="47"/>
        <v>0</v>
      </c>
      <c r="K103" s="88">
        <f t="shared" si="47"/>
        <v>0</v>
      </c>
      <c r="L103" s="88">
        <f t="shared" si="47"/>
        <v>0</v>
      </c>
      <c r="M103" s="88">
        <f t="shared" si="47"/>
        <v>0</v>
      </c>
      <c r="N103" s="88">
        <f t="shared" si="47"/>
        <v>0</v>
      </c>
      <c r="O103" s="88">
        <f t="shared" si="47"/>
        <v>0</v>
      </c>
      <c r="P103" s="88">
        <f t="shared" si="47"/>
        <v>0</v>
      </c>
      <c r="Q103" s="88">
        <f t="shared" si="47"/>
        <v>0</v>
      </c>
      <c r="R103" s="88">
        <f t="shared" si="47"/>
        <v>0</v>
      </c>
      <c r="S103" s="88">
        <f t="shared" si="47"/>
        <v>0</v>
      </c>
      <c r="T103" s="88">
        <f t="shared" si="47"/>
        <v>0</v>
      </c>
      <c r="U103" s="88">
        <f t="shared" si="47"/>
        <v>0</v>
      </c>
      <c r="V103" s="88">
        <f t="shared" si="47"/>
        <v>0</v>
      </c>
      <c r="W103" s="88">
        <f t="shared" si="47"/>
        <v>0</v>
      </c>
      <c r="X103" s="88">
        <f t="shared" si="47"/>
        <v>0</v>
      </c>
      <c r="Y103" s="88">
        <f t="shared" si="47"/>
        <v>0</v>
      </c>
      <c r="Z103" s="88">
        <f t="shared" si="47"/>
        <v>0</v>
      </c>
      <c r="AA103" s="88">
        <f t="shared" si="47"/>
        <v>0</v>
      </c>
      <c r="AB103" s="88">
        <f t="shared" si="47"/>
        <v>0</v>
      </c>
      <c r="AC103" s="88">
        <f t="shared" si="47"/>
        <v>0</v>
      </c>
      <c r="AD103" s="88">
        <f t="shared" si="47"/>
        <v>0</v>
      </c>
      <c r="AE103" s="88">
        <f t="shared" si="47"/>
        <v>0</v>
      </c>
      <c r="AF103" s="88">
        <f t="shared" si="47"/>
        <v>0</v>
      </c>
      <c r="AG103" s="110"/>
      <c r="AH103" s="48">
        <f t="shared" si="38"/>
        <v>0</v>
      </c>
      <c r="AI103" s="49">
        <f t="shared" si="39"/>
        <v>0</v>
      </c>
      <c r="BF103" s="80"/>
      <c r="BG103" s="81">
        <v>18.600000000000001</v>
      </c>
      <c r="BH103" s="81">
        <v>0</v>
      </c>
      <c r="BI103" s="81">
        <v>0</v>
      </c>
      <c r="BJ103" s="81">
        <v>0</v>
      </c>
      <c r="BK103" s="81">
        <v>0</v>
      </c>
      <c r="BL103" s="81">
        <v>41.8</v>
      </c>
    </row>
    <row r="104" spans="1:64" x14ac:dyDescent="0.25">
      <c r="A104" s="96" t="s">
        <v>128</v>
      </c>
      <c r="B104" s="88">
        <f t="shared" ref="B104:AF104" si="48">IF(B83&lt;0,B83*-1,0)</f>
        <v>0</v>
      </c>
      <c r="C104" s="88">
        <f t="shared" si="48"/>
        <v>0</v>
      </c>
      <c r="D104" s="88">
        <f t="shared" si="48"/>
        <v>0</v>
      </c>
      <c r="E104" s="88">
        <f t="shared" si="48"/>
        <v>0</v>
      </c>
      <c r="F104" s="88">
        <f t="shared" si="48"/>
        <v>0</v>
      </c>
      <c r="G104" s="88">
        <f t="shared" si="48"/>
        <v>0</v>
      </c>
      <c r="H104" s="88">
        <f t="shared" si="48"/>
        <v>0</v>
      </c>
      <c r="I104" s="88">
        <f t="shared" si="48"/>
        <v>0</v>
      </c>
      <c r="J104" s="88">
        <f t="shared" si="48"/>
        <v>0</v>
      </c>
      <c r="K104" s="88">
        <f t="shared" si="48"/>
        <v>0</v>
      </c>
      <c r="L104" s="88">
        <f t="shared" si="48"/>
        <v>0</v>
      </c>
      <c r="M104" s="88">
        <f t="shared" si="48"/>
        <v>0</v>
      </c>
      <c r="N104" s="88">
        <f t="shared" si="48"/>
        <v>0</v>
      </c>
      <c r="O104" s="88">
        <f t="shared" si="48"/>
        <v>0</v>
      </c>
      <c r="P104" s="88">
        <f t="shared" si="48"/>
        <v>0</v>
      </c>
      <c r="Q104" s="88">
        <f t="shared" si="48"/>
        <v>0</v>
      </c>
      <c r="R104" s="88">
        <f t="shared" si="48"/>
        <v>0</v>
      </c>
      <c r="S104" s="88">
        <f t="shared" si="48"/>
        <v>0</v>
      </c>
      <c r="T104" s="88">
        <f t="shared" si="48"/>
        <v>0</v>
      </c>
      <c r="U104" s="88">
        <f t="shared" si="48"/>
        <v>0</v>
      </c>
      <c r="V104" s="88">
        <f t="shared" si="48"/>
        <v>0</v>
      </c>
      <c r="W104" s="88">
        <f t="shared" si="48"/>
        <v>0</v>
      </c>
      <c r="X104" s="88">
        <f t="shared" si="48"/>
        <v>0</v>
      </c>
      <c r="Y104" s="88">
        <f t="shared" si="48"/>
        <v>0</v>
      </c>
      <c r="Z104" s="88">
        <f t="shared" si="48"/>
        <v>0</v>
      </c>
      <c r="AA104" s="88">
        <f t="shared" si="48"/>
        <v>0</v>
      </c>
      <c r="AB104" s="88">
        <f t="shared" si="48"/>
        <v>0</v>
      </c>
      <c r="AC104" s="88">
        <f t="shared" si="48"/>
        <v>0</v>
      </c>
      <c r="AD104" s="88">
        <f t="shared" si="48"/>
        <v>3.1</v>
      </c>
      <c r="AE104" s="88">
        <f t="shared" si="48"/>
        <v>0</v>
      </c>
      <c r="AF104" s="88">
        <f t="shared" si="48"/>
        <v>0</v>
      </c>
      <c r="AG104" s="110"/>
      <c r="AH104" s="48">
        <f t="shared" si="38"/>
        <v>3.1</v>
      </c>
      <c r="AI104" s="49">
        <f t="shared" si="39"/>
        <v>0</v>
      </c>
      <c r="BF104" s="80"/>
      <c r="BG104" s="81">
        <v>25</v>
      </c>
      <c r="BH104" s="81">
        <v>0</v>
      </c>
      <c r="BI104" s="81">
        <v>-3.1</v>
      </c>
      <c r="BJ104" s="81">
        <v>0</v>
      </c>
      <c r="BK104" s="81">
        <v>71</v>
      </c>
      <c r="BL104" s="81">
        <v>49</v>
      </c>
    </row>
    <row r="105" spans="1:64" x14ac:dyDescent="0.25">
      <c r="A105" s="96" t="s">
        <v>104</v>
      </c>
      <c r="B105" s="88">
        <f t="shared" ref="B105:AF105" si="49">IF(B81&lt;0,B81*-1,0)</f>
        <v>0</v>
      </c>
      <c r="C105" s="88">
        <f t="shared" si="49"/>
        <v>0</v>
      </c>
      <c r="D105" s="88">
        <f t="shared" si="49"/>
        <v>0</v>
      </c>
      <c r="E105" s="88">
        <f t="shared" si="49"/>
        <v>0</v>
      </c>
      <c r="F105" s="88">
        <f t="shared" si="49"/>
        <v>0</v>
      </c>
      <c r="G105" s="88">
        <f t="shared" si="49"/>
        <v>0</v>
      </c>
      <c r="H105" s="88">
        <f t="shared" si="49"/>
        <v>0</v>
      </c>
      <c r="I105" s="88">
        <f t="shared" si="49"/>
        <v>0</v>
      </c>
      <c r="J105" s="88">
        <f t="shared" si="49"/>
        <v>0</v>
      </c>
      <c r="K105" s="88">
        <f t="shared" si="49"/>
        <v>0</v>
      </c>
      <c r="L105" s="88">
        <f t="shared" si="49"/>
        <v>0</v>
      </c>
      <c r="M105" s="88">
        <f t="shared" si="49"/>
        <v>0</v>
      </c>
      <c r="N105" s="88">
        <f t="shared" si="49"/>
        <v>0</v>
      </c>
      <c r="O105" s="88">
        <f t="shared" si="49"/>
        <v>0</v>
      </c>
      <c r="P105" s="88">
        <f t="shared" si="49"/>
        <v>0</v>
      </c>
      <c r="Q105" s="88">
        <f t="shared" si="49"/>
        <v>0</v>
      </c>
      <c r="R105" s="88">
        <f t="shared" si="49"/>
        <v>0</v>
      </c>
      <c r="S105" s="88">
        <f t="shared" si="49"/>
        <v>0</v>
      </c>
      <c r="T105" s="88">
        <f t="shared" si="49"/>
        <v>0</v>
      </c>
      <c r="U105" s="88">
        <f t="shared" si="49"/>
        <v>0</v>
      </c>
      <c r="V105" s="88">
        <f t="shared" si="49"/>
        <v>0</v>
      </c>
      <c r="W105" s="88">
        <f t="shared" si="49"/>
        <v>0</v>
      </c>
      <c r="X105" s="88">
        <f t="shared" si="49"/>
        <v>0</v>
      </c>
      <c r="Y105" s="88">
        <f t="shared" si="49"/>
        <v>0</v>
      </c>
      <c r="Z105" s="88">
        <f t="shared" si="49"/>
        <v>0</v>
      </c>
      <c r="AA105" s="88">
        <f t="shared" si="49"/>
        <v>0</v>
      </c>
      <c r="AB105" s="88">
        <f t="shared" si="49"/>
        <v>0</v>
      </c>
      <c r="AC105" s="88">
        <f t="shared" si="49"/>
        <v>0</v>
      </c>
      <c r="AD105" s="88">
        <f t="shared" si="49"/>
        <v>0</v>
      </c>
      <c r="AE105" s="88">
        <f t="shared" si="49"/>
        <v>0</v>
      </c>
      <c r="AF105" s="88">
        <f t="shared" si="49"/>
        <v>0</v>
      </c>
      <c r="AG105" s="110"/>
      <c r="AH105" s="48">
        <f t="shared" si="38"/>
        <v>0</v>
      </c>
      <c r="AI105" s="49">
        <f t="shared" si="39"/>
        <v>0</v>
      </c>
      <c r="BF105" s="80"/>
      <c r="BG105" s="81">
        <v>18</v>
      </c>
      <c r="BH105" s="81">
        <v>0</v>
      </c>
      <c r="BI105" s="81">
        <v>52</v>
      </c>
      <c r="BJ105" s="81">
        <v>0</v>
      </c>
      <c r="BK105" s="81">
        <v>0</v>
      </c>
      <c r="BL105" s="81">
        <v>48</v>
      </c>
    </row>
    <row r="106" spans="1:64" ht="15.75" thickBot="1" x14ac:dyDescent="0.3">
      <c r="A106" s="96" t="s">
        <v>129</v>
      </c>
      <c r="B106" s="106">
        <v>0</v>
      </c>
      <c r="C106" s="106">
        <v>0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0</v>
      </c>
      <c r="Y106" s="106">
        <v>0</v>
      </c>
      <c r="Z106" s="106">
        <v>0</v>
      </c>
      <c r="AA106" s="106">
        <v>0</v>
      </c>
      <c r="AB106" s="106">
        <v>0</v>
      </c>
      <c r="AC106" s="106">
        <v>0</v>
      </c>
      <c r="AD106" s="106">
        <v>0</v>
      </c>
      <c r="AE106" s="106">
        <v>0</v>
      </c>
      <c r="AF106" s="106">
        <v>0</v>
      </c>
      <c r="AG106" s="97"/>
      <c r="AH106" s="48">
        <f t="shared" si="38"/>
        <v>0</v>
      </c>
      <c r="AI106" s="49">
        <f t="shared" si="39"/>
        <v>0</v>
      </c>
      <c r="BG106" s="81">
        <v>12.7</v>
      </c>
      <c r="BH106" s="81">
        <v>0</v>
      </c>
      <c r="BI106" s="81">
        <v>92</v>
      </c>
      <c r="BJ106" s="81">
        <v>0</v>
      </c>
      <c r="BK106" s="81">
        <v>0</v>
      </c>
      <c r="BL106" s="81">
        <v>51</v>
      </c>
    </row>
    <row r="107" spans="1:64" ht="15.75" thickBot="1" x14ac:dyDescent="0.3">
      <c r="A107" s="111" t="s">
        <v>130</v>
      </c>
      <c r="B107" s="70">
        <f t="shared" ref="B107:C107" si="50">SUM(B101:B106)</f>
        <v>0</v>
      </c>
      <c r="C107" s="70">
        <f t="shared" si="50"/>
        <v>0</v>
      </c>
      <c r="D107" s="70">
        <f t="shared" ref="D107:AF107" si="51">SUM(D101:D106)</f>
        <v>0</v>
      </c>
      <c r="E107" s="70">
        <f t="shared" si="51"/>
        <v>0</v>
      </c>
      <c r="F107" s="70">
        <f t="shared" si="51"/>
        <v>0</v>
      </c>
      <c r="G107" s="70">
        <f t="shared" si="51"/>
        <v>0</v>
      </c>
      <c r="H107" s="70">
        <f t="shared" si="51"/>
        <v>0</v>
      </c>
      <c r="I107" s="70">
        <f t="shared" si="51"/>
        <v>0</v>
      </c>
      <c r="J107" s="70">
        <f t="shared" si="51"/>
        <v>0</v>
      </c>
      <c r="K107" s="70">
        <f t="shared" si="51"/>
        <v>0</v>
      </c>
      <c r="L107" s="70">
        <f t="shared" si="51"/>
        <v>0</v>
      </c>
      <c r="M107" s="70">
        <f t="shared" si="51"/>
        <v>0</v>
      </c>
      <c r="N107" s="70">
        <f t="shared" si="51"/>
        <v>0</v>
      </c>
      <c r="O107" s="70">
        <f t="shared" si="51"/>
        <v>0</v>
      </c>
      <c r="P107" s="70">
        <f t="shared" si="51"/>
        <v>0</v>
      </c>
      <c r="Q107" s="70">
        <f t="shared" si="51"/>
        <v>0</v>
      </c>
      <c r="R107" s="70">
        <f t="shared" si="51"/>
        <v>0</v>
      </c>
      <c r="S107" s="70">
        <f t="shared" si="51"/>
        <v>0</v>
      </c>
      <c r="T107" s="70">
        <f t="shared" si="51"/>
        <v>0</v>
      </c>
      <c r="U107" s="70">
        <f t="shared" si="51"/>
        <v>0</v>
      </c>
      <c r="V107" s="70">
        <f t="shared" si="51"/>
        <v>0</v>
      </c>
      <c r="W107" s="70">
        <f t="shared" si="51"/>
        <v>0</v>
      </c>
      <c r="X107" s="70">
        <f t="shared" si="51"/>
        <v>0</v>
      </c>
      <c r="Y107" s="70">
        <f t="shared" si="51"/>
        <v>0</v>
      </c>
      <c r="Z107" s="70">
        <f t="shared" si="51"/>
        <v>0</v>
      </c>
      <c r="AA107" s="70">
        <f t="shared" si="51"/>
        <v>0</v>
      </c>
      <c r="AB107" s="70">
        <f t="shared" si="51"/>
        <v>0</v>
      </c>
      <c r="AC107" s="70">
        <f t="shared" si="51"/>
        <v>0</v>
      </c>
      <c r="AD107" s="70">
        <f t="shared" si="51"/>
        <v>3.1</v>
      </c>
      <c r="AE107" s="70">
        <f t="shared" si="51"/>
        <v>0</v>
      </c>
      <c r="AF107" s="70">
        <f t="shared" si="51"/>
        <v>0</v>
      </c>
      <c r="AG107" s="100"/>
      <c r="AH107" s="48">
        <f t="shared" si="38"/>
        <v>3.1</v>
      </c>
      <c r="AI107" s="49">
        <f t="shared" si="39"/>
        <v>0</v>
      </c>
      <c r="AK107" s="51"/>
      <c r="BG107" s="81">
        <v>27</v>
      </c>
      <c r="BH107" s="81">
        <v>0</v>
      </c>
      <c r="BI107" s="81">
        <v>46</v>
      </c>
      <c r="BJ107" s="81">
        <v>38</v>
      </c>
      <c r="BK107" s="81">
        <v>55</v>
      </c>
      <c r="BL107" s="81">
        <v>42</v>
      </c>
    </row>
    <row r="108" spans="1:64" ht="15.75" thickBot="1" x14ac:dyDescent="0.3">
      <c r="A108" s="86" t="s">
        <v>131</v>
      </c>
      <c r="B108" s="70">
        <f t="shared" ref="B108:AF108" si="52">B92-B107</f>
        <v>208</v>
      </c>
      <c r="C108" s="70">
        <f t="shared" si="52"/>
        <v>334.2</v>
      </c>
      <c r="D108" s="70">
        <f t="shared" si="52"/>
        <v>307.29999999999995</v>
      </c>
      <c r="E108" s="70">
        <f t="shared" si="52"/>
        <v>318.99999999999994</v>
      </c>
      <c r="F108" s="70">
        <f t="shared" si="52"/>
        <v>312.40000000000003</v>
      </c>
      <c r="G108" s="70">
        <f t="shared" si="52"/>
        <v>345.6</v>
      </c>
      <c r="H108" s="70">
        <f t="shared" si="52"/>
        <v>348.7</v>
      </c>
      <c r="I108" s="70">
        <f t="shared" si="52"/>
        <v>357.3</v>
      </c>
      <c r="J108" s="70">
        <f t="shared" si="52"/>
        <v>501.7</v>
      </c>
      <c r="K108" s="70">
        <f t="shared" si="52"/>
        <v>535.26</v>
      </c>
      <c r="L108" s="70">
        <f t="shared" si="52"/>
        <v>451.09999999999997</v>
      </c>
      <c r="M108" s="70">
        <f t="shared" si="52"/>
        <v>537.79999999999995</v>
      </c>
      <c r="N108" s="70">
        <f t="shared" si="52"/>
        <v>589</v>
      </c>
      <c r="O108" s="70">
        <f t="shared" si="52"/>
        <v>670.9</v>
      </c>
      <c r="P108" s="70">
        <f t="shared" si="52"/>
        <v>660.7</v>
      </c>
      <c r="Q108" s="70">
        <f t="shared" si="52"/>
        <v>689.2</v>
      </c>
      <c r="R108" s="70">
        <f t="shared" si="52"/>
        <v>705.2</v>
      </c>
      <c r="S108" s="70">
        <f t="shared" si="52"/>
        <v>766.3</v>
      </c>
      <c r="T108" s="70">
        <f t="shared" si="52"/>
        <v>857.30000000000007</v>
      </c>
      <c r="U108" s="70">
        <f t="shared" si="52"/>
        <v>699.8</v>
      </c>
      <c r="V108" s="70">
        <f t="shared" si="52"/>
        <v>768</v>
      </c>
      <c r="W108" s="70">
        <f t="shared" si="52"/>
        <v>613</v>
      </c>
      <c r="X108" s="70">
        <f t="shared" si="52"/>
        <v>483.8</v>
      </c>
      <c r="Y108" s="70">
        <f>Y92-Y107</f>
        <v>69.8</v>
      </c>
      <c r="Z108" s="70">
        <f>Z92-Z107</f>
        <v>76.900000000000006</v>
      </c>
      <c r="AA108" s="70">
        <f t="shared" si="52"/>
        <v>55.900000000000006</v>
      </c>
      <c r="AB108" s="70">
        <f t="shared" si="52"/>
        <v>60.4</v>
      </c>
      <c r="AC108" s="70">
        <f t="shared" si="52"/>
        <v>138.6</v>
      </c>
      <c r="AD108" s="70">
        <f t="shared" si="52"/>
        <v>141.9</v>
      </c>
      <c r="AE108" s="70">
        <f t="shared" si="52"/>
        <v>118</v>
      </c>
      <c r="AF108" s="70">
        <f t="shared" si="52"/>
        <v>155.69999999999999</v>
      </c>
      <c r="AG108" s="100"/>
      <c r="AH108" s="48">
        <f t="shared" si="38"/>
        <v>857.30000000000007</v>
      </c>
      <c r="AI108" s="49">
        <f t="shared" si="39"/>
        <v>55.900000000000006</v>
      </c>
    </row>
    <row r="109" spans="1:64" x14ac:dyDescent="0.25">
      <c r="A109" s="112" t="s">
        <v>132</v>
      </c>
      <c r="B109" s="113">
        <v>50.012999999999998</v>
      </c>
      <c r="C109" s="113">
        <v>49.972999999999999</v>
      </c>
      <c r="D109" s="113">
        <v>50.02</v>
      </c>
      <c r="E109" s="113">
        <v>49.942999999999998</v>
      </c>
      <c r="F109" s="113">
        <v>49.993000000000002</v>
      </c>
      <c r="G109" s="113">
        <v>50.027000000000001</v>
      </c>
      <c r="H109" s="113">
        <v>49.945</v>
      </c>
      <c r="I109" s="113">
        <v>49.959000000000003</v>
      </c>
      <c r="J109" s="113">
        <v>49.945</v>
      </c>
      <c r="K109" s="113">
        <v>50.041499999999999</v>
      </c>
      <c r="L109" s="113">
        <v>50.125</v>
      </c>
      <c r="M109" s="113">
        <v>50.063000000000002</v>
      </c>
      <c r="N109" s="113">
        <v>49.95</v>
      </c>
      <c r="O109" s="113">
        <v>50.023000000000003</v>
      </c>
      <c r="P109" s="113">
        <v>50.052</v>
      </c>
      <c r="Q109" s="113">
        <v>50.026000000000003</v>
      </c>
      <c r="R109" s="113">
        <v>49.96</v>
      </c>
      <c r="S109" s="113">
        <v>49.933999999999997</v>
      </c>
      <c r="T109" s="113">
        <v>49.878</v>
      </c>
      <c r="U109" s="113">
        <v>49.9</v>
      </c>
      <c r="V109" s="113">
        <v>49.976999999999997</v>
      </c>
      <c r="W109" s="113">
        <v>50</v>
      </c>
      <c r="X109" s="113">
        <v>50.029000000000003</v>
      </c>
      <c r="Y109" s="113">
        <v>50.055999999999997</v>
      </c>
      <c r="Z109" s="113">
        <v>49.970999999999997</v>
      </c>
      <c r="AA109" s="113">
        <v>50.026000000000003</v>
      </c>
      <c r="AB109" s="113">
        <v>50.045000000000002</v>
      </c>
      <c r="AC109" s="113">
        <v>50.012999999999998</v>
      </c>
      <c r="AD109" s="113">
        <v>50.012999999999998</v>
      </c>
      <c r="AE109" s="113">
        <v>49.994999999999997</v>
      </c>
      <c r="AF109" s="113">
        <v>49.872999999999998</v>
      </c>
      <c r="AG109" s="114"/>
      <c r="AH109" s="48">
        <f t="shared" si="38"/>
        <v>50.125</v>
      </c>
      <c r="AI109" s="49">
        <f t="shared" si="39"/>
        <v>49.872999999999998</v>
      </c>
    </row>
    <row r="110" spans="1:64" x14ac:dyDescent="0.25">
      <c r="A110" s="115" t="s">
        <v>133</v>
      </c>
      <c r="B110" s="75">
        <v>132.4</v>
      </c>
      <c r="C110" s="75">
        <v>132</v>
      </c>
      <c r="D110" s="75">
        <v>132.1</v>
      </c>
      <c r="E110" s="75">
        <v>132.1</v>
      </c>
      <c r="F110" s="75">
        <v>132.1</v>
      </c>
      <c r="G110" s="75">
        <v>132</v>
      </c>
      <c r="H110" s="75">
        <v>131</v>
      </c>
      <c r="I110" s="75">
        <v>131</v>
      </c>
      <c r="J110" s="75">
        <v>127.9</v>
      </c>
      <c r="K110" s="75">
        <v>126.9</v>
      </c>
      <c r="L110" s="75">
        <v>126.9</v>
      </c>
      <c r="M110" s="75">
        <v>125.2</v>
      </c>
      <c r="N110" s="75">
        <v>127.2</v>
      </c>
      <c r="O110" s="75">
        <v>125.9</v>
      </c>
      <c r="P110" s="75">
        <v>126.3</v>
      </c>
      <c r="Q110" s="75">
        <v>127.3</v>
      </c>
      <c r="R110" s="75">
        <v>128.5</v>
      </c>
      <c r="S110" s="75">
        <v>126.6</v>
      </c>
      <c r="T110" s="75">
        <v>124.2</v>
      </c>
      <c r="U110" s="75">
        <v>126.7</v>
      </c>
      <c r="V110" s="75">
        <v>125.7</v>
      </c>
      <c r="W110" s="75">
        <v>127.3</v>
      </c>
      <c r="X110" s="75">
        <v>129.19999999999999</v>
      </c>
      <c r="Y110" s="75">
        <v>125.8</v>
      </c>
      <c r="Z110" s="75">
        <v>126.6</v>
      </c>
      <c r="AA110" s="75">
        <v>126.7</v>
      </c>
      <c r="AB110" s="75">
        <v>127.6</v>
      </c>
      <c r="AC110" s="75">
        <v>131.5</v>
      </c>
      <c r="AD110" s="75">
        <v>131.5</v>
      </c>
      <c r="AE110" s="75">
        <v>129.30000000000001</v>
      </c>
      <c r="AF110" s="75">
        <v>129.30000000000001</v>
      </c>
      <c r="AG110" s="116"/>
      <c r="AH110" s="48">
        <f t="shared" si="38"/>
        <v>132.4</v>
      </c>
      <c r="AI110" s="49">
        <f t="shared" si="39"/>
        <v>124.2</v>
      </c>
    </row>
    <row r="111" spans="1:64" x14ac:dyDescent="0.25">
      <c r="A111" s="115" t="s">
        <v>134</v>
      </c>
      <c r="B111" s="75">
        <v>135.5</v>
      </c>
      <c r="C111" s="75">
        <v>135.5</v>
      </c>
      <c r="D111" s="75">
        <v>135.5</v>
      </c>
      <c r="E111" s="75">
        <v>135.5</v>
      </c>
      <c r="F111" s="75">
        <v>135.5</v>
      </c>
      <c r="G111" s="75">
        <v>135</v>
      </c>
      <c r="H111" s="75">
        <v>134</v>
      </c>
      <c r="I111" s="75">
        <v>134</v>
      </c>
      <c r="J111" s="75">
        <v>134</v>
      </c>
      <c r="K111" s="75">
        <v>129</v>
      </c>
      <c r="L111" s="75">
        <v>129</v>
      </c>
      <c r="M111" s="75">
        <v>128</v>
      </c>
      <c r="N111" s="75">
        <v>129.4</v>
      </c>
      <c r="O111" s="75">
        <v>127.8</v>
      </c>
      <c r="P111" s="75">
        <v>128.30000000000001</v>
      </c>
      <c r="Q111" s="75">
        <v>129.5</v>
      </c>
      <c r="R111" s="75">
        <v>130.5</v>
      </c>
      <c r="S111" s="75">
        <v>128.80000000000001</v>
      </c>
      <c r="T111" s="75">
        <v>126.6</v>
      </c>
      <c r="U111" s="75">
        <v>129.69999999999999</v>
      </c>
      <c r="V111" s="75">
        <v>128.5</v>
      </c>
      <c r="W111" s="75">
        <v>129.6</v>
      </c>
      <c r="X111" s="75">
        <v>131.5</v>
      </c>
      <c r="Y111" s="75">
        <v>129.19999999999999</v>
      </c>
      <c r="Z111" s="75">
        <v>129.4</v>
      </c>
      <c r="AA111" s="75">
        <v>129.30000000000001</v>
      </c>
      <c r="AB111" s="75">
        <v>130.74</v>
      </c>
      <c r="AC111" s="75">
        <v>133.5</v>
      </c>
      <c r="AD111" s="75">
        <v>133.5</v>
      </c>
      <c r="AE111" s="75">
        <v>133.30000000000001</v>
      </c>
      <c r="AF111" s="75">
        <v>133.6</v>
      </c>
      <c r="AG111" s="116"/>
      <c r="AH111" s="48">
        <f t="shared" si="38"/>
        <v>135.5</v>
      </c>
      <c r="AI111" s="49">
        <f t="shared" si="39"/>
        <v>126.6</v>
      </c>
    </row>
    <row r="112" spans="1:64" x14ac:dyDescent="0.25">
      <c r="A112" s="115" t="s">
        <v>135</v>
      </c>
      <c r="B112" s="75">
        <v>131.30000000000001</v>
      </c>
      <c r="C112" s="75">
        <v>131.4</v>
      </c>
      <c r="D112" s="75">
        <v>131.9</v>
      </c>
      <c r="E112" s="75">
        <v>131.9</v>
      </c>
      <c r="F112" s="75">
        <v>131.9</v>
      </c>
      <c r="G112" s="75">
        <v>134.5</v>
      </c>
      <c r="H112" s="75">
        <v>131.9</v>
      </c>
      <c r="I112" s="75">
        <v>131.9</v>
      </c>
      <c r="J112" s="75">
        <v>131.9</v>
      </c>
      <c r="K112" s="75">
        <v>128.69999999999999</v>
      </c>
      <c r="L112" s="75">
        <v>128.69999999999999</v>
      </c>
      <c r="M112" s="75">
        <v>127.5</v>
      </c>
      <c r="N112" s="75">
        <v>123.3</v>
      </c>
      <c r="O112" s="75">
        <v>125.1</v>
      </c>
      <c r="P112" s="75">
        <v>126.7</v>
      </c>
      <c r="Q112" s="75">
        <v>128.30000000000001</v>
      </c>
      <c r="R112" s="75">
        <v>127</v>
      </c>
      <c r="S112" s="75">
        <v>125.2</v>
      </c>
      <c r="T112" s="75">
        <v>123.5</v>
      </c>
      <c r="U112" s="75">
        <v>129.1</v>
      </c>
      <c r="V112" s="75">
        <v>127.6</v>
      </c>
      <c r="W112" s="75">
        <v>125.8</v>
      </c>
      <c r="X112" s="75">
        <v>128</v>
      </c>
      <c r="Y112" s="75">
        <v>126.3</v>
      </c>
      <c r="Z112" s="75">
        <v>128</v>
      </c>
      <c r="AA112" s="75">
        <v>130.4</v>
      </c>
      <c r="AB112" s="75">
        <v>129.19999999999999</v>
      </c>
      <c r="AC112" s="75">
        <v>131.69999999999999</v>
      </c>
      <c r="AD112" s="75">
        <v>131.69999999999999</v>
      </c>
      <c r="AE112" s="75">
        <v>132.6</v>
      </c>
      <c r="AF112" s="75">
        <v>131.80000000000001</v>
      </c>
      <c r="AG112" s="116"/>
      <c r="AH112" s="48">
        <f t="shared" si="38"/>
        <v>134.5</v>
      </c>
      <c r="AI112" s="49">
        <f t="shared" si="39"/>
        <v>123.3</v>
      </c>
    </row>
    <row r="113" spans="1:35" x14ac:dyDescent="0.25">
      <c r="A113" s="117" t="s">
        <v>136</v>
      </c>
      <c r="B113" s="75">
        <v>131.80000000000001</v>
      </c>
      <c r="C113" s="75">
        <v>131.19999999999999</v>
      </c>
      <c r="D113" s="75">
        <v>131.80000000000001</v>
      </c>
      <c r="E113" s="75">
        <v>131.80000000000001</v>
      </c>
      <c r="F113" s="75">
        <v>131.80000000000001</v>
      </c>
      <c r="G113" s="75">
        <v>134</v>
      </c>
      <c r="H113" s="75">
        <v>130.80000000000001</v>
      </c>
      <c r="I113" s="75">
        <v>130.80000000000001</v>
      </c>
      <c r="J113" s="75">
        <v>130.80000000000001</v>
      </c>
      <c r="K113" s="75">
        <v>126.7</v>
      </c>
      <c r="L113" s="75">
        <v>126.7</v>
      </c>
      <c r="M113" s="75">
        <v>126.1</v>
      </c>
      <c r="N113" s="75">
        <v>122.1</v>
      </c>
      <c r="O113" s="75">
        <v>123.2</v>
      </c>
      <c r="P113" s="75">
        <v>124.5</v>
      </c>
      <c r="Q113" s="75">
        <v>128.80000000000001</v>
      </c>
      <c r="R113" s="75">
        <v>127.5</v>
      </c>
      <c r="S113" s="75">
        <v>124.8</v>
      </c>
      <c r="T113" s="75">
        <v>122</v>
      </c>
      <c r="U113" s="75">
        <v>127.1</v>
      </c>
      <c r="V113" s="75">
        <v>126.7</v>
      </c>
      <c r="W113" s="75">
        <v>124.5</v>
      </c>
      <c r="X113" s="75">
        <v>125.8</v>
      </c>
      <c r="Y113" s="75">
        <v>125.3</v>
      </c>
      <c r="Z113" s="75">
        <v>126.7</v>
      </c>
      <c r="AA113" s="75">
        <v>128.30000000000001</v>
      </c>
      <c r="AB113" s="75">
        <v>128</v>
      </c>
      <c r="AC113" s="75">
        <v>131.4</v>
      </c>
      <c r="AD113" s="75">
        <v>131.4</v>
      </c>
      <c r="AE113" s="75">
        <v>131.6</v>
      </c>
      <c r="AF113" s="75">
        <v>133.4</v>
      </c>
      <c r="AG113" s="116"/>
      <c r="AH113" s="48">
        <f t="shared" si="38"/>
        <v>134</v>
      </c>
      <c r="AI113" s="49">
        <f t="shared" si="39"/>
        <v>122</v>
      </c>
    </row>
    <row r="114" spans="1:35" x14ac:dyDescent="0.25">
      <c r="A114" s="117" t="s">
        <v>137</v>
      </c>
      <c r="B114" s="118">
        <v>135.5</v>
      </c>
      <c r="C114" s="118">
        <v>135.9</v>
      </c>
      <c r="D114" s="118">
        <v>135.5</v>
      </c>
      <c r="E114" s="118">
        <v>135.5</v>
      </c>
      <c r="F114" s="118">
        <v>135.5</v>
      </c>
      <c r="G114" s="118">
        <v>135</v>
      </c>
      <c r="H114" s="118">
        <v>133.5</v>
      </c>
      <c r="I114" s="118">
        <v>133.5</v>
      </c>
      <c r="J114" s="118">
        <v>133.5</v>
      </c>
      <c r="K114" s="118">
        <v>133.9</v>
      </c>
      <c r="L114" s="118">
        <v>133.9</v>
      </c>
      <c r="M114" s="118">
        <v>133.19999999999999</v>
      </c>
      <c r="N114" s="118">
        <v>135.1</v>
      </c>
      <c r="O114" s="118">
        <v>131.6</v>
      </c>
      <c r="P114" s="118">
        <v>132.80000000000001</v>
      </c>
      <c r="Q114" s="118">
        <v>134.5</v>
      </c>
      <c r="R114" s="118">
        <v>134.4</v>
      </c>
      <c r="S114" s="118">
        <v>131.1</v>
      </c>
      <c r="T114" s="118">
        <v>130.19999999999999</v>
      </c>
      <c r="U114" s="118">
        <v>134.80000000000001</v>
      </c>
      <c r="V114" s="118">
        <v>131.9</v>
      </c>
      <c r="W114" s="118">
        <v>133.19999999999999</v>
      </c>
      <c r="X114" s="118">
        <v>136.5</v>
      </c>
      <c r="Y114" s="118">
        <v>132.6</v>
      </c>
      <c r="Z114" s="118">
        <v>135.5</v>
      </c>
      <c r="AA114" s="118">
        <v>132.6</v>
      </c>
      <c r="AB114" s="118">
        <v>135.5</v>
      </c>
      <c r="AC114" s="118">
        <v>135.4</v>
      </c>
      <c r="AD114" s="118">
        <v>135.4</v>
      </c>
      <c r="AE114" s="118">
        <v>136.5</v>
      </c>
      <c r="AF114" s="118">
        <v>135.9</v>
      </c>
      <c r="AG114" s="119"/>
      <c r="AH114" s="48">
        <f t="shared" si="38"/>
        <v>136.5</v>
      </c>
      <c r="AI114" s="49">
        <f t="shared" si="39"/>
        <v>130.19999999999999</v>
      </c>
    </row>
    <row r="115" spans="1:35" x14ac:dyDescent="0.25">
      <c r="A115" s="115" t="s">
        <v>138</v>
      </c>
      <c r="B115" s="75">
        <v>133.4</v>
      </c>
      <c r="C115" s="75">
        <v>134.1</v>
      </c>
      <c r="D115" s="75">
        <v>134.69999999999999</v>
      </c>
      <c r="E115" s="75">
        <v>134.69999999999999</v>
      </c>
      <c r="F115" s="75">
        <v>134.69999999999999</v>
      </c>
      <c r="G115" s="75">
        <v>132.9</v>
      </c>
      <c r="H115" s="75">
        <v>132</v>
      </c>
      <c r="I115" s="75">
        <v>132</v>
      </c>
      <c r="J115" s="75">
        <v>132</v>
      </c>
      <c r="K115" s="75">
        <v>130</v>
      </c>
      <c r="L115" s="75">
        <v>130</v>
      </c>
      <c r="M115" s="75">
        <v>130.9</v>
      </c>
      <c r="N115" s="75">
        <v>131.9</v>
      </c>
      <c r="O115" s="75">
        <v>130.5</v>
      </c>
      <c r="P115" s="75">
        <v>131.9</v>
      </c>
      <c r="Q115" s="75">
        <v>127.4</v>
      </c>
      <c r="R115" s="75">
        <v>127.2</v>
      </c>
      <c r="S115" s="75">
        <v>131.69999999999999</v>
      </c>
      <c r="T115" s="75">
        <v>128.19999999999999</v>
      </c>
      <c r="U115" s="75">
        <v>128.80000000000001</v>
      </c>
      <c r="V115" s="75">
        <v>135</v>
      </c>
      <c r="W115" s="75">
        <v>131.6</v>
      </c>
      <c r="X115" s="75">
        <v>130.30000000000001</v>
      </c>
      <c r="Y115" s="75">
        <v>127.4</v>
      </c>
      <c r="Z115" s="75">
        <v>130.19999999999999</v>
      </c>
      <c r="AA115" s="75">
        <v>126.3</v>
      </c>
      <c r="AB115" s="75">
        <v>130.6</v>
      </c>
      <c r="AC115" s="75">
        <v>137.1</v>
      </c>
      <c r="AD115" s="75">
        <v>137.1</v>
      </c>
      <c r="AE115" s="75">
        <v>131.80000000000001</v>
      </c>
      <c r="AF115" s="75">
        <v>131.80000000000001</v>
      </c>
      <c r="AG115" s="116"/>
      <c r="AH115" s="48">
        <f t="shared" si="38"/>
        <v>137.1</v>
      </c>
      <c r="AI115" s="49">
        <f t="shared" si="39"/>
        <v>126.3</v>
      </c>
    </row>
    <row r="116" spans="1:35" ht="15.75" thickBot="1" x14ac:dyDescent="0.3">
      <c r="A116" s="115" t="s">
        <v>139</v>
      </c>
      <c r="B116" s="104">
        <v>68.3</v>
      </c>
      <c r="C116" s="104">
        <v>68.3</v>
      </c>
      <c r="D116" s="104">
        <v>68.2</v>
      </c>
      <c r="E116" s="104">
        <v>68.2</v>
      </c>
      <c r="F116" s="104">
        <v>68.2</v>
      </c>
      <c r="G116" s="104">
        <v>68.2</v>
      </c>
      <c r="H116" s="104">
        <v>67.5</v>
      </c>
      <c r="I116" s="104">
        <v>67.5</v>
      </c>
      <c r="J116" s="104">
        <v>65.400000000000006</v>
      </c>
      <c r="K116" s="104">
        <v>64.900000000000006</v>
      </c>
      <c r="L116" s="104">
        <v>64.900000000000006</v>
      </c>
      <c r="M116" s="104">
        <v>64.8</v>
      </c>
      <c r="N116" s="104">
        <v>65.3</v>
      </c>
      <c r="O116" s="104">
        <v>64.599999999999994</v>
      </c>
      <c r="P116" s="104">
        <v>65.3</v>
      </c>
      <c r="Q116" s="104">
        <v>65.2</v>
      </c>
      <c r="R116" s="104">
        <v>65.599999999999994</v>
      </c>
      <c r="S116" s="104">
        <v>64.7</v>
      </c>
      <c r="T116" s="104">
        <v>63.5</v>
      </c>
      <c r="U116" s="104">
        <v>65</v>
      </c>
      <c r="V116" s="104">
        <v>64.8</v>
      </c>
      <c r="W116" s="104">
        <v>65.400000000000006</v>
      </c>
      <c r="X116" s="104">
        <v>66.2</v>
      </c>
      <c r="Y116" s="104">
        <v>65.3</v>
      </c>
      <c r="Z116" s="104">
        <v>65.400000000000006</v>
      </c>
      <c r="AA116" s="104">
        <v>65</v>
      </c>
      <c r="AB116" s="104">
        <v>65.8</v>
      </c>
      <c r="AC116" s="104">
        <v>67</v>
      </c>
      <c r="AD116" s="104">
        <v>67</v>
      </c>
      <c r="AE116" s="104">
        <v>67</v>
      </c>
      <c r="AF116" s="104">
        <v>67.3</v>
      </c>
      <c r="AG116" s="120"/>
      <c r="AH116" s="48">
        <f t="shared" si="38"/>
        <v>68.3</v>
      </c>
      <c r="AI116" s="49">
        <f t="shared" si="39"/>
        <v>63.5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 t="s">
        <v>140</v>
      </c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38"/>
        <v>0</v>
      </c>
      <c r="AI117" s="49">
        <f t="shared" si="39"/>
        <v>0</v>
      </c>
    </row>
    <row r="118" spans="1:35" ht="15.75" thickBot="1" x14ac:dyDescent="0.3">
      <c r="A118" s="122" t="s">
        <v>141</v>
      </c>
      <c r="B118" s="123">
        <f>SUM(B22,B28,B31:B32,B66,B68:B69,B71,B73,B119:B123,B155,B161,B167,B176,B178,B190,B197,B200:B201,B208,B210,B212,B216:B218,B220:B222,B227,B233:B234,B236:B238,B246,B251)</f>
        <v>95.240000000000009</v>
      </c>
      <c r="C118" s="123">
        <f>SUM(C22,C28,C31:C32,C66,C68:C69,C71,C73,C119:C123,C155,C161,C167,C176,C178,C190,C197,C200:C201,C208,C210,C212,C216:C218,C220:C222,C227,C233:C234,C236:C238,C246,C251)</f>
        <v>111.53999999999999</v>
      </c>
      <c r="D118" s="123">
        <f t="shared" ref="D118:O118" si="53">SUM(D22,D28,D31:D32,D66,D68:D69,D71,D73,D119:D123,D155,D161,D167,D176,D178,D190,D197,D200:D201,D208,D210,D212,D216:D218,D220:D222,D227,D233:D234,D236:D238,D246,D251)</f>
        <v>99.54000000000002</v>
      </c>
      <c r="E118" s="123">
        <f t="shared" si="53"/>
        <v>100.94</v>
      </c>
      <c r="F118" s="123">
        <f t="shared" si="53"/>
        <v>94.54000000000002</v>
      </c>
      <c r="G118" s="123">
        <f t="shared" si="53"/>
        <v>128.94</v>
      </c>
      <c r="H118" s="123">
        <f t="shared" si="53"/>
        <v>160.84</v>
      </c>
      <c r="I118" s="123">
        <f t="shared" si="53"/>
        <v>191.14</v>
      </c>
      <c r="J118" s="123">
        <f t="shared" si="53"/>
        <v>242.94000000000003</v>
      </c>
      <c r="K118" s="123">
        <f t="shared" si="53"/>
        <v>273.33999999999997</v>
      </c>
      <c r="L118" s="123">
        <f t="shared" si="53"/>
        <v>296.34000000000003</v>
      </c>
      <c r="M118" s="123">
        <f t="shared" si="53"/>
        <v>320.04000000000002</v>
      </c>
      <c r="N118" s="123">
        <f t="shared" si="53"/>
        <v>322.54000000000002</v>
      </c>
      <c r="O118" s="123">
        <f t="shared" si="53"/>
        <v>322.74</v>
      </c>
      <c r="P118" s="123">
        <v>42</v>
      </c>
      <c r="Q118" s="123">
        <f t="shared" ref="Q118:AF118" si="54">SUM(Q22,Q28,Q31:Q32,Q66,Q68:Q69,Q71,Q73,Q119:Q123,Q155,Q161,Q167,Q176,Q178,Q190,Q197,Q200:Q201,Q208,Q210,Q212,Q216:Q218,Q220:Q222,Q227,Q233:Q234,Q236:Q238,Q246,Q251)</f>
        <v>304.74</v>
      </c>
      <c r="R118" s="123">
        <f t="shared" si="54"/>
        <v>297.14</v>
      </c>
      <c r="S118" s="123">
        <f t="shared" si="54"/>
        <v>295.34000000000003</v>
      </c>
      <c r="T118" s="123">
        <f t="shared" si="54"/>
        <v>299.83999999999997</v>
      </c>
      <c r="U118" s="123">
        <f t="shared" si="54"/>
        <v>305.83999999999997</v>
      </c>
      <c r="V118" s="123">
        <f t="shared" si="54"/>
        <v>296.14000000000004</v>
      </c>
      <c r="W118" s="123">
        <f t="shared" si="54"/>
        <v>304.14</v>
      </c>
      <c r="X118" s="123">
        <f t="shared" si="54"/>
        <v>286.03999999999996</v>
      </c>
      <c r="Y118" s="123">
        <f t="shared" ref="Y118:Z118" si="55">SUM(Y20,Y26,Y37:Y38,Y66,Y68:Y69,Y71,Y73,Y119:Y123,Y148,Y154,Y160,Y169,Y171,Y183,Y190,Y193:Y194,Y201,Y203,Y205,Y209:Y211,Y213:Y215,Y220,Y226:Y227,Y229:Y231,Y239,Y244)</f>
        <v>330.8</v>
      </c>
      <c r="Z118" s="123">
        <f t="shared" si="55"/>
        <v>364.6</v>
      </c>
      <c r="AA118" s="123">
        <f t="shared" si="54"/>
        <v>345.94</v>
      </c>
      <c r="AB118" s="123">
        <f t="shared" si="54"/>
        <v>278.94</v>
      </c>
      <c r="AC118" s="123">
        <f t="shared" si="54"/>
        <v>231.14000000000001</v>
      </c>
      <c r="AD118" s="123">
        <f t="shared" si="54"/>
        <v>241.44</v>
      </c>
      <c r="AE118" s="123">
        <f t="shared" si="54"/>
        <v>162.24</v>
      </c>
      <c r="AF118" s="123">
        <f t="shared" si="54"/>
        <v>122.14000000000001</v>
      </c>
      <c r="AG118" s="124"/>
      <c r="AH118" s="48">
        <f t="shared" si="38"/>
        <v>364.6</v>
      </c>
      <c r="AI118" s="49">
        <f t="shared" si="39"/>
        <v>42</v>
      </c>
    </row>
    <row r="119" spans="1:35" x14ac:dyDescent="0.25">
      <c r="A119" s="125" t="s">
        <v>142</v>
      </c>
      <c r="B119" s="126">
        <v>42.9</v>
      </c>
      <c r="C119" s="126">
        <v>28.7</v>
      </c>
      <c r="D119" s="126">
        <v>23.8</v>
      </c>
      <c r="E119" s="126">
        <v>19.2</v>
      </c>
      <c r="F119" s="126">
        <v>17</v>
      </c>
      <c r="G119" s="126">
        <v>11.9</v>
      </c>
      <c r="H119" s="126">
        <v>29.7</v>
      </c>
      <c r="I119" s="126">
        <v>19.8</v>
      </c>
      <c r="J119" s="126">
        <v>14.9</v>
      </c>
      <c r="K119" s="126">
        <v>27.1</v>
      </c>
      <c r="L119" s="126">
        <v>29.3</v>
      </c>
      <c r="M119" s="126">
        <v>37.4</v>
      </c>
      <c r="N119" s="126">
        <v>37.700000000000003</v>
      </c>
      <c r="O119" s="126">
        <v>38</v>
      </c>
      <c r="P119" s="126">
        <v>39.4</v>
      </c>
      <c r="Q119" s="126">
        <v>41.2</v>
      </c>
      <c r="R119" s="126">
        <v>37</v>
      </c>
      <c r="S119" s="126">
        <v>20.8</v>
      </c>
      <c r="T119" s="126">
        <v>8.6999999999999993</v>
      </c>
      <c r="U119" s="126">
        <v>21.7</v>
      </c>
      <c r="V119" s="126">
        <v>22.5</v>
      </c>
      <c r="W119" s="126">
        <v>35.200000000000003</v>
      </c>
      <c r="X119" s="126">
        <v>40.4</v>
      </c>
      <c r="Y119" s="126">
        <v>76.5</v>
      </c>
      <c r="Z119" s="126">
        <v>63.7</v>
      </c>
      <c r="AA119" s="126">
        <v>63.6</v>
      </c>
      <c r="AB119" s="126">
        <v>65.3</v>
      </c>
      <c r="AC119" s="126">
        <v>48.8</v>
      </c>
      <c r="AD119" s="126">
        <v>48.8</v>
      </c>
      <c r="AE119" s="126">
        <v>51</v>
      </c>
      <c r="AF119" s="126">
        <v>58</v>
      </c>
      <c r="AG119" s="127">
        <v>75</v>
      </c>
      <c r="AH119" s="48">
        <f t="shared" si="38"/>
        <v>76.5</v>
      </c>
      <c r="AI119" s="49">
        <f t="shared" si="39"/>
        <v>8.6999999999999993</v>
      </c>
    </row>
    <row r="120" spans="1:35" x14ac:dyDescent="0.25">
      <c r="A120" s="128" t="s">
        <v>143</v>
      </c>
      <c r="B120" s="129">
        <v>67.3</v>
      </c>
      <c r="C120" s="129">
        <v>48.1</v>
      </c>
      <c r="D120" s="129">
        <v>46.2</v>
      </c>
      <c r="E120" s="129">
        <v>35.200000000000003</v>
      </c>
      <c r="F120" s="129">
        <v>31</v>
      </c>
      <c r="G120" s="129">
        <v>22.9</v>
      </c>
      <c r="H120" s="129">
        <v>43.9</v>
      </c>
      <c r="I120" s="129">
        <v>30</v>
      </c>
      <c r="J120" s="129">
        <v>24.3</v>
      </c>
      <c r="K120" s="129">
        <v>39.799999999999997</v>
      </c>
      <c r="L120" s="129">
        <v>42.8</v>
      </c>
      <c r="M120" s="129">
        <v>54.9</v>
      </c>
      <c r="N120" s="129">
        <v>48.1</v>
      </c>
      <c r="O120" s="129">
        <v>48.2</v>
      </c>
      <c r="P120" s="129">
        <v>50.8</v>
      </c>
      <c r="Q120" s="129">
        <v>50.5</v>
      </c>
      <c r="R120" s="129">
        <v>46</v>
      </c>
      <c r="S120" s="129">
        <v>22.3</v>
      </c>
      <c r="T120" s="129">
        <v>5</v>
      </c>
      <c r="U120" s="129">
        <v>25</v>
      </c>
      <c r="V120" s="129">
        <v>27.2</v>
      </c>
      <c r="W120" s="129">
        <v>45.2</v>
      </c>
      <c r="X120" s="129">
        <v>56.5</v>
      </c>
      <c r="Y120" s="129">
        <v>107.4</v>
      </c>
      <c r="Z120" s="129">
        <v>91.2</v>
      </c>
      <c r="AA120" s="129">
        <v>90.1</v>
      </c>
      <c r="AB120" s="129">
        <v>92.6</v>
      </c>
      <c r="AC120" s="129">
        <v>72.400000000000006</v>
      </c>
      <c r="AD120" s="129">
        <v>72.400000000000006</v>
      </c>
      <c r="AE120" s="129">
        <v>75</v>
      </c>
      <c r="AF120" s="129">
        <v>86</v>
      </c>
      <c r="AG120" s="127">
        <v>240</v>
      </c>
      <c r="AH120" s="48">
        <f t="shared" si="38"/>
        <v>107.4</v>
      </c>
      <c r="AI120" s="49">
        <f t="shared" si="39"/>
        <v>5</v>
      </c>
    </row>
    <row r="121" spans="1:35" x14ac:dyDescent="0.25">
      <c r="A121" s="128" t="s">
        <v>144</v>
      </c>
      <c r="B121" s="129">
        <v>-100</v>
      </c>
      <c r="C121" s="129">
        <v>-67</v>
      </c>
      <c r="D121" s="129">
        <v>-68</v>
      </c>
      <c r="E121" s="129">
        <v>-59.6</v>
      </c>
      <c r="F121" s="129">
        <v>-59.6</v>
      </c>
      <c r="G121" s="129">
        <v>-38</v>
      </c>
      <c r="H121" s="129">
        <v>-43</v>
      </c>
      <c r="I121" s="129">
        <v>-20</v>
      </c>
      <c r="J121" s="129">
        <v>3.5</v>
      </c>
      <c r="K121" s="129">
        <v>0</v>
      </c>
      <c r="L121" s="129">
        <v>-1.7</v>
      </c>
      <c r="M121" s="129">
        <v>-0.9</v>
      </c>
      <c r="N121" s="129">
        <v>7.2</v>
      </c>
      <c r="O121" s="129">
        <v>8.3000000000000007</v>
      </c>
      <c r="P121" s="129">
        <f>-0.2+0</f>
        <v>-0.2</v>
      </c>
      <c r="Q121" s="129">
        <v>-0.2</v>
      </c>
      <c r="R121" s="129">
        <v>0.2</v>
      </c>
      <c r="S121" s="129">
        <v>16</v>
      </c>
      <c r="T121" s="129">
        <v>28</v>
      </c>
      <c r="U121" s="129">
        <v>20</v>
      </c>
      <c r="V121" s="129">
        <v>15.4</v>
      </c>
      <c r="W121" s="129">
        <v>7</v>
      </c>
      <c r="X121" s="129">
        <v>0</v>
      </c>
      <c r="Y121" s="129">
        <v>-62</v>
      </c>
      <c r="Z121" s="129">
        <v>-30.9</v>
      </c>
      <c r="AA121" s="129">
        <v>-32</v>
      </c>
      <c r="AB121" s="129">
        <v>-81.5</v>
      </c>
      <c r="AC121" s="129">
        <v>-33</v>
      </c>
      <c r="AD121" s="129">
        <v>-33</v>
      </c>
      <c r="AE121" s="129">
        <v>-88</v>
      </c>
      <c r="AF121" s="129">
        <v>-110</v>
      </c>
      <c r="AG121" s="127">
        <v>240</v>
      </c>
      <c r="AH121" s="48">
        <f t="shared" si="38"/>
        <v>28</v>
      </c>
      <c r="AI121" s="49">
        <f t="shared" si="39"/>
        <v>-110</v>
      </c>
    </row>
    <row r="122" spans="1:35" ht="15.75" thickBot="1" x14ac:dyDescent="0.3">
      <c r="A122" s="128" t="s">
        <v>145</v>
      </c>
      <c r="B122" s="129">
        <v>-4.4000000000000004</v>
      </c>
      <c r="C122" s="129">
        <v>-3.4</v>
      </c>
      <c r="D122" s="129">
        <v>-3.5</v>
      </c>
      <c r="E122" s="129">
        <v>-2.5</v>
      </c>
      <c r="F122" s="129">
        <v>-2.5</v>
      </c>
      <c r="G122" s="129">
        <v>1</v>
      </c>
      <c r="H122" s="129">
        <v>2.9</v>
      </c>
      <c r="I122" s="129">
        <v>6</v>
      </c>
      <c r="J122" s="129">
        <v>11.6</v>
      </c>
      <c r="K122" s="129">
        <v>12.5</v>
      </c>
      <c r="L122" s="129">
        <v>10.7</v>
      </c>
      <c r="M122" s="129">
        <v>12.8</v>
      </c>
      <c r="N122" s="129">
        <v>7.8</v>
      </c>
      <c r="O122" s="129">
        <v>6</v>
      </c>
      <c r="P122" s="129">
        <v>4.0999999999999996</v>
      </c>
      <c r="Q122" s="129">
        <v>-0.8</v>
      </c>
      <c r="R122" s="129">
        <v>1.6</v>
      </c>
      <c r="S122" s="129">
        <v>4</v>
      </c>
      <c r="T122" s="129">
        <v>2.4</v>
      </c>
      <c r="U122" s="129">
        <v>5</v>
      </c>
      <c r="V122" s="129">
        <v>4</v>
      </c>
      <c r="W122" s="129">
        <v>8</v>
      </c>
      <c r="X122" s="129">
        <v>12.6</v>
      </c>
      <c r="Y122" s="129">
        <v>29</v>
      </c>
      <c r="Z122" s="129">
        <v>37.299999999999997</v>
      </c>
      <c r="AA122" s="129">
        <v>37.5</v>
      </c>
      <c r="AB122" s="129">
        <v>27.4</v>
      </c>
      <c r="AC122" s="129">
        <v>25</v>
      </c>
      <c r="AD122" s="129">
        <v>25</v>
      </c>
      <c r="AE122" s="129">
        <v>10</v>
      </c>
      <c r="AF122" s="129">
        <v>6.4</v>
      </c>
      <c r="AG122" s="127">
        <v>60</v>
      </c>
      <c r="AH122" s="48">
        <f t="shared" si="38"/>
        <v>37.5</v>
      </c>
      <c r="AI122" s="49">
        <f t="shared" si="39"/>
        <v>-4.4000000000000004</v>
      </c>
    </row>
    <row r="123" spans="1:35" x14ac:dyDescent="0.25">
      <c r="A123" s="125" t="s">
        <v>146</v>
      </c>
      <c r="B123" s="130">
        <v>-19.899999999999999</v>
      </c>
      <c r="C123" s="130">
        <v>-1.9</v>
      </c>
      <c r="D123" s="130">
        <v>-4</v>
      </c>
      <c r="E123" s="130">
        <v>3.6</v>
      </c>
      <c r="F123" s="130">
        <v>3.6</v>
      </c>
      <c r="G123" s="130">
        <v>25.6</v>
      </c>
      <c r="H123" s="130">
        <v>23</v>
      </c>
      <c r="I123" s="130">
        <v>51</v>
      </c>
      <c r="J123" s="130">
        <v>82.9</v>
      </c>
      <c r="K123" s="130">
        <v>85.9</v>
      </c>
      <c r="L123" s="130">
        <v>104.8</v>
      </c>
      <c r="M123" s="130">
        <v>103.6</v>
      </c>
      <c r="N123" s="130">
        <v>107.6</v>
      </c>
      <c r="O123" s="130">
        <v>104.3</v>
      </c>
      <c r="P123" s="130">
        <v>95.5</v>
      </c>
      <c r="Q123" s="130">
        <v>93</v>
      </c>
      <c r="R123" s="130">
        <v>94.6</v>
      </c>
      <c r="S123" s="130">
        <v>116.5</v>
      </c>
      <c r="T123" s="130">
        <v>143</v>
      </c>
      <c r="U123" s="130">
        <v>125.4</v>
      </c>
      <c r="V123" s="130">
        <v>124</v>
      </c>
      <c r="W123" s="130">
        <v>109</v>
      </c>
      <c r="X123" s="130">
        <v>77.2</v>
      </c>
      <c r="Y123" s="130">
        <v>78</v>
      </c>
      <c r="Z123" s="130">
        <v>101.4</v>
      </c>
      <c r="AA123" s="130">
        <v>87</v>
      </c>
      <c r="AB123" s="130">
        <v>87.2</v>
      </c>
      <c r="AC123" s="130">
        <v>30</v>
      </c>
      <c r="AD123" s="130">
        <v>30</v>
      </c>
      <c r="AE123" s="130">
        <v>16</v>
      </c>
      <c r="AF123" s="130">
        <v>-16.5</v>
      </c>
      <c r="AG123" s="131">
        <v>120</v>
      </c>
      <c r="AH123" s="48">
        <f t="shared" si="38"/>
        <v>143</v>
      </c>
      <c r="AI123" s="49">
        <f t="shared" si="39"/>
        <v>-19.899999999999999</v>
      </c>
    </row>
    <row r="124" spans="1:35" x14ac:dyDescent="0.25">
      <c r="A124" s="128" t="s">
        <v>147</v>
      </c>
      <c r="B124" s="130">
        <v>15.6</v>
      </c>
      <c r="C124" s="130">
        <v>24.9</v>
      </c>
      <c r="D124" s="130">
        <v>23.2</v>
      </c>
      <c r="E124" s="130">
        <v>26.3</v>
      </c>
      <c r="F124" s="130">
        <v>26.3</v>
      </c>
      <c r="G124" s="130">
        <v>36.700000000000003</v>
      </c>
      <c r="H124" s="130">
        <v>35.9</v>
      </c>
      <c r="I124" s="130">
        <v>49.8</v>
      </c>
      <c r="J124" s="130">
        <v>67.3</v>
      </c>
      <c r="K124" s="130">
        <v>66.8</v>
      </c>
      <c r="L124" s="130">
        <v>76.8</v>
      </c>
      <c r="M124" s="130">
        <v>68.7</v>
      </c>
      <c r="N124" s="130">
        <v>69.8</v>
      </c>
      <c r="O124" s="130">
        <v>68</v>
      </c>
      <c r="P124" s="130">
        <v>62</v>
      </c>
      <c r="Q124" s="130">
        <v>61</v>
      </c>
      <c r="R124" s="130">
        <v>61.3</v>
      </c>
      <c r="S124" s="130">
        <v>73.400000000000006</v>
      </c>
      <c r="T124" s="130">
        <v>86</v>
      </c>
      <c r="U124" s="130">
        <v>78</v>
      </c>
      <c r="V124" s="130">
        <v>78</v>
      </c>
      <c r="W124" s="130">
        <v>71</v>
      </c>
      <c r="X124" s="130">
        <v>60.3</v>
      </c>
      <c r="Y124" s="130">
        <v>61</v>
      </c>
      <c r="Z124" s="130">
        <v>72.400000000000006</v>
      </c>
      <c r="AA124" s="130">
        <v>66</v>
      </c>
      <c r="AB124" s="130">
        <v>55.5</v>
      </c>
      <c r="AC124" s="130">
        <v>38</v>
      </c>
      <c r="AD124" s="130">
        <v>38</v>
      </c>
      <c r="AE124" s="130">
        <v>31</v>
      </c>
      <c r="AF124" s="130">
        <v>16</v>
      </c>
      <c r="AG124" s="131"/>
      <c r="AH124" s="48">
        <f t="shared" si="38"/>
        <v>86</v>
      </c>
      <c r="AI124" s="49">
        <f t="shared" si="39"/>
        <v>15.6</v>
      </c>
    </row>
    <row r="125" spans="1:35" x14ac:dyDescent="0.25">
      <c r="A125" s="128" t="s">
        <v>148</v>
      </c>
      <c r="B125" s="130">
        <v>-36</v>
      </c>
      <c r="C125" s="130">
        <v>-16.3</v>
      </c>
      <c r="D125" s="130">
        <v>-15.5</v>
      </c>
      <c r="E125" s="130">
        <v>-7.4</v>
      </c>
      <c r="F125" s="130">
        <v>-7.4</v>
      </c>
      <c r="G125" s="130">
        <v>-3.5</v>
      </c>
      <c r="H125" s="130">
        <v>-23</v>
      </c>
      <c r="I125" s="130">
        <v>-14.4</v>
      </c>
      <c r="J125" s="130">
        <v>-8.5</v>
      </c>
      <c r="K125" s="130">
        <v>-25.1</v>
      </c>
      <c r="L125" s="130">
        <v>-24.7</v>
      </c>
      <c r="M125" s="130">
        <v>-33.299999999999997</v>
      </c>
      <c r="N125" s="130">
        <v>-20.7</v>
      </c>
      <c r="O125" s="130">
        <v>-21.7</v>
      </c>
      <c r="P125" s="130">
        <v>-17.899999999999999</v>
      </c>
      <c r="Q125" s="130">
        <v>-18.2</v>
      </c>
      <c r="R125" s="130">
        <v>-15.5</v>
      </c>
      <c r="S125" s="130">
        <v>5</v>
      </c>
      <c r="T125" s="130">
        <v>22</v>
      </c>
      <c r="U125" s="130">
        <v>-0.4</v>
      </c>
      <c r="V125" s="130">
        <v>-4.2</v>
      </c>
      <c r="W125" s="130">
        <v>-20</v>
      </c>
      <c r="X125" s="130">
        <v>-41</v>
      </c>
      <c r="Y125" s="130">
        <v>-57</v>
      </c>
      <c r="Z125" s="130">
        <v>-52.3</v>
      </c>
      <c r="AA125" s="130">
        <v>-56</v>
      </c>
      <c r="AB125" s="130">
        <v>-49.8</v>
      </c>
      <c r="AC125" s="130">
        <v>-48</v>
      </c>
      <c r="AD125" s="130">
        <v>-48</v>
      </c>
      <c r="AE125" s="130">
        <v>-28</v>
      </c>
      <c r="AF125" s="130">
        <v>-37</v>
      </c>
      <c r="AG125" s="131"/>
      <c r="AH125" s="48">
        <f t="shared" si="38"/>
        <v>22</v>
      </c>
      <c r="AI125" s="49">
        <f t="shared" si="39"/>
        <v>-57</v>
      </c>
    </row>
    <row r="126" spans="1:35" ht="15.75" thickBot="1" x14ac:dyDescent="0.3">
      <c r="A126" s="128" t="s">
        <v>149</v>
      </c>
      <c r="B126" s="130">
        <v>6.1</v>
      </c>
      <c r="C126" s="130">
        <v>20.100000000000001</v>
      </c>
      <c r="D126" s="130">
        <v>18.3</v>
      </c>
      <c r="E126" s="130">
        <v>22.3</v>
      </c>
      <c r="F126" s="130">
        <v>22.3</v>
      </c>
      <c r="G126" s="130">
        <v>34.200000000000003</v>
      </c>
      <c r="H126" s="130">
        <v>32.299999999999997</v>
      </c>
      <c r="I126" s="130">
        <v>44.5</v>
      </c>
      <c r="J126" s="130">
        <v>61.3</v>
      </c>
      <c r="K126" s="130">
        <v>62.4</v>
      </c>
      <c r="L126" s="130">
        <v>61</v>
      </c>
      <c r="M126" s="130">
        <v>64.099999999999994</v>
      </c>
      <c r="N126" s="130">
        <v>59.5</v>
      </c>
      <c r="O126" s="130">
        <v>55.9</v>
      </c>
      <c r="P126" s="130">
        <v>57.3</v>
      </c>
      <c r="Q126" s="130">
        <v>52</v>
      </c>
      <c r="R126" s="130">
        <v>53.1</v>
      </c>
      <c r="S126" s="130">
        <v>74.599999999999994</v>
      </c>
      <c r="T126" s="130">
        <v>96</v>
      </c>
      <c r="U126" s="130">
        <v>83.4</v>
      </c>
      <c r="V126" s="130">
        <v>82</v>
      </c>
      <c r="W126" s="130">
        <v>67</v>
      </c>
      <c r="X126" s="130">
        <v>42.5</v>
      </c>
      <c r="Y126" s="130">
        <v>38.1</v>
      </c>
      <c r="Z126" s="130">
        <v>53.7</v>
      </c>
      <c r="AA126" s="130">
        <v>47</v>
      </c>
      <c r="AB126" s="130">
        <v>39.5</v>
      </c>
      <c r="AC126" s="130">
        <v>10</v>
      </c>
      <c r="AD126" s="130">
        <v>10</v>
      </c>
      <c r="AE126" s="130">
        <v>26</v>
      </c>
      <c r="AF126" s="130">
        <v>14</v>
      </c>
      <c r="AG126" s="127"/>
      <c r="AH126" s="48">
        <f>MAX(B126:AF126)</f>
        <v>96</v>
      </c>
      <c r="AI126" s="49">
        <f>MIN(B126:AF126)</f>
        <v>6.1</v>
      </c>
    </row>
    <row r="127" spans="1:35" x14ac:dyDescent="0.25">
      <c r="A127" s="125" t="s">
        <v>305</v>
      </c>
      <c r="B127" s="130">
        <v>-66</v>
      </c>
      <c r="C127" s="130">
        <v>-38.700000000000003</v>
      </c>
      <c r="D127" s="130">
        <v>-39.4</v>
      </c>
      <c r="E127" s="130">
        <v>-34.299999999999997</v>
      </c>
      <c r="F127" s="130">
        <v>-34.299999999999997</v>
      </c>
      <c r="G127" s="130">
        <v>-22.8</v>
      </c>
      <c r="H127" s="130">
        <v>-22.3</v>
      </c>
      <c r="I127" s="130">
        <v>-34.200000000000003</v>
      </c>
      <c r="J127" s="130">
        <v>-4.4000000000000004</v>
      </c>
      <c r="K127" s="130">
        <v>2.2999999999999998</v>
      </c>
      <c r="L127" s="130">
        <v>-3.1</v>
      </c>
      <c r="M127" s="130">
        <v>10.5</v>
      </c>
      <c r="N127" s="130">
        <v>13.2</v>
      </c>
      <c r="O127" s="130">
        <v>-3.3</v>
      </c>
      <c r="P127" s="130">
        <v>9.1</v>
      </c>
      <c r="Q127" s="130">
        <v>12.4</v>
      </c>
      <c r="R127" s="130">
        <v>13.9</v>
      </c>
      <c r="S127" s="130">
        <v>25</v>
      </c>
      <c r="T127" s="130">
        <v>39</v>
      </c>
      <c r="U127" s="130">
        <v>29</v>
      </c>
      <c r="V127" s="130">
        <v>28</v>
      </c>
      <c r="W127" s="130">
        <v>-28</v>
      </c>
      <c r="X127" s="130">
        <v>-65.400000000000006</v>
      </c>
      <c r="Y127" s="130">
        <v>-195</v>
      </c>
      <c r="Z127" s="130">
        <v>-206</v>
      </c>
      <c r="AA127" s="130">
        <v>-188</v>
      </c>
      <c r="AB127" s="130">
        <v>-176</v>
      </c>
      <c r="AC127" s="130">
        <v>-142</v>
      </c>
      <c r="AD127" s="130">
        <v>-142</v>
      </c>
      <c r="AE127" s="130">
        <v>-116</v>
      </c>
      <c r="AF127" s="130">
        <v>-78</v>
      </c>
      <c r="AG127" s="127"/>
      <c r="AH127" s="48">
        <f>MAX(B127:AF127)</f>
        <v>39</v>
      </c>
      <c r="AI127" s="49">
        <f>MIN(B127:AF127)</f>
        <v>-206</v>
      </c>
    </row>
    <row r="128" spans="1:35" x14ac:dyDescent="0.25">
      <c r="A128" s="128" t="s">
        <v>151</v>
      </c>
      <c r="B128" s="118">
        <v>-9</v>
      </c>
      <c r="C128" s="118">
        <v>-7.3</v>
      </c>
      <c r="D128" s="118">
        <v>-5.6</v>
      </c>
      <c r="E128" s="118">
        <v>-7.9</v>
      </c>
      <c r="F128" s="118">
        <v>-7.9</v>
      </c>
      <c r="G128" s="118">
        <v>-2.6</v>
      </c>
      <c r="H128" s="118">
        <v>-11.7</v>
      </c>
      <c r="I128" s="118">
        <v>-18.100000000000001</v>
      </c>
      <c r="J128" s="118">
        <v>-14.9</v>
      </c>
      <c r="K128" s="118">
        <v>-25.9</v>
      </c>
      <c r="L128" s="118">
        <v>-28.3</v>
      </c>
      <c r="M128" s="118">
        <v>-30.6</v>
      </c>
      <c r="N128" s="118">
        <v>-28.3</v>
      </c>
      <c r="O128" s="118">
        <v>-28.5</v>
      </c>
      <c r="P128" s="118">
        <v>-27.6</v>
      </c>
      <c r="Q128" s="118">
        <v>-26.6</v>
      </c>
      <c r="R128" s="118">
        <v>-30.9</v>
      </c>
      <c r="S128" s="118">
        <v>-30</v>
      </c>
      <c r="T128" s="118">
        <v>-35</v>
      </c>
      <c r="U128" s="118">
        <v>-36</v>
      </c>
      <c r="V128" s="118">
        <v>-40</v>
      </c>
      <c r="W128" s="118">
        <v>-43</v>
      </c>
      <c r="X128" s="118">
        <v>-43.2</v>
      </c>
      <c r="Y128" s="118">
        <v>-63</v>
      </c>
      <c r="Z128" s="118">
        <v>-57.3</v>
      </c>
      <c r="AA128" s="118">
        <v>-51</v>
      </c>
      <c r="AB128" s="118">
        <v>-43.8</v>
      </c>
      <c r="AC128" s="118">
        <v>-30</v>
      </c>
      <c r="AD128" s="118">
        <v>-30</v>
      </c>
      <c r="AE128" s="118">
        <v>-20</v>
      </c>
      <c r="AF128" s="118">
        <v>-16</v>
      </c>
      <c r="AG128" s="127"/>
      <c r="AH128" s="48">
        <f>MAX(B128:AF128)</f>
        <v>-2.6</v>
      </c>
      <c r="AI128" s="49">
        <f>MIN(B128:AF128)</f>
        <v>-63</v>
      </c>
    </row>
    <row r="129" spans="1:37" x14ac:dyDescent="0.25">
      <c r="A129" s="128" t="s">
        <v>306</v>
      </c>
      <c r="B129" s="118">
        <v>8.5</v>
      </c>
      <c r="C129" s="118">
        <v>0.7</v>
      </c>
      <c r="D129" s="118">
        <v>-2</v>
      </c>
      <c r="E129" s="118">
        <v>-3.3</v>
      </c>
      <c r="F129" s="118">
        <v>-3.3</v>
      </c>
      <c r="G129" s="118">
        <v>-3</v>
      </c>
      <c r="H129" s="118">
        <v>-3.1</v>
      </c>
      <c r="I129" s="118">
        <v>-3.2</v>
      </c>
      <c r="J129" s="118">
        <v>74.8</v>
      </c>
      <c r="K129" s="118">
        <v>84</v>
      </c>
      <c r="L129" s="118">
        <v>88.9</v>
      </c>
      <c r="M129" s="118">
        <v>89.8</v>
      </c>
      <c r="N129" s="118">
        <v>113.5</v>
      </c>
      <c r="O129" s="118">
        <v>114.9</v>
      </c>
      <c r="P129" s="118">
        <v>109.2</v>
      </c>
      <c r="Q129" s="118">
        <v>105.4</v>
      </c>
      <c r="R129" s="118">
        <v>114.5</v>
      </c>
      <c r="S129" s="118">
        <v>119</v>
      </c>
      <c r="T129" s="118">
        <v>122.1</v>
      </c>
      <c r="U129" s="118">
        <v>114</v>
      </c>
      <c r="V129" s="118">
        <v>111</v>
      </c>
      <c r="W129" s="118">
        <v>115</v>
      </c>
      <c r="X129" s="118">
        <v>101.1</v>
      </c>
      <c r="Y129" s="118">
        <v>125</v>
      </c>
      <c r="Z129" s="118">
        <v>113</v>
      </c>
      <c r="AA129" s="118">
        <v>109</v>
      </c>
      <c r="AB129" s="118">
        <v>104.5</v>
      </c>
      <c r="AC129" s="118">
        <v>92</v>
      </c>
      <c r="AD129" s="118">
        <v>92</v>
      </c>
      <c r="AE129" s="118">
        <v>82</v>
      </c>
      <c r="AF129" s="118">
        <v>75</v>
      </c>
      <c r="AG129" s="127"/>
      <c r="AH129" s="48">
        <f>MAX(B129:AF129)</f>
        <v>125</v>
      </c>
      <c r="AI129" s="49">
        <f>MIN(B129:AF129)</f>
        <v>-3.3</v>
      </c>
    </row>
    <row r="130" spans="1:37" ht="15.75" thickBot="1" x14ac:dyDescent="0.3">
      <c r="A130" s="128" t="s">
        <v>153</v>
      </c>
      <c r="B130" s="118">
        <v>19.8</v>
      </c>
      <c r="C130" s="118">
        <v>9.9</v>
      </c>
      <c r="D130" s="118">
        <v>9.9</v>
      </c>
      <c r="E130" s="118">
        <v>8.8000000000000007</v>
      </c>
      <c r="F130" s="118">
        <v>8.8000000000000007</v>
      </c>
      <c r="G130" s="118">
        <v>9</v>
      </c>
      <c r="H130" s="118">
        <v>9</v>
      </c>
      <c r="I130" s="118">
        <v>9</v>
      </c>
      <c r="J130" s="118">
        <v>85.1</v>
      </c>
      <c r="K130" s="118">
        <v>93.8</v>
      </c>
      <c r="L130" s="118">
        <v>95</v>
      </c>
      <c r="M130" s="118">
        <v>98.2</v>
      </c>
      <c r="N130" s="118">
        <v>117.5</v>
      </c>
      <c r="O130" s="118">
        <v>117.6</v>
      </c>
      <c r="P130" s="118">
        <v>117.7</v>
      </c>
      <c r="Q130" s="118">
        <v>116.3</v>
      </c>
      <c r="R130" s="118">
        <v>117.9</v>
      </c>
      <c r="S130" s="118">
        <v>120</v>
      </c>
      <c r="T130" s="118">
        <v>127</v>
      </c>
      <c r="U130" s="118">
        <v>119</v>
      </c>
      <c r="V130" s="118">
        <v>120</v>
      </c>
      <c r="W130" s="118">
        <v>118</v>
      </c>
      <c r="X130" s="118">
        <v>108.5</v>
      </c>
      <c r="Y130" s="118">
        <v>128</v>
      </c>
      <c r="Z130" s="118">
        <v>125.2</v>
      </c>
      <c r="AA130" s="118">
        <v>121</v>
      </c>
      <c r="AB130" s="118">
        <v>116.4</v>
      </c>
      <c r="AC130" s="118">
        <v>105</v>
      </c>
      <c r="AD130" s="118">
        <v>105</v>
      </c>
      <c r="AE130" s="118">
        <v>91</v>
      </c>
      <c r="AF130" s="118">
        <v>89</v>
      </c>
      <c r="AG130" s="127"/>
      <c r="AH130" s="48">
        <f>MAX(B130:AF130)</f>
        <v>128</v>
      </c>
      <c r="AI130" s="49">
        <f>MIN(B130:AF130)</f>
        <v>8.8000000000000007</v>
      </c>
    </row>
    <row r="131" spans="1:37" x14ac:dyDescent="0.25">
      <c r="A131" s="132" t="s">
        <v>154</v>
      </c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4"/>
      <c r="AG131" s="44"/>
      <c r="AH131" s="48"/>
      <c r="AI131" s="49"/>
    </row>
    <row r="132" spans="1:37" x14ac:dyDescent="0.25">
      <c r="A132" s="135" t="s">
        <v>155</v>
      </c>
      <c r="B132" s="136">
        <v>1982.68</v>
      </c>
      <c r="C132" s="136">
        <v>1982.9</v>
      </c>
      <c r="D132" s="136">
        <v>1983</v>
      </c>
      <c r="E132" s="136">
        <v>1983.54</v>
      </c>
      <c r="F132" s="136">
        <v>1983.82</v>
      </c>
      <c r="G132" s="136">
        <v>1984.08</v>
      </c>
      <c r="H132" s="136"/>
      <c r="I132" s="136">
        <v>1984.29</v>
      </c>
      <c r="J132" s="136"/>
      <c r="K132" s="136">
        <v>1984.3</v>
      </c>
      <c r="L132" s="136"/>
      <c r="M132" s="129">
        <v>1984.45</v>
      </c>
      <c r="N132" s="129">
        <v>1984.62</v>
      </c>
      <c r="O132" s="129">
        <v>1984.8</v>
      </c>
      <c r="P132" s="129">
        <v>1984.92</v>
      </c>
      <c r="Q132" s="129">
        <v>1985.1</v>
      </c>
      <c r="R132" s="129">
        <v>1985.32</v>
      </c>
      <c r="S132" s="136">
        <v>1985.5</v>
      </c>
      <c r="T132" s="136">
        <v>1985.65</v>
      </c>
      <c r="U132" s="136">
        <v>1985.84</v>
      </c>
      <c r="V132" s="136">
        <v>1986.09</v>
      </c>
      <c r="W132" s="136"/>
      <c r="X132" s="136">
        <v>1985.86</v>
      </c>
      <c r="Y132" s="136"/>
      <c r="Z132" s="136">
        <v>1985.32</v>
      </c>
      <c r="AA132" s="136"/>
      <c r="AB132" s="136">
        <v>1984.35</v>
      </c>
      <c r="AC132" s="136"/>
      <c r="AD132" s="136">
        <v>1983.62</v>
      </c>
      <c r="AE132" s="136">
        <v>1983.02</v>
      </c>
      <c r="AF132" s="137">
        <v>1982.68</v>
      </c>
      <c r="AG132" s="138"/>
      <c r="AH132" s="48"/>
      <c r="AI132" s="49"/>
    </row>
    <row r="133" spans="1:37" x14ac:dyDescent="0.25">
      <c r="A133" s="135" t="s">
        <v>156</v>
      </c>
      <c r="B133" s="139">
        <v>520.59</v>
      </c>
      <c r="C133" s="139">
        <v>520.70000000000005</v>
      </c>
      <c r="D133" s="139">
        <v>520.94000000000005</v>
      </c>
      <c r="E133" s="139">
        <v>521.14</v>
      </c>
      <c r="F133" s="139">
        <v>521.35</v>
      </c>
      <c r="G133" s="139">
        <v>521.55999999999995</v>
      </c>
      <c r="H133" s="139"/>
      <c r="I133" s="139">
        <v>521.76</v>
      </c>
      <c r="J133" s="139"/>
      <c r="K133" s="139">
        <v>521.98</v>
      </c>
      <c r="L133" s="139"/>
      <c r="M133" s="129">
        <v>522.08000000000004</v>
      </c>
      <c r="N133" s="129">
        <v>522.12</v>
      </c>
      <c r="O133" s="129">
        <v>522.15</v>
      </c>
      <c r="P133" s="129">
        <v>522.23</v>
      </c>
      <c r="Q133" s="129">
        <v>522.29999999999995</v>
      </c>
      <c r="R133" s="129">
        <v>522.35</v>
      </c>
      <c r="S133" s="139">
        <v>522.44000000000005</v>
      </c>
      <c r="T133" s="139">
        <v>522.67999999999995</v>
      </c>
      <c r="U133" s="139">
        <v>522.87</v>
      </c>
      <c r="V133" s="139">
        <v>522.91999999999996</v>
      </c>
      <c r="W133" s="139"/>
      <c r="X133" s="139">
        <v>522.85</v>
      </c>
      <c r="Y133" s="139"/>
      <c r="Z133" s="139">
        <v>522.54</v>
      </c>
      <c r="AA133" s="139"/>
      <c r="AB133" s="139">
        <v>522</v>
      </c>
      <c r="AC133" s="139"/>
      <c r="AD133" s="139">
        <v>521.66</v>
      </c>
      <c r="AE133" s="139">
        <v>521.44000000000005</v>
      </c>
      <c r="AF133" s="140">
        <v>521.28</v>
      </c>
      <c r="AG133" s="138"/>
      <c r="AH133" s="48"/>
      <c r="AI133" s="49"/>
    </row>
    <row r="134" spans="1:37" x14ac:dyDescent="0.25">
      <c r="A134" s="135" t="s">
        <v>158</v>
      </c>
      <c r="B134" s="139">
        <v>623.35</v>
      </c>
      <c r="C134" s="139">
        <v>623.30999999999995</v>
      </c>
      <c r="D134" s="139">
        <v>623.4</v>
      </c>
      <c r="E134" s="139">
        <v>623.55999999999995</v>
      </c>
      <c r="F134" s="139">
        <v>623.70000000000005</v>
      </c>
      <c r="G134" s="139">
        <v>623.89</v>
      </c>
      <c r="H134" s="139"/>
      <c r="I134" s="139">
        <v>624.09</v>
      </c>
      <c r="J134" s="139"/>
      <c r="K134" s="139">
        <v>624.09</v>
      </c>
      <c r="L134" s="139"/>
      <c r="M134" s="129">
        <v>623.94000000000005</v>
      </c>
      <c r="N134" s="129">
        <v>623.77</v>
      </c>
      <c r="O134" s="129">
        <v>623.54999999999995</v>
      </c>
      <c r="P134" s="129">
        <v>623.23</v>
      </c>
      <c r="Q134" s="129">
        <v>623.1</v>
      </c>
      <c r="R134" s="129">
        <v>623.1</v>
      </c>
      <c r="S134" s="139">
        <v>623.20000000000005</v>
      </c>
      <c r="T134" s="139">
        <v>623.36</v>
      </c>
      <c r="U134" s="139">
        <v>623.47</v>
      </c>
      <c r="V134" s="139">
        <v>623.52</v>
      </c>
      <c r="W134" s="139"/>
      <c r="X134" s="139">
        <v>623.55999999999995</v>
      </c>
      <c r="Y134" s="139"/>
      <c r="Z134" s="139">
        <v>623.20000000000005</v>
      </c>
      <c r="AA134" s="139"/>
      <c r="AB134" s="139">
        <v>622.78</v>
      </c>
      <c r="AC134" s="139"/>
      <c r="AD134" s="139">
        <v>622.6</v>
      </c>
      <c r="AE134" s="139">
        <v>622.69000000000005</v>
      </c>
      <c r="AF134" s="140">
        <v>622.79</v>
      </c>
      <c r="AG134" s="138"/>
      <c r="AH134" s="48"/>
      <c r="AI134" s="49"/>
    </row>
    <row r="135" spans="1:37" x14ac:dyDescent="0.25">
      <c r="A135" s="135" t="s">
        <v>159</v>
      </c>
      <c r="B135" s="139">
        <v>335.38</v>
      </c>
      <c r="C135" s="139">
        <v>335.79</v>
      </c>
      <c r="D135" s="139">
        <v>336.32</v>
      </c>
      <c r="E135" s="139">
        <v>336.7</v>
      </c>
      <c r="F135" s="139">
        <v>336.9</v>
      </c>
      <c r="G135" s="139">
        <v>337.12</v>
      </c>
      <c r="H135" s="139"/>
      <c r="I135" s="139">
        <v>337.08</v>
      </c>
      <c r="J135" s="139"/>
      <c r="K135" s="139">
        <v>336.8</v>
      </c>
      <c r="L135" s="139"/>
      <c r="M135" s="129">
        <v>336.67</v>
      </c>
      <c r="N135" s="129">
        <v>336.54</v>
      </c>
      <c r="O135" s="129">
        <v>336.36</v>
      </c>
      <c r="P135" s="129">
        <v>336.11</v>
      </c>
      <c r="Q135" s="129">
        <v>335.91</v>
      </c>
      <c r="R135" s="129">
        <v>335.73</v>
      </c>
      <c r="S135" s="139">
        <v>335.64</v>
      </c>
      <c r="T135" s="139">
        <v>336.84</v>
      </c>
      <c r="U135" s="139">
        <v>336.08</v>
      </c>
      <c r="V135" s="139">
        <v>336.23</v>
      </c>
      <c r="W135" s="139"/>
      <c r="X135" s="139">
        <v>336.25</v>
      </c>
      <c r="Y135" s="139"/>
      <c r="Z135" s="139">
        <v>336.04</v>
      </c>
      <c r="AA135" s="139"/>
      <c r="AB135" s="139">
        <v>335.62</v>
      </c>
      <c r="AC135" s="139"/>
      <c r="AD135" s="139">
        <v>335.34</v>
      </c>
      <c r="AE135" s="139">
        <v>335.18</v>
      </c>
      <c r="AF135" s="140">
        <v>335.07</v>
      </c>
      <c r="AG135" s="138"/>
      <c r="AH135" s="48"/>
      <c r="AI135" s="49"/>
    </row>
    <row r="136" spans="1:37" x14ac:dyDescent="0.25">
      <c r="A136" s="135" t="s">
        <v>160</v>
      </c>
      <c r="B136" s="139">
        <v>883.6</v>
      </c>
      <c r="C136" s="139">
        <v>884.3</v>
      </c>
      <c r="D136" s="139">
        <v>884.9</v>
      </c>
      <c r="E136" s="139">
        <v>885.6</v>
      </c>
      <c r="F136" s="139">
        <v>886.1</v>
      </c>
      <c r="G136" s="139">
        <v>886.6</v>
      </c>
      <c r="H136" s="139"/>
      <c r="I136" s="139">
        <v>887.1</v>
      </c>
      <c r="J136" s="139"/>
      <c r="K136" s="139">
        <v>887.4</v>
      </c>
      <c r="L136" s="139"/>
      <c r="M136" s="129">
        <v>887.3</v>
      </c>
      <c r="N136" s="129">
        <v>887.3</v>
      </c>
      <c r="O136" s="129">
        <v>887.3</v>
      </c>
      <c r="P136" s="129">
        <v>887.3</v>
      </c>
      <c r="Q136" s="129">
        <v>887.3</v>
      </c>
      <c r="R136" s="129">
        <v>887</v>
      </c>
      <c r="S136" s="139">
        <v>886.8</v>
      </c>
      <c r="T136" s="139">
        <v>886.6</v>
      </c>
      <c r="U136" s="139">
        <v>886.3</v>
      </c>
      <c r="V136" s="139">
        <v>886</v>
      </c>
      <c r="W136" s="139"/>
      <c r="X136" s="139">
        <v>885.8</v>
      </c>
      <c r="Y136" s="139"/>
      <c r="Z136" s="139">
        <v>885.1</v>
      </c>
      <c r="AA136" s="139"/>
      <c r="AB136" s="139">
        <v>883.4</v>
      </c>
      <c r="AC136" s="139"/>
      <c r="AD136" s="139">
        <v>881.8</v>
      </c>
      <c r="AE136" s="139">
        <v>881.7</v>
      </c>
      <c r="AF136" s="140">
        <v>881.6</v>
      </c>
      <c r="AG136" s="138"/>
      <c r="AH136" s="48"/>
      <c r="AI136" s="49"/>
    </row>
    <row r="137" spans="1:37" ht="15.75" thickBot="1" x14ac:dyDescent="0.3">
      <c r="A137" s="135" t="s">
        <v>161</v>
      </c>
      <c r="B137" s="141">
        <v>1519.68</v>
      </c>
      <c r="C137" s="141"/>
      <c r="D137" s="141"/>
      <c r="E137" s="141"/>
      <c r="F137" s="141"/>
      <c r="G137" s="141">
        <v>1519.69</v>
      </c>
      <c r="H137" s="141"/>
      <c r="I137" s="141"/>
      <c r="J137" s="141"/>
      <c r="K137" s="141"/>
      <c r="L137" s="141"/>
      <c r="M137" s="129">
        <v>1519.69</v>
      </c>
      <c r="N137" s="129"/>
      <c r="O137" s="129"/>
      <c r="P137" s="129"/>
      <c r="Q137" s="129"/>
      <c r="R137" s="129"/>
      <c r="S137" s="141"/>
      <c r="T137" s="141"/>
      <c r="U137" s="141"/>
      <c r="V137" s="141"/>
      <c r="W137" s="141"/>
      <c r="X137" s="141"/>
      <c r="Y137" s="141"/>
      <c r="Z137" s="141">
        <v>1519.69</v>
      </c>
      <c r="AA137" s="141"/>
      <c r="AB137" s="141"/>
      <c r="AC137" s="141"/>
      <c r="AD137" s="141"/>
      <c r="AE137" s="141"/>
      <c r="AF137" s="142"/>
      <c r="AG137" s="138"/>
      <c r="AH137" s="48"/>
      <c r="AI137" s="49"/>
    </row>
    <row r="138" spans="1:37" ht="15.75" thickBot="1" x14ac:dyDescent="0.3">
      <c r="A138" s="143" t="s">
        <v>162</v>
      </c>
      <c r="B138" s="144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56">SUM(B139:B243)</f>
        <v>0</v>
      </c>
      <c r="C244" s="160">
        <f t="shared" si="56"/>
        <v>0</v>
      </c>
      <c r="D244" s="160">
        <f t="shared" si="56"/>
        <v>0</v>
      </c>
      <c r="E244" s="160">
        <f t="shared" si="56"/>
        <v>0</v>
      </c>
      <c r="F244" s="160">
        <f t="shared" si="56"/>
        <v>0</v>
      </c>
      <c r="G244" s="160">
        <f t="shared" si="56"/>
        <v>0</v>
      </c>
      <c r="H244" s="160">
        <f t="shared" si="56"/>
        <v>0</v>
      </c>
      <c r="I244" s="160">
        <f t="shared" si="56"/>
        <v>0</v>
      </c>
      <c r="J244" s="160">
        <f t="shared" si="56"/>
        <v>0</v>
      </c>
      <c r="K244" s="160">
        <f t="shared" si="56"/>
        <v>0</v>
      </c>
      <c r="L244" s="160">
        <f t="shared" si="56"/>
        <v>0</v>
      </c>
      <c r="M244" s="160">
        <f t="shared" si="56"/>
        <v>0</v>
      </c>
      <c r="N244" s="160">
        <f t="shared" si="56"/>
        <v>0</v>
      </c>
      <c r="O244" s="160">
        <f t="shared" si="56"/>
        <v>0</v>
      </c>
      <c r="P244" s="160">
        <f t="shared" si="56"/>
        <v>0</v>
      </c>
      <c r="Q244" s="160">
        <f t="shared" si="56"/>
        <v>0</v>
      </c>
      <c r="R244" s="160">
        <f t="shared" si="56"/>
        <v>0</v>
      </c>
      <c r="S244" s="160">
        <f t="shared" si="56"/>
        <v>0</v>
      </c>
      <c r="T244" s="160">
        <f t="shared" si="56"/>
        <v>0</v>
      </c>
      <c r="U244" s="160">
        <f t="shared" si="56"/>
        <v>0</v>
      </c>
      <c r="V244" s="160">
        <f t="shared" si="56"/>
        <v>0</v>
      </c>
      <c r="W244" s="160">
        <f t="shared" si="56"/>
        <v>0</v>
      </c>
      <c r="X244" s="160">
        <f t="shared" si="56"/>
        <v>0</v>
      </c>
      <c r="Y244" s="160">
        <f t="shared" si="56"/>
        <v>0</v>
      </c>
      <c r="Z244" s="160">
        <f t="shared" si="56"/>
        <v>0</v>
      </c>
      <c r="AA244" s="160">
        <f t="shared" si="56"/>
        <v>0</v>
      </c>
      <c r="AB244" s="160">
        <f t="shared" si="56"/>
        <v>0</v>
      </c>
      <c r="AC244" s="160">
        <f t="shared" si="56"/>
        <v>0</v>
      </c>
      <c r="AD244" s="160">
        <f t="shared" si="56"/>
        <v>0</v>
      </c>
      <c r="AE244" s="160">
        <f t="shared" si="56"/>
        <v>0</v>
      </c>
      <c r="AF244" s="161">
        <f t="shared" si="56"/>
        <v>0</v>
      </c>
      <c r="AG244" s="162">
        <f t="shared" si="56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57">AF246</f>
        <v>0.3</v>
      </c>
      <c r="C246" s="165">
        <v>0.3</v>
      </c>
      <c r="D246" s="165">
        <f t="shared" ref="D246:S251" si="58">C246</f>
        <v>0.3</v>
      </c>
      <c r="E246" s="165">
        <f t="shared" si="58"/>
        <v>0.3</v>
      </c>
      <c r="F246" s="165">
        <f t="shared" si="58"/>
        <v>0.3</v>
      </c>
      <c r="G246" s="165">
        <f t="shared" si="58"/>
        <v>0.3</v>
      </c>
      <c r="H246" s="165">
        <f t="shared" si="58"/>
        <v>0.3</v>
      </c>
      <c r="I246" s="165">
        <f t="shared" si="58"/>
        <v>0.3</v>
      </c>
      <c r="J246" s="165">
        <f t="shared" si="58"/>
        <v>0.3</v>
      </c>
      <c r="K246" s="165">
        <f t="shared" si="58"/>
        <v>0.3</v>
      </c>
      <c r="L246" s="165">
        <f t="shared" si="58"/>
        <v>0.3</v>
      </c>
      <c r="M246" s="165">
        <f t="shared" si="58"/>
        <v>0.3</v>
      </c>
      <c r="N246" s="165">
        <f t="shared" si="58"/>
        <v>0.3</v>
      </c>
      <c r="O246" s="165">
        <f t="shared" si="58"/>
        <v>0.3</v>
      </c>
      <c r="P246" s="165">
        <f t="shared" si="58"/>
        <v>0.3</v>
      </c>
      <c r="Q246" s="165">
        <f t="shared" si="58"/>
        <v>0.3</v>
      </c>
      <c r="R246" s="165">
        <f t="shared" si="58"/>
        <v>0.3</v>
      </c>
      <c r="S246" s="165">
        <f t="shared" si="58"/>
        <v>0.3</v>
      </c>
      <c r="T246" s="165">
        <f t="shared" ref="T246:AF251" si="59">S246</f>
        <v>0.3</v>
      </c>
      <c r="U246" s="165">
        <f t="shared" si="59"/>
        <v>0.3</v>
      </c>
      <c r="V246" s="165">
        <f t="shared" si="59"/>
        <v>0.3</v>
      </c>
      <c r="W246" s="165">
        <f t="shared" si="59"/>
        <v>0.3</v>
      </c>
      <c r="X246" s="165">
        <f t="shared" si="59"/>
        <v>0.3</v>
      </c>
      <c r="Y246" s="165">
        <f t="shared" si="59"/>
        <v>0.3</v>
      </c>
      <c r="Z246" s="165">
        <f t="shared" si="59"/>
        <v>0.3</v>
      </c>
      <c r="AA246" s="165">
        <f t="shared" si="59"/>
        <v>0.3</v>
      </c>
      <c r="AB246" s="165">
        <f t="shared" si="59"/>
        <v>0.3</v>
      </c>
      <c r="AC246" s="165">
        <f t="shared" si="59"/>
        <v>0.3</v>
      </c>
      <c r="AD246" s="165">
        <f t="shared" si="59"/>
        <v>0.3</v>
      </c>
      <c r="AE246" s="165">
        <f t="shared" si="59"/>
        <v>0.3</v>
      </c>
      <c r="AF246" s="165">
        <f t="shared" si="59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57"/>
        <v>0.4</v>
      </c>
      <c r="C247" s="151">
        <v>0.4</v>
      </c>
      <c r="D247" s="151">
        <f t="shared" si="58"/>
        <v>0.4</v>
      </c>
      <c r="E247" s="151">
        <f t="shared" si="58"/>
        <v>0.4</v>
      </c>
      <c r="F247" s="151">
        <f t="shared" si="58"/>
        <v>0.4</v>
      </c>
      <c r="G247" s="151">
        <f t="shared" si="58"/>
        <v>0.4</v>
      </c>
      <c r="H247" s="151">
        <f t="shared" si="58"/>
        <v>0.4</v>
      </c>
      <c r="I247" s="151">
        <f t="shared" si="58"/>
        <v>0.4</v>
      </c>
      <c r="J247" s="151">
        <f t="shared" si="58"/>
        <v>0.4</v>
      </c>
      <c r="K247" s="151">
        <f t="shared" si="58"/>
        <v>0.4</v>
      </c>
      <c r="L247" s="151">
        <f t="shared" si="58"/>
        <v>0.4</v>
      </c>
      <c r="M247" s="151">
        <f t="shared" si="58"/>
        <v>0.4</v>
      </c>
      <c r="N247" s="151">
        <f t="shared" si="58"/>
        <v>0.4</v>
      </c>
      <c r="O247" s="151">
        <f t="shared" si="58"/>
        <v>0.4</v>
      </c>
      <c r="P247" s="151">
        <f t="shared" si="58"/>
        <v>0.4</v>
      </c>
      <c r="Q247" s="151">
        <f t="shared" si="58"/>
        <v>0.4</v>
      </c>
      <c r="R247" s="151">
        <f t="shared" si="58"/>
        <v>0.4</v>
      </c>
      <c r="S247" s="151">
        <f t="shared" si="58"/>
        <v>0.4</v>
      </c>
      <c r="T247" s="151">
        <f t="shared" si="59"/>
        <v>0.4</v>
      </c>
      <c r="U247" s="151">
        <f t="shared" si="59"/>
        <v>0.4</v>
      </c>
      <c r="V247" s="151">
        <f t="shared" si="59"/>
        <v>0.4</v>
      </c>
      <c r="W247" s="151">
        <f t="shared" si="59"/>
        <v>0.4</v>
      </c>
      <c r="X247" s="151">
        <f t="shared" si="59"/>
        <v>0.4</v>
      </c>
      <c r="Y247" s="151">
        <f t="shared" si="59"/>
        <v>0.4</v>
      </c>
      <c r="Z247" s="151">
        <f t="shared" si="59"/>
        <v>0.4</v>
      </c>
      <c r="AA247" s="151">
        <f t="shared" si="59"/>
        <v>0.4</v>
      </c>
      <c r="AB247" s="151">
        <f t="shared" si="59"/>
        <v>0.4</v>
      </c>
      <c r="AC247" s="151">
        <f t="shared" si="59"/>
        <v>0.4</v>
      </c>
      <c r="AD247" s="151">
        <f t="shared" si="59"/>
        <v>0.4</v>
      </c>
      <c r="AE247" s="151">
        <f t="shared" si="59"/>
        <v>0.4</v>
      </c>
      <c r="AF247" s="151">
        <f t="shared" si="59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57"/>
        <v>1.5</v>
      </c>
      <c r="C248" s="151">
        <v>1.5</v>
      </c>
      <c r="D248" s="151">
        <f t="shared" si="58"/>
        <v>1.5</v>
      </c>
      <c r="E248" s="151">
        <f t="shared" si="58"/>
        <v>1.5</v>
      </c>
      <c r="F248" s="151">
        <f t="shared" si="58"/>
        <v>1.5</v>
      </c>
      <c r="G248" s="151">
        <f t="shared" si="58"/>
        <v>1.5</v>
      </c>
      <c r="H248" s="151">
        <f t="shared" si="58"/>
        <v>1.5</v>
      </c>
      <c r="I248" s="151">
        <f t="shared" si="58"/>
        <v>1.5</v>
      </c>
      <c r="J248" s="151">
        <f t="shared" si="58"/>
        <v>1.5</v>
      </c>
      <c r="K248" s="151">
        <f t="shared" si="58"/>
        <v>1.5</v>
      </c>
      <c r="L248" s="151">
        <f t="shared" si="58"/>
        <v>1.5</v>
      </c>
      <c r="M248" s="151">
        <f t="shared" si="58"/>
        <v>1.5</v>
      </c>
      <c r="N248" s="151">
        <f t="shared" si="58"/>
        <v>1.5</v>
      </c>
      <c r="O248" s="151">
        <f t="shared" si="58"/>
        <v>1.5</v>
      </c>
      <c r="P248" s="151">
        <f t="shared" si="58"/>
        <v>1.5</v>
      </c>
      <c r="Q248" s="151">
        <f t="shared" si="58"/>
        <v>1.5</v>
      </c>
      <c r="R248" s="151">
        <f t="shared" si="58"/>
        <v>1.5</v>
      </c>
      <c r="S248" s="151">
        <f t="shared" si="58"/>
        <v>1.5</v>
      </c>
      <c r="T248" s="151">
        <f t="shared" si="59"/>
        <v>1.5</v>
      </c>
      <c r="U248" s="151">
        <f t="shared" si="59"/>
        <v>1.5</v>
      </c>
      <c r="V248" s="151">
        <f t="shared" si="59"/>
        <v>1.5</v>
      </c>
      <c r="W248" s="151">
        <f t="shared" si="59"/>
        <v>1.5</v>
      </c>
      <c r="X248" s="151">
        <f t="shared" si="59"/>
        <v>1.5</v>
      </c>
      <c r="Y248" s="151">
        <f t="shared" si="59"/>
        <v>1.5</v>
      </c>
      <c r="Z248" s="151">
        <f t="shared" si="59"/>
        <v>1.5</v>
      </c>
      <c r="AA248" s="151">
        <f t="shared" si="59"/>
        <v>1.5</v>
      </c>
      <c r="AB248" s="151">
        <f t="shared" si="59"/>
        <v>1.5</v>
      </c>
      <c r="AC248" s="151">
        <f t="shared" si="59"/>
        <v>1.5</v>
      </c>
      <c r="AD248" s="151">
        <f t="shared" si="59"/>
        <v>1.5</v>
      </c>
      <c r="AE248" s="151">
        <f t="shared" si="59"/>
        <v>1.5</v>
      </c>
      <c r="AF248" s="151">
        <f t="shared" si="59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57"/>
        <v>0.3</v>
      </c>
      <c r="C249" s="151">
        <v>0.3</v>
      </c>
      <c r="D249" s="151">
        <f t="shared" si="58"/>
        <v>0.3</v>
      </c>
      <c r="E249" s="151">
        <f t="shared" si="58"/>
        <v>0.3</v>
      </c>
      <c r="F249" s="151">
        <f t="shared" si="58"/>
        <v>0.3</v>
      </c>
      <c r="G249" s="151">
        <f t="shared" si="58"/>
        <v>0.3</v>
      </c>
      <c r="H249" s="151">
        <f t="shared" si="58"/>
        <v>0.3</v>
      </c>
      <c r="I249" s="151">
        <f t="shared" si="58"/>
        <v>0.3</v>
      </c>
      <c r="J249" s="151">
        <f t="shared" si="58"/>
        <v>0.3</v>
      </c>
      <c r="K249" s="151">
        <f t="shared" si="58"/>
        <v>0.3</v>
      </c>
      <c r="L249" s="151">
        <f t="shared" si="58"/>
        <v>0.3</v>
      </c>
      <c r="M249" s="151">
        <f t="shared" si="58"/>
        <v>0.3</v>
      </c>
      <c r="N249" s="151">
        <f t="shared" si="58"/>
        <v>0.3</v>
      </c>
      <c r="O249" s="151">
        <f t="shared" si="58"/>
        <v>0.3</v>
      </c>
      <c r="P249" s="151">
        <f t="shared" si="58"/>
        <v>0.3</v>
      </c>
      <c r="Q249" s="151">
        <f t="shared" si="58"/>
        <v>0.3</v>
      </c>
      <c r="R249" s="151">
        <f t="shared" si="58"/>
        <v>0.3</v>
      </c>
      <c r="S249" s="151">
        <f t="shared" si="58"/>
        <v>0.3</v>
      </c>
      <c r="T249" s="151">
        <f t="shared" si="59"/>
        <v>0.3</v>
      </c>
      <c r="U249" s="151">
        <f t="shared" si="59"/>
        <v>0.3</v>
      </c>
      <c r="V249" s="151">
        <f t="shared" si="59"/>
        <v>0.3</v>
      </c>
      <c r="W249" s="151">
        <f t="shared" si="59"/>
        <v>0.3</v>
      </c>
      <c r="X249" s="151">
        <f t="shared" si="59"/>
        <v>0.3</v>
      </c>
      <c r="Y249" s="151">
        <f t="shared" si="59"/>
        <v>0.3</v>
      </c>
      <c r="Z249" s="151">
        <f t="shared" si="59"/>
        <v>0.3</v>
      </c>
      <c r="AA249" s="151">
        <f t="shared" si="59"/>
        <v>0.3</v>
      </c>
      <c r="AB249" s="151">
        <f t="shared" si="59"/>
        <v>0.3</v>
      </c>
      <c r="AC249" s="151">
        <f t="shared" si="59"/>
        <v>0.3</v>
      </c>
      <c r="AD249" s="151">
        <f t="shared" si="59"/>
        <v>0.3</v>
      </c>
      <c r="AE249" s="151">
        <f t="shared" si="59"/>
        <v>0.3</v>
      </c>
      <c r="AF249" s="151">
        <f t="shared" si="59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57"/>
        <v>0.4</v>
      </c>
      <c r="C250" s="151">
        <v>0.4</v>
      </c>
      <c r="D250" s="151">
        <f t="shared" si="58"/>
        <v>0.4</v>
      </c>
      <c r="E250" s="151">
        <f t="shared" si="58"/>
        <v>0.4</v>
      </c>
      <c r="F250" s="151">
        <f t="shared" si="58"/>
        <v>0.4</v>
      </c>
      <c r="G250" s="151">
        <f t="shared" si="58"/>
        <v>0.4</v>
      </c>
      <c r="H250" s="151">
        <f t="shared" si="58"/>
        <v>0.4</v>
      </c>
      <c r="I250" s="151">
        <f t="shared" si="58"/>
        <v>0.4</v>
      </c>
      <c r="J250" s="151">
        <f t="shared" si="58"/>
        <v>0.4</v>
      </c>
      <c r="K250" s="151">
        <f t="shared" si="58"/>
        <v>0.4</v>
      </c>
      <c r="L250" s="151">
        <f t="shared" si="58"/>
        <v>0.4</v>
      </c>
      <c r="M250" s="151">
        <f t="shared" si="58"/>
        <v>0.4</v>
      </c>
      <c r="N250" s="151">
        <f t="shared" si="58"/>
        <v>0.4</v>
      </c>
      <c r="O250" s="151">
        <f t="shared" si="58"/>
        <v>0.4</v>
      </c>
      <c r="P250" s="151">
        <f t="shared" si="58"/>
        <v>0.4</v>
      </c>
      <c r="Q250" s="151">
        <f t="shared" si="58"/>
        <v>0.4</v>
      </c>
      <c r="R250" s="151">
        <f t="shared" si="58"/>
        <v>0.4</v>
      </c>
      <c r="S250" s="151">
        <f t="shared" si="58"/>
        <v>0.4</v>
      </c>
      <c r="T250" s="151">
        <f t="shared" si="59"/>
        <v>0.4</v>
      </c>
      <c r="U250" s="151">
        <f t="shared" si="59"/>
        <v>0.4</v>
      </c>
      <c r="V250" s="151">
        <f t="shared" si="59"/>
        <v>0.4</v>
      </c>
      <c r="W250" s="151">
        <f t="shared" si="59"/>
        <v>0.4</v>
      </c>
      <c r="X250" s="151">
        <f t="shared" si="59"/>
        <v>0.4</v>
      </c>
      <c r="Y250" s="151">
        <f t="shared" si="59"/>
        <v>0.4</v>
      </c>
      <c r="Z250" s="151">
        <f t="shared" si="59"/>
        <v>0.4</v>
      </c>
      <c r="AA250" s="151">
        <f t="shared" si="59"/>
        <v>0.4</v>
      </c>
      <c r="AB250" s="151">
        <f t="shared" si="59"/>
        <v>0.4</v>
      </c>
      <c r="AC250" s="151">
        <f t="shared" si="59"/>
        <v>0.4</v>
      </c>
      <c r="AD250" s="151">
        <f t="shared" si="59"/>
        <v>0.4</v>
      </c>
      <c r="AE250" s="151">
        <f t="shared" si="59"/>
        <v>0.4</v>
      </c>
      <c r="AF250" s="151">
        <f t="shared" si="59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57"/>
        <v>0.64</v>
      </c>
      <c r="C251" s="156">
        <v>0.64</v>
      </c>
      <c r="D251" s="156">
        <f t="shared" si="58"/>
        <v>0.64</v>
      </c>
      <c r="E251" s="156">
        <f t="shared" si="58"/>
        <v>0.64</v>
      </c>
      <c r="F251" s="156">
        <f t="shared" si="58"/>
        <v>0.64</v>
      </c>
      <c r="G251" s="156">
        <f t="shared" si="58"/>
        <v>0.64</v>
      </c>
      <c r="H251" s="156">
        <f t="shared" si="58"/>
        <v>0.64</v>
      </c>
      <c r="I251" s="156">
        <f t="shared" si="58"/>
        <v>0.64</v>
      </c>
      <c r="J251" s="156">
        <f t="shared" si="58"/>
        <v>0.64</v>
      </c>
      <c r="K251" s="156">
        <f t="shared" si="58"/>
        <v>0.64</v>
      </c>
      <c r="L251" s="156">
        <f t="shared" si="58"/>
        <v>0.64</v>
      </c>
      <c r="M251" s="156">
        <f t="shared" si="58"/>
        <v>0.64</v>
      </c>
      <c r="N251" s="156">
        <f t="shared" si="58"/>
        <v>0.64</v>
      </c>
      <c r="O251" s="156">
        <f t="shared" si="58"/>
        <v>0.64</v>
      </c>
      <c r="P251" s="156">
        <f t="shared" si="58"/>
        <v>0.64</v>
      </c>
      <c r="Q251" s="156">
        <f t="shared" si="58"/>
        <v>0.64</v>
      </c>
      <c r="R251" s="156">
        <f t="shared" si="58"/>
        <v>0.64</v>
      </c>
      <c r="S251" s="156">
        <f t="shared" si="58"/>
        <v>0.64</v>
      </c>
      <c r="T251" s="156">
        <f t="shared" si="59"/>
        <v>0.64</v>
      </c>
      <c r="U251" s="156">
        <f t="shared" si="59"/>
        <v>0.64</v>
      </c>
      <c r="V251" s="156">
        <f t="shared" si="59"/>
        <v>0.64</v>
      </c>
      <c r="W251" s="156">
        <f t="shared" si="59"/>
        <v>0.64</v>
      </c>
      <c r="X251" s="156">
        <f t="shared" si="59"/>
        <v>0.64</v>
      </c>
      <c r="Y251" s="156">
        <f t="shared" si="59"/>
        <v>0.64</v>
      </c>
      <c r="Z251" s="156">
        <f t="shared" si="59"/>
        <v>0.64</v>
      </c>
      <c r="AA251" s="156">
        <f t="shared" si="59"/>
        <v>0.64</v>
      </c>
      <c r="AB251" s="156">
        <f t="shared" si="59"/>
        <v>0.64</v>
      </c>
      <c r="AC251" s="156">
        <f t="shared" si="59"/>
        <v>0.64</v>
      </c>
      <c r="AD251" s="156">
        <f t="shared" si="59"/>
        <v>0.64</v>
      </c>
      <c r="AE251" s="156">
        <f t="shared" si="59"/>
        <v>0.64</v>
      </c>
      <c r="AF251" s="156">
        <f t="shared" si="59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60">SUM(B246:B251)</f>
        <v>3.54</v>
      </c>
      <c r="C252" s="160">
        <f t="shared" si="60"/>
        <v>3.54</v>
      </c>
      <c r="D252" s="160">
        <f t="shared" si="60"/>
        <v>3.54</v>
      </c>
      <c r="E252" s="160">
        <f t="shared" si="60"/>
        <v>3.54</v>
      </c>
      <c r="F252" s="160">
        <f t="shared" si="60"/>
        <v>3.54</v>
      </c>
      <c r="G252" s="160">
        <f t="shared" si="60"/>
        <v>3.54</v>
      </c>
      <c r="H252" s="160">
        <f t="shared" si="60"/>
        <v>3.54</v>
      </c>
      <c r="I252" s="160">
        <f t="shared" si="60"/>
        <v>3.54</v>
      </c>
      <c r="J252" s="160">
        <f t="shared" si="60"/>
        <v>3.54</v>
      </c>
      <c r="K252" s="160">
        <f t="shared" si="60"/>
        <v>3.54</v>
      </c>
      <c r="L252" s="160">
        <f t="shared" si="60"/>
        <v>3.54</v>
      </c>
      <c r="M252" s="160">
        <f t="shared" si="60"/>
        <v>3.54</v>
      </c>
      <c r="N252" s="160">
        <f t="shared" si="60"/>
        <v>3.54</v>
      </c>
      <c r="O252" s="160">
        <f t="shared" si="60"/>
        <v>3.54</v>
      </c>
      <c r="P252" s="160">
        <f t="shared" si="60"/>
        <v>3.54</v>
      </c>
      <c r="Q252" s="160">
        <f t="shared" si="60"/>
        <v>3.54</v>
      </c>
      <c r="R252" s="160">
        <f t="shared" si="60"/>
        <v>3.54</v>
      </c>
      <c r="S252" s="160">
        <f t="shared" si="60"/>
        <v>3.54</v>
      </c>
      <c r="T252" s="160">
        <f t="shared" si="60"/>
        <v>3.54</v>
      </c>
      <c r="U252" s="160">
        <f t="shared" si="60"/>
        <v>3.54</v>
      </c>
      <c r="V252" s="160">
        <f t="shared" si="60"/>
        <v>3.54</v>
      </c>
      <c r="W252" s="160">
        <f t="shared" si="60"/>
        <v>3.54</v>
      </c>
      <c r="X252" s="160">
        <f t="shared" si="60"/>
        <v>3.54</v>
      </c>
      <c r="Y252" s="160">
        <f t="shared" si="60"/>
        <v>3.54</v>
      </c>
      <c r="Z252" s="160">
        <f t="shared" si="60"/>
        <v>3.54</v>
      </c>
      <c r="AA252" s="160">
        <f t="shared" si="60"/>
        <v>3.54</v>
      </c>
      <c r="AB252" s="160">
        <f t="shared" si="60"/>
        <v>3.54</v>
      </c>
      <c r="AC252" s="160">
        <f t="shared" si="60"/>
        <v>3.54</v>
      </c>
      <c r="AD252" s="160">
        <f t="shared" si="60"/>
        <v>3.54</v>
      </c>
      <c r="AE252" s="160">
        <f t="shared" si="60"/>
        <v>3.54</v>
      </c>
      <c r="AF252" s="160">
        <f t="shared" si="60"/>
        <v>3.54</v>
      </c>
      <c r="AG252" s="170">
        <f t="shared" si="60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1584.1899999999998</v>
      </c>
      <c r="C256" s="173">
        <f>INDEX(G9:N9,1,MATCH(MAX(G99:N99),G99:N99,0))</f>
        <v>0.33333333333333331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2080/10/20)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1445" priority="90">
      <formula>$AH11=0</formula>
    </cfRule>
  </conditionalFormatting>
  <conditionalFormatting sqref="A132:A253">
    <cfRule type="expression" dxfId="1444" priority="91">
      <formula>$AH132=0</formula>
    </cfRule>
  </conditionalFormatting>
  <conditionalFormatting sqref="B8">
    <cfRule type="expression" dxfId="1443" priority="149">
      <formula>AND(C$9&gt;=14/24,C$9&lt;20/24)</formula>
    </cfRule>
    <cfRule type="expression" dxfId="1442" priority="150">
      <formula>AND(C$9&gt;=8/24,C$9&lt;14/24)</formula>
    </cfRule>
    <cfRule type="expression" dxfId="1441" priority="151">
      <formula>C$9&lt;8/24</formula>
    </cfRule>
    <cfRule type="expression" dxfId="1440" priority="152">
      <formula>C$9&gt;=20/24</formula>
    </cfRule>
  </conditionalFormatting>
  <conditionalFormatting sqref="B9:AF10 M11:AF52 B11:L57 E59:I61 B59:D68 E63:F68 G63:G74 D67:F74 H67:I74 B69:AF74 B77:AF99 B101:AF117 B119:AF137 B244:AF244 B246:B252">
    <cfRule type="expression" dxfId="1439" priority="44">
      <formula>B$9&lt;8/24</formula>
    </cfRule>
  </conditionalFormatting>
  <conditionalFormatting sqref="B9:AF52 E59:I61 B59:D68 E63:F68 G63:G74 D67:F74 H67:I74 B69:AF74 B77:AF99 B101:AF117 B119:AF137 B244:AF244 B246:B252">
    <cfRule type="expression" dxfId="1438" priority="43">
      <formula>AND(B$9&gt;=8/24,B$9&lt;14/24)</formula>
    </cfRule>
    <cfRule type="expression" dxfId="1437" priority="42">
      <formula>AND(B$9&gt;=14/24,B$9&lt;20/24)</formula>
    </cfRule>
    <cfRule type="expression" dxfId="1436" priority="41">
      <formula>B$9&gt;=20/24</formula>
    </cfRule>
  </conditionalFormatting>
  <conditionalFormatting sqref="B11:AF61 B62:AG62 B63:AF80 AG80">
    <cfRule type="expression" dxfId="1435" priority="40">
      <formula>B11&gt;$AG11</formula>
    </cfRule>
  </conditionalFormatting>
  <conditionalFormatting sqref="D246:AF252">
    <cfRule type="expression" dxfId="1434" priority="134">
      <formula>D$9&gt;=20/24</formula>
    </cfRule>
    <cfRule type="expression" dxfId="1433" priority="136">
      <formula>AND(D$9&gt;=8/24,D$9&lt;14/24)</formula>
    </cfRule>
    <cfRule type="expression" dxfId="1432" priority="135">
      <formula>AND(D$9&gt;=14/24,D$9&lt;20/24)</formula>
    </cfRule>
    <cfRule type="expression" dxfId="1431" priority="137">
      <formula>D$9&lt;8/24</formula>
    </cfRule>
  </conditionalFormatting>
  <conditionalFormatting sqref="E63:I67 J64:J67 K67">
    <cfRule type="expression" dxfId="1430" priority="57">
      <formula>E$9&lt;8/24</formula>
    </cfRule>
    <cfRule type="expression" dxfId="1429" priority="54">
      <formula>E$9&gt;=20/24</formula>
    </cfRule>
    <cfRule type="expression" dxfId="1428" priority="55">
      <formula>AND(E$9&gt;=14/24,E$9&lt;20/24)</formula>
    </cfRule>
    <cfRule type="expression" dxfId="1427" priority="56">
      <formula>AND(E$9&gt;=8/24,E$9&lt;14/24)</formula>
    </cfRule>
  </conditionalFormatting>
  <conditionalFormatting sqref="E68:K68">
    <cfRule type="expression" dxfId="1426" priority="49">
      <formula>E$9&gt;=20/24</formula>
    </cfRule>
    <cfRule type="expression" dxfId="1425" priority="50">
      <formula>AND(E$9&gt;=14/24,E$9&lt;20/24)</formula>
    </cfRule>
    <cfRule type="expression" dxfId="1424" priority="51">
      <formula>AND(E$9&gt;=8/24,E$9&lt;14/24)</formula>
    </cfRule>
    <cfRule type="expression" dxfId="1423" priority="52">
      <formula>E$9&lt;8/24</formula>
    </cfRule>
  </conditionalFormatting>
  <conditionalFormatting sqref="E59:AF62">
    <cfRule type="expression" dxfId="1422" priority="71">
      <formula>E$9&lt;8/24</formula>
    </cfRule>
    <cfRule type="expression" dxfId="1421" priority="70">
      <formula>AND(E$9&gt;=8/24,E$9&lt;14/24)</formula>
    </cfRule>
    <cfRule type="expression" dxfId="1420" priority="69">
      <formula>AND(E$9&gt;=14/24,E$9&lt;20/24)</formula>
    </cfRule>
    <cfRule type="expression" dxfId="1419" priority="68">
      <formula>E$9&gt;=20/24</formula>
    </cfRule>
  </conditionalFormatting>
  <conditionalFormatting sqref="F63:L65">
    <cfRule type="expression" dxfId="1418" priority="82">
      <formula>F$9&gt;=20/24</formula>
    </cfRule>
    <cfRule type="expression" dxfId="1417" priority="83">
      <formula>AND(F$9&gt;=14/24,F$9&lt;20/24)</formula>
    </cfRule>
    <cfRule type="expression" dxfId="1416" priority="84">
      <formula>AND(F$9&gt;=8/24,F$9&lt;14/24)</formula>
    </cfRule>
    <cfRule type="expression" dxfId="1415" priority="85">
      <formula>F$9&lt;8/24</formula>
    </cfRule>
  </conditionalFormatting>
  <conditionalFormatting sqref="L68:AA68">
    <cfRule type="expression" dxfId="1414" priority="79">
      <formula>AND(L$9&gt;=14/24,L$9&lt;20/24)</formula>
    </cfRule>
    <cfRule type="expression" dxfId="1413" priority="78">
      <formula>L$9&gt;=20/24</formula>
    </cfRule>
    <cfRule type="expression" dxfId="1412" priority="80">
      <formula>AND(L$9&gt;=8/24,L$9&lt;14/24)</formula>
    </cfRule>
    <cfRule type="expression" dxfId="1411" priority="81">
      <formula>L$9&lt;8/24</formula>
    </cfRule>
  </conditionalFormatting>
  <conditionalFormatting sqref="M8 S8 AB8">
    <cfRule type="expression" dxfId="1410" priority="143">
      <formula>N$9&lt;8/24</formula>
    </cfRule>
    <cfRule type="expression" dxfId="1409" priority="142">
      <formula>AND(N$9&gt;=8/24,N$9&lt;14/24)</formula>
    </cfRule>
    <cfRule type="expression" dxfId="1408" priority="141">
      <formula>AND(N$9&gt;=14/24,N$9&lt;20/24)</formula>
    </cfRule>
  </conditionalFormatting>
  <conditionalFormatting sqref="M63:AA67">
    <cfRule type="expression" dxfId="1407" priority="89">
      <formula>M$9&lt;8/24</formula>
    </cfRule>
    <cfRule type="expression" dxfId="1406" priority="87">
      <formula>AND(M$9&gt;=14/24,M$9&lt;20/24)</formula>
    </cfRule>
    <cfRule type="expression" dxfId="1405" priority="86">
      <formula>M$9&gt;=20/24</formula>
    </cfRule>
    <cfRule type="expression" dxfId="1404" priority="88">
      <formula>AND(M$9&gt;=8/24,M$9&lt;14/24)</formula>
    </cfRule>
  </conditionalFormatting>
  <conditionalFormatting sqref="M53:AF55 B53:L57">
    <cfRule type="expression" dxfId="1403" priority="37">
      <formula>B$9&gt;=20/24</formula>
    </cfRule>
    <cfRule type="expression" dxfId="1402" priority="38">
      <formula>AND(B$9&gt;=14/24,B$9&lt;20/24)</formula>
    </cfRule>
    <cfRule type="expression" dxfId="1401" priority="39">
      <formula>AND(B$9&gt;=8/24,B$9&lt;14/24)</formula>
    </cfRule>
  </conditionalFormatting>
  <conditionalFormatting sqref="M53:AF57">
    <cfRule type="expression" dxfId="1400" priority="53">
      <formula>M$9&lt;8/24</formula>
    </cfRule>
  </conditionalFormatting>
  <conditionalFormatting sqref="M56:AF57">
    <cfRule type="expression" dxfId="1399" priority="46">
      <formula>M$9&gt;=20/24</formula>
    </cfRule>
    <cfRule type="expression" dxfId="1398" priority="48">
      <formula>AND(M$9&gt;=8/24,M$9&lt;14/24)</formula>
    </cfRule>
    <cfRule type="expression" dxfId="1397" priority="47">
      <formula>AND(M$9&gt;=14/24,M$9&lt;20/24)</formula>
    </cfRule>
  </conditionalFormatting>
  <conditionalFormatting sqref="O3:P3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396" priority="140">
      <formula>N$9&gt;=20/24</formula>
    </cfRule>
  </conditionalFormatting>
  <conditionalFormatting sqref="S8">
    <cfRule type="expression" dxfId="1395" priority="127">
      <formula>U$9&gt;=20/24</formula>
    </cfRule>
    <cfRule type="expression" dxfId="1394" priority="130">
      <formula>U$9&lt;8/24</formula>
    </cfRule>
    <cfRule type="expression" dxfId="1393" priority="129">
      <formula>AND(U$9&gt;=8/24,U$9&lt;14/24)</formula>
    </cfRule>
    <cfRule type="expression" dxfId="1392" priority="128">
      <formula>AND(U$9&gt;=14/24,U$9&lt;20/24)</formula>
    </cfRule>
  </conditionalFormatting>
  <conditionalFormatting sqref="T63:AF68">
    <cfRule type="expression" dxfId="1391" priority="75">
      <formula>T$9&lt;8/24</formula>
    </cfRule>
    <cfRule type="expression" dxfId="1390" priority="74">
      <formula>AND(T$9&gt;=8/24,T$9&lt;14/24)</formula>
    </cfRule>
    <cfRule type="expression" dxfId="1389" priority="73">
      <formula>AND(T$9&gt;=14/24,T$9&lt;20/24)</formula>
    </cfRule>
    <cfRule type="expression" dxfId="1388" priority="72">
      <formula>T$9&gt;=20/24</formula>
    </cfRule>
  </conditionalFormatting>
  <conditionalFormatting sqref="V3 AB3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387" priority="126">
      <formula>AD$9&lt;8/24</formula>
    </cfRule>
    <cfRule type="expression" dxfId="1386" priority="125">
      <formula>AND(AD$9&gt;=8/24,AD$9&lt;14/24)</formula>
    </cfRule>
    <cfRule type="expression" dxfId="1385" priority="124">
      <formula>AND(AD$9&gt;=14/24,AD$9&lt;20/24)</formula>
    </cfRule>
    <cfRule type="expression" dxfId="1384" priority="123">
      <formula>AD$9&gt;=20/24</formula>
    </cfRule>
  </conditionalFormatting>
  <conditionalFormatting sqref="AG58">
    <cfRule type="expression" dxfId="1383" priority="118">
      <formula>AG58&gt;$AG58</formula>
    </cfRule>
  </conditionalFormatting>
  <conditionalFormatting sqref="AG62">
    <cfRule type="expression" dxfId="1382" priority="101">
      <formula>AG$9&gt;=20/24</formula>
    </cfRule>
    <cfRule type="expression" dxfId="1381" priority="102">
      <formula>AND(AG$9&gt;=14/24,AG$9&lt;20/24)</formula>
    </cfRule>
    <cfRule type="expression" dxfId="1380" priority="103">
      <formula>AND(AG$9&gt;=8/24,AG$9&lt;14/24)</formula>
    </cfRule>
    <cfRule type="expression" dxfId="1379" priority="104">
      <formula>AG$9&lt;8/24</formula>
    </cfRule>
  </conditionalFormatting>
  <conditionalFormatting sqref="AG75:AG76">
    <cfRule type="expression" dxfId="1378" priority="96">
      <formula>AG75&gt;$AG75</formula>
    </cfRule>
  </conditionalFormatting>
  <conditionalFormatting sqref="AG80">
    <cfRule type="expression" dxfId="1377" priority="97">
      <formula>AG$9&gt;=20/24</formula>
    </cfRule>
    <cfRule type="expression" dxfId="1376" priority="98">
      <formula>AND(AG$9&gt;=14/24,AG$9&lt;20/24)</formula>
    </cfRule>
    <cfRule type="expression" dxfId="1375" priority="99">
      <formula>AND(AG$9&gt;=8/24,AG$9&lt;14/24)</formula>
    </cfRule>
    <cfRule type="expression" dxfId="1374" priority="100">
      <formula>AG$9&lt;8/24</formula>
    </cfRule>
  </conditionalFormatting>
  <conditionalFormatting sqref="AG97">
    <cfRule type="expression" dxfId="1373" priority="122">
      <formula>AG$9&lt;8/24</formula>
    </cfRule>
    <cfRule type="expression" dxfId="1372" priority="120">
      <formula>AND(AG$9&gt;=14/24,AG$9&lt;20/24)</formula>
    </cfRule>
    <cfRule type="expression" dxfId="1371" priority="119">
      <formula>AG$9&gt;=20/24</formula>
    </cfRule>
    <cfRule type="expression" dxfId="1370" priority="121">
      <formula>AND(AG$9&gt;=8/24,AG$9&lt;14/24)</formula>
    </cfRule>
  </conditionalFormatting>
  <conditionalFormatting sqref="AL4:AL6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369" priority="144">
      <formula>AJ$9&gt;=20/24</formula>
    </cfRule>
    <cfRule type="expression" dxfId="1368" priority="145">
      <formula>AND(AJ$9&gt;=14/24,AJ$9&lt;20/24)</formula>
    </cfRule>
    <cfRule type="expression" dxfId="1367" priority="146">
      <formula>AND(AJ$9&gt;=8/24,AJ$9&lt;14/24)</formula>
    </cfRule>
    <cfRule type="expression" dxfId="1366" priority="147">
      <formula>AJ$9&lt;8/24</formula>
    </cfRule>
  </conditionalFormatting>
  <conditionalFormatting sqref="AL88:AN88 AL94:AN94">
    <cfRule type="expression" dxfId="1365" priority="111">
      <formula>AL$9&gt;=20/24</formula>
    </cfRule>
    <cfRule type="expression" dxfId="1364" priority="112">
      <formula>AND(AL$9&gt;=14/24,AL$9&lt;20/24)</formula>
    </cfRule>
    <cfRule type="expression" dxfId="1363" priority="113">
      <formula>AND(AL$9&gt;=8/24,AL$9&lt;14/24)</formula>
    </cfRule>
    <cfRule type="expression" dxfId="1362" priority="114">
      <formula>AL$9&lt;8/24</formula>
    </cfRule>
  </conditionalFormatting>
  <conditionalFormatting sqref="AM15:AM21 AN16:AR21">
    <cfRule type="expression" dxfId="1361" priority="13">
      <formula>AX$9&gt;=20/24</formula>
    </cfRule>
    <cfRule type="expression" dxfId="1360" priority="14">
      <formula>AND(AX$9&gt;=14/24,AX$9&lt;20/24)</formula>
    </cfRule>
    <cfRule type="expression" dxfId="1359" priority="15">
      <formula>AND(AX$9&gt;=8/24,AX$9&lt;14/24)</formula>
    </cfRule>
    <cfRule type="expression" dxfId="1358" priority="16">
      <formula>AX$9&lt;8/24</formula>
    </cfRule>
  </conditionalFormatting>
  <conditionalFormatting sqref="AN89:AN92">
    <cfRule type="expression" dxfId="1357" priority="110">
      <formula>AN$9&lt;8/24</formula>
    </cfRule>
    <cfRule type="expression" dxfId="1356" priority="107">
      <formula>AN$9&gt;=20/24</formula>
    </cfRule>
    <cfRule type="expression" dxfId="1355" priority="108">
      <formula>AND(AN$9&gt;=14/24,AN$9&lt;20/24)</formula>
    </cfRule>
    <cfRule type="expression" dxfId="1354" priority="109">
      <formula>AND(AN$9&gt;=8/24,AN$9&lt;14/24)</formula>
    </cfRule>
  </conditionalFormatting>
  <conditionalFormatting sqref="AN15:AR15">
    <cfRule type="expression" dxfId="1353" priority="2">
      <formula>AND(U$9&gt;=14/24,U$9&lt;20/24)</formula>
    </cfRule>
    <cfRule type="expression" dxfId="1352" priority="3">
      <formula>AND(U$9&gt;=8/24,U$9&lt;14/24)</formula>
    </cfRule>
    <cfRule type="expression" dxfId="1351" priority="4">
      <formula>U$9&lt;8/24</formula>
    </cfRule>
    <cfRule type="expression" dxfId="1350" priority="1">
      <formula>U$9&gt;=20/24</formula>
    </cfRule>
  </conditionalFormatting>
  <conditionalFormatting sqref="AS15">
    <cfRule type="expression" dxfId="1349" priority="12">
      <formula>AA$9&lt;8/24</formula>
    </cfRule>
    <cfRule type="expression" dxfId="1348" priority="10">
      <formula>AND(AA$9&gt;=14/24,AA$9&lt;20/24)</formula>
    </cfRule>
    <cfRule type="expression" dxfId="1347" priority="11">
      <formula>AND(AA$9&gt;=8/24,AA$9&lt;14/24)</formula>
    </cfRule>
    <cfRule type="expression" dxfId="1346" priority="9">
      <formula>AA$9&gt;=20/24</formula>
    </cfRule>
  </conditionalFormatting>
  <conditionalFormatting sqref="AS16:AS21">
    <cfRule type="expression" dxfId="1345" priority="18">
      <formula>AND(BE$9&gt;=14/24,BE$9&lt;20/24)</formula>
    </cfRule>
    <cfRule type="expression" dxfId="1344" priority="17">
      <formula>BE$9&gt;=20/24</formula>
    </cfRule>
    <cfRule type="expression" dxfId="1343" priority="20">
      <formula>BE$9&lt;8/24</formula>
    </cfRule>
    <cfRule type="expression" dxfId="1342" priority="19">
      <formula>AND(BE$9&gt;=8/24,BE$9&lt;14/24)</formula>
    </cfRule>
  </conditionalFormatting>
  <conditionalFormatting sqref="AT15 AX15">
    <cfRule type="expression" dxfId="1341" priority="23">
      <formula>AND(AC$9&gt;=8/24,AC$9&lt;14/24)</formula>
    </cfRule>
    <cfRule type="expression" dxfId="1340" priority="22">
      <formula>AND(AC$9&gt;=14/24,AC$9&lt;20/24)</formula>
    </cfRule>
    <cfRule type="expression" dxfId="1339" priority="21">
      <formula>AC$9&gt;=20/24</formula>
    </cfRule>
    <cfRule type="expression" dxfId="1338" priority="24">
      <formula>AC$9&lt;8/24</formula>
    </cfRule>
  </conditionalFormatting>
  <conditionalFormatting sqref="AT16:AT21">
    <cfRule type="expression" dxfId="1337" priority="28">
      <formula>BG$9&lt;8/24</formula>
    </cfRule>
    <cfRule type="expression" dxfId="1336" priority="27">
      <formula>AND(BG$9&gt;=8/24,BG$9&lt;14/24)</formula>
    </cfRule>
    <cfRule type="expression" dxfId="1335" priority="26">
      <formula>AND(BG$9&gt;=14/24,BG$9&lt;20/24)</formula>
    </cfRule>
    <cfRule type="expression" dxfId="1334" priority="25">
      <formula>BG$9&gt;=20/24</formula>
    </cfRule>
  </conditionalFormatting>
  <conditionalFormatting sqref="AU15:AV15">
    <cfRule type="expression" dxfId="1333" priority="32">
      <formula>AE$9&lt;8/24</formula>
    </cfRule>
    <cfRule type="expression" dxfId="1332" priority="31">
      <formula>AND(AE$9&gt;=8/24,AE$9&lt;14/24)</formula>
    </cfRule>
    <cfRule type="expression" dxfId="1331" priority="30">
      <formula>AND(AE$9&gt;=14/24,AE$9&lt;20/24)</formula>
    </cfRule>
    <cfRule type="expression" dxfId="1330" priority="29">
      <formula>AE$9&gt;=20/24</formula>
    </cfRule>
  </conditionalFormatting>
  <conditionalFormatting sqref="AU16:AX21">
    <cfRule type="expression" dxfId="1329" priority="33">
      <formula>BI$9&gt;=20/24</formula>
    </cfRule>
    <cfRule type="expression" dxfId="1328" priority="35">
      <formula>AND(BI$9&gt;=8/24,BI$9&lt;14/24)</formula>
    </cfRule>
    <cfRule type="expression" dxfId="1327" priority="36">
      <formula>BI$9&lt;8/24</formula>
    </cfRule>
    <cfRule type="expression" dxfId="1326" priority="34">
      <formula>AND(BI$9&gt;=14/24,BI$9&lt;20/24)</formula>
    </cfRule>
  </conditionalFormatting>
  <conditionalFormatting sqref="AW15">
    <cfRule type="expression" dxfId="1325" priority="8">
      <formula>B$9&lt;8/24</formula>
    </cfRule>
    <cfRule type="expression" dxfId="1324" priority="7">
      <formula>AND(B$9&gt;=8/24,B$9&lt;14/24)</formula>
    </cfRule>
    <cfRule type="expression" dxfId="1323" priority="6">
      <formula>AND(B$9&gt;=14/24,B$9&lt;20/24)</formula>
    </cfRule>
    <cfRule type="expression" dxfId="1322" priority="5">
      <formula>B$9&gt;=20/24</formula>
    </cfRule>
  </conditionalFormatting>
  <pageMargins left="0.7" right="0.7" top="0.75" bottom="0.75" header="0.3" footer="0.3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48EB-BE7F-4A88-9CEC-1DAB5738E957}">
  <sheetPr codeName="Sheet25"/>
  <dimension ref="A1:CJ294"/>
  <sheetViews>
    <sheetView zoomScale="106" workbookViewId="0">
      <pane xSplit="1" ySplit="10" topLeftCell="AR80" activePane="bottomRight" state="frozen"/>
      <selection activeCell="Z63" sqref="Z63"/>
      <selection pane="topRight" activeCell="Z63" sqref="Z63"/>
      <selection pane="bottomLeft" activeCell="Z63" sqref="Z63"/>
      <selection pane="bottomRight" activeCell="BG84" sqref="BG84:BL10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2080/10/21</v>
      </c>
      <c r="C4" s="214"/>
      <c r="D4" s="214"/>
      <c r="E4" s="215" t="str">
        <f ca="1">"2080/"&amp;"10/"&amp;INT(MID(CELL("filename",G6),FIND("]",CELL("filename",G6))+1,200))</f>
        <v>2080/10/21</v>
      </c>
      <c r="F4" s="215"/>
      <c r="G4" s="215"/>
      <c r="H4" s="215" t="str">
        <f ca="1">TEXT(E4,"dddd")</f>
        <v>Monday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146.4</v>
      </c>
      <c r="C5" s="30">
        <f t="shared" ref="C5:AE5" si="0">D92</f>
        <v>124</v>
      </c>
      <c r="D5" s="30">
        <f t="shared" si="0"/>
        <v>143.9</v>
      </c>
      <c r="E5" s="30">
        <f t="shared" si="0"/>
        <v>139.69999999999999</v>
      </c>
      <c r="F5" s="30">
        <f t="shared" si="0"/>
        <v>167.7</v>
      </c>
      <c r="G5" s="30">
        <f t="shared" si="0"/>
        <v>99.1</v>
      </c>
      <c r="H5" s="30">
        <f t="shared" si="0"/>
        <v>81.800000000000011</v>
      </c>
      <c r="I5" s="30">
        <f t="shared" si="0"/>
        <v>406.7</v>
      </c>
      <c r="J5" s="30">
        <f t="shared" si="0"/>
        <v>549</v>
      </c>
      <c r="K5" s="30">
        <f t="shared" si="0"/>
        <v>592.80000000000007</v>
      </c>
      <c r="L5" s="30">
        <f t="shared" si="0"/>
        <v>602.29999999999995</v>
      </c>
      <c r="M5" s="30">
        <f t="shared" si="0"/>
        <v>586.50000000000011</v>
      </c>
      <c r="N5" s="30">
        <f t="shared" si="0"/>
        <v>724.5</v>
      </c>
      <c r="O5" s="30">
        <f t="shared" si="0"/>
        <v>749.69999999999993</v>
      </c>
      <c r="P5" s="30">
        <f t="shared" si="0"/>
        <v>749.8</v>
      </c>
      <c r="Q5" s="30">
        <f t="shared" si="0"/>
        <v>789.30000000000007</v>
      </c>
      <c r="R5" s="30">
        <f t="shared" si="0"/>
        <v>785.69999999999993</v>
      </c>
      <c r="S5" s="30">
        <f t="shared" si="0"/>
        <v>827.2</v>
      </c>
      <c r="T5" s="30">
        <f t="shared" si="0"/>
        <v>805.9</v>
      </c>
      <c r="U5" s="30">
        <f t="shared" si="0"/>
        <v>768.3</v>
      </c>
      <c r="V5" s="30">
        <f t="shared" si="0"/>
        <v>628.76</v>
      </c>
      <c r="W5" s="30">
        <f t="shared" si="0"/>
        <v>348.4</v>
      </c>
      <c r="X5" s="30">
        <f t="shared" si="0"/>
        <v>164.9</v>
      </c>
      <c r="Y5" s="30">
        <f t="shared" si="0"/>
        <v>93.4</v>
      </c>
      <c r="Z5" s="30">
        <f t="shared" si="0"/>
        <v>41</v>
      </c>
      <c r="AA5" s="30">
        <f t="shared" si="0"/>
        <v>74.5</v>
      </c>
      <c r="AB5" s="30">
        <f t="shared" si="0"/>
        <v>97.5</v>
      </c>
      <c r="AC5" s="30">
        <f t="shared" si="0"/>
        <v>97.5</v>
      </c>
      <c r="AD5" s="30">
        <f t="shared" si="0"/>
        <v>102.4</v>
      </c>
      <c r="AE5" s="30">
        <f t="shared" si="0"/>
        <v>83</v>
      </c>
      <c r="AF5" s="30">
        <f>B92</f>
        <v>141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1563MW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Load=1201</v>
      </c>
      <c r="B7" s="35">
        <f>B100</f>
        <v>1326.19</v>
      </c>
      <c r="C7" s="35">
        <f t="shared" ref="C7:AF7" si="1">C100</f>
        <v>1232.5900000000001</v>
      </c>
      <c r="D7" s="35">
        <f t="shared" si="1"/>
        <v>1201.19</v>
      </c>
      <c r="E7" s="35">
        <f t="shared" si="1"/>
        <v>1221.8899999999999</v>
      </c>
      <c r="F7" s="35">
        <f t="shared" si="1"/>
        <v>1217.8900000000001</v>
      </c>
      <c r="G7" s="35">
        <f t="shared" si="1"/>
        <v>1245.8900000000001</v>
      </c>
      <c r="H7" s="35">
        <f t="shared" si="1"/>
        <v>1289.69</v>
      </c>
      <c r="I7" s="35">
        <f t="shared" si="1"/>
        <v>1383.89</v>
      </c>
      <c r="J7" s="35">
        <f t="shared" si="1"/>
        <v>1365.0900000000001</v>
      </c>
      <c r="K7" s="35">
        <f t="shared" si="1"/>
        <v>1512.3899999999999</v>
      </c>
      <c r="L7" s="35">
        <f t="shared" si="1"/>
        <v>1535.0900000000001</v>
      </c>
      <c r="M7" s="35">
        <f t="shared" si="1"/>
        <v>1562.79</v>
      </c>
      <c r="N7" s="35">
        <f t="shared" si="1"/>
        <v>1468.3900000000003</v>
      </c>
      <c r="O7" s="35">
        <f t="shared" si="1"/>
        <v>1563.49</v>
      </c>
      <c r="P7" s="35">
        <f t="shared" si="1"/>
        <v>1579.19</v>
      </c>
      <c r="Q7" s="35">
        <f t="shared" si="1"/>
        <v>1579.99</v>
      </c>
      <c r="R7" s="35">
        <f t="shared" si="1"/>
        <v>1630.4900000000002</v>
      </c>
      <c r="S7" s="35">
        <f t="shared" si="1"/>
        <v>1637.19</v>
      </c>
      <c r="T7" s="35">
        <f t="shared" si="1"/>
        <v>1651.69</v>
      </c>
      <c r="U7" s="35">
        <f t="shared" si="1"/>
        <v>1632.79</v>
      </c>
      <c r="V7" s="35">
        <f t="shared" si="1"/>
        <v>1594.9899999999998</v>
      </c>
      <c r="W7" s="35">
        <f t="shared" si="1"/>
        <v>1548.55</v>
      </c>
      <c r="X7" s="35">
        <f t="shared" si="1"/>
        <v>1579.19</v>
      </c>
      <c r="Y7" s="35">
        <f t="shared" si="1"/>
        <v>1700.65</v>
      </c>
      <c r="Z7" s="35">
        <f t="shared" si="1"/>
        <v>1847.9499999999998</v>
      </c>
      <c r="AA7" s="35">
        <f t="shared" si="1"/>
        <v>1799.49</v>
      </c>
      <c r="AB7" s="35">
        <f t="shared" si="1"/>
        <v>1719.49</v>
      </c>
      <c r="AC7" s="35">
        <f t="shared" si="1"/>
        <v>1690.09</v>
      </c>
      <c r="AD7" s="35">
        <f t="shared" si="1"/>
        <v>1720.09</v>
      </c>
      <c r="AE7" s="35">
        <f t="shared" si="1"/>
        <v>1483.69</v>
      </c>
      <c r="AF7" s="35">
        <f t="shared" si="1"/>
        <v>1431.29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1579.19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1579.19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22.3</v>
      </c>
      <c r="C11" s="46">
        <v>22.3</v>
      </c>
      <c r="D11" s="46">
        <v>22.3</v>
      </c>
      <c r="E11" s="46">
        <v>24.3</v>
      </c>
      <c r="F11" s="46">
        <v>24.3</v>
      </c>
      <c r="G11" s="46">
        <v>24.3</v>
      </c>
      <c r="H11" s="46">
        <v>23.7</v>
      </c>
      <c r="I11" s="46">
        <v>23.7</v>
      </c>
      <c r="J11" s="46">
        <v>23.7</v>
      </c>
      <c r="K11" s="46">
        <v>22.4</v>
      </c>
      <c r="L11" s="46">
        <v>22.4</v>
      </c>
      <c r="M11" s="46">
        <v>23.4</v>
      </c>
      <c r="N11" s="46">
        <v>23.7</v>
      </c>
      <c r="O11" s="46">
        <v>23.7</v>
      </c>
      <c r="P11" s="46">
        <v>22.8</v>
      </c>
      <c r="Q11" s="46">
        <v>23.9</v>
      </c>
      <c r="R11" s="46">
        <v>22.3</v>
      </c>
      <c r="S11" s="46">
        <v>22.3</v>
      </c>
      <c r="T11" s="46">
        <v>22.3</v>
      </c>
      <c r="U11" s="46">
        <v>22.3</v>
      </c>
      <c r="V11" s="46">
        <v>22.3</v>
      </c>
      <c r="W11" s="46">
        <v>22.3</v>
      </c>
      <c r="X11" s="46">
        <v>22.3</v>
      </c>
      <c r="Y11" s="46">
        <v>22.3</v>
      </c>
      <c r="Z11" s="46">
        <v>22.3</v>
      </c>
      <c r="AA11" s="46">
        <v>22.3</v>
      </c>
      <c r="AB11" s="46">
        <v>22.3</v>
      </c>
      <c r="AC11" s="46">
        <v>22.3</v>
      </c>
      <c r="AD11" s="46">
        <v>22.3</v>
      </c>
      <c r="AE11" s="46">
        <v>22.3</v>
      </c>
      <c r="AF11" s="46">
        <v>22.3</v>
      </c>
      <c r="AG11" s="47">
        <v>86</v>
      </c>
      <c r="AH11" s="48">
        <f t="shared" ref="AH11:AH16" si="2">MAX(B11:AF11)</f>
        <v>24.3</v>
      </c>
      <c r="AI11" s="49">
        <f t="shared" ref="AI11:AI16" si="3">MIN(B11:AF11)</f>
        <v>22.3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11</v>
      </c>
      <c r="C12" s="46">
        <v>11</v>
      </c>
      <c r="D12" s="46">
        <v>11</v>
      </c>
      <c r="E12" s="46">
        <v>12</v>
      </c>
      <c r="F12" s="46">
        <v>12</v>
      </c>
      <c r="G12" s="46">
        <v>12</v>
      </c>
      <c r="H12" s="46">
        <v>12</v>
      </c>
      <c r="I12" s="46">
        <v>12</v>
      </c>
      <c r="J12" s="46">
        <v>12</v>
      </c>
      <c r="K12" s="46">
        <v>12</v>
      </c>
      <c r="L12" s="46">
        <v>12</v>
      </c>
      <c r="M12" s="46">
        <v>12</v>
      </c>
      <c r="N12" s="46">
        <v>12</v>
      </c>
      <c r="O12" s="46">
        <v>12</v>
      </c>
      <c r="P12" s="46">
        <v>12</v>
      </c>
      <c r="Q12" s="46">
        <v>12</v>
      </c>
      <c r="R12" s="46">
        <v>12</v>
      </c>
      <c r="S12" s="46">
        <v>12</v>
      </c>
      <c r="T12" s="46">
        <v>12</v>
      </c>
      <c r="U12" s="46">
        <v>12</v>
      </c>
      <c r="V12" s="46">
        <v>12</v>
      </c>
      <c r="W12" s="46">
        <v>12</v>
      </c>
      <c r="X12" s="46">
        <v>12</v>
      </c>
      <c r="Y12" s="46">
        <v>12</v>
      </c>
      <c r="Z12" s="46">
        <v>12</v>
      </c>
      <c r="AA12" s="46">
        <v>12</v>
      </c>
      <c r="AB12" s="46">
        <v>12</v>
      </c>
      <c r="AC12" s="46">
        <v>12</v>
      </c>
      <c r="AD12" s="46">
        <v>12</v>
      </c>
      <c r="AE12" s="46">
        <v>12</v>
      </c>
      <c r="AF12" s="46">
        <v>12</v>
      </c>
      <c r="AG12" s="50">
        <v>54</v>
      </c>
      <c r="AH12" s="48">
        <f t="shared" si="2"/>
        <v>12</v>
      </c>
      <c r="AI12" s="49">
        <f t="shared" si="3"/>
        <v>11</v>
      </c>
      <c r="AK12" s="51"/>
      <c r="AL12" s="52" t="str">
        <f ca="1">MID(CELL("filename",C7),FIND("]",CELL("filename",C7))+1,600)</f>
        <v>21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21.8</v>
      </c>
      <c r="C13" s="46">
        <v>21.8</v>
      </c>
      <c r="D13" s="46">
        <v>21.8</v>
      </c>
      <c r="E13" s="46">
        <v>18.399999999999999</v>
      </c>
      <c r="F13" s="46">
        <v>18.399999999999999</v>
      </c>
      <c r="G13" s="46">
        <v>18.399999999999999</v>
      </c>
      <c r="H13" s="46">
        <v>16.5</v>
      </c>
      <c r="I13" s="46">
        <v>16.5</v>
      </c>
      <c r="J13" s="46">
        <v>16.5</v>
      </c>
      <c r="K13" s="46">
        <v>16.5</v>
      </c>
      <c r="L13" s="46">
        <v>16.5</v>
      </c>
      <c r="M13" s="46">
        <v>16.5</v>
      </c>
      <c r="N13" s="46">
        <v>16.5</v>
      </c>
      <c r="O13" s="46">
        <v>16.5</v>
      </c>
      <c r="P13" s="46">
        <v>16.5</v>
      </c>
      <c r="Q13" s="46">
        <v>16.5</v>
      </c>
      <c r="R13" s="46">
        <v>16.5</v>
      </c>
      <c r="S13" s="46">
        <v>16.5</v>
      </c>
      <c r="T13" s="46">
        <v>16.5</v>
      </c>
      <c r="U13" s="46">
        <v>16.5</v>
      </c>
      <c r="V13" s="46">
        <v>16.5</v>
      </c>
      <c r="W13" s="46">
        <v>16.5</v>
      </c>
      <c r="X13" s="46">
        <v>16.5</v>
      </c>
      <c r="Y13" s="46">
        <v>16.5</v>
      </c>
      <c r="Z13" s="46">
        <v>16.5</v>
      </c>
      <c r="AA13" s="46">
        <v>16.5</v>
      </c>
      <c r="AB13" s="46">
        <v>16.5</v>
      </c>
      <c r="AC13" s="46">
        <v>16.5</v>
      </c>
      <c r="AD13" s="46">
        <v>16.5</v>
      </c>
      <c r="AE13" s="46">
        <v>16.5</v>
      </c>
      <c r="AF13" s="46">
        <v>16.5</v>
      </c>
      <c r="AG13" s="50">
        <v>54</v>
      </c>
      <c r="AH13" s="48">
        <f t="shared" si="2"/>
        <v>21.8</v>
      </c>
      <c r="AI13" s="49">
        <f t="shared" si="3"/>
        <v>16.5</v>
      </c>
      <c r="AK13" s="51"/>
      <c r="AL13" s="52" t="str">
        <f ca="1">"Daily Load Curve(Excluding of Export) of Nepal ("&amp;A4&amp;" "&amp;B4&amp;")"</f>
        <v>Daily Load Curve(Excluding of Export) of Nepal (Nepali Date: 2080/10/21)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13.7</v>
      </c>
      <c r="C14" s="46">
        <v>13.7</v>
      </c>
      <c r="D14" s="46">
        <v>13.7</v>
      </c>
      <c r="E14" s="46">
        <v>14.4</v>
      </c>
      <c r="F14" s="46">
        <v>14.4</v>
      </c>
      <c r="G14" s="46">
        <v>14.4</v>
      </c>
      <c r="H14" s="46">
        <v>15.6</v>
      </c>
      <c r="I14" s="46">
        <v>15.6</v>
      </c>
      <c r="J14" s="46">
        <v>15.6</v>
      </c>
      <c r="K14" s="46">
        <v>14.8</v>
      </c>
      <c r="L14" s="46">
        <v>14.8</v>
      </c>
      <c r="M14" s="46">
        <v>14.8</v>
      </c>
      <c r="N14" s="46">
        <v>14.8</v>
      </c>
      <c r="O14" s="46">
        <v>14.8</v>
      </c>
      <c r="P14" s="46">
        <v>14.8</v>
      </c>
      <c r="Q14" s="46">
        <v>14.8</v>
      </c>
      <c r="R14" s="46">
        <v>14.8</v>
      </c>
      <c r="S14" s="46">
        <v>14.8</v>
      </c>
      <c r="T14" s="46">
        <v>14.8</v>
      </c>
      <c r="U14" s="46">
        <v>14.8</v>
      </c>
      <c r="V14" s="46">
        <v>14.8</v>
      </c>
      <c r="W14" s="46">
        <v>14.8</v>
      </c>
      <c r="X14" s="46">
        <v>14.8</v>
      </c>
      <c r="Y14" s="46">
        <v>14.8</v>
      </c>
      <c r="Z14" s="46">
        <v>14.8</v>
      </c>
      <c r="AA14" s="46">
        <v>14.8</v>
      </c>
      <c r="AB14" s="46">
        <v>14.8</v>
      </c>
      <c r="AC14" s="46">
        <v>14.8</v>
      </c>
      <c r="AD14" s="46">
        <v>14.8</v>
      </c>
      <c r="AE14" s="46">
        <v>14.8</v>
      </c>
      <c r="AF14" s="46">
        <v>14.8</v>
      </c>
      <c r="AG14" s="47">
        <v>52.4</v>
      </c>
      <c r="AH14" s="48">
        <f t="shared" si="2"/>
        <v>15.6</v>
      </c>
      <c r="AI14" s="49">
        <f t="shared" si="3"/>
        <v>13.7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33.9</v>
      </c>
      <c r="C15" s="46">
        <v>33.9</v>
      </c>
      <c r="D15" s="46">
        <v>33.9</v>
      </c>
      <c r="E15" s="46">
        <v>34.6</v>
      </c>
      <c r="F15" s="46">
        <v>34.6</v>
      </c>
      <c r="G15" s="46">
        <v>34.6</v>
      </c>
      <c r="H15" s="46">
        <v>36.5</v>
      </c>
      <c r="I15" s="46">
        <v>36.5</v>
      </c>
      <c r="J15" s="46">
        <v>36.5</v>
      </c>
      <c r="K15" s="46">
        <v>36.6</v>
      </c>
      <c r="L15" s="46">
        <v>36.6</v>
      </c>
      <c r="M15" s="46">
        <v>36.6</v>
      </c>
      <c r="N15" s="46">
        <v>36.6</v>
      </c>
      <c r="O15" s="46">
        <v>36.6</v>
      </c>
      <c r="P15" s="46">
        <v>36.6</v>
      </c>
      <c r="Q15" s="46">
        <v>36.6</v>
      </c>
      <c r="R15" s="46">
        <v>36.6</v>
      </c>
      <c r="S15" s="46">
        <v>36.6</v>
      </c>
      <c r="T15" s="46">
        <v>36.6</v>
      </c>
      <c r="U15" s="46">
        <v>36.6</v>
      </c>
      <c r="V15" s="46">
        <v>36.6</v>
      </c>
      <c r="W15" s="46">
        <v>36.6</v>
      </c>
      <c r="X15" s="46">
        <v>36.6</v>
      </c>
      <c r="Y15" s="46">
        <v>36.6</v>
      </c>
      <c r="Z15" s="46">
        <v>36.6</v>
      </c>
      <c r="AA15" s="46">
        <v>36.6</v>
      </c>
      <c r="AB15" s="46">
        <v>36.6</v>
      </c>
      <c r="AC15" s="46">
        <v>36.6</v>
      </c>
      <c r="AD15" s="46">
        <v>36.6</v>
      </c>
      <c r="AE15" s="46">
        <v>36.6</v>
      </c>
      <c r="AF15" s="46">
        <v>36.6</v>
      </c>
      <c r="AG15" s="50">
        <v>50</v>
      </c>
      <c r="AH15" s="48">
        <f t="shared" si="2"/>
        <v>36.6</v>
      </c>
      <c r="AI15" s="49">
        <f t="shared" si="3"/>
        <v>33.9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15.1</v>
      </c>
      <c r="C16" s="46">
        <v>15.1</v>
      </c>
      <c r="D16" s="46">
        <v>15.1</v>
      </c>
      <c r="E16" s="46">
        <v>15.2</v>
      </c>
      <c r="F16" s="46">
        <v>15.2</v>
      </c>
      <c r="G16" s="46">
        <v>15.2</v>
      </c>
      <c r="H16" s="46">
        <v>15.1</v>
      </c>
      <c r="I16" s="46">
        <v>15.1</v>
      </c>
      <c r="J16" s="46">
        <v>15.1</v>
      </c>
      <c r="K16" s="46">
        <v>15</v>
      </c>
      <c r="L16" s="46">
        <v>15</v>
      </c>
      <c r="M16" s="46">
        <v>15</v>
      </c>
      <c r="N16" s="46">
        <v>15</v>
      </c>
      <c r="O16" s="46">
        <v>15</v>
      </c>
      <c r="P16" s="46">
        <v>15</v>
      </c>
      <c r="Q16" s="46">
        <v>15</v>
      </c>
      <c r="R16" s="46">
        <v>15</v>
      </c>
      <c r="S16" s="46">
        <v>15</v>
      </c>
      <c r="T16" s="46">
        <v>15</v>
      </c>
      <c r="U16" s="46">
        <v>15</v>
      </c>
      <c r="V16" s="46">
        <v>15</v>
      </c>
      <c r="W16" s="46">
        <v>15</v>
      </c>
      <c r="X16" s="46">
        <v>15</v>
      </c>
      <c r="Y16" s="46">
        <v>15</v>
      </c>
      <c r="Z16" s="46">
        <v>15</v>
      </c>
      <c r="AA16" s="46">
        <v>15</v>
      </c>
      <c r="AB16" s="46">
        <v>15</v>
      </c>
      <c r="AC16" s="46">
        <v>15</v>
      </c>
      <c r="AD16" s="46">
        <v>15</v>
      </c>
      <c r="AE16" s="46">
        <v>15</v>
      </c>
      <c r="AF16" s="46">
        <v>15</v>
      </c>
      <c r="AG16" s="50">
        <v>45</v>
      </c>
      <c r="AH16" s="48">
        <f t="shared" si="2"/>
        <v>15.2</v>
      </c>
      <c r="AI16" s="49">
        <f t="shared" si="3"/>
        <v>15</v>
      </c>
      <c r="AK16" s="51"/>
      <c r="AL16" s="54" t="s">
        <v>7</v>
      </c>
      <c r="AM16" s="59">
        <f>B58</f>
        <v>525.75</v>
      </c>
      <c r="AN16" s="59">
        <f t="shared" ref="AN16:AR16" si="4">C58</f>
        <v>525.75</v>
      </c>
      <c r="AO16" s="59">
        <f t="shared" si="4"/>
        <v>525.75</v>
      </c>
      <c r="AP16" s="59">
        <f t="shared" si="4"/>
        <v>532.25</v>
      </c>
      <c r="AQ16" s="59">
        <f t="shared" si="4"/>
        <v>532.25</v>
      </c>
      <c r="AR16" s="59">
        <f t="shared" si="4"/>
        <v>532.25</v>
      </c>
      <c r="AS16" s="59">
        <f>I58</f>
        <v>528.25</v>
      </c>
      <c r="AT16" s="59">
        <f>K58</f>
        <v>526.15</v>
      </c>
      <c r="AU16" s="59">
        <f t="shared" ref="AU16:AX16" si="5">M58</f>
        <v>522.15</v>
      </c>
      <c r="AV16" s="59">
        <f t="shared" si="5"/>
        <v>527.45000000000005</v>
      </c>
      <c r="AW16" s="59">
        <f t="shared" si="5"/>
        <v>527.45000000000005</v>
      </c>
      <c r="AX16" s="59">
        <f t="shared" si="5"/>
        <v>526.54999999999995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27</v>
      </c>
      <c r="C17" s="46">
        <v>27</v>
      </c>
      <c r="D17" s="46">
        <v>27</v>
      </c>
      <c r="E17" s="46">
        <v>27</v>
      </c>
      <c r="F17" s="46">
        <v>27</v>
      </c>
      <c r="G17" s="46">
        <v>27</v>
      </c>
      <c r="H17" s="46">
        <v>27</v>
      </c>
      <c r="I17" s="46">
        <v>27</v>
      </c>
      <c r="J17" s="46">
        <v>27</v>
      </c>
      <c r="K17" s="46">
        <v>27</v>
      </c>
      <c r="L17" s="46">
        <v>27</v>
      </c>
      <c r="M17" s="46">
        <v>27</v>
      </c>
      <c r="N17" s="46">
        <v>27</v>
      </c>
      <c r="O17" s="46">
        <v>27</v>
      </c>
      <c r="P17" s="46">
        <v>27</v>
      </c>
      <c r="Q17" s="46">
        <v>27</v>
      </c>
      <c r="R17" s="46">
        <v>27</v>
      </c>
      <c r="S17" s="46">
        <v>27</v>
      </c>
      <c r="T17" s="46">
        <v>27</v>
      </c>
      <c r="U17" s="46">
        <v>27</v>
      </c>
      <c r="V17" s="46">
        <v>27</v>
      </c>
      <c r="W17" s="46">
        <v>27</v>
      </c>
      <c r="X17" s="46">
        <v>27</v>
      </c>
      <c r="Y17" s="46">
        <v>27</v>
      </c>
      <c r="Z17" s="46">
        <v>27</v>
      </c>
      <c r="AA17" s="46">
        <v>27</v>
      </c>
      <c r="AB17" s="46">
        <v>27</v>
      </c>
      <c r="AC17" s="46">
        <v>27</v>
      </c>
      <c r="AD17" s="46">
        <v>27</v>
      </c>
      <c r="AE17" s="46">
        <v>27</v>
      </c>
      <c r="AF17" s="46">
        <v>27</v>
      </c>
      <c r="AG17" s="50">
        <v>44</v>
      </c>
      <c r="AH17" s="48">
        <f>MAX(B17:AG17)</f>
        <v>44</v>
      </c>
      <c r="AI17" s="49">
        <f>MIN(B17:AG17)</f>
        <v>27</v>
      </c>
      <c r="AK17" s="51"/>
      <c r="AL17" s="54" t="s">
        <v>27</v>
      </c>
      <c r="AM17" s="59">
        <f>B62</f>
        <v>107.2</v>
      </c>
      <c r="AN17" s="59">
        <f t="shared" ref="AN17:AR17" si="6">C62</f>
        <v>87.2</v>
      </c>
      <c r="AO17" s="59">
        <f t="shared" si="6"/>
        <v>87.2</v>
      </c>
      <c r="AP17" s="59">
        <f t="shared" si="6"/>
        <v>87.2</v>
      </c>
      <c r="AQ17" s="59">
        <f t="shared" si="6"/>
        <v>87.4</v>
      </c>
      <c r="AR17" s="59">
        <f t="shared" si="6"/>
        <v>87.4</v>
      </c>
      <c r="AS17" s="59">
        <f>I62</f>
        <v>157.19999999999999</v>
      </c>
      <c r="AT17" s="59">
        <f>K62</f>
        <v>52.1</v>
      </c>
      <c r="AU17" s="59">
        <f t="shared" ref="AU17:AX17" si="7">M62</f>
        <v>52.2</v>
      </c>
      <c r="AV17" s="59">
        <f t="shared" si="7"/>
        <v>58.5</v>
      </c>
      <c r="AW17" s="59">
        <f t="shared" si="7"/>
        <v>38.5</v>
      </c>
      <c r="AX17" s="59">
        <f t="shared" si="7"/>
        <v>38.5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14.4</v>
      </c>
      <c r="C18" s="46">
        <v>14.4</v>
      </c>
      <c r="D18" s="46">
        <v>14.4</v>
      </c>
      <c r="E18" s="46">
        <v>12</v>
      </c>
      <c r="F18" s="46">
        <v>12</v>
      </c>
      <c r="G18" s="46">
        <v>12</v>
      </c>
      <c r="H18" s="46">
        <v>10</v>
      </c>
      <c r="I18" s="46">
        <v>10</v>
      </c>
      <c r="J18" s="46">
        <v>10</v>
      </c>
      <c r="K18" s="46">
        <v>10</v>
      </c>
      <c r="L18" s="46">
        <v>10</v>
      </c>
      <c r="M18" s="46">
        <v>10</v>
      </c>
      <c r="N18" s="46">
        <v>10</v>
      </c>
      <c r="O18" s="46">
        <v>10</v>
      </c>
      <c r="P18" s="46">
        <v>10</v>
      </c>
      <c r="Q18" s="46">
        <v>10</v>
      </c>
      <c r="R18" s="46">
        <v>10</v>
      </c>
      <c r="S18" s="46">
        <v>10</v>
      </c>
      <c r="T18" s="46">
        <v>10</v>
      </c>
      <c r="U18" s="46">
        <v>10</v>
      </c>
      <c r="V18" s="46">
        <v>10</v>
      </c>
      <c r="W18" s="46">
        <v>10</v>
      </c>
      <c r="X18" s="46">
        <v>10</v>
      </c>
      <c r="Y18" s="46">
        <v>10</v>
      </c>
      <c r="Z18" s="46">
        <v>10</v>
      </c>
      <c r="AA18" s="46">
        <v>10</v>
      </c>
      <c r="AB18" s="46">
        <v>10</v>
      </c>
      <c r="AC18" s="46">
        <v>10</v>
      </c>
      <c r="AD18" s="46">
        <v>10</v>
      </c>
      <c r="AE18" s="46">
        <v>10</v>
      </c>
      <c r="AF18" s="46">
        <v>10</v>
      </c>
      <c r="AG18" s="50">
        <v>42</v>
      </c>
      <c r="AH18" s="48">
        <f t="shared" ref="AH18:AH81" si="8">MAX(B18:AF18)</f>
        <v>14.4</v>
      </c>
      <c r="AI18" s="49">
        <f t="shared" ref="AI18:AI81" si="9">MIN(B18:AF18)</f>
        <v>10</v>
      </c>
      <c r="AK18" s="51"/>
      <c r="AL18" s="54" t="s">
        <v>29</v>
      </c>
      <c r="AM18" s="59">
        <f>B76</f>
        <v>231.23999999999998</v>
      </c>
      <c r="AN18" s="59">
        <f t="shared" ref="AN18:AR18" si="10">C76</f>
        <v>202.23999999999998</v>
      </c>
      <c r="AO18" s="59">
        <f t="shared" si="10"/>
        <v>171.23999999999998</v>
      </c>
      <c r="AP18" s="59">
        <f t="shared" si="10"/>
        <v>160.74</v>
      </c>
      <c r="AQ18" s="59">
        <f t="shared" si="10"/>
        <v>160.74</v>
      </c>
      <c r="AR18" s="59">
        <f t="shared" si="10"/>
        <v>160.74</v>
      </c>
      <c r="AS18" s="59">
        <f>I76</f>
        <v>319.44000000000005</v>
      </c>
      <c r="AT18" s="59">
        <f>K76</f>
        <v>285.14</v>
      </c>
      <c r="AU18" s="59">
        <f t="shared" ref="AU18:AX18" si="11">M76</f>
        <v>336.14000000000004</v>
      </c>
      <c r="AV18" s="59">
        <f t="shared" si="11"/>
        <v>295.94</v>
      </c>
      <c r="AW18" s="59">
        <f t="shared" si="11"/>
        <v>273.04000000000002</v>
      </c>
      <c r="AX18" s="59">
        <f t="shared" si="11"/>
        <v>264.44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14.6</v>
      </c>
      <c r="C19" s="46">
        <v>14.6</v>
      </c>
      <c r="D19" s="46">
        <v>14.6</v>
      </c>
      <c r="E19" s="46">
        <v>16.899999999999999</v>
      </c>
      <c r="F19" s="46">
        <v>16.899999999999999</v>
      </c>
      <c r="G19" s="46">
        <v>16.899999999999999</v>
      </c>
      <c r="H19" s="46">
        <v>16.3</v>
      </c>
      <c r="I19" s="46">
        <v>16.3</v>
      </c>
      <c r="J19" s="46">
        <v>16.3</v>
      </c>
      <c r="K19" s="46">
        <v>16.3</v>
      </c>
      <c r="L19" s="46">
        <v>16.3</v>
      </c>
      <c r="M19" s="46">
        <v>16.3</v>
      </c>
      <c r="N19" s="46">
        <v>16.3</v>
      </c>
      <c r="O19" s="46">
        <v>16.3</v>
      </c>
      <c r="P19" s="46">
        <v>16.3</v>
      </c>
      <c r="Q19" s="46">
        <v>16.3</v>
      </c>
      <c r="R19" s="46">
        <v>16.3</v>
      </c>
      <c r="S19" s="46">
        <v>16.3</v>
      </c>
      <c r="T19" s="46">
        <v>16.3</v>
      </c>
      <c r="U19" s="46">
        <v>16.3</v>
      </c>
      <c r="V19" s="46">
        <v>16.3</v>
      </c>
      <c r="W19" s="46">
        <v>16.3</v>
      </c>
      <c r="X19" s="46">
        <v>16.3</v>
      </c>
      <c r="Y19" s="46">
        <v>16.3</v>
      </c>
      <c r="Z19" s="46">
        <v>16.3</v>
      </c>
      <c r="AA19" s="46">
        <v>16.3</v>
      </c>
      <c r="AB19" s="46">
        <v>16.3</v>
      </c>
      <c r="AC19" s="46">
        <v>16.3</v>
      </c>
      <c r="AD19" s="46">
        <v>16.3</v>
      </c>
      <c r="AE19" s="46">
        <v>16.3</v>
      </c>
      <c r="AF19" s="46">
        <v>16.3</v>
      </c>
      <c r="AG19" s="50">
        <v>38.46</v>
      </c>
      <c r="AH19" s="48">
        <f t="shared" si="8"/>
        <v>16.899999999999999</v>
      </c>
      <c r="AI19" s="49">
        <f t="shared" si="9"/>
        <v>14.6</v>
      </c>
      <c r="AK19" s="51"/>
      <c r="AL19" s="54" t="s">
        <v>31</v>
      </c>
      <c r="AM19" s="59">
        <f>B92</f>
        <v>141</v>
      </c>
      <c r="AN19" s="59">
        <f t="shared" ref="AN19:AR19" si="12">C92</f>
        <v>146.4</v>
      </c>
      <c r="AO19" s="59">
        <f t="shared" si="12"/>
        <v>124</v>
      </c>
      <c r="AP19" s="59">
        <f t="shared" si="12"/>
        <v>143.9</v>
      </c>
      <c r="AQ19" s="59">
        <f t="shared" si="12"/>
        <v>139.69999999999999</v>
      </c>
      <c r="AR19" s="59">
        <f t="shared" si="12"/>
        <v>167.7</v>
      </c>
      <c r="AS19" s="59">
        <f>I92</f>
        <v>81.800000000000011</v>
      </c>
      <c r="AT19" s="59">
        <f>K92</f>
        <v>549</v>
      </c>
      <c r="AU19" s="59">
        <f t="shared" ref="AU19:AX19" si="13">M92</f>
        <v>602.29999999999995</v>
      </c>
      <c r="AV19" s="59">
        <f t="shared" si="13"/>
        <v>586.50000000000011</v>
      </c>
      <c r="AW19" s="59">
        <f t="shared" si="13"/>
        <v>724.5</v>
      </c>
      <c r="AX19" s="59">
        <f t="shared" si="13"/>
        <v>749.69999999999993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7.8</v>
      </c>
      <c r="C20" s="46">
        <v>7.8</v>
      </c>
      <c r="D20" s="46">
        <v>7.8</v>
      </c>
      <c r="E20" s="46">
        <v>7.8</v>
      </c>
      <c r="F20" s="46">
        <v>7.8</v>
      </c>
      <c r="G20" s="46">
        <v>7.8</v>
      </c>
      <c r="H20" s="46">
        <v>7.8</v>
      </c>
      <c r="I20" s="46">
        <v>7.8</v>
      </c>
      <c r="J20" s="46">
        <v>7.8</v>
      </c>
      <c r="K20" s="46">
        <v>7.8</v>
      </c>
      <c r="L20" s="46">
        <v>7.8</v>
      </c>
      <c r="M20" s="46">
        <v>7.8</v>
      </c>
      <c r="N20" s="46">
        <v>7.8</v>
      </c>
      <c r="O20" s="46">
        <v>7.8</v>
      </c>
      <c r="P20" s="46">
        <v>7.8</v>
      </c>
      <c r="Q20" s="46">
        <v>7.8</v>
      </c>
      <c r="R20" s="46">
        <v>7.8</v>
      </c>
      <c r="S20" s="46">
        <v>7.8</v>
      </c>
      <c r="T20" s="46">
        <v>7.8</v>
      </c>
      <c r="U20" s="46">
        <v>7.8</v>
      </c>
      <c r="V20" s="46">
        <v>7.8</v>
      </c>
      <c r="W20" s="46">
        <v>7.8</v>
      </c>
      <c r="X20" s="46">
        <v>7.8</v>
      </c>
      <c r="Y20" s="46">
        <v>7.8</v>
      </c>
      <c r="Z20" s="46">
        <v>7.8</v>
      </c>
      <c r="AA20" s="46">
        <v>7.8</v>
      </c>
      <c r="AB20" s="46">
        <v>7.8</v>
      </c>
      <c r="AC20" s="46">
        <v>7.8</v>
      </c>
      <c r="AD20" s="46">
        <v>7.8</v>
      </c>
      <c r="AE20" s="46">
        <v>7.8</v>
      </c>
      <c r="AF20" s="46">
        <v>7.8</v>
      </c>
      <c r="AG20" s="50">
        <v>38.46</v>
      </c>
      <c r="AH20" s="48">
        <f t="shared" si="8"/>
        <v>7.8</v>
      </c>
      <c r="AI20" s="49">
        <f t="shared" si="9"/>
        <v>7.8</v>
      </c>
      <c r="AK20" s="51"/>
      <c r="AL20" s="54" t="s">
        <v>33</v>
      </c>
      <c r="AM20" s="59">
        <f>B80</f>
        <v>71</v>
      </c>
      <c r="AN20" s="59">
        <f t="shared" ref="AN20:AR20" si="14">C80</f>
        <v>71</v>
      </c>
      <c r="AO20" s="59">
        <f t="shared" si="14"/>
        <v>93</v>
      </c>
      <c r="AP20" s="59">
        <f t="shared" si="14"/>
        <v>97.800000000000011</v>
      </c>
      <c r="AQ20" s="59">
        <f t="shared" si="14"/>
        <v>97.800000000000011</v>
      </c>
      <c r="AR20" s="59">
        <f t="shared" si="14"/>
        <v>97.800000000000011</v>
      </c>
      <c r="AS20" s="59">
        <f>I80</f>
        <v>97.2</v>
      </c>
      <c r="AT20" s="59">
        <f>K80</f>
        <v>0</v>
      </c>
      <c r="AU20" s="59">
        <f t="shared" ref="AU20:AX20" si="15">M80</f>
        <v>0</v>
      </c>
      <c r="AV20" s="59">
        <f t="shared" si="15"/>
        <v>0</v>
      </c>
      <c r="AW20" s="59">
        <f t="shared" si="15"/>
        <v>0</v>
      </c>
      <c r="AX20" s="59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11</v>
      </c>
      <c r="C21" s="46">
        <v>11</v>
      </c>
      <c r="D21" s="46">
        <v>11</v>
      </c>
      <c r="E21" s="46">
        <v>11</v>
      </c>
      <c r="F21" s="46">
        <v>11</v>
      </c>
      <c r="G21" s="46">
        <v>11</v>
      </c>
      <c r="H21" s="46">
        <v>11</v>
      </c>
      <c r="I21" s="46">
        <v>11</v>
      </c>
      <c r="J21" s="46">
        <v>11</v>
      </c>
      <c r="K21" s="46">
        <v>11</v>
      </c>
      <c r="L21" s="46">
        <v>11</v>
      </c>
      <c r="M21" s="46">
        <v>11</v>
      </c>
      <c r="N21" s="46">
        <v>11</v>
      </c>
      <c r="O21" s="46">
        <v>11</v>
      </c>
      <c r="P21" s="46">
        <v>11</v>
      </c>
      <c r="Q21" s="46">
        <v>11</v>
      </c>
      <c r="R21" s="46">
        <v>11</v>
      </c>
      <c r="S21" s="46">
        <v>11</v>
      </c>
      <c r="T21" s="46">
        <v>11</v>
      </c>
      <c r="U21" s="46">
        <v>11</v>
      </c>
      <c r="V21" s="46">
        <v>11</v>
      </c>
      <c r="W21" s="46">
        <v>11</v>
      </c>
      <c r="X21" s="46">
        <v>11</v>
      </c>
      <c r="Y21" s="46">
        <v>11</v>
      </c>
      <c r="Z21" s="46">
        <v>11</v>
      </c>
      <c r="AA21" s="46">
        <v>11</v>
      </c>
      <c r="AB21" s="46">
        <v>11</v>
      </c>
      <c r="AC21" s="46">
        <v>11</v>
      </c>
      <c r="AD21" s="46">
        <v>11</v>
      </c>
      <c r="AE21" s="46">
        <v>11</v>
      </c>
      <c r="AF21" s="46">
        <v>11</v>
      </c>
      <c r="AG21" s="50">
        <v>36</v>
      </c>
      <c r="AH21" s="48">
        <f t="shared" si="8"/>
        <v>11</v>
      </c>
      <c r="AI21" s="49">
        <f t="shared" si="9"/>
        <v>11</v>
      </c>
      <c r="AK21" s="51"/>
      <c r="AL21" s="54" t="s">
        <v>35</v>
      </c>
      <c r="AM21" s="59">
        <f>B98</f>
        <v>250</v>
      </c>
      <c r="AN21" s="59">
        <f t="shared" ref="AN21:AR21" si="16">C98</f>
        <v>200</v>
      </c>
      <c r="AO21" s="59">
        <f t="shared" si="16"/>
        <v>200</v>
      </c>
      <c r="AP21" s="59">
        <f t="shared" si="16"/>
        <v>200</v>
      </c>
      <c r="AQ21" s="59">
        <f t="shared" si="16"/>
        <v>200</v>
      </c>
      <c r="AR21" s="59">
        <f t="shared" si="16"/>
        <v>200</v>
      </c>
      <c r="AS21" s="59">
        <f>I98</f>
        <v>200</v>
      </c>
      <c r="AT21" s="59">
        <f>K98</f>
        <v>100</v>
      </c>
      <c r="AU21" s="59">
        <f t="shared" ref="AU21:AX21" si="17">M98</f>
        <v>50</v>
      </c>
      <c r="AV21" s="59">
        <f t="shared" si="17"/>
        <v>0</v>
      </c>
      <c r="AW21" s="59">
        <f t="shared" si="17"/>
        <v>0</v>
      </c>
      <c r="AX21" s="59">
        <f t="shared" si="17"/>
        <v>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10.8</v>
      </c>
      <c r="C22" s="46">
        <v>10.8</v>
      </c>
      <c r="D22" s="46">
        <v>10.8</v>
      </c>
      <c r="E22" s="46">
        <v>8.8000000000000007</v>
      </c>
      <c r="F22" s="46">
        <v>8.8000000000000007</v>
      </c>
      <c r="G22" s="46">
        <v>8.8000000000000007</v>
      </c>
      <c r="H22" s="46">
        <v>8.8000000000000007</v>
      </c>
      <c r="I22" s="46">
        <v>8.8000000000000007</v>
      </c>
      <c r="J22" s="46">
        <v>8.8000000000000007</v>
      </c>
      <c r="K22" s="46">
        <v>8.8000000000000007</v>
      </c>
      <c r="L22" s="46">
        <v>8.8000000000000007</v>
      </c>
      <c r="M22" s="46">
        <v>8.8000000000000007</v>
      </c>
      <c r="N22" s="46">
        <v>8.8000000000000007</v>
      </c>
      <c r="O22" s="46">
        <v>8.8000000000000007</v>
      </c>
      <c r="P22" s="46">
        <v>8.8000000000000007</v>
      </c>
      <c r="Q22" s="46">
        <v>8.8000000000000007</v>
      </c>
      <c r="R22" s="46">
        <v>8.8000000000000007</v>
      </c>
      <c r="S22" s="46">
        <v>8.8000000000000007</v>
      </c>
      <c r="T22" s="46">
        <v>8.8000000000000007</v>
      </c>
      <c r="U22" s="46">
        <v>8.8000000000000007</v>
      </c>
      <c r="V22" s="46">
        <v>8.8000000000000007</v>
      </c>
      <c r="W22" s="46">
        <v>8.8000000000000007</v>
      </c>
      <c r="X22" s="46">
        <v>8.8000000000000007</v>
      </c>
      <c r="Y22" s="46">
        <v>8.8000000000000007</v>
      </c>
      <c r="Z22" s="46">
        <v>8.8000000000000007</v>
      </c>
      <c r="AA22" s="46">
        <v>8.8000000000000007</v>
      </c>
      <c r="AB22" s="46">
        <v>8.8000000000000007</v>
      </c>
      <c r="AC22" s="46">
        <v>8.8000000000000007</v>
      </c>
      <c r="AD22" s="46">
        <v>8.8000000000000007</v>
      </c>
      <c r="AE22" s="46">
        <v>8.8000000000000007</v>
      </c>
      <c r="AF22" s="46">
        <v>8.8000000000000007</v>
      </c>
      <c r="AG22" s="60">
        <v>30</v>
      </c>
      <c r="AH22" s="48">
        <f t="shared" si="8"/>
        <v>10.8</v>
      </c>
      <c r="AI22" s="49">
        <f t="shared" si="9"/>
        <v>8.8000000000000007</v>
      </c>
      <c r="AK22" s="51"/>
      <c r="AL22" s="61" t="s">
        <v>37</v>
      </c>
      <c r="AM22" s="62">
        <f>SUM(AM16:AM21)</f>
        <v>1326.19</v>
      </c>
      <c r="AN22" s="62">
        <f t="shared" ref="AN22:AX22" si="18">SUM(AN16:AN21)</f>
        <v>1232.5900000000001</v>
      </c>
      <c r="AO22" s="62">
        <f t="shared" si="18"/>
        <v>1201.19</v>
      </c>
      <c r="AP22" s="62">
        <f t="shared" si="18"/>
        <v>1221.8900000000001</v>
      </c>
      <c r="AQ22" s="62">
        <f t="shared" si="18"/>
        <v>1217.8899999999999</v>
      </c>
      <c r="AR22" s="62">
        <f t="shared" si="18"/>
        <v>1245.8899999999999</v>
      </c>
      <c r="AS22" s="62">
        <f t="shared" si="18"/>
        <v>1383.89</v>
      </c>
      <c r="AT22" s="62">
        <f t="shared" si="18"/>
        <v>1512.3899999999999</v>
      </c>
      <c r="AU22" s="62">
        <f t="shared" si="18"/>
        <v>1562.79</v>
      </c>
      <c r="AV22" s="62">
        <f t="shared" si="18"/>
        <v>1468.3900000000003</v>
      </c>
      <c r="AW22" s="62">
        <f t="shared" si="18"/>
        <v>1563.49</v>
      </c>
      <c r="AX22" s="62">
        <f t="shared" si="18"/>
        <v>1579.19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9</v>
      </c>
      <c r="C23" s="46">
        <v>9</v>
      </c>
      <c r="D23" s="46">
        <v>9</v>
      </c>
      <c r="E23" s="46">
        <v>9</v>
      </c>
      <c r="F23" s="46">
        <v>9</v>
      </c>
      <c r="G23" s="46">
        <v>9</v>
      </c>
      <c r="H23" s="46">
        <v>9</v>
      </c>
      <c r="I23" s="46">
        <v>9</v>
      </c>
      <c r="J23" s="46">
        <v>9</v>
      </c>
      <c r="K23" s="46">
        <v>9</v>
      </c>
      <c r="L23" s="46">
        <v>9</v>
      </c>
      <c r="M23" s="46">
        <v>9</v>
      </c>
      <c r="N23" s="46">
        <v>9</v>
      </c>
      <c r="O23" s="46">
        <v>9</v>
      </c>
      <c r="P23" s="46">
        <v>9</v>
      </c>
      <c r="Q23" s="46">
        <v>9</v>
      </c>
      <c r="R23" s="46">
        <v>9</v>
      </c>
      <c r="S23" s="46">
        <v>9</v>
      </c>
      <c r="T23" s="46">
        <v>9</v>
      </c>
      <c r="U23" s="46">
        <v>9</v>
      </c>
      <c r="V23" s="46">
        <v>9</v>
      </c>
      <c r="W23" s="46">
        <v>9</v>
      </c>
      <c r="X23" s="46">
        <v>9</v>
      </c>
      <c r="Y23" s="46">
        <v>9</v>
      </c>
      <c r="Z23" s="46">
        <v>9</v>
      </c>
      <c r="AA23" s="46">
        <v>9</v>
      </c>
      <c r="AB23" s="46">
        <v>9</v>
      </c>
      <c r="AC23" s="46">
        <v>9</v>
      </c>
      <c r="AD23" s="46">
        <v>9</v>
      </c>
      <c r="AE23" s="46">
        <v>9</v>
      </c>
      <c r="AF23" s="46">
        <v>9</v>
      </c>
      <c r="AG23" s="50">
        <v>24.2</v>
      </c>
      <c r="AH23" s="48">
        <f t="shared" si="8"/>
        <v>9</v>
      </c>
      <c r="AI23" s="49">
        <f t="shared" si="9"/>
        <v>9</v>
      </c>
      <c r="AK23" s="51"/>
      <c r="AL23" s="61" t="s">
        <v>39</v>
      </c>
      <c r="AM23" s="62">
        <f>B107*-1</f>
        <v>0</v>
      </c>
      <c r="AN23" s="62">
        <f t="shared" ref="AN23:AR23" si="19">C107*-1</f>
        <v>0</v>
      </c>
      <c r="AO23" s="62">
        <f t="shared" si="19"/>
        <v>0</v>
      </c>
      <c r="AP23" s="62">
        <f t="shared" si="19"/>
        <v>0</v>
      </c>
      <c r="AQ23" s="62">
        <f t="shared" si="19"/>
        <v>0</v>
      </c>
      <c r="AR23" s="62">
        <f t="shared" si="19"/>
        <v>0</v>
      </c>
      <c r="AS23" s="62">
        <f>I107*-1</f>
        <v>0</v>
      </c>
      <c r="AT23" s="62">
        <f>K107*-1</f>
        <v>0</v>
      </c>
      <c r="AU23" s="62">
        <f t="shared" ref="AU23:AX23" si="20">M107*-1</f>
        <v>0</v>
      </c>
      <c r="AV23" s="62">
        <f t="shared" si="20"/>
        <v>0</v>
      </c>
      <c r="AW23" s="62">
        <f t="shared" si="20"/>
        <v>0</v>
      </c>
      <c r="AX23" s="62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7.3</v>
      </c>
      <c r="C24" s="46">
        <v>7.3</v>
      </c>
      <c r="D24" s="46">
        <v>7.3</v>
      </c>
      <c r="E24" s="46">
        <v>7.3</v>
      </c>
      <c r="F24" s="46">
        <v>7.3</v>
      </c>
      <c r="G24" s="46">
        <v>7.3</v>
      </c>
      <c r="H24" s="46">
        <v>7</v>
      </c>
      <c r="I24" s="46">
        <v>7</v>
      </c>
      <c r="J24" s="46">
        <v>7</v>
      </c>
      <c r="K24" s="46">
        <v>7</v>
      </c>
      <c r="L24" s="46">
        <v>7</v>
      </c>
      <c r="M24" s="46">
        <v>7</v>
      </c>
      <c r="N24" s="46">
        <v>7</v>
      </c>
      <c r="O24" s="46">
        <v>7</v>
      </c>
      <c r="P24" s="46">
        <v>7</v>
      </c>
      <c r="Q24" s="46">
        <v>7</v>
      </c>
      <c r="R24" s="46">
        <v>7</v>
      </c>
      <c r="S24" s="46">
        <v>7</v>
      </c>
      <c r="T24" s="46">
        <v>7</v>
      </c>
      <c r="U24" s="46">
        <v>7</v>
      </c>
      <c r="V24" s="46">
        <v>7</v>
      </c>
      <c r="W24" s="46">
        <v>7</v>
      </c>
      <c r="X24" s="46">
        <v>7</v>
      </c>
      <c r="Y24" s="46">
        <v>7</v>
      </c>
      <c r="Z24" s="46">
        <v>7</v>
      </c>
      <c r="AA24" s="46">
        <v>7</v>
      </c>
      <c r="AB24" s="46">
        <v>7</v>
      </c>
      <c r="AC24" s="46">
        <v>7</v>
      </c>
      <c r="AD24" s="46">
        <v>7</v>
      </c>
      <c r="AE24" s="46">
        <v>7</v>
      </c>
      <c r="AF24" s="46">
        <v>7</v>
      </c>
      <c r="AG24" s="50">
        <v>28</v>
      </c>
      <c r="AH24" s="48">
        <f t="shared" si="8"/>
        <v>7.3</v>
      </c>
      <c r="AI24" s="49">
        <f t="shared" si="9"/>
        <v>7</v>
      </c>
      <c r="AK24" s="51"/>
      <c r="AL24" s="61" t="s">
        <v>41</v>
      </c>
      <c r="AM24" s="62">
        <f>AM22+AM23</f>
        <v>1326.19</v>
      </c>
      <c r="AN24" s="62">
        <f t="shared" ref="AN24:AX24" si="21">AN22+AN23</f>
        <v>1232.5900000000001</v>
      </c>
      <c r="AO24" s="62">
        <f t="shared" si="21"/>
        <v>1201.19</v>
      </c>
      <c r="AP24" s="62">
        <f t="shared" si="21"/>
        <v>1221.8900000000001</v>
      </c>
      <c r="AQ24" s="62">
        <f t="shared" si="21"/>
        <v>1217.8899999999999</v>
      </c>
      <c r="AR24" s="62">
        <f t="shared" si="21"/>
        <v>1245.8899999999999</v>
      </c>
      <c r="AS24" s="62">
        <f t="shared" si="21"/>
        <v>1383.89</v>
      </c>
      <c r="AT24" s="62">
        <f t="shared" si="21"/>
        <v>1512.3899999999999</v>
      </c>
      <c r="AU24" s="62">
        <f t="shared" si="21"/>
        <v>1562.79</v>
      </c>
      <c r="AV24" s="62">
        <f t="shared" si="21"/>
        <v>1468.3900000000003</v>
      </c>
      <c r="AW24" s="62">
        <f t="shared" si="21"/>
        <v>1563.49</v>
      </c>
      <c r="AX24" s="62">
        <f t="shared" si="21"/>
        <v>1579.19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0</v>
      </c>
      <c r="C25" s="46">
        <v>0</v>
      </c>
      <c r="D25" s="46">
        <v>0</v>
      </c>
      <c r="E25" s="46">
        <v>9.6999999999999993</v>
      </c>
      <c r="F25" s="46">
        <v>9.6999999999999993</v>
      </c>
      <c r="G25" s="46">
        <v>9.6999999999999993</v>
      </c>
      <c r="H25" s="46">
        <v>9.6999999999999993</v>
      </c>
      <c r="I25" s="46">
        <v>9.6999999999999993</v>
      </c>
      <c r="J25" s="46">
        <v>9.6999999999999993</v>
      </c>
      <c r="K25" s="46">
        <v>9.6999999999999993</v>
      </c>
      <c r="L25" s="46">
        <v>9.6999999999999993</v>
      </c>
      <c r="M25" s="46">
        <v>9.6999999999999993</v>
      </c>
      <c r="N25" s="46">
        <v>9.6999999999999993</v>
      </c>
      <c r="O25" s="46">
        <v>9.6999999999999993</v>
      </c>
      <c r="P25" s="46">
        <v>9.6999999999999993</v>
      </c>
      <c r="Q25" s="46">
        <v>9.6999999999999993</v>
      </c>
      <c r="R25" s="46">
        <v>9.6999999999999993</v>
      </c>
      <c r="S25" s="46">
        <v>9.6999999999999993</v>
      </c>
      <c r="T25" s="46">
        <v>9.6999999999999993</v>
      </c>
      <c r="U25" s="46">
        <v>9.6999999999999993</v>
      </c>
      <c r="V25" s="46">
        <v>9.6999999999999993</v>
      </c>
      <c r="W25" s="46">
        <v>9.6999999999999993</v>
      </c>
      <c r="X25" s="46">
        <v>9.6999999999999993</v>
      </c>
      <c r="Y25" s="46">
        <v>9.6999999999999993</v>
      </c>
      <c r="Z25" s="46">
        <v>9.6999999999999993</v>
      </c>
      <c r="AA25" s="46">
        <v>9.6999999999999993</v>
      </c>
      <c r="AB25" s="46">
        <v>9.6999999999999993</v>
      </c>
      <c r="AC25" s="46">
        <v>9.6999999999999993</v>
      </c>
      <c r="AD25" s="46">
        <v>9.6999999999999993</v>
      </c>
      <c r="AE25" s="46">
        <v>9.6999999999999993</v>
      </c>
      <c r="AF25" s="46">
        <v>9.6999999999999993</v>
      </c>
      <c r="AG25" s="60">
        <v>30</v>
      </c>
      <c r="AH25" s="48">
        <f t="shared" si="8"/>
        <v>9.6999999999999993</v>
      </c>
      <c r="AI25" s="49">
        <f t="shared" si="9"/>
        <v>0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11.7</v>
      </c>
      <c r="C26" s="46">
        <v>11.7</v>
      </c>
      <c r="D26" s="46">
        <v>11.7</v>
      </c>
      <c r="E26" s="46">
        <v>12.6</v>
      </c>
      <c r="F26" s="46">
        <v>12.6</v>
      </c>
      <c r="G26" s="46">
        <v>12.6</v>
      </c>
      <c r="H26" s="46">
        <v>11</v>
      </c>
      <c r="I26" s="46">
        <v>11</v>
      </c>
      <c r="J26" s="46">
        <v>11</v>
      </c>
      <c r="K26" s="46">
        <v>11</v>
      </c>
      <c r="L26" s="46">
        <v>11</v>
      </c>
      <c r="M26" s="46">
        <v>11</v>
      </c>
      <c r="N26" s="46">
        <v>11</v>
      </c>
      <c r="O26" s="46">
        <v>11</v>
      </c>
      <c r="P26" s="46">
        <v>11</v>
      </c>
      <c r="Q26" s="46">
        <v>11</v>
      </c>
      <c r="R26" s="46">
        <v>11</v>
      </c>
      <c r="S26" s="46">
        <v>11</v>
      </c>
      <c r="T26" s="46">
        <v>11</v>
      </c>
      <c r="U26" s="46">
        <v>11</v>
      </c>
      <c r="V26" s="46">
        <v>11</v>
      </c>
      <c r="W26" s="46">
        <v>11</v>
      </c>
      <c r="X26" s="46">
        <v>11</v>
      </c>
      <c r="Y26" s="46">
        <v>11</v>
      </c>
      <c r="Z26" s="46">
        <v>11</v>
      </c>
      <c r="AA26" s="46">
        <v>11</v>
      </c>
      <c r="AB26" s="46">
        <v>11</v>
      </c>
      <c r="AC26" s="46">
        <v>11</v>
      </c>
      <c r="AD26" s="46">
        <v>11</v>
      </c>
      <c r="AE26" s="46">
        <v>11</v>
      </c>
      <c r="AF26" s="46">
        <v>11</v>
      </c>
      <c r="AG26" s="50">
        <v>25</v>
      </c>
      <c r="AH26" s="48">
        <f t="shared" si="8"/>
        <v>12.6</v>
      </c>
      <c r="AI26" s="49">
        <f t="shared" si="9"/>
        <v>11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0</v>
      </c>
      <c r="N27" s="46">
        <v>5</v>
      </c>
      <c r="O27" s="46">
        <v>5</v>
      </c>
      <c r="P27" s="46">
        <v>5</v>
      </c>
      <c r="Q27" s="46">
        <v>5</v>
      </c>
      <c r="R27" s="46">
        <v>5</v>
      </c>
      <c r="S27" s="46">
        <v>5</v>
      </c>
      <c r="T27" s="46">
        <v>5</v>
      </c>
      <c r="U27" s="46">
        <v>5</v>
      </c>
      <c r="V27" s="46">
        <v>5</v>
      </c>
      <c r="W27" s="46">
        <v>5</v>
      </c>
      <c r="X27" s="46">
        <v>5</v>
      </c>
      <c r="Y27" s="46">
        <v>5</v>
      </c>
      <c r="Z27" s="46">
        <v>5</v>
      </c>
      <c r="AA27" s="46">
        <v>5</v>
      </c>
      <c r="AB27" s="46">
        <v>5</v>
      </c>
      <c r="AC27" s="46">
        <v>5</v>
      </c>
      <c r="AD27" s="46">
        <v>5</v>
      </c>
      <c r="AE27" s="46">
        <v>5</v>
      </c>
      <c r="AF27" s="46">
        <v>5</v>
      </c>
      <c r="AG27" s="50">
        <v>25</v>
      </c>
      <c r="AH27" s="48">
        <f t="shared" si="8"/>
        <v>5</v>
      </c>
      <c r="AI27" s="49">
        <f t="shared" si="9"/>
        <v>0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10</v>
      </c>
      <c r="C28" s="46">
        <v>10</v>
      </c>
      <c r="D28" s="46">
        <v>10</v>
      </c>
      <c r="E28" s="46">
        <v>10</v>
      </c>
      <c r="F28" s="46">
        <v>10</v>
      </c>
      <c r="G28" s="46">
        <v>10</v>
      </c>
      <c r="H28" s="46">
        <v>10</v>
      </c>
      <c r="I28" s="46">
        <v>10</v>
      </c>
      <c r="J28" s="46">
        <v>10</v>
      </c>
      <c r="K28" s="46">
        <v>10</v>
      </c>
      <c r="L28" s="46">
        <v>10</v>
      </c>
      <c r="M28" s="46">
        <v>10</v>
      </c>
      <c r="N28" s="46">
        <v>10</v>
      </c>
      <c r="O28" s="46">
        <v>10</v>
      </c>
      <c r="P28" s="46">
        <v>10</v>
      </c>
      <c r="Q28" s="46">
        <v>10</v>
      </c>
      <c r="R28" s="46">
        <v>10</v>
      </c>
      <c r="S28" s="46">
        <v>10</v>
      </c>
      <c r="T28" s="46">
        <v>10</v>
      </c>
      <c r="U28" s="46">
        <v>10</v>
      </c>
      <c r="V28" s="46">
        <v>10</v>
      </c>
      <c r="W28" s="46">
        <v>10</v>
      </c>
      <c r="X28" s="46">
        <v>10</v>
      </c>
      <c r="Y28" s="46">
        <v>10</v>
      </c>
      <c r="Z28" s="46">
        <v>10</v>
      </c>
      <c r="AA28" s="46">
        <v>10</v>
      </c>
      <c r="AB28" s="46">
        <v>10</v>
      </c>
      <c r="AC28" s="46">
        <v>10</v>
      </c>
      <c r="AD28" s="46">
        <v>10</v>
      </c>
      <c r="AE28" s="46">
        <v>10</v>
      </c>
      <c r="AF28" s="46">
        <v>10</v>
      </c>
      <c r="AG28" s="50">
        <v>25</v>
      </c>
      <c r="AH28" s="48">
        <f t="shared" si="8"/>
        <v>10</v>
      </c>
      <c r="AI28" s="49">
        <f t="shared" si="9"/>
        <v>10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14.6</v>
      </c>
      <c r="C29" s="46">
        <v>14.6</v>
      </c>
      <c r="D29" s="46">
        <v>14.6</v>
      </c>
      <c r="E29" s="46">
        <v>12.2</v>
      </c>
      <c r="F29" s="46">
        <v>12.2</v>
      </c>
      <c r="G29" s="46">
        <v>12.2</v>
      </c>
      <c r="H29" s="46">
        <v>12.2</v>
      </c>
      <c r="I29" s="46">
        <v>12.2</v>
      </c>
      <c r="J29" s="46">
        <v>12.2</v>
      </c>
      <c r="K29" s="46">
        <v>12.2</v>
      </c>
      <c r="L29" s="46">
        <v>12.2</v>
      </c>
      <c r="M29" s="46">
        <v>12.2</v>
      </c>
      <c r="N29" s="46">
        <v>12.2</v>
      </c>
      <c r="O29" s="46">
        <v>12.2</v>
      </c>
      <c r="P29" s="46">
        <v>12.2</v>
      </c>
      <c r="Q29" s="46">
        <v>12.2</v>
      </c>
      <c r="R29" s="46">
        <v>12.2</v>
      </c>
      <c r="S29" s="46">
        <v>12.2</v>
      </c>
      <c r="T29" s="46">
        <v>12.2</v>
      </c>
      <c r="U29" s="46">
        <v>12.2</v>
      </c>
      <c r="V29" s="46">
        <v>12.2</v>
      </c>
      <c r="W29" s="46">
        <v>12.2</v>
      </c>
      <c r="X29" s="46">
        <v>12.2</v>
      </c>
      <c r="Y29" s="46">
        <v>12.2</v>
      </c>
      <c r="Z29" s="46">
        <v>12.2</v>
      </c>
      <c r="AA29" s="46">
        <v>12.2</v>
      </c>
      <c r="AB29" s="46">
        <v>12.2</v>
      </c>
      <c r="AC29" s="46">
        <v>12.2</v>
      </c>
      <c r="AD29" s="46">
        <v>12.2</v>
      </c>
      <c r="AE29" s="46">
        <v>12.2</v>
      </c>
      <c r="AF29" s="46">
        <v>12.2</v>
      </c>
      <c r="AG29" s="50">
        <v>25</v>
      </c>
      <c r="AH29" s="48">
        <f t="shared" si="8"/>
        <v>14.6</v>
      </c>
      <c r="AI29" s="49">
        <f t="shared" si="9"/>
        <v>12.2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7.1</v>
      </c>
      <c r="C30" s="46">
        <v>7.1</v>
      </c>
      <c r="D30" s="46">
        <v>7.1</v>
      </c>
      <c r="E30" s="46">
        <v>6.4</v>
      </c>
      <c r="F30" s="46">
        <v>6.4</v>
      </c>
      <c r="G30" s="46">
        <v>6.4</v>
      </c>
      <c r="H30" s="46">
        <v>6.4</v>
      </c>
      <c r="I30" s="46">
        <v>6.4</v>
      </c>
      <c r="J30" s="46">
        <v>6.4</v>
      </c>
      <c r="K30" s="46">
        <v>6.4</v>
      </c>
      <c r="L30" s="46">
        <v>6.4</v>
      </c>
      <c r="M30" s="46">
        <v>6.4</v>
      </c>
      <c r="N30" s="46">
        <v>6.4</v>
      </c>
      <c r="O30" s="46">
        <v>6.4</v>
      </c>
      <c r="P30" s="46">
        <v>6.4</v>
      </c>
      <c r="Q30" s="46">
        <v>6.4</v>
      </c>
      <c r="R30" s="46">
        <v>6.4</v>
      </c>
      <c r="S30" s="46">
        <v>6.4</v>
      </c>
      <c r="T30" s="46">
        <v>6.4</v>
      </c>
      <c r="U30" s="46">
        <v>6.4</v>
      </c>
      <c r="V30" s="46">
        <v>6.4</v>
      </c>
      <c r="W30" s="46">
        <v>6.4</v>
      </c>
      <c r="X30" s="46">
        <v>6.4</v>
      </c>
      <c r="Y30" s="46">
        <v>6.4</v>
      </c>
      <c r="Z30" s="46">
        <v>6.4</v>
      </c>
      <c r="AA30" s="46">
        <v>6.4</v>
      </c>
      <c r="AB30" s="46">
        <v>6.4</v>
      </c>
      <c r="AC30" s="46">
        <v>6.4</v>
      </c>
      <c r="AD30" s="46">
        <v>6.4</v>
      </c>
      <c r="AE30" s="46">
        <v>6.4</v>
      </c>
      <c r="AF30" s="46">
        <v>6.4</v>
      </c>
      <c r="AG30" s="50">
        <v>23.5</v>
      </c>
      <c r="AH30" s="48">
        <f t="shared" si="8"/>
        <v>7.1</v>
      </c>
      <c r="AI30" s="49">
        <f t="shared" si="9"/>
        <v>6.4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>
        <v>3</v>
      </c>
      <c r="V31" s="46">
        <v>3</v>
      </c>
      <c r="W31" s="46">
        <v>3</v>
      </c>
      <c r="X31" s="46">
        <v>3</v>
      </c>
      <c r="Y31" s="46">
        <v>3</v>
      </c>
      <c r="Z31" s="46">
        <v>3</v>
      </c>
      <c r="AA31" s="46">
        <v>3</v>
      </c>
      <c r="AB31" s="46">
        <v>3</v>
      </c>
      <c r="AC31" s="46">
        <v>3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8"/>
        <v>3</v>
      </c>
      <c r="AI31" s="49">
        <f t="shared" si="9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5.5</v>
      </c>
      <c r="Q32" s="46">
        <v>5.5</v>
      </c>
      <c r="R32" s="46">
        <v>5.5</v>
      </c>
      <c r="S32" s="46">
        <v>5.5</v>
      </c>
      <c r="T32" s="46">
        <v>5.5</v>
      </c>
      <c r="U32" s="46">
        <v>5.5</v>
      </c>
      <c r="V32" s="46">
        <v>5.5</v>
      </c>
      <c r="W32" s="46">
        <v>5.5</v>
      </c>
      <c r="X32" s="46">
        <v>5.5</v>
      </c>
      <c r="Y32" s="46">
        <v>5.5</v>
      </c>
      <c r="Z32" s="46">
        <v>5.5</v>
      </c>
      <c r="AA32" s="46">
        <v>5.5</v>
      </c>
      <c r="AB32" s="46">
        <v>5.5</v>
      </c>
      <c r="AC32" s="46">
        <v>5.5</v>
      </c>
      <c r="AD32" s="46">
        <v>5.5</v>
      </c>
      <c r="AE32" s="46">
        <v>5.5</v>
      </c>
      <c r="AF32" s="46">
        <v>5.5</v>
      </c>
      <c r="AG32" s="50">
        <v>22.1</v>
      </c>
      <c r="AH32" s="48">
        <f t="shared" si="8"/>
        <v>5.5</v>
      </c>
      <c r="AI32" s="49">
        <f t="shared" si="9"/>
        <v>5.5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5</v>
      </c>
      <c r="C33" s="46">
        <v>5</v>
      </c>
      <c r="D33" s="46">
        <v>5</v>
      </c>
      <c r="E33" s="46">
        <v>5</v>
      </c>
      <c r="F33" s="46">
        <v>5</v>
      </c>
      <c r="G33" s="46">
        <v>5</v>
      </c>
      <c r="H33" s="46">
        <v>5</v>
      </c>
      <c r="I33" s="46">
        <v>5</v>
      </c>
      <c r="J33" s="46">
        <v>5</v>
      </c>
      <c r="K33" s="46">
        <v>5</v>
      </c>
      <c r="L33" s="46">
        <v>5</v>
      </c>
      <c r="M33" s="46">
        <v>5</v>
      </c>
      <c r="N33" s="46">
        <v>5</v>
      </c>
      <c r="O33" s="46">
        <v>5</v>
      </c>
      <c r="P33" s="46">
        <v>5</v>
      </c>
      <c r="Q33" s="46">
        <v>5</v>
      </c>
      <c r="R33" s="46">
        <v>5</v>
      </c>
      <c r="S33" s="46">
        <v>5</v>
      </c>
      <c r="T33" s="46">
        <v>5</v>
      </c>
      <c r="U33" s="46">
        <v>5</v>
      </c>
      <c r="V33" s="46">
        <v>5</v>
      </c>
      <c r="W33" s="46">
        <v>5</v>
      </c>
      <c r="X33" s="46">
        <v>5</v>
      </c>
      <c r="Y33" s="46">
        <v>5</v>
      </c>
      <c r="Z33" s="46">
        <v>5</v>
      </c>
      <c r="AA33" s="46">
        <v>5</v>
      </c>
      <c r="AB33" s="46">
        <v>5</v>
      </c>
      <c r="AC33" s="46">
        <v>5</v>
      </c>
      <c r="AD33" s="46">
        <v>5</v>
      </c>
      <c r="AE33" s="46">
        <v>5</v>
      </c>
      <c r="AF33" s="46">
        <v>5</v>
      </c>
      <c r="AG33" s="50">
        <v>22</v>
      </c>
      <c r="AH33" s="48">
        <f t="shared" si="8"/>
        <v>5</v>
      </c>
      <c r="AI33" s="49">
        <f t="shared" si="9"/>
        <v>5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11.8</v>
      </c>
      <c r="C34" s="46">
        <v>11.8</v>
      </c>
      <c r="D34" s="46">
        <v>11.8</v>
      </c>
      <c r="E34" s="46">
        <v>11.8</v>
      </c>
      <c r="F34" s="46">
        <v>11.8</v>
      </c>
      <c r="G34" s="46">
        <v>11.8</v>
      </c>
      <c r="H34" s="46">
        <v>11.8</v>
      </c>
      <c r="I34" s="46">
        <v>11.8</v>
      </c>
      <c r="J34" s="46">
        <v>11.8</v>
      </c>
      <c r="K34" s="46">
        <v>11.8</v>
      </c>
      <c r="L34" s="46">
        <v>11.8</v>
      </c>
      <c r="M34" s="46">
        <v>11.8</v>
      </c>
      <c r="N34" s="46">
        <v>11.8</v>
      </c>
      <c r="O34" s="46">
        <v>11.8</v>
      </c>
      <c r="P34" s="46">
        <v>11.8</v>
      </c>
      <c r="Q34" s="46">
        <v>11.8</v>
      </c>
      <c r="R34" s="46">
        <v>11.8</v>
      </c>
      <c r="S34" s="46">
        <v>11.8</v>
      </c>
      <c r="T34" s="46">
        <v>11.8</v>
      </c>
      <c r="U34" s="46">
        <v>11.8</v>
      </c>
      <c r="V34" s="46">
        <v>11.8</v>
      </c>
      <c r="W34" s="46">
        <v>11.8</v>
      </c>
      <c r="X34" s="46">
        <v>11.8</v>
      </c>
      <c r="Y34" s="46">
        <v>11.8</v>
      </c>
      <c r="Z34" s="46">
        <v>11.8</v>
      </c>
      <c r="AA34" s="46">
        <v>11.8</v>
      </c>
      <c r="AB34" s="46">
        <v>11.8</v>
      </c>
      <c r="AC34" s="46">
        <v>11.8</v>
      </c>
      <c r="AD34" s="46">
        <v>11.8</v>
      </c>
      <c r="AE34" s="46">
        <v>11.8</v>
      </c>
      <c r="AF34" s="46">
        <v>11.8</v>
      </c>
      <c r="AG34" s="50">
        <v>22</v>
      </c>
      <c r="AH34" s="48">
        <f t="shared" si="8"/>
        <v>11.8</v>
      </c>
      <c r="AI34" s="49">
        <f t="shared" si="9"/>
        <v>11.8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8"/>
        <v>4</v>
      </c>
      <c r="AI35" s="49">
        <f t="shared" si="9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>
        <v>4</v>
      </c>
      <c r="V36" s="46">
        <v>4</v>
      </c>
      <c r="W36" s="46">
        <v>4</v>
      </c>
      <c r="X36" s="46">
        <v>4</v>
      </c>
      <c r="Y36" s="46">
        <v>4</v>
      </c>
      <c r="Z36" s="46">
        <v>4</v>
      </c>
      <c r="AA36" s="46">
        <v>4</v>
      </c>
      <c r="AB36" s="46">
        <v>4</v>
      </c>
      <c r="AC36" s="46">
        <v>4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8"/>
        <v>4</v>
      </c>
      <c r="AI36" s="49">
        <f t="shared" si="9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>
        <v>5.7</v>
      </c>
      <c r="V37" s="46">
        <v>5.7</v>
      </c>
      <c r="W37" s="46">
        <v>5.7</v>
      </c>
      <c r="X37" s="46">
        <v>5.7</v>
      </c>
      <c r="Y37" s="46">
        <v>5.7</v>
      </c>
      <c r="Z37" s="46">
        <v>5.7</v>
      </c>
      <c r="AA37" s="46">
        <v>5.7</v>
      </c>
      <c r="AB37" s="46">
        <v>5.7</v>
      </c>
      <c r="AC37" s="46">
        <v>5.7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8"/>
        <v>5.7</v>
      </c>
      <c r="AI37" s="49">
        <f t="shared" si="9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7.2</v>
      </c>
      <c r="Q38" s="46">
        <v>7.2</v>
      </c>
      <c r="R38" s="46">
        <v>7.2</v>
      </c>
      <c r="S38" s="46">
        <v>7.2</v>
      </c>
      <c r="T38" s="46">
        <v>7.2</v>
      </c>
      <c r="U38" s="46">
        <v>7.2</v>
      </c>
      <c r="V38" s="46">
        <v>7.2</v>
      </c>
      <c r="W38" s="46">
        <v>7.2</v>
      </c>
      <c r="X38" s="46">
        <v>7.2</v>
      </c>
      <c r="Y38" s="46">
        <v>7.2</v>
      </c>
      <c r="Z38" s="46">
        <v>7.2</v>
      </c>
      <c r="AA38" s="46">
        <v>7.2</v>
      </c>
      <c r="AB38" s="46">
        <v>7.2</v>
      </c>
      <c r="AC38" s="46">
        <v>7.2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8"/>
        <v>7.2</v>
      </c>
      <c r="AI38" s="49">
        <f t="shared" si="9"/>
        <v>7.2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8</v>
      </c>
      <c r="C40" s="46">
        <v>8</v>
      </c>
      <c r="D40" s="46">
        <v>8</v>
      </c>
      <c r="E40" s="46">
        <v>8</v>
      </c>
      <c r="F40" s="46">
        <v>8</v>
      </c>
      <c r="G40" s="46">
        <v>8</v>
      </c>
      <c r="H40" s="46">
        <v>8</v>
      </c>
      <c r="I40" s="46">
        <v>8</v>
      </c>
      <c r="J40" s="46">
        <v>8</v>
      </c>
      <c r="K40" s="46">
        <v>8</v>
      </c>
      <c r="L40" s="46">
        <v>8</v>
      </c>
      <c r="M40" s="46">
        <v>8</v>
      </c>
      <c r="N40" s="46">
        <v>8</v>
      </c>
      <c r="O40" s="46">
        <v>8</v>
      </c>
      <c r="P40" s="46">
        <v>8</v>
      </c>
      <c r="Q40" s="46">
        <v>8</v>
      </c>
      <c r="R40" s="46">
        <v>8</v>
      </c>
      <c r="S40" s="46">
        <v>8</v>
      </c>
      <c r="T40" s="46">
        <v>8</v>
      </c>
      <c r="U40" s="46">
        <v>8</v>
      </c>
      <c r="V40" s="46">
        <v>8</v>
      </c>
      <c r="W40" s="46">
        <v>8</v>
      </c>
      <c r="X40" s="46">
        <v>8</v>
      </c>
      <c r="Y40" s="46">
        <v>8</v>
      </c>
      <c r="Z40" s="46">
        <v>8</v>
      </c>
      <c r="AA40" s="46">
        <v>8</v>
      </c>
      <c r="AB40" s="46">
        <v>8</v>
      </c>
      <c r="AC40" s="46">
        <v>8</v>
      </c>
      <c r="AD40" s="46">
        <v>8</v>
      </c>
      <c r="AE40" s="46">
        <v>8</v>
      </c>
      <c r="AF40" s="46">
        <v>8</v>
      </c>
      <c r="AG40" s="50">
        <v>14.9</v>
      </c>
      <c r="AH40" s="48">
        <f t="shared" si="8"/>
        <v>8</v>
      </c>
      <c r="AI40" s="49">
        <f t="shared" si="9"/>
        <v>8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8"/>
        <v>4</v>
      </c>
      <c r="AI41" s="49">
        <f t="shared" si="9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>
        <v>1.8</v>
      </c>
      <c r="V42" s="46">
        <v>1.8</v>
      </c>
      <c r="W42" s="46">
        <v>1.8</v>
      </c>
      <c r="X42" s="46">
        <v>1.8</v>
      </c>
      <c r="Y42" s="46">
        <v>1.8</v>
      </c>
      <c r="Z42" s="46">
        <v>1.8</v>
      </c>
      <c r="AA42" s="46">
        <v>1.8</v>
      </c>
      <c r="AB42" s="46">
        <v>1.8</v>
      </c>
      <c r="AC42" s="46">
        <v>1.8</v>
      </c>
      <c r="AD42" s="46">
        <v>1.8</v>
      </c>
      <c r="AE42" s="46">
        <v>1.8</v>
      </c>
      <c r="AF42" s="46">
        <v>1.8</v>
      </c>
      <c r="AG42" s="50">
        <v>13.6</v>
      </c>
      <c r="AH42" s="48">
        <f t="shared" si="8"/>
        <v>1.8</v>
      </c>
      <c r="AI42" s="49">
        <f t="shared" si="9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>
        <v>3.8</v>
      </c>
      <c r="V43" s="46">
        <v>3.8</v>
      </c>
      <c r="W43" s="46">
        <v>3.8</v>
      </c>
      <c r="X43" s="46">
        <v>3.8</v>
      </c>
      <c r="Y43" s="46">
        <v>3.8</v>
      </c>
      <c r="Z43" s="46">
        <v>3.8</v>
      </c>
      <c r="AA43" s="46">
        <v>3.8</v>
      </c>
      <c r="AB43" s="46">
        <v>3.8</v>
      </c>
      <c r="AC43" s="46">
        <v>3.8</v>
      </c>
      <c r="AD43" s="46">
        <v>3.8</v>
      </c>
      <c r="AE43" s="46">
        <v>3.8</v>
      </c>
      <c r="AF43" s="46">
        <v>3.8</v>
      </c>
      <c r="AG43" s="50">
        <v>13</v>
      </c>
      <c r="AH43" s="48">
        <f t="shared" si="8"/>
        <v>3.8</v>
      </c>
      <c r="AI43" s="49">
        <f t="shared" si="9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6.4</v>
      </c>
      <c r="C44" s="46">
        <v>6.4</v>
      </c>
      <c r="D44" s="46">
        <v>6.4</v>
      </c>
      <c r="E44" s="46">
        <v>6.4</v>
      </c>
      <c r="F44" s="46">
        <v>6.4</v>
      </c>
      <c r="G44" s="46">
        <v>6.4</v>
      </c>
      <c r="H44" s="46">
        <v>6.4</v>
      </c>
      <c r="I44" s="46">
        <v>6.4</v>
      </c>
      <c r="J44" s="46">
        <v>6.4</v>
      </c>
      <c r="K44" s="46">
        <v>6.4</v>
      </c>
      <c r="L44" s="46">
        <v>6.4</v>
      </c>
      <c r="M44" s="46">
        <v>6.4</v>
      </c>
      <c r="N44" s="46">
        <v>6.4</v>
      </c>
      <c r="O44" s="46">
        <v>6.4</v>
      </c>
      <c r="P44" s="46">
        <v>6.4</v>
      </c>
      <c r="Q44" s="46">
        <v>6.4</v>
      </c>
      <c r="R44" s="46">
        <v>6.4</v>
      </c>
      <c r="S44" s="46">
        <v>6.4</v>
      </c>
      <c r="T44" s="46">
        <v>6.4</v>
      </c>
      <c r="U44" s="46">
        <v>6.4</v>
      </c>
      <c r="V44" s="46">
        <v>6.4</v>
      </c>
      <c r="W44" s="46">
        <v>6.4</v>
      </c>
      <c r="X44" s="46">
        <v>6.4</v>
      </c>
      <c r="Y44" s="46">
        <v>6.4</v>
      </c>
      <c r="Z44" s="46">
        <v>6.4</v>
      </c>
      <c r="AA44" s="46">
        <v>6.4</v>
      </c>
      <c r="AB44" s="46">
        <v>6.4</v>
      </c>
      <c r="AC44" s="46">
        <v>6.4</v>
      </c>
      <c r="AD44" s="46">
        <v>6.4</v>
      </c>
      <c r="AE44" s="46">
        <v>6.4</v>
      </c>
      <c r="AF44" s="46">
        <v>6.4</v>
      </c>
      <c r="AG44" s="50">
        <v>12</v>
      </c>
      <c r="AH44" s="48">
        <f t="shared" si="8"/>
        <v>6.4</v>
      </c>
      <c r="AI44" s="49">
        <f t="shared" si="9"/>
        <v>6.4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>
        <v>9</v>
      </c>
      <c r="V45" s="46">
        <v>9</v>
      </c>
      <c r="W45" s="46">
        <v>9</v>
      </c>
      <c r="X45" s="46">
        <v>9</v>
      </c>
      <c r="Y45" s="46">
        <v>9</v>
      </c>
      <c r="Z45" s="46">
        <v>9</v>
      </c>
      <c r="AA45" s="46">
        <v>9</v>
      </c>
      <c r="AB45" s="46">
        <v>9</v>
      </c>
      <c r="AC45" s="46">
        <v>9</v>
      </c>
      <c r="AD45" s="46">
        <v>9</v>
      </c>
      <c r="AE45" s="46">
        <v>9</v>
      </c>
      <c r="AF45" s="46">
        <v>9</v>
      </c>
      <c r="AG45" s="50">
        <v>12</v>
      </c>
      <c r="AH45" s="48">
        <f t="shared" si="8"/>
        <v>9</v>
      </c>
      <c r="AI45" s="49">
        <f t="shared" si="9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>
        <v>3.5</v>
      </c>
      <c r="V47" s="46">
        <v>3.5</v>
      </c>
      <c r="W47" s="46">
        <v>3.5</v>
      </c>
      <c r="X47" s="46">
        <v>3.5</v>
      </c>
      <c r="Y47" s="46">
        <v>3.5</v>
      </c>
      <c r="Z47" s="46">
        <v>3.5</v>
      </c>
      <c r="AA47" s="46">
        <v>3.5</v>
      </c>
      <c r="AB47" s="46">
        <v>3.5</v>
      </c>
      <c r="AC47" s="46">
        <v>3.5</v>
      </c>
      <c r="AD47" s="46">
        <v>3.5</v>
      </c>
      <c r="AE47" s="46">
        <v>3.5</v>
      </c>
      <c r="AF47" s="46">
        <v>3.5</v>
      </c>
      <c r="AG47" s="63">
        <v>22</v>
      </c>
      <c r="AH47" s="48">
        <f t="shared" si="8"/>
        <v>3.5</v>
      </c>
      <c r="AI47" s="49">
        <f t="shared" si="9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>
        <v>5</v>
      </c>
      <c r="V48" s="46">
        <v>5</v>
      </c>
      <c r="W48" s="46">
        <v>5</v>
      </c>
      <c r="X48" s="46">
        <v>5</v>
      </c>
      <c r="Y48" s="46">
        <v>5</v>
      </c>
      <c r="Z48" s="46">
        <v>5</v>
      </c>
      <c r="AA48" s="46">
        <v>5</v>
      </c>
      <c r="AB48" s="46">
        <v>5</v>
      </c>
      <c r="AC48" s="46">
        <v>5</v>
      </c>
      <c r="AD48" s="46">
        <v>5</v>
      </c>
      <c r="AE48" s="46">
        <v>5</v>
      </c>
      <c r="AF48" s="46">
        <v>5</v>
      </c>
      <c r="AG48" s="60">
        <v>11.88</v>
      </c>
      <c r="AH48" s="48">
        <f t="shared" si="8"/>
        <v>5</v>
      </c>
      <c r="AI48" s="49">
        <f t="shared" si="9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5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4" t="s">
        <v>67</v>
      </c>
      <c r="B50" s="46">
        <v>2.4500000000000002</v>
      </c>
      <c r="C50" s="46">
        <v>2.4500000000000002</v>
      </c>
      <c r="D50" s="46">
        <v>2.4500000000000002</v>
      </c>
      <c r="E50" s="46">
        <v>2.4500000000000002</v>
      </c>
      <c r="F50" s="46">
        <v>2.4500000000000002</v>
      </c>
      <c r="G50" s="46">
        <v>2.4500000000000002</v>
      </c>
      <c r="H50" s="46">
        <v>2.4500000000000002</v>
      </c>
      <c r="I50" s="46">
        <v>2.4500000000000002</v>
      </c>
      <c r="J50" s="46">
        <v>2.4500000000000002</v>
      </c>
      <c r="K50" s="46">
        <v>2.4500000000000002</v>
      </c>
      <c r="L50" s="46">
        <v>2.4500000000000002</v>
      </c>
      <c r="M50" s="46">
        <v>2.4500000000000002</v>
      </c>
      <c r="N50" s="46">
        <v>2.4500000000000002</v>
      </c>
      <c r="O50" s="46">
        <v>2.4500000000000002</v>
      </c>
      <c r="P50" s="46">
        <v>2.4500000000000002</v>
      </c>
      <c r="Q50" s="46">
        <v>2.4500000000000002</v>
      </c>
      <c r="R50" s="46">
        <v>2.4500000000000002</v>
      </c>
      <c r="S50" s="46">
        <v>2.4500000000000002</v>
      </c>
      <c r="T50" s="46">
        <v>2.4500000000000002</v>
      </c>
      <c r="U50" s="46">
        <v>2.4500000000000002</v>
      </c>
      <c r="V50" s="46">
        <v>2.4500000000000002</v>
      </c>
      <c r="W50" s="46">
        <v>2.4500000000000002</v>
      </c>
      <c r="X50" s="46">
        <v>2.4500000000000002</v>
      </c>
      <c r="Y50" s="46">
        <v>2.4500000000000002</v>
      </c>
      <c r="Z50" s="46">
        <v>2.4500000000000002</v>
      </c>
      <c r="AA50" s="46">
        <v>2.4500000000000002</v>
      </c>
      <c r="AB50" s="46">
        <v>2.4500000000000002</v>
      </c>
      <c r="AC50" s="46">
        <v>2.4500000000000002</v>
      </c>
      <c r="AD50" s="46">
        <v>2.4500000000000002</v>
      </c>
      <c r="AE50" s="46">
        <v>2.4500000000000002</v>
      </c>
      <c r="AF50" s="46">
        <v>2.4500000000000002</v>
      </c>
      <c r="AG50" s="65">
        <v>11</v>
      </c>
      <c r="AH50" s="48">
        <f t="shared" si="8"/>
        <v>2.4500000000000002</v>
      </c>
      <c r="AI50" s="49">
        <f t="shared" si="9"/>
        <v>2.4500000000000002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65">
        <v>11</v>
      </c>
      <c r="AH51" s="48">
        <f t="shared" si="8"/>
        <v>3</v>
      </c>
      <c r="AI51" s="49">
        <f t="shared" si="9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5">
        <v>10</v>
      </c>
      <c r="AH52" s="48">
        <f t="shared" si="8"/>
        <v>4</v>
      </c>
      <c r="AI52" s="49">
        <f t="shared" si="9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>
        <v>4.5</v>
      </c>
      <c r="V53" s="46">
        <v>4.5</v>
      </c>
      <c r="W53" s="46">
        <v>4.5</v>
      </c>
      <c r="X53" s="46">
        <v>4.5</v>
      </c>
      <c r="Y53" s="46">
        <v>4.5</v>
      </c>
      <c r="Z53" s="46">
        <v>4.5</v>
      </c>
      <c r="AA53" s="46">
        <v>4.5</v>
      </c>
      <c r="AB53" s="46">
        <v>4.5</v>
      </c>
      <c r="AC53" s="46">
        <v>4.5</v>
      </c>
      <c r="AD53" s="46">
        <v>4.5</v>
      </c>
      <c r="AE53" s="46">
        <v>4.5</v>
      </c>
      <c r="AF53" s="46">
        <v>4.5</v>
      </c>
      <c r="AG53" s="65">
        <v>10</v>
      </c>
      <c r="AH53" s="48">
        <f t="shared" si="8"/>
        <v>4.5</v>
      </c>
      <c r="AI53" s="49">
        <f t="shared" si="9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5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5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>
        <v>150</v>
      </c>
      <c r="W56" s="67">
        <v>150</v>
      </c>
      <c r="X56" s="67">
        <v>150</v>
      </c>
      <c r="Y56" s="67">
        <v>150</v>
      </c>
      <c r="Z56" s="67">
        <v>150</v>
      </c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8" t="s">
        <v>74</v>
      </c>
      <c r="B57" s="67">
        <v>30.2</v>
      </c>
      <c r="C57" s="67">
        <v>30.2</v>
      </c>
      <c r="D57" s="67">
        <v>30.2</v>
      </c>
      <c r="E57" s="67"/>
      <c r="F57" s="67"/>
      <c r="G57" s="67">
        <v>36</v>
      </c>
      <c r="H57" s="67">
        <v>39.6</v>
      </c>
      <c r="I57" s="67">
        <v>35.6</v>
      </c>
      <c r="J57" s="67">
        <v>36.9</v>
      </c>
      <c r="K57" s="67">
        <v>38.299999999999997</v>
      </c>
      <c r="L57" s="67">
        <v>36.799999999999997</v>
      </c>
      <c r="M57" s="53">
        <v>-3</v>
      </c>
      <c r="N57" s="53">
        <f>23.2+16.4</f>
        <v>39.599999999999994</v>
      </c>
      <c r="O57" s="53">
        <f>20.9+12.8</f>
        <v>33.700000000000003</v>
      </c>
      <c r="P57" s="53">
        <f>22.4+13.4</f>
        <v>35.799999999999997</v>
      </c>
      <c r="Q57" s="53">
        <f>22.2+13.4</f>
        <v>35.6</v>
      </c>
      <c r="R57" s="53">
        <f>20.7+14</f>
        <v>34.700000000000003</v>
      </c>
      <c r="S57" s="53">
        <v>32.799999999999997</v>
      </c>
      <c r="T57" s="53">
        <v>32.799999999999997</v>
      </c>
      <c r="U57" s="53">
        <v>37</v>
      </c>
      <c r="V57" s="53">
        <v>34.299999999999997</v>
      </c>
      <c r="W57" s="53">
        <v>34.299999999999997</v>
      </c>
      <c r="X57" s="53">
        <v>34.299999999999997</v>
      </c>
      <c r="Y57" s="53">
        <v>33.700000000000003</v>
      </c>
      <c r="Z57" s="53">
        <v>33.700000000000003</v>
      </c>
      <c r="AA57" s="53">
        <v>27</v>
      </c>
      <c r="AB57" s="53">
        <v>34</v>
      </c>
      <c r="AC57" s="53">
        <v>34</v>
      </c>
      <c r="AD57" s="53">
        <v>34</v>
      </c>
      <c r="AE57" s="53">
        <v>32.4</v>
      </c>
      <c r="AF57" s="53">
        <v>32.4</v>
      </c>
      <c r="AG57" s="65">
        <v>240</v>
      </c>
      <c r="AH57" s="48">
        <f t="shared" si="8"/>
        <v>39.6</v>
      </c>
      <c r="AI57" s="49">
        <f t="shared" si="9"/>
        <v>-3</v>
      </c>
      <c r="AK57" s="51"/>
    </row>
    <row r="58" spans="1:88" ht="15.75" thickBot="1" x14ac:dyDescent="0.3">
      <c r="A58" s="69" t="s">
        <v>75</v>
      </c>
      <c r="B58" s="70">
        <f t="shared" ref="B58:AA58" si="22">SUM(B11:B56)</f>
        <v>525.75</v>
      </c>
      <c r="C58" s="70">
        <f t="shared" si="22"/>
        <v>525.75</v>
      </c>
      <c r="D58" s="70">
        <f t="shared" si="22"/>
        <v>525.75</v>
      </c>
      <c r="E58" s="70">
        <f t="shared" si="22"/>
        <v>532.25</v>
      </c>
      <c r="F58" s="70">
        <f t="shared" ref="F58:G58" si="23">SUM(F11:F56)</f>
        <v>532.25</v>
      </c>
      <c r="G58" s="70">
        <f t="shared" si="23"/>
        <v>532.25</v>
      </c>
      <c r="H58" s="70">
        <f t="shared" si="22"/>
        <v>528.25</v>
      </c>
      <c r="I58" s="70">
        <f t="shared" si="22"/>
        <v>528.25</v>
      </c>
      <c r="J58" s="70">
        <f t="shared" si="22"/>
        <v>528.25</v>
      </c>
      <c r="K58" s="70">
        <f t="shared" si="22"/>
        <v>526.15</v>
      </c>
      <c r="L58" s="70">
        <f t="shared" si="22"/>
        <v>526.15</v>
      </c>
      <c r="M58" s="70">
        <f t="shared" si="22"/>
        <v>522.15</v>
      </c>
      <c r="N58" s="70">
        <f t="shared" si="22"/>
        <v>527.45000000000005</v>
      </c>
      <c r="O58" s="70">
        <f t="shared" si="22"/>
        <v>527.45000000000005</v>
      </c>
      <c r="P58" s="70">
        <f t="shared" si="22"/>
        <v>526.54999999999995</v>
      </c>
      <c r="Q58" s="70">
        <f t="shared" si="22"/>
        <v>527.65</v>
      </c>
      <c r="R58" s="70">
        <f t="shared" si="22"/>
        <v>526.04999999999995</v>
      </c>
      <c r="S58" s="70">
        <f t="shared" si="22"/>
        <v>526.04999999999995</v>
      </c>
      <c r="T58" s="70">
        <f t="shared" si="22"/>
        <v>526.04999999999995</v>
      </c>
      <c r="U58" s="70">
        <f t="shared" si="22"/>
        <v>526.04999999999995</v>
      </c>
      <c r="V58" s="70">
        <f t="shared" si="22"/>
        <v>526.04999999999995</v>
      </c>
      <c r="W58" s="70">
        <f t="shared" si="22"/>
        <v>526.04999999999995</v>
      </c>
      <c r="X58" s="70">
        <f t="shared" si="22"/>
        <v>526.04999999999995</v>
      </c>
      <c r="Y58" s="70">
        <f t="shared" si="22"/>
        <v>526.04999999999995</v>
      </c>
      <c r="Z58" s="70">
        <f t="shared" si="22"/>
        <v>526.04999999999995</v>
      </c>
      <c r="AA58" s="70">
        <f t="shared" si="22"/>
        <v>526.04999999999995</v>
      </c>
      <c r="AB58" s="70">
        <f t="shared" ref="AB58:AC58" si="24">SUM(AB11:AB56)</f>
        <v>526.04999999999995</v>
      </c>
      <c r="AC58" s="70">
        <f t="shared" si="24"/>
        <v>526.04999999999995</v>
      </c>
      <c r="AD58" s="70">
        <f t="shared" ref="AD58:AE58" si="25">SUM(AD11:AD56)</f>
        <v>526.04999999999995</v>
      </c>
      <c r="AE58" s="70">
        <f t="shared" si="25"/>
        <v>526.04999999999995</v>
      </c>
      <c r="AF58" s="70">
        <f t="shared" ref="AF58" si="26">SUM(AF11:AF56)</f>
        <v>526.04999999999995</v>
      </c>
      <c r="AG58" s="71">
        <f>SUM(AG14:AG56)</f>
        <v>1042.4000000000001</v>
      </c>
      <c r="AH58" s="48">
        <f t="shared" si="8"/>
        <v>532.25</v>
      </c>
      <c r="AI58" s="49">
        <f t="shared" si="9"/>
        <v>522.15</v>
      </c>
      <c r="AK58" s="51"/>
    </row>
    <row r="59" spans="1:88" x14ac:dyDescent="0.25">
      <c r="A59" s="72" t="s">
        <v>76</v>
      </c>
      <c r="B59" s="46">
        <v>70</v>
      </c>
      <c r="C59" s="46">
        <v>50</v>
      </c>
      <c r="D59" s="46">
        <v>50</v>
      </c>
      <c r="E59" s="46">
        <v>50</v>
      </c>
      <c r="F59" s="46">
        <v>50.2</v>
      </c>
      <c r="G59" s="46">
        <v>50.2</v>
      </c>
      <c r="H59" s="46">
        <v>80.3</v>
      </c>
      <c r="I59" s="46">
        <v>120</v>
      </c>
      <c r="J59" s="46">
        <v>110</v>
      </c>
      <c r="K59" s="46">
        <v>15</v>
      </c>
      <c r="L59" s="46">
        <v>15</v>
      </c>
      <c r="M59" s="46">
        <v>15</v>
      </c>
      <c r="N59" s="73">
        <v>20</v>
      </c>
      <c r="O59" s="73">
        <v>0</v>
      </c>
      <c r="P59" s="73">
        <v>0</v>
      </c>
      <c r="Q59" s="73">
        <v>0</v>
      </c>
      <c r="R59" s="73">
        <v>0</v>
      </c>
      <c r="S59" s="73">
        <v>0</v>
      </c>
      <c r="T59" s="73">
        <v>0</v>
      </c>
      <c r="U59" s="73">
        <v>0</v>
      </c>
      <c r="V59" s="73">
        <v>0</v>
      </c>
      <c r="W59" s="73">
        <v>120</v>
      </c>
      <c r="X59" s="73">
        <v>228</v>
      </c>
      <c r="Y59" s="73">
        <v>403.5</v>
      </c>
      <c r="Z59" s="46">
        <v>440</v>
      </c>
      <c r="AA59" s="46">
        <v>404</v>
      </c>
      <c r="AB59" s="46">
        <v>274.10000000000002</v>
      </c>
      <c r="AC59" s="46">
        <v>230.6</v>
      </c>
      <c r="AD59" s="46">
        <v>230.6</v>
      </c>
      <c r="AE59" s="46">
        <v>80.5</v>
      </c>
      <c r="AF59" s="46">
        <v>80.7</v>
      </c>
      <c r="AG59" s="60">
        <v>456</v>
      </c>
      <c r="AH59" s="48">
        <f t="shared" si="8"/>
        <v>440</v>
      </c>
      <c r="AI59" s="49">
        <f t="shared" si="9"/>
        <v>0</v>
      </c>
      <c r="AK59" s="51"/>
    </row>
    <row r="60" spans="1:88" x14ac:dyDescent="0.25">
      <c r="A60" s="74" t="s">
        <v>77</v>
      </c>
      <c r="B60" s="75">
        <v>22</v>
      </c>
      <c r="C60" s="75">
        <v>22</v>
      </c>
      <c r="D60" s="75">
        <v>22</v>
      </c>
      <c r="E60" s="75">
        <v>22</v>
      </c>
      <c r="F60" s="75">
        <v>22</v>
      </c>
      <c r="G60" s="75">
        <v>22</v>
      </c>
      <c r="H60" s="75">
        <v>22</v>
      </c>
      <c r="I60" s="75">
        <v>22</v>
      </c>
      <c r="J60" s="75">
        <v>22</v>
      </c>
      <c r="K60" s="75">
        <v>22</v>
      </c>
      <c r="L60" s="75">
        <v>22</v>
      </c>
      <c r="M60" s="75">
        <v>22</v>
      </c>
      <c r="N60" s="75">
        <v>22</v>
      </c>
      <c r="O60" s="75">
        <v>22</v>
      </c>
      <c r="P60" s="75">
        <v>22</v>
      </c>
      <c r="Q60" s="75">
        <v>22</v>
      </c>
      <c r="R60" s="75">
        <v>22</v>
      </c>
      <c r="S60" s="75">
        <v>22</v>
      </c>
      <c r="T60" s="75">
        <v>22</v>
      </c>
      <c r="U60" s="75">
        <v>22</v>
      </c>
      <c r="V60" s="75">
        <v>22</v>
      </c>
      <c r="W60" s="75">
        <v>22</v>
      </c>
      <c r="X60" s="75">
        <v>22</v>
      </c>
      <c r="Y60" s="75">
        <v>22</v>
      </c>
      <c r="Z60" s="75">
        <v>22</v>
      </c>
      <c r="AA60" s="75">
        <v>22</v>
      </c>
      <c r="AB60" s="75">
        <v>22</v>
      </c>
      <c r="AC60" s="75">
        <v>22</v>
      </c>
      <c r="AD60" s="75">
        <v>22</v>
      </c>
      <c r="AE60" s="75">
        <v>22</v>
      </c>
      <c r="AF60" s="75">
        <v>22</v>
      </c>
      <c r="AG60" s="65">
        <v>60</v>
      </c>
      <c r="AH60" s="48">
        <f t="shared" si="8"/>
        <v>22</v>
      </c>
      <c r="AI60" s="49">
        <f t="shared" si="9"/>
        <v>22</v>
      </c>
      <c r="AK60" s="51"/>
    </row>
    <row r="61" spans="1:88" ht="15.75" thickBot="1" x14ac:dyDescent="0.3">
      <c r="A61" s="76" t="s">
        <v>78</v>
      </c>
      <c r="B61" s="77">
        <v>15.2</v>
      </c>
      <c r="C61" s="77">
        <v>15.2</v>
      </c>
      <c r="D61" s="77">
        <v>15.2</v>
      </c>
      <c r="E61" s="77">
        <v>15.2</v>
      </c>
      <c r="F61" s="77">
        <v>15.2</v>
      </c>
      <c r="G61" s="77">
        <v>15.2</v>
      </c>
      <c r="H61" s="77">
        <v>15.2</v>
      </c>
      <c r="I61" s="77">
        <v>15.2</v>
      </c>
      <c r="J61" s="77">
        <v>15.2</v>
      </c>
      <c r="K61" s="77">
        <v>15.1</v>
      </c>
      <c r="L61" s="77">
        <v>15.2</v>
      </c>
      <c r="M61" s="77">
        <v>15.2</v>
      </c>
      <c r="N61" s="77">
        <v>16.5</v>
      </c>
      <c r="O61" s="77">
        <v>16.5</v>
      </c>
      <c r="P61" s="77">
        <v>16.5</v>
      </c>
      <c r="Q61" s="77">
        <v>9.9</v>
      </c>
      <c r="R61" s="77">
        <v>15.2</v>
      </c>
      <c r="S61" s="77">
        <v>11.6</v>
      </c>
      <c r="T61" s="77">
        <v>11.6</v>
      </c>
      <c r="U61" s="77">
        <v>11.6</v>
      </c>
      <c r="V61" s="77">
        <v>11.6</v>
      </c>
      <c r="W61" s="77">
        <v>11.6</v>
      </c>
      <c r="X61" s="77">
        <v>11.6</v>
      </c>
      <c r="Y61" s="77">
        <v>11.6</v>
      </c>
      <c r="Z61" s="77">
        <v>18</v>
      </c>
      <c r="AA61" s="77">
        <v>18</v>
      </c>
      <c r="AB61" s="77">
        <v>18</v>
      </c>
      <c r="AC61" s="77">
        <v>18</v>
      </c>
      <c r="AD61" s="77">
        <v>18</v>
      </c>
      <c r="AE61" s="77">
        <v>14.5</v>
      </c>
      <c r="AF61" s="77">
        <v>14.5</v>
      </c>
      <c r="AG61" s="78">
        <v>22.1</v>
      </c>
      <c r="AH61" s="48">
        <f t="shared" si="8"/>
        <v>18</v>
      </c>
      <c r="AI61" s="49">
        <f t="shared" si="9"/>
        <v>9.9</v>
      </c>
      <c r="AK61" s="51"/>
    </row>
    <row r="62" spans="1:88" ht="15.75" thickBot="1" x14ac:dyDescent="0.3">
      <c r="A62" s="79" t="s">
        <v>79</v>
      </c>
      <c r="B62" s="70">
        <f t="shared" ref="B62:AG62" si="27">SUM(B59:B61)</f>
        <v>107.2</v>
      </c>
      <c r="C62" s="70">
        <f t="shared" si="27"/>
        <v>87.2</v>
      </c>
      <c r="D62" s="70">
        <f t="shared" si="27"/>
        <v>87.2</v>
      </c>
      <c r="E62" s="70">
        <f t="shared" si="27"/>
        <v>87.2</v>
      </c>
      <c r="F62" s="70">
        <f t="shared" si="27"/>
        <v>87.4</v>
      </c>
      <c r="G62" s="70">
        <f t="shared" ref="G62" si="28">SUM(G59:G61)</f>
        <v>87.4</v>
      </c>
      <c r="H62" s="70">
        <f t="shared" si="27"/>
        <v>117.5</v>
      </c>
      <c r="I62" s="70">
        <f t="shared" si="27"/>
        <v>157.19999999999999</v>
      </c>
      <c r="J62" s="70">
        <f t="shared" si="27"/>
        <v>147.19999999999999</v>
      </c>
      <c r="K62" s="70">
        <f t="shared" si="27"/>
        <v>52.1</v>
      </c>
      <c r="L62" s="70">
        <f t="shared" si="27"/>
        <v>52.2</v>
      </c>
      <c r="M62" s="70">
        <f t="shared" si="27"/>
        <v>52.2</v>
      </c>
      <c r="N62" s="70">
        <f t="shared" si="27"/>
        <v>58.5</v>
      </c>
      <c r="O62" s="70">
        <f t="shared" si="27"/>
        <v>38.5</v>
      </c>
      <c r="P62" s="70">
        <f t="shared" si="27"/>
        <v>38.5</v>
      </c>
      <c r="Q62" s="70">
        <f t="shared" si="27"/>
        <v>31.9</v>
      </c>
      <c r="R62" s="70">
        <f t="shared" si="27"/>
        <v>37.200000000000003</v>
      </c>
      <c r="S62" s="70">
        <f t="shared" si="27"/>
        <v>33.6</v>
      </c>
      <c r="T62" s="70">
        <f t="shared" si="27"/>
        <v>33.6</v>
      </c>
      <c r="U62" s="70">
        <f t="shared" si="27"/>
        <v>33.6</v>
      </c>
      <c r="V62" s="70">
        <f t="shared" si="27"/>
        <v>33.6</v>
      </c>
      <c r="W62" s="70">
        <f t="shared" si="27"/>
        <v>153.6</v>
      </c>
      <c r="X62" s="70">
        <f t="shared" si="27"/>
        <v>261.60000000000002</v>
      </c>
      <c r="Y62" s="70">
        <f t="shared" si="27"/>
        <v>437.1</v>
      </c>
      <c r="Z62" s="70">
        <f t="shared" si="27"/>
        <v>480</v>
      </c>
      <c r="AA62" s="70">
        <f t="shared" si="27"/>
        <v>444</v>
      </c>
      <c r="AB62" s="70">
        <f t="shared" ref="AB62:AC62" si="29">SUM(AB59:AB61)</f>
        <v>314.10000000000002</v>
      </c>
      <c r="AC62" s="70">
        <f t="shared" si="29"/>
        <v>270.60000000000002</v>
      </c>
      <c r="AD62" s="70">
        <f t="shared" ref="AD62:AE62" si="30">SUM(AD59:AD61)</f>
        <v>270.60000000000002</v>
      </c>
      <c r="AE62" s="70">
        <f t="shared" si="30"/>
        <v>117</v>
      </c>
      <c r="AF62" s="70">
        <f t="shared" ref="AF62" si="31">SUM(AF59:AF61)</f>
        <v>117.2</v>
      </c>
      <c r="AG62" s="71">
        <f t="shared" si="27"/>
        <v>538.1</v>
      </c>
      <c r="AH62" s="48">
        <f t="shared" si="8"/>
        <v>480</v>
      </c>
      <c r="AI62" s="49">
        <f t="shared" si="9"/>
        <v>31.9</v>
      </c>
      <c r="AK62" s="51"/>
    </row>
    <row r="63" spans="1:88" x14ac:dyDescent="0.25">
      <c r="A63" s="45" t="s">
        <v>80</v>
      </c>
      <c r="B63" s="46">
        <v>81</v>
      </c>
      <c r="C63" s="46">
        <v>61</v>
      </c>
      <c r="D63" s="46">
        <v>30</v>
      </c>
      <c r="E63" s="46">
        <v>30.5</v>
      </c>
      <c r="F63" s="46">
        <v>30.5</v>
      </c>
      <c r="G63" s="46">
        <v>30.5</v>
      </c>
      <c r="H63" s="46">
        <v>61.9</v>
      </c>
      <c r="I63" s="46">
        <v>98</v>
      </c>
      <c r="J63" s="46">
        <v>60</v>
      </c>
      <c r="K63" s="46">
        <v>81.7</v>
      </c>
      <c r="L63" s="46">
        <v>80.7</v>
      </c>
      <c r="M63" s="46">
        <v>97.2</v>
      </c>
      <c r="N63" s="46">
        <v>104</v>
      </c>
      <c r="O63" s="46">
        <v>80.900000000000006</v>
      </c>
      <c r="P63" s="46">
        <v>70.8</v>
      </c>
      <c r="Q63" s="46">
        <v>71.3</v>
      </c>
      <c r="R63" s="46">
        <v>80</v>
      </c>
      <c r="S63" s="46">
        <v>80</v>
      </c>
      <c r="T63" s="46">
        <v>80.599999999999994</v>
      </c>
      <c r="U63" s="46">
        <v>80.599999999999994</v>
      </c>
      <c r="V63" s="46">
        <v>61</v>
      </c>
      <c r="W63" s="46">
        <v>61</v>
      </c>
      <c r="X63" s="46">
        <v>65</v>
      </c>
      <c r="Y63" s="46">
        <v>93</v>
      </c>
      <c r="Z63" s="46">
        <v>129</v>
      </c>
      <c r="AA63" s="46">
        <v>142.30000000000001</v>
      </c>
      <c r="AB63" s="46">
        <v>142.1</v>
      </c>
      <c r="AC63" s="46">
        <v>141.6</v>
      </c>
      <c r="AD63" s="46">
        <v>141.6</v>
      </c>
      <c r="AE63" s="46">
        <v>105.5</v>
      </c>
      <c r="AF63" s="46">
        <v>81.3</v>
      </c>
      <c r="AG63" s="60">
        <v>144</v>
      </c>
      <c r="AH63" s="48">
        <f t="shared" si="8"/>
        <v>142.30000000000001</v>
      </c>
      <c r="AI63" s="49">
        <f t="shared" si="9"/>
        <v>30</v>
      </c>
      <c r="AK63" s="51"/>
    </row>
    <row r="64" spans="1:88" x14ac:dyDescent="0.25">
      <c r="A64" s="64" t="s">
        <v>81</v>
      </c>
      <c r="B64" s="75">
        <v>24</v>
      </c>
      <c r="C64" s="75">
        <v>26</v>
      </c>
      <c r="D64" s="75">
        <v>26</v>
      </c>
      <c r="E64" s="75">
        <v>24.4</v>
      </c>
      <c r="F64" s="75">
        <v>24.4</v>
      </c>
      <c r="G64" s="75">
        <v>24.4</v>
      </c>
      <c r="H64" s="75">
        <v>45.5</v>
      </c>
      <c r="I64" s="75">
        <v>69</v>
      </c>
      <c r="J64" s="75">
        <v>35.5</v>
      </c>
      <c r="K64" s="75">
        <v>34.4</v>
      </c>
      <c r="L64" s="75">
        <v>66.7</v>
      </c>
      <c r="M64" s="75">
        <v>67.599999999999994</v>
      </c>
      <c r="N64" s="75">
        <v>35.6</v>
      </c>
      <c r="O64" s="75">
        <v>34.799999999999997</v>
      </c>
      <c r="P64" s="75">
        <v>34.799999999999997</v>
      </c>
      <c r="Q64" s="75">
        <v>34.799999999999997</v>
      </c>
      <c r="R64" s="75">
        <v>34.799999999999997</v>
      </c>
      <c r="S64" s="75">
        <v>34.799999999999997</v>
      </c>
      <c r="T64" s="75">
        <v>25.3</v>
      </c>
      <c r="U64" s="75">
        <v>30</v>
      </c>
      <c r="V64" s="75">
        <v>30</v>
      </c>
      <c r="W64" s="75">
        <v>25</v>
      </c>
      <c r="X64" s="75">
        <v>25</v>
      </c>
      <c r="Y64" s="75">
        <v>25</v>
      </c>
      <c r="Z64" s="46">
        <v>61</v>
      </c>
      <c r="AA64" s="46">
        <v>68</v>
      </c>
      <c r="AB64" s="46">
        <v>68</v>
      </c>
      <c r="AC64" s="46">
        <v>65.8</v>
      </c>
      <c r="AD64" s="46">
        <v>65.8</v>
      </c>
      <c r="AE64" s="46">
        <v>49.6</v>
      </c>
      <c r="AF64" s="46">
        <v>49.6</v>
      </c>
      <c r="AG64" s="65">
        <v>70</v>
      </c>
      <c r="AH64" s="48">
        <f t="shared" si="8"/>
        <v>69</v>
      </c>
      <c r="AI64" s="49">
        <f t="shared" si="9"/>
        <v>24</v>
      </c>
      <c r="AK64" s="51"/>
    </row>
    <row r="65" spans="1:75" x14ac:dyDescent="0.25">
      <c r="A65" s="64" t="s">
        <v>82</v>
      </c>
      <c r="B65" s="75">
        <v>45</v>
      </c>
      <c r="C65" s="75">
        <v>34</v>
      </c>
      <c r="D65" s="75">
        <v>34</v>
      </c>
      <c r="E65" s="75">
        <v>17.3</v>
      </c>
      <c r="F65" s="75">
        <v>17.3</v>
      </c>
      <c r="G65" s="75">
        <v>17.3</v>
      </c>
      <c r="H65" s="75">
        <v>36.200000000000003</v>
      </c>
      <c r="I65" s="75">
        <v>48</v>
      </c>
      <c r="J65" s="75">
        <v>63.7</v>
      </c>
      <c r="K65" s="75">
        <v>69</v>
      </c>
      <c r="L65" s="75">
        <v>63.5</v>
      </c>
      <c r="M65" s="75">
        <v>66.599999999999994</v>
      </c>
      <c r="N65" s="75">
        <v>48.3</v>
      </c>
      <c r="O65" s="75">
        <v>44.9</v>
      </c>
      <c r="P65" s="75">
        <v>44.7</v>
      </c>
      <c r="Q65" s="75">
        <v>44.8</v>
      </c>
      <c r="R65" s="75">
        <v>44.8</v>
      </c>
      <c r="S65" s="75">
        <v>44.8</v>
      </c>
      <c r="T65" s="75">
        <v>34.700000000000003</v>
      </c>
      <c r="U65" s="75">
        <v>34.700000000000003</v>
      </c>
      <c r="V65" s="75">
        <v>34.700000000000003</v>
      </c>
      <c r="W65" s="75">
        <v>34.700000000000003</v>
      </c>
      <c r="X65" s="75">
        <v>34.700000000000003</v>
      </c>
      <c r="Y65" s="75">
        <v>34.700000000000003</v>
      </c>
      <c r="Z65" s="46">
        <v>68</v>
      </c>
      <c r="AA65" s="46">
        <v>68</v>
      </c>
      <c r="AB65" s="46">
        <v>68</v>
      </c>
      <c r="AC65" s="46">
        <v>67.2</v>
      </c>
      <c r="AD65" s="46">
        <v>67.2</v>
      </c>
      <c r="AE65" s="46">
        <v>42.3</v>
      </c>
      <c r="AF65" s="46">
        <v>33.299999999999997</v>
      </c>
      <c r="AG65" s="65">
        <v>69</v>
      </c>
      <c r="AH65" s="48">
        <f t="shared" si="8"/>
        <v>69</v>
      </c>
      <c r="AI65" s="49">
        <f t="shared" si="9"/>
        <v>17.3</v>
      </c>
      <c r="AK65" s="51"/>
    </row>
    <row r="66" spans="1:75" x14ac:dyDescent="0.25">
      <c r="A66" s="64" t="s">
        <v>83</v>
      </c>
      <c r="B66" s="75">
        <v>38.5</v>
      </c>
      <c r="C66" s="75">
        <v>38.5</v>
      </c>
      <c r="D66" s="75">
        <v>38.5</v>
      </c>
      <c r="E66" s="75">
        <v>45.1</v>
      </c>
      <c r="F66" s="75">
        <v>45.1</v>
      </c>
      <c r="G66" s="75">
        <v>45.1</v>
      </c>
      <c r="H66" s="75">
        <v>44.1</v>
      </c>
      <c r="I66" s="75">
        <v>44.3</v>
      </c>
      <c r="J66" s="75">
        <v>44.3</v>
      </c>
      <c r="K66" s="67">
        <v>45.1</v>
      </c>
      <c r="L66" s="67">
        <v>44.8</v>
      </c>
      <c r="M66" s="75">
        <v>43.3</v>
      </c>
      <c r="N66" s="75">
        <v>43.3</v>
      </c>
      <c r="O66" s="75">
        <v>43.3</v>
      </c>
      <c r="P66" s="75">
        <v>43.3</v>
      </c>
      <c r="Q66" s="75">
        <v>43.3</v>
      </c>
      <c r="R66" s="75">
        <v>43.1</v>
      </c>
      <c r="S66" s="75">
        <v>43.1</v>
      </c>
      <c r="T66" s="75">
        <v>41</v>
      </c>
      <c r="U66" s="75">
        <v>41</v>
      </c>
      <c r="V66" s="75">
        <v>41</v>
      </c>
      <c r="W66" s="75">
        <v>41</v>
      </c>
      <c r="X66" s="75">
        <v>41</v>
      </c>
      <c r="Y66" s="75">
        <v>41</v>
      </c>
      <c r="Z66" s="46">
        <v>42</v>
      </c>
      <c r="AA66" s="46">
        <v>42</v>
      </c>
      <c r="AB66" s="46">
        <v>38.200000000000003</v>
      </c>
      <c r="AC66" s="46">
        <v>38.200000000000003</v>
      </c>
      <c r="AD66" s="46">
        <v>38.200000000000003</v>
      </c>
      <c r="AE66" s="46">
        <v>38.200000000000003</v>
      </c>
      <c r="AF66" s="46">
        <v>38.200000000000003</v>
      </c>
      <c r="AG66" s="65">
        <v>60</v>
      </c>
      <c r="AH66" s="48">
        <f t="shared" si="8"/>
        <v>45.1</v>
      </c>
      <c r="AI66" s="49">
        <f t="shared" si="9"/>
        <v>38.200000000000003</v>
      </c>
      <c r="AK66" s="51"/>
    </row>
    <row r="67" spans="1:75" x14ac:dyDescent="0.25">
      <c r="A67" s="64" t="s">
        <v>84</v>
      </c>
      <c r="B67" s="46">
        <v>0</v>
      </c>
      <c r="C67" s="46">
        <v>0</v>
      </c>
      <c r="D67" s="46">
        <v>0</v>
      </c>
      <c r="E67" s="75">
        <v>0</v>
      </c>
      <c r="F67" s="75">
        <v>0</v>
      </c>
      <c r="G67" s="75">
        <v>0</v>
      </c>
      <c r="H67" s="75">
        <v>15</v>
      </c>
      <c r="I67" s="75">
        <v>15</v>
      </c>
      <c r="J67" s="75">
        <v>15</v>
      </c>
      <c r="K67" s="75">
        <v>10</v>
      </c>
      <c r="L67" s="67">
        <v>9.9</v>
      </c>
      <c r="M67" s="75">
        <v>10.1</v>
      </c>
      <c r="N67" s="75">
        <v>10</v>
      </c>
      <c r="O67" s="75">
        <v>10.1</v>
      </c>
      <c r="P67" s="75">
        <v>10.199999999999999</v>
      </c>
      <c r="Q67" s="75">
        <v>14.9</v>
      </c>
      <c r="R67" s="75">
        <v>14.9</v>
      </c>
      <c r="S67" s="75">
        <v>10.199999999999999</v>
      </c>
      <c r="T67" s="75">
        <v>10.199999999999999</v>
      </c>
      <c r="U67" s="75">
        <v>13.2</v>
      </c>
      <c r="V67" s="75">
        <v>13.2</v>
      </c>
      <c r="W67" s="75">
        <v>13.2</v>
      </c>
      <c r="X67" s="75">
        <v>13.2</v>
      </c>
      <c r="Y67" s="75">
        <v>14.7</v>
      </c>
      <c r="Z67" s="46">
        <v>27</v>
      </c>
      <c r="AA67" s="46">
        <v>27</v>
      </c>
      <c r="AB67" s="46">
        <v>27.4</v>
      </c>
      <c r="AC67" s="46">
        <v>24.7</v>
      </c>
      <c r="AD67" s="46">
        <v>24.7</v>
      </c>
      <c r="AE67" s="46">
        <v>14.2</v>
      </c>
      <c r="AF67" s="46">
        <v>14.2</v>
      </c>
      <c r="AG67" s="65">
        <v>30</v>
      </c>
      <c r="AH67" s="48">
        <f t="shared" si="8"/>
        <v>27.4</v>
      </c>
      <c r="AI67" s="49">
        <f t="shared" si="9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</row>
    <row r="68" spans="1:75" x14ac:dyDescent="0.25">
      <c r="A68" s="64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0.2</v>
      </c>
      <c r="J68" s="46">
        <v>1.1000000000000001</v>
      </c>
      <c r="K68" s="46">
        <v>2.2000000000000002</v>
      </c>
      <c r="L68" s="75">
        <v>5.6</v>
      </c>
      <c r="M68" s="75">
        <v>8.6</v>
      </c>
      <c r="N68" s="75">
        <v>12</v>
      </c>
      <c r="O68" s="75">
        <v>16.3</v>
      </c>
      <c r="P68" s="75">
        <v>17.899999999999999</v>
      </c>
      <c r="Q68" s="75">
        <v>18.8</v>
      </c>
      <c r="R68" s="75">
        <v>17.600000000000001</v>
      </c>
      <c r="S68" s="75">
        <v>16.2</v>
      </c>
      <c r="T68" s="75">
        <v>11.7</v>
      </c>
      <c r="U68" s="75">
        <v>6.4</v>
      </c>
      <c r="V68" s="75">
        <v>2.1</v>
      </c>
      <c r="W68" s="75">
        <v>1</v>
      </c>
      <c r="X68" s="75">
        <v>0</v>
      </c>
      <c r="Y68" s="75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5">
        <v>25</v>
      </c>
      <c r="AH68" s="48">
        <f t="shared" si="8"/>
        <v>18.8</v>
      </c>
      <c r="AI68" s="49">
        <f t="shared" si="9"/>
        <v>0</v>
      </c>
      <c r="AK68" s="51"/>
      <c r="AY68" s="1" t="s">
        <v>86</v>
      </c>
      <c r="AZ68" s="81">
        <f>ROUND(C81,0)</f>
        <v>17</v>
      </c>
      <c r="BA68" s="80">
        <f t="shared" ref="BA68:BD72" si="32">D81</f>
        <v>14</v>
      </c>
      <c r="BB68" s="80">
        <f t="shared" si="32"/>
        <v>18.899999999999999</v>
      </c>
      <c r="BC68" s="80">
        <f t="shared" si="32"/>
        <v>17.7</v>
      </c>
      <c r="BD68" s="80">
        <f t="shared" si="32"/>
        <v>31.1</v>
      </c>
      <c r="BE68" s="81">
        <f>I81</f>
        <v>25.7</v>
      </c>
      <c r="BF68" s="81">
        <f>K81</f>
        <v>51.2</v>
      </c>
      <c r="BG68" s="81">
        <f t="shared" ref="BG68:BP72" si="33">M81</f>
        <v>51.8</v>
      </c>
      <c r="BH68" s="81">
        <f t="shared" si="33"/>
        <v>56.5</v>
      </c>
      <c r="BI68" s="81">
        <f t="shared" si="33"/>
        <v>53</v>
      </c>
      <c r="BJ68" s="81">
        <f t="shared" si="33"/>
        <v>51.3</v>
      </c>
      <c r="BK68" s="81">
        <f t="shared" si="33"/>
        <v>47.5</v>
      </c>
      <c r="BL68" s="81">
        <f t="shared" si="33"/>
        <v>55.7</v>
      </c>
      <c r="BM68" s="81">
        <f t="shared" si="33"/>
        <v>67.2</v>
      </c>
      <c r="BN68" s="81">
        <f t="shared" si="33"/>
        <v>69.7</v>
      </c>
      <c r="BO68" s="81">
        <f t="shared" si="33"/>
        <v>67.2</v>
      </c>
      <c r="BP68" s="81">
        <f t="shared" si="33"/>
        <v>63.8</v>
      </c>
      <c r="BQ68" s="81">
        <f>X81</f>
        <v>59.4</v>
      </c>
      <c r="BR68" s="81">
        <f>Z81</f>
        <v>34.799999999999997</v>
      </c>
      <c r="BS68" s="80">
        <f>AB81</f>
        <v>36.4</v>
      </c>
      <c r="BT68" s="80">
        <f>AD81</f>
        <v>34.700000000000003</v>
      </c>
      <c r="BU68" s="80">
        <f>AE81</f>
        <v>32.6</v>
      </c>
      <c r="BV68" s="80">
        <f>AF81</f>
        <v>28.7</v>
      </c>
      <c r="BW68" s="80">
        <f>B81</f>
        <v>19</v>
      </c>
    </row>
    <row r="69" spans="1:75" x14ac:dyDescent="0.25">
      <c r="A69" s="64" t="s">
        <v>87</v>
      </c>
      <c r="B69" s="75">
        <v>15</v>
      </c>
      <c r="C69" s="75">
        <v>15</v>
      </c>
      <c r="D69" s="75">
        <v>15</v>
      </c>
      <c r="E69" s="75">
        <v>15</v>
      </c>
      <c r="F69" s="75">
        <v>15</v>
      </c>
      <c r="G69" s="75">
        <v>15</v>
      </c>
      <c r="H69" s="75">
        <v>15</v>
      </c>
      <c r="I69" s="75">
        <v>15</v>
      </c>
      <c r="J69" s="75">
        <v>15</v>
      </c>
      <c r="K69" s="75">
        <v>15</v>
      </c>
      <c r="L69" s="75">
        <v>15</v>
      </c>
      <c r="M69" s="75">
        <v>15</v>
      </c>
      <c r="N69" s="75">
        <v>15</v>
      </c>
      <c r="O69" s="75">
        <v>15</v>
      </c>
      <c r="P69" s="75">
        <v>15</v>
      </c>
      <c r="Q69" s="75">
        <v>15</v>
      </c>
      <c r="R69" s="75">
        <v>15</v>
      </c>
      <c r="S69" s="75">
        <v>15</v>
      </c>
      <c r="T69" s="75">
        <v>15</v>
      </c>
      <c r="U69" s="75">
        <v>15</v>
      </c>
      <c r="V69" s="75">
        <v>15</v>
      </c>
      <c r="W69" s="75">
        <v>15</v>
      </c>
      <c r="X69" s="75">
        <v>15</v>
      </c>
      <c r="Y69" s="75">
        <v>15</v>
      </c>
      <c r="Z69" s="75">
        <v>15</v>
      </c>
      <c r="AA69" s="75">
        <v>15</v>
      </c>
      <c r="AB69" s="75">
        <v>15</v>
      </c>
      <c r="AC69" s="75">
        <v>15</v>
      </c>
      <c r="AD69" s="75">
        <v>15</v>
      </c>
      <c r="AE69" s="75">
        <v>15</v>
      </c>
      <c r="AF69" s="75">
        <v>15</v>
      </c>
      <c r="AG69" s="65">
        <v>24</v>
      </c>
      <c r="AH69" s="48">
        <f t="shared" si="8"/>
        <v>15</v>
      </c>
      <c r="AI69" s="49">
        <f t="shared" si="9"/>
        <v>15</v>
      </c>
      <c r="AK69" s="51"/>
      <c r="AY69" s="1" t="s">
        <v>88</v>
      </c>
      <c r="AZ69" s="81">
        <f>ROUND(C82,0)</f>
        <v>0</v>
      </c>
      <c r="BA69" s="80">
        <f t="shared" si="32"/>
        <v>0</v>
      </c>
      <c r="BB69" s="80">
        <f t="shared" si="32"/>
        <v>0</v>
      </c>
      <c r="BC69" s="80">
        <f t="shared" si="32"/>
        <v>0</v>
      </c>
      <c r="BD69" s="80">
        <f t="shared" si="32"/>
        <v>0</v>
      </c>
      <c r="BE69" s="81">
        <f t="shared" ref="BE69:BE72" si="34">I82</f>
        <v>0</v>
      </c>
      <c r="BF69" s="81">
        <f t="shared" ref="BF69:BF72" si="35">K82</f>
        <v>0</v>
      </c>
      <c r="BG69" s="81">
        <f t="shared" si="33"/>
        <v>0</v>
      </c>
      <c r="BH69" s="81">
        <f t="shared" si="33"/>
        <v>0</v>
      </c>
      <c r="BI69" s="81">
        <f t="shared" si="33"/>
        <v>0</v>
      </c>
      <c r="BJ69" s="81">
        <f t="shared" si="33"/>
        <v>0</v>
      </c>
      <c r="BK69" s="81">
        <f t="shared" si="33"/>
        <v>0</v>
      </c>
      <c r="BL69" s="81">
        <f t="shared" si="33"/>
        <v>0</v>
      </c>
      <c r="BM69" s="81">
        <f t="shared" si="33"/>
        <v>0</v>
      </c>
      <c r="BN69" s="81">
        <f t="shared" si="33"/>
        <v>0</v>
      </c>
      <c r="BO69" s="81">
        <f t="shared" si="33"/>
        <v>0</v>
      </c>
      <c r="BP69" s="81">
        <f t="shared" si="33"/>
        <v>0</v>
      </c>
      <c r="BQ69" s="81">
        <f t="shared" ref="BQ69:BQ72" si="36">X82</f>
        <v>0</v>
      </c>
      <c r="BR69" s="81">
        <f t="shared" ref="BR69:BR72" si="37">Z82</f>
        <v>0</v>
      </c>
      <c r="BS69" s="80">
        <f t="shared" ref="BS69:BS72" si="38">AB82</f>
        <v>0</v>
      </c>
      <c r="BT69" s="80">
        <f t="shared" ref="BT69:BV72" si="39">AD82</f>
        <v>0</v>
      </c>
      <c r="BU69" s="80">
        <f t="shared" si="39"/>
        <v>0</v>
      </c>
      <c r="BV69" s="80">
        <f t="shared" si="39"/>
        <v>0</v>
      </c>
      <c r="BW69" s="80">
        <f t="shared" ref="BW69:BW72" si="40">B82</f>
        <v>0</v>
      </c>
    </row>
    <row r="70" spans="1:75" x14ac:dyDescent="0.25">
      <c r="A70" s="64" t="s">
        <v>89</v>
      </c>
      <c r="B70" s="75">
        <v>0</v>
      </c>
      <c r="C70" s="75">
        <v>0</v>
      </c>
      <c r="D70" s="75">
        <v>0</v>
      </c>
      <c r="E70" s="75">
        <v>0</v>
      </c>
      <c r="F70" s="75">
        <v>0</v>
      </c>
      <c r="G70" s="75">
        <v>0</v>
      </c>
      <c r="H70" s="75">
        <v>0</v>
      </c>
      <c r="I70" s="75">
        <v>0</v>
      </c>
      <c r="J70" s="75">
        <v>0</v>
      </c>
      <c r="K70" s="75">
        <v>0</v>
      </c>
      <c r="L70" s="75">
        <v>0</v>
      </c>
      <c r="M70" s="75">
        <v>0</v>
      </c>
      <c r="N70" s="75">
        <v>0</v>
      </c>
      <c r="O70" s="75">
        <v>0</v>
      </c>
      <c r="P70" s="75">
        <v>0</v>
      </c>
      <c r="Q70" s="75">
        <v>0</v>
      </c>
      <c r="R70" s="75">
        <v>0</v>
      </c>
      <c r="S70" s="75">
        <v>0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5">
        <v>0</v>
      </c>
      <c r="Z70" s="75">
        <v>0</v>
      </c>
      <c r="AA70" s="75">
        <v>0</v>
      </c>
      <c r="AB70" s="75">
        <v>0</v>
      </c>
      <c r="AC70" s="75">
        <v>0</v>
      </c>
      <c r="AD70" s="75">
        <v>0</v>
      </c>
      <c r="AE70" s="75">
        <v>0</v>
      </c>
      <c r="AF70" s="75">
        <v>0</v>
      </c>
      <c r="AG70" s="65">
        <v>15</v>
      </c>
      <c r="AH70" s="48">
        <f t="shared" si="8"/>
        <v>0</v>
      </c>
      <c r="AI70" s="49">
        <f t="shared" si="9"/>
        <v>0</v>
      </c>
      <c r="AK70" s="51"/>
      <c r="AL70" s="82"/>
      <c r="AO70" s="82"/>
      <c r="AY70" s="1" t="s">
        <v>90</v>
      </c>
      <c r="AZ70" s="81">
        <f>ROUND(C83,0)</f>
        <v>59</v>
      </c>
      <c r="BA70" s="80">
        <f t="shared" si="32"/>
        <v>48</v>
      </c>
      <c r="BB70" s="80">
        <f t="shared" si="32"/>
        <v>52</v>
      </c>
      <c r="BC70" s="80">
        <f t="shared" si="32"/>
        <v>53</v>
      </c>
      <c r="BD70" s="80">
        <f t="shared" si="32"/>
        <v>75</v>
      </c>
      <c r="BE70" s="81">
        <f t="shared" si="34"/>
        <v>0</v>
      </c>
      <c r="BF70" s="81">
        <f t="shared" si="35"/>
        <v>436</v>
      </c>
      <c r="BG70" s="81">
        <f t="shared" si="33"/>
        <v>482.2</v>
      </c>
      <c r="BH70" s="81">
        <f t="shared" si="33"/>
        <v>421.8</v>
      </c>
      <c r="BI70" s="81">
        <f t="shared" si="33"/>
        <v>478</v>
      </c>
      <c r="BJ70" s="81">
        <f t="shared" si="33"/>
        <v>501.9</v>
      </c>
      <c r="BK70" s="81">
        <f t="shared" si="33"/>
        <v>510</v>
      </c>
      <c r="BL70" s="81">
        <f t="shared" si="33"/>
        <v>520.29999999999995</v>
      </c>
      <c r="BM70" s="81">
        <f t="shared" si="33"/>
        <v>508.2</v>
      </c>
      <c r="BN70" s="81">
        <f t="shared" si="33"/>
        <v>545</v>
      </c>
      <c r="BO70" s="81">
        <f t="shared" si="33"/>
        <v>525</v>
      </c>
      <c r="BP70" s="81">
        <f t="shared" si="33"/>
        <v>495</v>
      </c>
      <c r="BQ70" s="81">
        <f t="shared" si="36"/>
        <v>150</v>
      </c>
      <c r="BR70" s="81">
        <f t="shared" si="37"/>
        <v>0</v>
      </c>
      <c r="BS70" s="80">
        <f t="shared" si="38"/>
        <v>38.1</v>
      </c>
      <c r="BT70" s="80">
        <f t="shared" si="39"/>
        <v>62.8</v>
      </c>
      <c r="BU70" s="80">
        <f t="shared" si="39"/>
        <v>69.8</v>
      </c>
      <c r="BV70" s="80">
        <f t="shared" si="39"/>
        <v>54.3</v>
      </c>
      <c r="BW70" s="80">
        <f t="shared" si="40"/>
        <v>56</v>
      </c>
    </row>
    <row r="71" spans="1:75" s="82" customFormat="1" x14ac:dyDescent="0.25">
      <c r="A71" s="64" t="s">
        <v>91</v>
      </c>
      <c r="B71" s="75">
        <v>10</v>
      </c>
      <c r="C71" s="75">
        <v>10</v>
      </c>
      <c r="D71" s="75">
        <v>10</v>
      </c>
      <c r="E71" s="75">
        <v>9.5</v>
      </c>
      <c r="F71" s="75">
        <v>9.5</v>
      </c>
      <c r="G71" s="75">
        <v>9.5</v>
      </c>
      <c r="H71" s="75">
        <v>11.1</v>
      </c>
      <c r="I71" s="75">
        <v>11.1</v>
      </c>
      <c r="J71" s="75">
        <v>9.1999999999999993</v>
      </c>
      <c r="K71" s="75">
        <v>9.1999999999999993</v>
      </c>
      <c r="L71" s="75">
        <v>9.1999999999999993</v>
      </c>
      <c r="M71" s="75">
        <v>9.1999999999999993</v>
      </c>
      <c r="N71" s="75">
        <v>9.1999999999999993</v>
      </c>
      <c r="O71" s="75">
        <v>9.1999999999999993</v>
      </c>
      <c r="P71" s="75">
        <v>9.1999999999999993</v>
      </c>
      <c r="Q71" s="75">
        <v>9.1999999999999993</v>
      </c>
      <c r="R71" s="75">
        <v>9.1999999999999993</v>
      </c>
      <c r="S71" s="75">
        <v>9.1999999999999993</v>
      </c>
      <c r="T71" s="75">
        <v>9.1999999999999993</v>
      </c>
      <c r="U71" s="75">
        <v>9.1999999999999993</v>
      </c>
      <c r="V71" s="75">
        <v>9.1999999999999993</v>
      </c>
      <c r="W71" s="75">
        <v>9.1999999999999993</v>
      </c>
      <c r="X71" s="75">
        <v>9.1999999999999993</v>
      </c>
      <c r="Y71" s="75">
        <v>9.1999999999999993</v>
      </c>
      <c r="Z71" s="75">
        <v>9.1999999999999993</v>
      </c>
      <c r="AA71" s="75">
        <v>9.1999999999999993</v>
      </c>
      <c r="AB71" s="75">
        <v>9.1999999999999993</v>
      </c>
      <c r="AC71" s="75">
        <v>9.1999999999999993</v>
      </c>
      <c r="AD71" s="75">
        <v>9.1999999999999993</v>
      </c>
      <c r="AE71" s="75">
        <v>9.1999999999999993</v>
      </c>
      <c r="AF71" s="75">
        <v>9.1999999999999993</v>
      </c>
      <c r="AG71" s="65">
        <v>14.1</v>
      </c>
      <c r="AH71" s="48">
        <f t="shared" si="8"/>
        <v>11.1</v>
      </c>
      <c r="AI71" s="49">
        <f t="shared" si="9"/>
        <v>9.1999999999999993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10</v>
      </c>
      <c r="BA71" s="80">
        <f t="shared" si="32"/>
        <v>10</v>
      </c>
      <c r="BB71" s="80">
        <f t="shared" si="32"/>
        <v>10.3</v>
      </c>
      <c r="BC71" s="80">
        <f t="shared" si="32"/>
        <v>10.199999999999999</v>
      </c>
      <c r="BD71" s="80">
        <f t="shared" si="32"/>
        <v>9.8000000000000007</v>
      </c>
      <c r="BE71" s="81">
        <f t="shared" si="34"/>
        <v>10.5</v>
      </c>
      <c r="BF71" s="81">
        <f t="shared" si="35"/>
        <v>10.5</v>
      </c>
      <c r="BG71" s="81">
        <f t="shared" si="33"/>
        <v>10</v>
      </c>
      <c r="BH71" s="81">
        <f t="shared" si="33"/>
        <v>6.6</v>
      </c>
      <c r="BI71" s="81">
        <f t="shared" si="33"/>
        <v>4.5999999999999996</v>
      </c>
      <c r="BJ71" s="81">
        <f t="shared" si="33"/>
        <v>3.9</v>
      </c>
      <c r="BK71" s="81">
        <f t="shared" si="33"/>
        <v>3.3</v>
      </c>
      <c r="BL71" s="81">
        <f t="shared" si="33"/>
        <v>3.7</v>
      </c>
      <c r="BM71" s="81">
        <f t="shared" si="33"/>
        <v>5</v>
      </c>
      <c r="BN71" s="81">
        <f t="shared" si="33"/>
        <v>6.5</v>
      </c>
      <c r="BO71" s="81">
        <f t="shared" si="33"/>
        <v>7.8</v>
      </c>
      <c r="BP71" s="81">
        <f t="shared" si="33"/>
        <v>9</v>
      </c>
      <c r="BQ71" s="81">
        <f t="shared" si="36"/>
        <v>9</v>
      </c>
      <c r="BR71" s="81">
        <f t="shared" si="37"/>
        <v>0</v>
      </c>
      <c r="BS71" s="80">
        <f t="shared" si="38"/>
        <v>0</v>
      </c>
      <c r="BT71" s="80">
        <f t="shared" si="39"/>
        <v>0</v>
      </c>
      <c r="BU71" s="80">
        <f t="shared" si="39"/>
        <v>0</v>
      </c>
      <c r="BV71" s="80">
        <f t="shared" si="39"/>
        <v>0</v>
      </c>
      <c r="BW71" s="80">
        <f t="shared" si="40"/>
        <v>10</v>
      </c>
    </row>
    <row r="72" spans="1:75" x14ac:dyDescent="0.25">
      <c r="A72" s="83" t="s">
        <v>93</v>
      </c>
      <c r="B72" s="75">
        <v>5.7</v>
      </c>
      <c r="C72" s="75">
        <v>5.7</v>
      </c>
      <c r="D72" s="75">
        <v>5.7</v>
      </c>
      <c r="E72" s="75">
        <v>6.9</v>
      </c>
      <c r="F72" s="75">
        <v>6.9</v>
      </c>
      <c r="G72" s="75">
        <v>6.9</v>
      </c>
      <c r="H72" s="75">
        <v>6.8</v>
      </c>
      <c r="I72" s="75">
        <v>6.8</v>
      </c>
      <c r="J72" s="75">
        <v>6.5</v>
      </c>
      <c r="K72" s="75">
        <v>6.5</v>
      </c>
      <c r="L72" s="75">
        <v>6.5</v>
      </c>
      <c r="M72" s="75">
        <v>6.5</v>
      </c>
      <c r="N72" s="75">
        <v>6.5</v>
      </c>
      <c r="O72" s="75">
        <v>6.5</v>
      </c>
      <c r="P72" s="75">
        <v>6.5</v>
      </c>
      <c r="Q72" s="75">
        <v>6.5</v>
      </c>
      <c r="R72" s="75">
        <v>6.5</v>
      </c>
      <c r="S72" s="75">
        <v>6.5</v>
      </c>
      <c r="T72" s="75">
        <v>5.0999999999999996</v>
      </c>
      <c r="U72" s="75">
        <v>5.0999999999999996</v>
      </c>
      <c r="V72" s="75">
        <v>5.8</v>
      </c>
      <c r="W72" s="75">
        <v>5.8</v>
      </c>
      <c r="X72" s="75">
        <v>5.8</v>
      </c>
      <c r="Y72" s="75">
        <v>5.8</v>
      </c>
      <c r="Z72" s="75">
        <v>6.7</v>
      </c>
      <c r="AA72" s="75">
        <v>6.7</v>
      </c>
      <c r="AB72" s="75">
        <v>6.7</v>
      </c>
      <c r="AC72" s="75">
        <v>6.7</v>
      </c>
      <c r="AD72" s="75">
        <v>6.7</v>
      </c>
      <c r="AE72" s="75">
        <v>6.7</v>
      </c>
      <c r="AF72" s="75">
        <v>6.7</v>
      </c>
      <c r="AG72" s="65">
        <v>14</v>
      </c>
      <c r="AH72" s="48">
        <f t="shared" si="8"/>
        <v>6.9</v>
      </c>
      <c r="AI72" s="49">
        <f t="shared" si="9"/>
        <v>5.0999999999999996</v>
      </c>
      <c r="AK72" s="51"/>
      <c r="AY72" s="1" t="s">
        <v>94</v>
      </c>
      <c r="AZ72" s="81">
        <f>ROUND(C85,0)</f>
        <v>0</v>
      </c>
      <c r="BA72" s="80">
        <f t="shared" si="32"/>
        <v>0</v>
      </c>
      <c r="BB72" s="80">
        <f t="shared" si="32"/>
        <v>0</v>
      </c>
      <c r="BC72" s="80">
        <f t="shared" si="32"/>
        <v>0</v>
      </c>
      <c r="BD72" s="80">
        <f t="shared" si="32"/>
        <v>0</v>
      </c>
      <c r="BE72" s="81">
        <f t="shared" si="34"/>
        <v>0</v>
      </c>
      <c r="BF72" s="81">
        <f t="shared" si="35"/>
        <v>0</v>
      </c>
      <c r="BG72" s="81">
        <f t="shared" si="33"/>
        <v>0</v>
      </c>
      <c r="BH72" s="81">
        <f t="shared" si="33"/>
        <v>40</v>
      </c>
      <c r="BI72" s="81">
        <f t="shared" si="33"/>
        <v>121</v>
      </c>
      <c r="BJ72" s="81">
        <f t="shared" si="33"/>
        <v>120</v>
      </c>
      <c r="BK72" s="81">
        <f t="shared" si="33"/>
        <v>125.7</v>
      </c>
      <c r="BL72" s="81">
        <f t="shared" si="33"/>
        <v>136.69999999999999</v>
      </c>
      <c r="BM72" s="81">
        <f t="shared" si="33"/>
        <v>136</v>
      </c>
      <c r="BN72" s="81">
        <f t="shared" si="33"/>
        <v>128</v>
      </c>
      <c r="BO72" s="81">
        <f t="shared" si="33"/>
        <v>130</v>
      </c>
      <c r="BP72" s="81">
        <f t="shared" si="33"/>
        <v>130</v>
      </c>
      <c r="BQ72" s="81">
        <f t="shared" si="36"/>
        <v>74</v>
      </c>
      <c r="BR72" s="81">
        <f t="shared" si="37"/>
        <v>0</v>
      </c>
      <c r="BS72" s="80">
        <f t="shared" si="38"/>
        <v>0</v>
      </c>
      <c r="BT72" s="80">
        <f t="shared" si="39"/>
        <v>0</v>
      </c>
      <c r="BU72" s="80">
        <f t="shared" si="39"/>
        <v>0</v>
      </c>
      <c r="BV72" s="80">
        <f t="shared" si="39"/>
        <v>0</v>
      </c>
      <c r="BW72" s="80">
        <f t="shared" si="40"/>
        <v>0</v>
      </c>
    </row>
    <row r="73" spans="1:75" x14ac:dyDescent="0.25">
      <c r="A73" s="64" t="s">
        <v>95</v>
      </c>
      <c r="B73" s="75">
        <v>4.5</v>
      </c>
      <c r="C73" s="75">
        <v>4.5</v>
      </c>
      <c r="D73" s="75">
        <v>4.5</v>
      </c>
      <c r="E73" s="75">
        <v>4.5</v>
      </c>
      <c r="F73" s="75">
        <v>4.5</v>
      </c>
      <c r="G73" s="75">
        <v>4.5</v>
      </c>
      <c r="H73" s="75">
        <v>4.5</v>
      </c>
      <c r="I73" s="75">
        <v>4.5</v>
      </c>
      <c r="J73" s="75">
        <v>4.5</v>
      </c>
      <c r="K73" s="75">
        <v>4.5</v>
      </c>
      <c r="L73" s="75">
        <v>4.5</v>
      </c>
      <c r="M73" s="75">
        <v>4.5</v>
      </c>
      <c r="N73" s="75">
        <v>4.5</v>
      </c>
      <c r="O73" s="75">
        <v>4.5</v>
      </c>
      <c r="P73" s="75">
        <v>4.5</v>
      </c>
      <c r="Q73" s="75">
        <v>4.5</v>
      </c>
      <c r="R73" s="75">
        <v>4.5</v>
      </c>
      <c r="S73" s="75">
        <v>4.5</v>
      </c>
      <c r="T73" s="75">
        <v>4.5</v>
      </c>
      <c r="U73" s="75">
        <v>4.5</v>
      </c>
      <c r="V73" s="75">
        <v>4.5</v>
      </c>
      <c r="W73" s="75">
        <v>4.5</v>
      </c>
      <c r="X73" s="75">
        <v>4.5</v>
      </c>
      <c r="Y73" s="75">
        <v>4.5</v>
      </c>
      <c r="Z73" s="75">
        <v>4.5</v>
      </c>
      <c r="AA73" s="75">
        <v>4.5</v>
      </c>
      <c r="AB73" s="75">
        <v>4.5</v>
      </c>
      <c r="AC73" s="75">
        <v>4.5</v>
      </c>
      <c r="AD73" s="75">
        <v>4.5</v>
      </c>
      <c r="AE73" s="75">
        <v>4.5</v>
      </c>
      <c r="AF73" s="75">
        <v>4.5</v>
      </c>
      <c r="AG73" s="65">
        <v>10.050000000000001</v>
      </c>
      <c r="AH73" s="48">
        <f t="shared" si="8"/>
        <v>4.5</v>
      </c>
      <c r="AI73" s="49">
        <f t="shared" si="9"/>
        <v>4.5</v>
      </c>
      <c r="AK73" s="51"/>
      <c r="AY73" s="1" t="s">
        <v>96</v>
      </c>
      <c r="AZ73" s="81">
        <f>ROUND(C91,0)</f>
        <v>61</v>
      </c>
      <c r="BA73" s="81">
        <f>D91</f>
        <v>52</v>
      </c>
      <c r="BB73" s="81">
        <f>E91</f>
        <v>62.7</v>
      </c>
      <c r="BC73" s="81">
        <f>F91</f>
        <v>58.8</v>
      </c>
      <c r="BD73" s="81">
        <f>G91</f>
        <v>51.8</v>
      </c>
      <c r="BE73" s="81">
        <f>I91</f>
        <v>45.6</v>
      </c>
      <c r="BF73" s="81">
        <f>K91</f>
        <v>51.3</v>
      </c>
      <c r="BG73" s="81">
        <f t="shared" ref="BG73:BP73" si="41">M91</f>
        <v>58.3</v>
      </c>
      <c r="BH73" s="81">
        <f t="shared" si="41"/>
        <v>61.6</v>
      </c>
      <c r="BI73" s="81">
        <f t="shared" si="41"/>
        <v>67.900000000000006</v>
      </c>
      <c r="BJ73" s="81">
        <f t="shared" si="41"/>
        <v>72.599999999999994</v>
      </c>
      <c r="BK73" s="81">
        <f t="shared" si="41"/>
        <v>63.3</v>
      </c>
      <c r="BL73" s="81">
        <f t="shared" si="41"/>
        <v>72.900000000000006</v>
      </c>
      <c r="BM73" s="81">
        <f t="shared" si="41"/>
        <v>69.3</v>
      </c>
      <c r="BN73" s="81">
        <f t="shared" si="41"/>
        <v>78</v>
      </c>
      <c r="BO73" s="81">
        <f t="shared" si="41"/>
        <v>75.900000000000006</v>
      </c>
      <c r="BP73" s="81">
        <f t="shared" si="41"/>
        <v>70.5</v>
      </c>
      <c r="BQ73" s="81">
        <f>X91</f>
        <v>56</v>
      </c>
      <c r="BR73" s="81">
        <f>Z91</f>
        <v>58.6</v>
      </c>
      <c r="BS73" s="81">
        <f>AB91</f>
        <v>0</v>
      </c>
      <c r="BT73" s="81">
        <f>AD91</f>
        <v>0</v>
      </c>
      <c r="BU73" s="81">
        <f>AE91</f>
        <v>0</v>
      </c>
      <c r="BV73" s="81">
        <f>AF91</f>
        <v>0</v>
      </c>
      <c r="BW73" s="81">
        <f>B91</f>
        <v>56</v>
      </c>
    </row>
    <row r="74" spans="1:75" x14ac:dyDescent="0.25">
      <c r="A74" s="64" t="s">
        <v>97</v>
      </c>
      <c r="B74" s="75">
        <v>4</v>
      </c>
      <c r="C74" s="75">
        <v>4</v>
      </c>
      <c r="D74" s="75">
        <v>4</v>
      </c>
      <c r="E74" s="75">
        <v>4</v>
      </c>
      <c r="F74" s="75">
        <v>4</v>
      </c>
      <c r="G74" s="75">
        <v>4</v>
      </c>
      <c r="H74" s="75">
        <v>4</v>
      </c>
      <c r="I74" s="75">
        <v>4</v>
      </c>
      <c r="J74" s="75">
        <v>4</v>
      </c>
      <c r="K74" s="75">
        <v>4</v>
      </c>
      <c r="L74" s="75">
        <v>4</v>
      </c>
      <c r="M74" s="75">
        <v>4</v>
      </c>
      <c r="N74" s="75">
        <v>4</v>
      </c>
      <c r="O74" s="75">
        <v>4</v>
      </c>
      <c r="P74" s="75">
        <v>4</v>
      </c>
      <c r="Q74" s="75">
        <v>4</v>
      </c>
      <c r="R74" s="75">
        <v>4</v>
      </c>
      <c r="S74" s="75">
        <v>4</v>
      </c>
      <c r="T74" s="75">
        <v>4</v>
      </c>
      <c r="U74" s="75">
        <v>4</v>
      </c>
      <c r="V74" s="75">
        <v>4</v>
      </c>
      <c r="W74" s="75">
        <v>4</v>
      </c>
      <c r="X74" s="75">
        <v>4</v>
      </c>
      <c r="Y74" s="75">
        <v>4</v>
      </c>
      <c r="Z74" s="75">
        <v>4</v>
      </c>
      <c r="AA74" s="75">
        <v>4</v>
      </c>
      <c r="AB74" s="75">
        <v>4</v>
      </c>
      <c r="AC74" s="75">
        <v>4</v>
      </c>
      <c r="AD74" s="75">
        <v>4</v>
      </c>
      <c r="AE74" s="75">
        <v>4</v>
      </c>
      <c r="AF74" s="75">
        <v>4</v>
      </c>
      <c r="AG74" s="65">
        <v>6.2</v>
      </c>
      <c r="AH74" s="48">
        <f t="shared" si="8"/>
        <v>4</v>
      </c>
      <c r="AI74" s="49">
        <f t="shared" si="9"/>
        <v>4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</row>
    <row r="75" spans="1:75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>
        <v>3.54</v>
      </c>
      <c r="W75" s="84">
        <v>3.54</v>
      </c>
      <c r="X75" s="84">
        <v>3.54</v>
      </c>
      <c r="Y75" s="84">
        <v>3.5</v>
      </c>
      <c r="Z75" s="84">
        <v>3.5</v>
      </c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8"/>
        <v>3.54</v>
      </c>
      <c r="AI75" s="49">
        <f t="shared" si="9"/>
        <v>3.5</v>
      </c>
      <c r="AK75" s="51"/>
      <c r="AZ75" s="81">
        <f>VALUE(AZ68)</f>
        <v>17</v>
      </c>
      <c r="BA75" s="81">
        <f t="shared" ref="BA75:BW75" si="42">VALUE(BA68)</f>
        <v>14</v>
      </c>
      <c r="BB75" s="81">
        <f t="shared" si="42"/>
        <v>18.899999999999999</v>
      </c>
      <c r="BC75" s="81">
        <f t="shared" si="42"/>
        <v>17.7</v>
      </c>
      <c r="BD75" s="81">
        <f t="shared" si="42"/>
        <v>31.1</v>
      </c>
      <c r="BE75" s="81">
        <f t="shared" si="42"/>
        <v>25.7</v>
      </c>
      <c r="BF75" s="81">
        <f t="shared" si="42"/>
        <v>51.2</v>
      </c>
      <c r="BG75" s="81">
        <f t="shared" si="42"/>
        <v>51.8</v>
      </c>
      <c r="BH75" s="81">
        <f t="shared" si="42"/>
        <v>56.5</v>
      </c>
      <c r="BI75" s="81">
        <f t="shared" si="42"/>
        <v>53</v>
      </c>
      <c r="BJ75" s="81">
        <f t="shared" si="42"/>
        <v>51.3</v>
      </c>
      <c r="BK75" s="81">
        <f t="shared" si="42"/>
        <v>47.5</v>
      </c>
      <c r="BL75" s="81">
        <f t="shared" si="42"/>
        <v>55.7</v>
      </c>
      <c r="BM75" s="81">
        <f t="shared" si="42"/>
        <v>67.2</v>
      </c>
      <c r="BN75" s="81">
        <f t="shared" si="42"/>
        <v>69.7</v>
      </c>
      <c r="BO75" s="81">
        <f t="shared" si="42"/>
        <v>67.2</v>
      </c>
      <c r="BP75" s="81">
        <f t="shared" si="42"/>
        <v>63.8</v>
      </c>
      <c r="BQ75" s="81">
        <f t="shared" si="42"/>
        <v>59.4</v>
      </c>
      <c r="BR75" s="81">
        <f t="shared" si="42"/>
        <v>34.799999999999997</v>
      </c>
      <c r="BS75" s="81">
        <f t="shared" si="42"/>
        <v>36.4</v>
      </c>
      <c r="BT75" s="81">
        <f t="shared" si="42"/>
        <v>34.700000000000003</v>
      </c>
      <c r="BU75" s="81">
        <f t="shared" si="42"/>
        <v>32.6</v>
      </c>
      <c r="BV75" s="81">
        <f t="shared" si="42"/>
        <v>28.7</v>
      </c>
      <c r="BW75" s="81">
        <f t="shared" si="42"/>
        <v>19</v>
      </c>
    </row>
    <row r="76" spans="1:75" ht="15.75" thickBot="1" x14ac:dyDescent="0.3">
      <c r="A76" s="86" t="s">
        <v>99</v>
      </c>
      <c r="B76" s="70">
        <f t="shared" ref="B76:AG76" si="43">SUM(B63:B75)</f>
        <v>231.23999999999998</v>
      </c>
      <c r="C76" s="70">
        <f t="shared" si="43"/>
        <v>202.23999999999998</v>
      </c>
      <c r="D76" s="70">
        <f t="shared" si="43"/>
        <v>171.23999999999998</v>
      </c>
      <c r="E76" s="70">
        <f t="shared" si="43"/>
        <v>160.74</v>
      </c>
      <c r="F76" s="70">
        <f t="shared" si="43"/>
        <v>160.74</v>
      </c>
      <c r="G76" s="70">
        <f t="shared" ref="G76" si="44">SUM(G63:G75)</f>
        <v>160.74</v>
      </c>
      <c r="H76" s="70">
        <f t="shared" si="43"/>
        <v>247.64000000000001</v>
      </c>
      <c r="I76" s="70">
        <f t="shared" si="43"/>
        <v>319.44000000000005</v>
      </c>
      <c r="J76" s="70">
        <f t="shared" si="43"/>
        <v>262.33999999999997</v>
      </c>
      <c r="K76" s="70">
        <f t="shared" si="43"/>
        <v>285.14</v>
      </c>
      <c r="L76" s="70">
        <f t="shared" si="43"/>
        <v>313.94</v>
      </c>
      <c r="M76" s="70">
        <f t="shared" si="43"/>
        <v>336.14000000000004</v>
      </c>
      <c r="N76" s="70">
        <f t="shared" si="43"/>
        <v>295.94</v>
      </c>
      <c r="O76" s="70">
        <f t="shared" si="43"/>
        <v>273.04000000000002</v>
      </c>
      <c r="P76" s="70">
        <f t="shared" si="43"/>
        <v>264.44</v>
      </c>
      <c r="Q76" s="70">
        <f t="shared" si="43"/>
        <v>270.64000000000004</v>
      </c>
      <c r="R76" s="70">
        <f t="shared" si="43"/>
        <v>277.94</v>
      </c>
      <c r="S76" s="70">
        <f t="shared" si="43"/>
        <v>271.83999999999997</v>
      </c>
      <c r="T76" s="70">
        <f t="shared" si="43"/>
        <v>244.83999999999995</v>
      </c>
      <c r="U76" s="70">
        <f t="shared" si="43"/>
        <v>247.23999999999998</v>
      </c>
      <c r="V76" s="70">
        <f t="shared" si="43"/>
        <v>224.03999999999996</v>
      </c>
      <c r="W76" s="70">
        <f t="shared" si="43"/>
        <v>217.93999999999997</v>
      </c>
      <c r="X76" s="70">
        <f t="shared" si="43"/>
        <v>220.93999999999997</v>
      </c>
      <c r="Y76" s="70">
        <f>SUM(Y63:Y75)</f>
        <v>250.39999999999998</v>
      </c>
      <c r="Z76" s="70">
        <f>SUM(Z63:Z75)</f>
        <v>369.9</v>
      </c>
      <c r="AA76" s="70">
        <f t="shared" si="43"/>
        <v>390.24</v>
      </c>
      <c r="AB76" s="70">
        <f t="shared" ref="AB76:AC76" si="45">SUM(AB63:AB75)</f>
        <v>386.64</v>
      </c>
      <c r="AC76" s="70">
        <f t="shared" si="45"/>
        <v>380.43999999999994</v>
      </c>
      <c r="AD76" s="70">
        <f t="shared" ref="AD76:AE76" si="46">SUM(AD63:AD75)</f>
        <v>380.43999999999994</v>
      </c>
      <c r="AE76" s="70">
        <f t="shared" si="46"/>
        <v>292.73999999999995</v>
      </c>
      <c r="AF76" s="70">
        <f t="shared" ref="AF76" si="47">SUM(AF63:AF75)</f>
        <v>259.53999999999996</v>
      </c>
      <c r="AG76" s="71">
        <f t="shared" si="43"/>
        <v>489.91</v>
      </c>
      <c r="AH76" s="48">
        <f t="shared" si="8"/>
        <v>390.24</v>
      </c>
      <c r="AI76" s="49">
        <f t="shared" si="9"/>
        <v>160.74</v>
      </c>
      <c r="AK76" s="51"/>
      <c r="AZ76" s="81">
        <f t="shared" ref="AZ76:BW80" si="48">VALUE(AZ69)</f>
        <v>0</v>
      </c>
      <c r="BA76" s="81">
        <f t="shared" si="48"/>
        <v>0</v>
      </c>
      <c r="BB76" s="81">
        <f t="shared" si="48"/>
        <v>0</v>
      </c>
      <c r="BC76" s="81">
        <f t="shared" si="48"/>
        <v>0</v>
      </c>
      <c r="BD76" s="81">
        <f t="shared" si="48"/>
        <v>0</v>
      </c>
      <c r="BE76" s="81">
        <f t="shared" si="48"/>
        <v>0</v>
      </c>
      <c r="BF76" s="81">
        <f t="shared" si="48"/>
        <v>0</v>
      </c>
      <c r="BG76" s="81">
        <f t="shared" si="48"/>
        <v>0</v>
      </c>
      <c r="BH76" s="81">
        <f t="shared" si="48"/>
        <v>0</v>
      </c>
      <c r="BI76" s="81">
        <f t="shared" si="48"/>
        <v>0</v>
      </c>
      <c r="BJ76" s="81">
        <f t="shared" si="48"/>
        <v>0</v>
      </c>
      <c r="BK76" s="81">
        <f t="shared" si="48"/>
        <v>0</v>
      </c>
      <c r="BL76" s="81">
        <f t="shared" si="48"/>
        <v>0</v>
      </c>
      <c r="BM76" s="81">
        <f t="shared" si="48"/>
        <v>0</v>
      </c>
      <c r="BN76" s="81">
        <f t="shared" si="48"/>
        <v>0</v>
      </c>
      <c r="BO76" s="81">
        <f t="shared" si="48"/>
        <v>0</v>
      </c>
      <c r="BP76" s="81">
        <f t="shared" si="48"/>
        <v>0</v>
      </c>
      <c r="BQ76" s="81">
        <f t="shared" si="48"/>
        <v>0</v>
      </c>
      <c r="BR76" s="81">
        <f t="shared" si="48"/>
        <v>0</v>
      </c>
      <c r="BS76" s="81">
        <f t="shared" si="48"/>
        <v>0</v>
      </c>
      <c r="BT76" s="81">
        <f t="shared" si="48"/>
        <v>0</v>
      </c>
      <c r="BU76" s="81">
        <f t="shared" si="48"/>
        <v>0</v>
      </c>
      <c r="BV76" s="81">
        <f t="shared" si="48"/>
        <v>0</v>
      </c>
      <c r="BW76" s="81">
        <f t="shared" si="48"/>
        <v>0</v>
      </c>
    </row>
    <row r="77" spans="1:75" x14ac:dyDescent="0.25">
      <c r="A77" s="45" t="s">
        <v>100</v>
      </c>
      <c r="B77" s="46">
        <v>45</v>
      </c>
      <c r="C77" s="46">
        <v>45</v>
      </c>
      <c r="D77" s="46">
        <v>60</v>
      </c>
      <c r="E77" s="46">
        <v>60</v>
      </c>
      <c r="F77" s="46">
        <v>60</v>
      </c>
      <c r="G77" s="46">
        <v>60</v>
      </c>
      <c r="H77" s="46">
        <v>60</v>
      </c>
      <c r="I77" s="46">
        <v>60</v>
      </c>
      <c r="J77" s="46">
        <v>0</v>
      </c>
      <c r="K77" s="46">
        <v>0</v>
      </c>
      <c r="L77" s="46">
        <v>0</v>
      </c>
      <c r="M77" s="46"/>
      <c r="N77" s="46"/>
      <c r="O77" s="46"/>
      <c r="P77" s="46"/>
      <c r="Q77" s="46"/>
      <c r="R77" s="46"/>
      <c r="S77" s="46"/>
      <c r="T77" s="46"/>
      <c r="U77" s="46"/>
      <c r="V77" s="46">
        <v>14</v>
      </c>
      <c r="W77" s="46">
        <v>14</v>
      </c>
      <c r="X77" s="46">
        <v>14</v>
      </c>
      <c r="Y77" s="46">
        <v>14</v>
      </c>
      <c r="Z77" s="46">
        <v>50</v>
      </c>
      <c r="AA77" s="46">
        <v>60</v>
      </c>
      <c r="AB77" s="46">
        <v>60</v>
      </c>
      <c r="AC77" s="46">
        <v>60</v>
      </c>
      <c r="AD77" s="46">
        <v>60</v>
      </c>
      <c r="AE77" s="46">
        <v>60</v>
      </c>
      <c r="AF77" s="46">
        <v>60</v>
      </c>
      <c r="AG77" s="60">
        <v>60</v>
      </c>
      <c r="AH77" s="48">
        <f t="shared" si="8"/>
        <v>60</v>
      </c>
      <c r="AI77" s="49">
        <f t="shared" si="9"/>
        <v>0</v>
      </c>
      <c r="AK77" s="51"/>
      <c r="AZ77" s="81">
        <f t="shared" si="48"/>
        <v>59</v>
      </c>
      <c r="BA77" s="81">
        <f t="shared" si="48"/>
        <v>48</v>
      </c>
      <c r="BB77" s="81">
        <f t="shared" si="48"/>
        <v>52</v>
      </c>
      <c r="BC77" s="81">
        <f t="shared" si="48"/>
        <v>53</v>
      </c>
      <c r="BD77" s="81">
        <f t="shared" si="48"/>
        <v>75</v>
      </c>
      <c r="BE77" s="81">
        <f t="shared" si="48"/>
        <v>0</v>
      </c>
      <c r="BF77" s="81">
        <f t="shared" si="48"/>
        <v>436</v>
      </c>
      <c r="BG77" s="81">
        <f t="shared" si="48"/>
        <v>482.2</v>
      </c>
      <c r="BH77" s="81">
        <f t="shared" si="48"/>
        <v>421.8</v>
      </c>
      <c r="BI77" s="81">
        <f t="shared" si="48"/>
        <v>478</v>
      </c>
      <c r="BJ77" s="81">
        <f t="shared" si="48"/>
        <v>501.9</v>
      </c>
      <c r="BK77" s="81">
        <f t="shared" si="48"/>
        <v>510</v>
      </c>
      <c r="BL77" s="81">
        <f t="shared" si="48"/>
        <v>520.29999999999995</v>
      </c>
      <c r="BM77" s="81">
        <f t="shared" si="48"/>
        <v>508.2</v>
      </c>
      <c r="BN77" s="81">
        <f t="shared" si="48"/>
        <v>545</v>
      </c>
      <c r="BO77" s="81">
        <f t="shared" si="48"/>
        <v>525</v>
      </c>
      <c r="BP77" s="81">
        <f t="shared" si="48"/>
        <v>495</v>
      </c>
      <c r="BQ77" s="81">
        <f t="shared" si="48"/>
        <v>150</v>
      </c>
      <c r="BR77" s="81">
        <f t="shared" si="48"/>
        <v>0</v>
      </c>
      <c r="BS77" s="81">
        <f t="shared" si="48"/>
        <v>38.1</v>
      </c>
      <c r="BT77" s="81">
        <f t="shared" si="48"/>
        <v>62.8</v>
      </c>
      <c r="BU77" s="81">
        <f t="shared" si="48"/>
        <v>69.8</v>
      </c>
      <c r="BV77" s="81">
        <f t="shared" si="48"/>
        <v>54.3</v>
      </c>
      <c r="BW77" s="81">
        <f t="shared" si="48"/>
        <v>56</v>
      </c>
    </row>
    <row r="78" spans="1:75" x14ac:dyDescent="0.25">
      <c r="A78" s="64" t="s">
        <v>101</v>
      </c>
      <c r="B78" s="75">
        <v>19</v>
      </c>
      <c r="C78" s="75">
        <v>19</v>
      </c>
      <c r="D78" s="75">
        <v>26</v>
      </c>
      <c r="E78" s="75">
        <v>27.9</v>
      </c>
      <c r="F78" s="75">
        <v>27.9</v>
      </c>
      <c r="G78" s="75">
        <v>27.9</v>
      </c>
      <c r="H78" s="75">
        <v>27.3</v>
      </c>
      <c r="I78" s="75">
        <v>27.3</v>
      </c>
      <c r="J78" s="75">
        <v>4.0999999999999996</v>
      </c>
      <c r="K78" s="75">
        <v>0</v>
      </c>
      <c r="L78" s="75">
        <v>0</v>
      </c>
      <c r="M78" s="75"/>
      <c r="N78" s="75"/>
      <c r="O78" s="75"/>
      <c r="P78" s="75"/>
      <c r="Q78" s="75"/>
      <c r="R78" s="75"/>
      <c r="S78" s="75"/>
      <c r="T78" s="75"/>
      <c r="U78" s="75"/>
      <c r="V78" s="75">
        <v>6</v>
      </c>
      <c r="W78" s="75">
        <v>6</v>
      </c>
      <c r="X78" s="75">
        <v>6</v>
      </c>
      <c r="Y78" s="75">
        <v>6</v>
      </c>
      <c r="Z78" s="75">
        <v>21</v>
      </c>
      <c r="AA78" s="75">
        <v>28</v>
      </c>
      <c r="AB78" s="75">
        <v>28</v>
      </c>
      <c r="AC78" s="75">
        <v>26</v>
      </c>
      <c r="AD78" s="75">
        <v>26</v>
      </c>
      <c r="AE78" s="75">
        <v>26</v>
      </c>
      <c r="AF78" s="75">
        <v>26</v>
      </c>
      <c r="AG78" s="65">
        <v>32</v>
      </c>
      <c r="AH78" s="48">
        <f t="shared" si="8"/>
        <v>28</v>
      </c>
      <c r="AI78" s="49">
        <f t="shared" si="9"/>
        <v>0</v>
      </c>
      <c r="AK78" s="51"/>
      <c r="AZ78" s="81">
        <f t="shared" si="48"/>
        <v>10</v>
      </c>
      <c r="BA78" s="81">
        <f t="shared" si="48"/>
        <v>10</v>
      </c>
      <c r="BB78" s="81">
        <f t="shared" si="48"/>
        <v>10.3</v>
      </c>
      <c r="BC78" s="81">
        <f t="shared" si="48"/>
        <v>10.199999999999999</v>
      </c>
      <c r="BD78" s="81">
        <f t="shared" si="48"/>
        <v>9.8000000000000007</v>
      </c>
      <c r="BE78" s="81">
        <f t="shared" si="48"/>
        <v>10.5</v>
      </c>
      <c r="BF78" s="81">
        <f t="shared" si="48"/>
        <v>10.5</v>
      </c>
      <c r="BG78" s="81">
        <f t="shared" si="48"/>
        <v>10</v>
      </c>
      <c r="BH78" s="81">
        <f t="shared" si="48"/>
        <v>6.6</v>
      </c>
      <c r="BI78" s="81">
        <f t="shared" si="48"/>
        <v>4.5999999999999996</v>
      </c>
      <c r="BJ78" s="81">
        <f t="shared" si="48"/>
        <v>3.9</v>
      </c>
      <c r="BK78" s="81">
        <f t="shared" si="48"/>
        <v>3.3</v>
      </c>
      <c r="BL78" s="81">
        <f t="shared" si="48"/>
        <v>3.7</v>
      </c>
      <c r="BM78" s="81">
        <f t="shared" si="48"/>
        <v>5</v>
      </c>
      <c r="BN78" s="81">
        <f t="shared" si="48"/>
        <v>6.5</v>
      </c>
      <c r="BO78" s="81">
        <f t="shared" si="48"/>
        <v>7.8</v>
      </c>
      <c r="BP78" s="81">
        <f t="shared" si="48"/>
        <v>9</v>
      </c>
      <c r="BQ78" s="81">
        <f t="shared" si="48"/>
        <v>9</v>
      </c>
      <c r="BR78" s="81">
        <f t="shared" si="48"/>
        <v>0</v>
      </c>
      <c r="BS78" s="81">
        <f t="shared" si="48"/>
        <v>0</v>
      </c>
      <c r="BT78" s="81">
        <f t="shared" si="48"/>
        <v>0</v>
      </c>
      <c r="BU78" s="81">
        <f t="shared" si="48"/>
        <v>0</v>
      </c>
      <c r="BV78" s="81">
        <f t="shared" si="48"/>
        <v>0</v>
      </c>
      <c r="BW78" s="81">
        <f t="shared" si="48"/>
        <v>10</v>
      </c>
    </row>
    <row r="79" spans="1:75" ht="15.75" thickBot="1" x14ac:dyDescent="0.3">
      <c r="A79" s="83" t="s">
        <v>102</v>
      </c>
      <c r="B79" s="77">
        <v>7</v>
      </c>
      <c r="C79" s="77">
        <v>7</v>
      </c>
      <c r="D79" s="77">
        <v>7</v>
      </c>
      <c r="E79" s="77">
        <v>9.9</v>
      </c>
      <c r="F79" s="77">
        <v>9.9</v>
      </c>
      <c r="G79" s="77">
        <v>9.9</v>
      </c>
      <c r="H79" s="77">
        <v>9.9</v>
      </c>
      <c r="I79" s="77">
        <v>9.9</v>
      </c>
      <c r="J79" s="77">
        <v>1.5</v>
      </c>
      <c r="K79" s="77">
        <v>0</v>
      </c>
      <c r="L79" s="77">
        <v>0</v>
      </c>
      <c r="M79" s="77"/>
      <c r="N79" s="77"/>
      <c r="O79" s="77"/>
      <c r="P79" s="77"/>
      <c r="Q79" s="77"/>
      <c r="R79" s="77"/>
      <c r="S79" s="77"/>
      <c r="T79" s="77"/>
      <c r="U79" s="77"/>
      <c r="V79" s="77">
        <v>3</v>
      </c>
      <c r="W79" s="77">
        <v>2.2000000000000002</v>
      </c>
      <c r="X79" s="77">
        <v>2.2000000000000002</v>
      </c>
      <c r="Y79" s="77">
        <v>2.2000000000000002</v>
      </c>
      <c r="Z79" s="77">
        <v>7.6</v>
      </c>
      <c r="AA79" s="77">
        <v>10.199999999999999</v>
      </c>
      <c r="AB79" s="77">
        <v>10.199999999999999</v>
      </c>
      <c r="AC79" s="77">
        <v>9.5</v>
      </c>
      <c r="AD79" s="77">
        <v>9.5</v>
      </c>
      <c r="AE79" s="77">
        <v>9.5</v>
      </c>
      <c r="AF79" s="77">
        <v>9.5</v>
      </c>
      <c r="AG79" s="78">
        <v>14</v>
      </c>
      <c r="AH79" s="48">
        <f t="shared" si="8"/>
        <v>10.199999999999999</v>
      </c>
      <c r="AI79" s="49">
        <f t="shared" si="9"/>
        <v>0</v>
      </c>
      <c r="AK79" s="51"/>
      <c r="AZ79" s="81">
        <f t="shared" si="48"/>
        <v>0</v>
      </c>
      <c r="BA79" s="81">
        <f t="shared" si="48"/>
        <v>0</v>
      </c>
      <c r="BB79" s="81">
        <f t="shared" si="48"/>
        <v>0</v>
      </c>
      <c r="BC79" s="81">
        <f t="shared" si="48"/>
        <v>0</v>
      </c>
      <c r="BD79" s="81">
        <f t="shared" si="48"/>
        <v>0</v>
      </c>
      <c r="BE79" s="81">
        <f t="shared" si="48"/>
        <v>0</v>
      </c>
      <c r="BF79" s="81">
        <f t="shared" si="48"/>
        <v>0</v>
      </c>
      <c r="BG79" s="81">
        <f t="shared" si="48"/>
        <v>0</v>
      </c>
      <c r="BH79" s="81">
        <f t="shared" si="48"/>
        <v>40</v>
      </c>
      <c r="BI79" s="81">
        <f t="shared" si="48"/>
        <v>121</v>
      </c>
      <c r="BJ79" s="81">
        <f t="shared" si="48"/>
        <v>120</v>
      </c>
      <c r="BK79" s="81">
        <f t="shared" si="48"/>
        <v>125.7</v>
      </c>
      <c r="BL79" s="81">
        <f t="shared" si="48"/>
        <v>136.69999999999999</v>
      </c>
      <c r="BM79" s="81">
        <f t="shared" si="48"/>
        <v>136</v>
      </c>
      <c r="BN79" s="81">
        <f t="shared" si="48"/>
        <v>128</v>
      </c>
      <c r="BO79" s="81">
        <f t="shared" si="48"/>
        <v>130</v>
      </c>
      <c r="BP79" s="81">
        <f t="shared" si="48"/>
        <v>130</v>
      </c>
      <c r="BQ79" s="81">
        <f t="shared" si="48"/>
        <v>74</v>
      </c>
      <c r="BR79" s="81">
        <f t="shared" si="48"/>
        <v>0</v>
      </c>
      <c r="BS79" s="81">
        <f t="shared" si="48"/>
        <v>0</v>
      </c>
      <c r="BT79" s="81">
        <f t="shared" si="48"/>
        <v>0</v>
      </c>
      <c r="BU79" s="81">
        <f t="shared" si="48"/>
        <v>0</v>
      </c>
      <c r="BV79" s="81">
        <f t="shared" si="48"/>
        <v>0</v>
      </c>
      <c r="BW79" s="81">
        <f t="shared" si="48"/>
        <v>0</v>
      </c>
    </row>
    <row r="80" spans="1:75" ht="15.75" thickBot="1" x14ac:dyDescent="0.3">
      <c r="A80" s="86" t="s">
        <v>103</v>
      </c>
      <c r="B80" s="70">
        <f t="shared" ref="B80:AA80" si="49">B77+B78+B79</f>
        <v>71</v>
      </c>
      <c r="C80" s="70">
        <f t="shared" si="49"/>
        <v>71</v>
      </c>
      <c r="D80" s="70">
        <f t="shared" si="49"/>
        <v>93</v>
      </c>
      <c r="E80" s="70">
        <f t="shared" si="49"/>
        <v>97.800000000000011</v>
      </c>
      <c r="F80" s="70">
        <f t="shared" ref="F80" si="50">F77+F78+F79</f>
        <v>97.800000000000011</v>
      </c>
      <c r="G80" s="70">
        <f t="shared" si="49"/>
        <v>97.800000000000011</v>
      </c>
      <c r="H80" s="70">
        <f t="shared" si="49"/>
        <v>97.2</v>
      </c>
      <c r="I80" s="70">
        <f t="shared" si="49"/>
        <v>97.2</v>
      </c>
      <c r="J80" s="70">
        <f t="shared" si="49"/>
        <v>5.6</v>
      </c>
      <c r="K80" s="70">
        <f t="shared" si="49"/>
        <v>0</v>
      </c>
      <c r="L80" s="70">
        <f t="shared" si="49"/>
        <v>0</v>
      </c>
      <c r="M80" s="70">
        <f t="shared" si="49"/>
        <v>0</v>
      </c>
      <c r="N80" s="70">
        <f t="shared" si="49"/>
        <v>0</v>
      </c>
      <c r="O80" s="70">
        <f t="shared" si="49"/>
        <v>0</v>
      </c>
      <c r="P80" s="70">
        <f t="shared" si="49"/>
        <v>0</v>
      </c>
      <c r="Q80" s="70">
        <f t="shared" si="49"/>
        <v>0</v>
      </c>
      <c r="R80" s="70">
        <f t="shared" si="49"/>
        <v>0</v>
      </c>
      <c r="S80" s="70">
        <f t="shared" si="49"/>
        <v>0</v>
      </c>
      <c r="T80" s="70">
        <f t="shared" si="49"/>
        <v>0</v>
      </c>
      <c r="U80" s="70">
        <f t="shared" si="49"/>
        <v>0</v>
      </c>
      <c r="V80" s="70">
        <f t="shared" si="49"/>
        <v>23</v>
      </c>
      <c r="W80" s="70">
        <f t="shared" si="49"/>
        <v>22.2</v>
      </c>
      <c r="X80" s="70">
        <f t="shared" si="49"/>
        <v>22.2</v>
      </c>
      <c r="Y80" s="70">
        <f>Y77+Y78+Y79</f>
        <v>22.2</v>
      </c>
      <c r="Z80" s="70">
        <f>Z77+Z78+Z79</f>
        <v>78.599999999999994</v>
      </c>
      <c r="AA80" s="70">
        <f t="shared" si="49"/>
        <v>98.2</v>
      </c>
      <c r="AB80" s="70">
        <f t="shared" ref="AB80:AC80" si="51">AB77+AB78+AB79</f>
        <v>98.2</v>
      </c>
      <c r="AC80" s="70">
        <f t="shared" si="51"/>
        <v>95.5</v>
      </c>
      <c r="AD80" s="70">
        <f t="shared" ref="AD80:AE80" si="52">AD77+AD78+AD79</f>
        <v>95.5</v>
      </c>
      <c r="AE80" s="70">
        <f t="shared" si="52"/>
        <v>95.5</v>
      </c>
      <c r="AF80" s="70">
        <f t="shared" ref="AF80" si="53">AF77+AF78+AF79</f>
        <v>95.5</v>
      </c>
      <c r="AG80" s="71">
        <f>SUM(AG77:AG79)</f>
        <v>106</v>
      </c>
      <c r="AH80" s="48">
        <f t="shared" si="8"/>
        <v>98.2</v>
      </c>
      <c r="AI80" s="49">
        <f t="shared" si="9"/>
        <v>0</v>
      </c>
      <c r="AK80" s="51"/>
      <c r="AZ80" s="81">
        <f t="shared" si="48"/>
        <v>61</v>
      </c>
      <c r="BA80" s="81">
        <f t="shared" si="48"/>
        <v>52</v>
      </c>
      <c r="BB80" s="81">
        <f t="shared" si="48"/>
        <v>62.7</v>
      </c>
      <c r="BC80" s="81">
        <f t="shared" si="48"/>
        <v>58.8</v>
      </c>
      <c r="BD80" s="81">
        <f t="shared" si="48"/>
        <v>51.8</v>
      </c>
      <c r="BE80" s="81">
        <f t="shared" si="48"/>
        <v>45.6</v>
      </c>
      <c r="BF80" s="81">
        <f t="shared" si="48"/>
        <v>51.3</v>
      </c>
      <c r="BG80" s="81">
        <f t="shared" si="48"/>
        <v>58.3</v>
      </c>
      <c r="BH80" s="81">
        <f t="shared" si="48"/>
        <v>61.6</v>
      </c>
      <c r="BI80" s="81">
        <f t="shared" si="48"/>
        <v>67.900000000000006</v>
      </c>
      <c r="BJ80" s="81">
        <f t="shared" si="48"/>
        <v>72.599999999999994</v>
      </c>
      <c r="BK80" s="81">
        <f t="shared" si="48"/>
        <v>63.3</v>
      </c>
      <c r="BL80" s="81">
        <f t="shared" si="48"/>
        <v>72.900000000000006</v>
      </c>
      <c r="BM80" s="81">
        <f t="shared" si="48"/>
        <v>69.3</v>
      </c>
      <c r="BN80" s="81">
        <f t="shared" si="48"/>
        <v>78</v>
      </c>
      <c r="BO80" s="81">
        <f t="shared" si="48"/>
        <v>75.900000000000006</v>
      </c>
      <c r="BP80" s="81">
        <f t="shared" si="48"/>
        <v>70.5</v>
      </c>
      <c r="BQ80" s="81">
        <f t="shared" si="48"/>
        <v>56</v>
      </c>
      <c r="BR80" s="81">
        <f t="shared" si="48"/>
        <v>58.6</v>
      </c>
      <c r="BS80" s="81">
        <f t="shared" si="48"/>
        <v>0</v>
      </c>
      <c r="BT80" s="81">
        <f t="shared" si="48"/>
        <v>0</v>
      </c>
      <c r="BU80" s="81">
        <f t="shared" si="48"/>
        <v>0</v>
      </c>
      <c r="BV80" s="81">
        <f t="shared" si="48"/>
        <v>0</v>
      </c>
      <c r="BW80" s="81">
        <f t="shared" si="48"/>
        <v>56</v>
      </c>
    </row>
    <row r="81" spans="1:64" x14ac:dyDescent="0.25">
      <c r="A81" s="45" t="s">
        <v>104</v>
      </c>
      <c r="B81" s="46">
        <v>19</v>
      </c>
      <c r="C81" s="46">
        <v>17.2</v>
      </c>
      <c r="D81" s="46">
        <v>14</v>
      </c>
      <c r="E81" s="46">
        <v>18.899999999999999</v>
      </c>
      <c r="F81" s="46">
        <v>17.7</v>
      </c>
      <c r="G81" s="46">
        <v>31.1</v>
      </c>
      <c r="H81" s="46">
        <v>22.3</v>
      </c>
      <c r="I81" s="46">
        <v>25.7</v>
      </c>
      <c r="J81" s="46">
        <v>42</v>
      </c>
      <c r="K81" s="46">
        <v>51.2</v>
      </c>
      <c r="L81" s="46">
        <v>52.6</v>
      </c>
      <c r="M81" s="46">
        <v>51.8</v>
      </c>
      <c r="N81" s="46">
        <v>56.5</v>
      </c>
      <c r="O81" s="46">
        <v>53</v>
      </c>
      <c r="P81" s="46">
        <v>51.3</v>
      </c>
      <c r="Q81" s="46">
        <v>47.5</v>
      </c>
      <c r="R81" s="46">
        <v>55.7</v>
      </c>
      <c r="S81" s="46">
        <v>67.2</v>
      </c>
      <c r="T81" s="46">
        <v>69.7</v>
      </c>
      <c r="U81" s="46">
        <v>67.2</v>
      </c>
      <c r="V81" s="46">
        <v>63.8</v>
      </c>
      <c r="W81" s="46">
        <v>60</v>
      </c>
      <c r="X81" s="46">
        <v>59.4</v>
      </c>
      <c r="Y81" s="46">
        <v>60.4</v>
      </c>
      <c r="Z81" s="46">
        <v>34.799999999999997</v>
      </c>
      <c r="AA81" s="46">
        <v>41</v>
      </c>
      <c r="AB81" s="46">
        <v>36.4</v>
      </c>
      <c r="AC81" s="46">
        <v>34.700000000000003</v>
      </c>
      <c r="AD81" s="46">
        <v>34.700000000000003</v>
      </c>
      <c r="AE81" s="46">
        <v>32.6</v>
      </c>
      <c r="AF81" s="46">
        <v>28.7</v>
      </c>
      <c r="AG81" s="60"/>
      <c r="AH81" s="48">
        <f t="shared" si="8"/>
        <v>69.7</v>
      </c>
      <c r="AI81" s="49">
        <f t="shared" si="9"/>
        <v>14</v>
      </c>
      <c r="AK81" s="51"/>
      <c r="AY81" s="81"/>
    </row>
    <row r="82" spans="1:64" x14ac:dyDescent="0.25">
      <c r="A82" s="64" t="s">
        <v>105</v>
      </c>
      <c r="B82" s="75">
        <v>0</v>
      </c>
      <c r="C82" s="75">
        <v>0</v>
      </c>
      <c r="D82" s="75">
        <v>0</v>
      </c>
      <c r="E82" s="75">
        <v>0</v>
      </c>
      <c r="F82" s="75">
        <v>0</v>
      </c>
      <c r="G82" s="75">
        <v>0</v>
      </c>
      <c r="H82" s="75">
        <v>0</v>
      </c>
      <c r="I82" s="75">
        <v>0</v>
      </c>
      <c r="J82" s="75">
        <v>0</v>
      </c>
      <c r="K82" s="75">
        <v>0</v>
      </c>
      <c r="L82" s="75">
        <v>0</v>
      </c>
      <c r="M82" s="75">
        <v>0</v>
      </c>
      <c r="N82" s="75">
        <v>0</v>
      </c>
      <c r="O82" s="75">
        <v>0</v>
      </c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65"/>
      <c r="AH82" s="48">
        <f t="shared" ref="AH82:AH125" si="54">MAX(B82:AF82)</f>
        <v>0</v>
      </c>
      <c r="AI82" s="49">
        <f t="shared" ref="AI82:AI125" si="55">MIN(B82:AF82)</f>
        <v>0</v>
      </c>
      <c r="AK82" s="51"/>
      <c r="AY82" s="81"/>
      <c r="BF82" s="81"/>
      <c r="BG82" s="81"/>
      <c r="BH82" s="81"/>
      <c r="BI82" s="81"/>
      <c r="BJ82" s="81"/>
      <c r="BK82" s="81"/>
    </row>
    <row r="83" spans="1:64" x14ac:dyDescent="0.25">
      <c r="A83" s="64" t="s">
        <v>106</v>
      </c>
      <c r="B83" s="75">
        <v>56</v>
      </c>
      <c r="C83" s="75">
        <v>58.7</v>
      </c>
      <c r="D83" s="75">
        <v>48</v>
      </c>
      <c r="E83" s="75">
        <v>52</v>
      </c>
      <c r="F83" s="75">
        <v>53</v>
      </c>
      <c r="G83" s="75">
        <v>75</v>
      </c>
      <c r="H83" s="75">
        <v>19</v>
      </c>
      <c r="I83" s="75">
        <v>0</v>
      </c>
      <c r="J83" s="75">
        <v>308</v>
      </c>
      <c r="K83" s="75">
        <v>436</v>
      </c>
      <c r="L83" s="75">
        <v>482</v>
      </c>
      <c r="M83" s="75">
        <v>482.2</v>
      </c>
      <c r="N83" s="75">
        <v>421.8</v>
      </c>
      <c r="O83" s="75">
        <v>478</v>
      </c>
      <c r="P83" s="75">
        <v>501.9</v>
      </c>
      <c r="Q83" s="75">
        <v>510</v>
      </c>
      <c r="R83" s="75">
        <v>520.29999999999995</v>
      </c>
      <c r="S83" s="75">
        <v>508.2</v>
      </c>
      <c r="T83" s="75">
        <v>545</v>
      </c>
      <c r="U83" s="75">
        <v>525</v>
      </c>
      <c r="V83" s="75">
        <v>495</v>
      </c>
      <c r="W83" s="75">
        <v>384</v>
      </c>
      <c r="X83" s="75">
        <v>150</v>
      </c>
      <c r="Y83" s="75">
        <v>47.5</v>
      </c>
      <c r="Z83" s="75">
        <v>0</v>
      </c>
      <c r="AA83" s="75"/>
      <c r="AB83" s="75">
        <v>38.1</v>
      </c>
      <c r="AC83" s="75">
        <v>62.8</v>
      </c>
      <c r="AD83" s="75">
        <v>62.8</v>
      </c>
      <c r="AE83" s="75">
        <v>69.8</v>
      </c>
      <c r="AF83" s="75">
        <v>54.3</v>
      </c>
      <c r="AG83" s="87"/>
      <c r="AH83" s="48">
        <f t="shared" si="54"/>
        <v>545</v>
      </c>
      <c r="AI83" s="49">
        <f t="shared" si="55"/>
        <v>0</v>
      </c>
      <c r="AK83" s="51"/>
      <c r="AY83" s="81"/>
      <c r="BF83" s="80"/>
      <c r="BG83" s="80"/>
      <c r="BH83" s="80"/>
      <c r="BI83" s="80"/>
      <c r="BJ83" s="80"/>
      <c r="BK83" s="81"/>
    </row>
    <row r="84" spans="1:64" x14ac:dyDescent="0.25">
      <c r="A84" s="64" t="s">
        <v>107</v>
      </c>
      <c r="B84" s="75">
        <v>10</v>
      </c>
      <c r="C84" s="75">
        <v>10</v>
      </c>
      <c r="D84" s="75">
        <v>10</v>
      </c>
      <c r="E84" s="88">
        <v>10.3</v>
      </c>
      <c r="F84" s="88">
        <v>10.199999999999999</v>
      </c>
      <c r="G84" s="88">
        <v>9.8000000000000007</v>
      </c>
      <c r="H84" s="88">
        <v>9.9</v>
      </c>
      <c r="I84" s="88">
        <v>10.5</v>
      </c>
      <c r="J84" s="88">
        <v>10.4</v>
      </c>
      <c r="K84" s="88">
        <v>10.5</v>
      </c>
      <c r="L84" s="88">
        <v>9.5</v>
      </c>
      <c r="M84" s="88">
        <v>10</v>
      </c>
      <c r="N84" s="88">
        <v>6.6</v>
      </c>
      <c r="O84" s="88">
        <v>4.5999999999999996</v>
      </c>
      <c r="P84" s="88">
        <v>3.9</v>
      </c>
      <c r="Q84" s="88">
        <v>3.3</v>
      </c>
      <c r="R84" s="88">
        <v>3.7</v>
      </c>
      <c r="S84" s="88">
        <v>5</v>
      </c>
      <c r="T84" s="88">
        <v>6.5</v>
      </c>
      <c r="U84" s="88">
        <v>7.8</v>
      </c>
      <c r="V84" s="88">
        <v>9</v>
      </c>
      <c r="W84" s="88">
        <v>9.4</v>
      </c>
      <c r="X84" s="88">
        <v>9</v>
      </c>
      <c r="Y84" s="88">
        <v>0</v>
      </c>
      <c r="Z84" s="88"/>
      <c r="AA84" s="88"/>
      <c r="AB84" s="88"/>
      <c r="AC84" s="88"/>
      <c r="AD84" s="88"/>
      <c r="AE84" s="88"/>
      <c r="AF84" s="88"/>
      <c r="AG84" s="87"/>
      <c r="AH84" s="48">
        <f t="shared" si="54"/>
        <v>10.5</v>
      </c>
      <c r="AI84" s="49">
        <f t="shared" si="55"/>
        <v>0</v>
      </c>
      <c r="AK84" s="51"/>
      <c r="AY84" s="81"/>
      <c r="BF84" s="80"/>
      <c r="BG84" s="81">
        <f t="array" ref="BG84:BL107">TRANSPOSE(AZ68:BW73)</f>
        <v>17</v>
      </c>
      <c r="BH84" s="81">
        <v>0</v>
      </c>
      <c r="BI84" s="81">
        <v>59</v>
      </c>
      <c r="BJ84" s="81">
        <v>10</v>
      </c>
      <c r="BK84" s="81">
        <v>0</v>
      </c>
      <c r="BL84" s="81">
        <v>61</v>
      </c>
    </row>
    <row r="85" spans="1:64" x14ac:dyDescent="0.25">
      <c r="A85" s="64" t="s">
        <v>108</v>
      </c>
      <c r="B85" s="46">
        <v>0</v>
      </c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>
        <v>40</v>
      </c>
      <c r="O85" s="46">
        <v>121</v>
      </c>
      <c r="P85" s="46">
        <v>120</v>
      </c>
      <c r="Q85" s="46">
        <v>125.7</v>
      </c>
      <c r="R85" s="46">
        <v>136.69999999999999</v>
      </c>
      <c r="S85" s="46">
        <v>136</v>
      </c>
      <c r="T85" s="46">
        <v>128</v>
      </c>
      <c r="U85" s="46">
        <v>130</v>
      </c>
      <c r="V85" s="46">
        <v>130</v>
      </c>
      <c r="W85" s="46">
        <v>111</v>
      </c>
      <c r="X85" s="46">
        <v>74</v>
      </c>
      <c r="Y85" s="46">
        <v>0</v>
      </c>
      <c r="Z85" s="46"/>
      <c r="AA85" s="46"/>
      <c r="AB85" s="46"/>
      <c r="AC85" s="46"/>
      <c r="AD85" s="46"/>
      <c r="AE85" s="46"/>
      <c r="AF85" s="46"/>
      <c r="AG85" s="87"/>
      <c r="AH85" s="48">
        <f t="shared" si="54"/>
        <v>136.69999999999999</v>
      </c>
      <c r="AI85" s="49">
        <f t="shared" si="55"/>
        <v>0</v>
      </c>
      <c r="AK85" s="51"/>
      <c r="AY85" s="81"/>
      <c r="BF85" s="80"/>
      <c r="BG85" s="81">
        <v>14</v>
      </c>
      <c r="BH85" s="81">
        <v>0</v>
      </c>
      <c r="BI85" s="81">
        <v>48</v>
      </c>
      <c r="BJ85" s="81">
        <v>10</v>
      </c>
      <c r="BK85" s="81">
        <v>0</v>
      </c>
      <c r="BL85" s="81">
        <v>52</v>
      </c>
    </row>
    <row r="86" spans="1:64" x14ac:dyDescent="0.25">
      <c r="A86" s="64" t="s">
        <v>109</v>
      </c>
      <c r="B86" s="89">
        <v>0</v>
      </c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7"/>
      <c r="AH86" s="48">
        <f t="shared" si="54"/>
        <v>0</v>
      </c>
      <c r="AI86" s="49">
        <f t="shared" si="55"/>
        <v>0</v>
      </c>
      <c r="AK86" s="51"/>
      <c r="AY86" s="81"/>
      <c r="BF86" s="80"/>
      <c r="BG86" s="81">
        <v>18.899999999999999</v>
      </c>
      <c r="BH86" s="81">
        <v>0</v>
      </c>
      <c r="BI86" s="81">
        <v>52</v>
      </c>
      <c r="BJ86" s="81">
        <v>10.3</v>
      </c>
      <c r="BK86" s="81">
        <v>0</v>
      </c>
      <c r="BL86" s="81">
        <v>62.7</v>
      </c>
    </row>
    <row r="87" spans="1:64" ht="15.75" thickBot="1" x14ac:dyDescent="0.3">
      <c r="A87" s="64" t="s">
        <v>110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7"/>
      <c r="AH87" s="48">
        <f t="shared" si="54"/>
        <v>0</v>
      </c>
      <c r="AI87" s="49">
        <f t="shared" si="55"/>
        <v>0</v>
      </c>
      <c r="AK87" s="51"/>
      <c r="AL87" s="90" t="s">
        <v>111</v>
      </c>
      <c r="AM87" s="90"/>
      <c r="AY87" s="81"/>
      <c r="BF87" s="81"/>
      <c r="BG87" s="81">
        <v>17.7</v>
      </c>
      <c r="BH87" s="81">
        <v>0</v>
      </c>
      <c r="BI87" s="81">
        <v>53</v>
      </c>
      <c r="BJ87" s="81">
        <v>10.199999999999999</v>
      </c>
      <c r="BK87" s="81">
        <v>0</v>
      </c>
      <c r="BL87" s="81">
        <v>58.8</v>
      </c>
    </row>
    <row r="88" spans="1:64" x14ac:dyDescent="0.25">
      <c r="A88" s="64" t="s">
        <v>112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7"/>
      <c r="AH88" s="48">
        <f t="shared" si="54"/>
        <v>0</v>
      </c>
      <c r="AI88" s="49">
        <f t="shared" si="55"/>
        <v>0</v>
      </c>
      <c r="AK88" s="91"/>
      <c r="AL88" s="92"/>
      <c r="AM88" s="92"/>
      <c r="AN88" s="93"/>
      <c r="AY88" s="81"/>
      <c r="BF88" s="81"/>
      <c r="BG88" s="81">
        <v>31.1</v>
      </c>
      <c r="BH88" s="81">
        <v>0</v>
      </c>
      <c r="BI88" s="81">
        <v>75</v>
      </c>
      <c r="BJ88" s="81">
        <v>9.8000000000000007</v>
      </c>
      <c r="BK88" s="81">
        <v>0</v>
      </c>
      <c r="BL88" s="81">
        <v>51.8</v>
      </c>
    </row>
    <row r="89" spans="1:64" x14ac:dyDescent="0.25">
      <c r="A89" s="64" t="s">
        <v>113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7"/>
      <c r="AH89" s="48">
        <f t="shared" si="54"/>
        <v>0</v>
      </c>
      <c r="AI89" s="49">
        <f t="shared" si="55"/>
        <v>0</v>
      </c>
      <c r="AK89" s="94" t="s">
        <v>114</v>
      </c>
      <c r="AL89" s="75"/>
      <c r="AM89" s="88"/>
      <c r="AN89" s="95"/>
      <c r="AY89" s="81"/>
      <c r="BF89" s="81"/>
      <c r="BG89" s="81">
        <v>25.7</v>
      </c>
      <c r="BH89" s="81">
        <v>0</v>
      </c>
      <c r="BI89" s="81">
        <v>0</v>
      </c>
      <c r="BJ89" s="81">
        <v>10.5</v>
      </c>
      <c r="BK89" s="81">
        <v>0</v>
      </c>
      <c r="BL89" s="81">
        <v>45.6</v>
      </c>
    </row>
    <row r="90" spans="1:64" x14ac:dyDescent="0.25">
      <c r="A90" s="96" t="s">
        <v>115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97"/>
      <c r="AH90" s="48">
        <f t="shared" si="54"/>
        <v>0</v>
      </c>
      <c r="AI90" s="49">
        <f t="shared" si="55"/>
        <v>0</v>
      </c>
      <c r="AK90" s="94" t="s">
        <v>116</v>
      </c>
      <c r="AL90" s="88"/>
      <c r="AM90" s="88"/>
      <c r="AN90" s="95"/>
      <c r="AY90" s="81"/>
      <c r="BF90" s="81"/>
      <c r="BG90" s="81">
        <v>51.2</v>
      </c>
      <c r="BH90" s="81">
        <v>0</v>
      </c>
      <c r="BI90" s="81">
        <v>436</v>
      </c>
      <c r="BJ90" s="81">
        <v>10.5</v>
      </c>
      <c r="BK90" s="81">
        <v>0</v>
      </c>
      <c r="BL90" s="81">
        <v>51.3</v>
      </c>
    </row>
    <row r="91" spans="1:64" ht="15.75" thickBot="1" x14ac:dyDescent="0.3">
      <c r="A91" s="96" t="s">
        <v>117</v>
      </c>
      <c r="B91" s="89">
        <v>56</v>
      </c>
      <c r="C91" s="89">
        <v>60.5</v>
      </c>
      <c r="D91" s="89">
        <v>52</v>
      </c>
      <c r="E91" s="89">
        <v>62.7</v>
      </c>
      <c r="F91" s="89">
        <v>58.8</v>
      </c>
      <c r="G91" s="89">
        <v>51.8</v>
      </c>
      <c r="H91" s="89">
        <v>47.9</v>
      </c>
      <c r="I91" s="89">
        <v>45.6</v>
      </c>
      <c r="J91" s="89">
        <v>46.3</v>
      </c>
      <c r="K91" s="89">
        <v>51.3</v>
      </c>
      <c r="L91" s="89">
        <v>48.7</v>
      </c>
      <c r="M91" s="89">
        <v>58.3</v>
      </c>
      <c r="N91" s="89">
        <v>61.6</v>
      </c>
      <c r="O91" s="89">
        <v>67.900000000000006</v>
      </c>
      <c r="P91" s="89">
        <v>72.599999999999994</v>
      </c>
      <c r="Q91" s="89">
        <v>63.3</v>
      </c>
      <c r="R91" s="89">
        <v>72.900000000000006</v>
      </c>
      <c r="S91" s="89">
        <v>69.3</v>
      </c>
      <c r="T91" s="89">
        <v>78</v>
      </c>
      <c r="U91" s="89">
        <v>75.900000000000006</v>
      </c>
      <c r="V91" s="89">
        <v>70.5</v>
      </c>
      <c r="W91" s="89">
        <v>64.36</v>
      </c>
      <c r="X91" s="89">
        <v>56</v>
      </c>
      <c r="Y91" s="89">
        <v>57</v>
      </c>
      <c r="Z91" s="89">
        <v>58.6</v>
      </c>
      <c r="AA91" s="89">
        <v>0</v>
      </c>
      <c r="AB91" s="89">
        <v>0</v>
      </c>
      <c r="AC91" s="89">
        <v>0</v>
      </c>
      <c r="AD91" s="89">
        <v>0</v>
      </c>
      <c r="AE91" s="89">
        <v>0</v>
      </c>
      <c r="AF91" s="89">
        <v>0</v>
      </c>
      <c r="AG91" s="97"/>
      <c r="AH91" s="48">
        <f t="shared" si="54"/>
        <v>78</v>
      </c>
      <c r="AI91" s="49">
        <f t="shared" si="55"/>
        <v>0</v>
      </c>
      <c r="AK91" s="98"/>
      <c r="AL91" s="46"/>
      <c r="AM91" s="46"/>
      <c r="AN91" s="99"/>
      <c r="AY91" s="81"/>
      <c r="BF91" s="81"/>
      <c r="BG91" s="81">
        <v>51.8</v>
      </c>
      <c r="BH91" s="81">
        <v>0</v>
      </c>
      <c r="BI91" s="81">
        <v>482.2</v>
      </c>
      <c r="BJ91" s="81">
        <v>10</v>
      </c>
      <c r="BK91" s="81">
        <v>0</v>
      </c>
      <c r="BL91" s="81">
        <v>58.3</v>
      </c>
    </row>
    <row r="92" spans="1:64" ht="15.75" thickBot="1" x14ac:dyDescent="0.3">
      <c r="A92" s="86" t="s">
        <v>118</v>
      </c>
      <c r="B92" s="70">
        <f t="shared" ref="B92:AA92" si="56">SUMIF(B81:B91,"&gt;0")</f>
        <v>141</v>
      </c>
      <c r="C92" s="70">
        <f t="shared" si="56"/>
        <v>146.4</v>
      </c>
      <c r="D92" s="70">
        <f t="shared" si="56"/>
        <v>124</v>
      </c>
      <c r="E92" s="70">
        <f t="shared" si="56"/>
        <v>143.9</v>
      </c>
      <c r="F92" s="70">
        <f t="shared" si="56"/>
        <v>139.69999999999999</v>
      </c>
      <c r="G92" s="70">
        <f t="shared" si="56"/>
        <v>167.7</v>
      </c>
      <c r="H92" s="70">
        <f t="shared" si="56"/>
        <v>99.1</v>
      </c>
      <c r="I92" s="70">
        <f t="shared" si="56"/>
        <v>81.800000000000011</v>
      </c>
      <c r="J92" s="70">
        <f t="shared" si="56"/>
        <v>406.7</v>
      </c>
      <c r="K92" s="70">
        <f t="shared" si="56"/>
        <v>549</v>
      </c>
      <c r="L92" s="70">
        <f t="shared" si="56"/>
        <v>592.80000000000007</v>
      </c>
      <c r="M92" s="70">
        <f t="shared" si="56"/>
        <v>602.29999999999995</v>
      </c>
      <c r="N92" s="70">
        <f t="shared" si="56"/>
        <v>586.50000000000011</v>
      </c>
      <c r="O92" s="70">
        <f t="shared" si="56"/>
        <v>724.5</v>
      </c>
      <c r="P92" s="70">
        <f t="shared" si="56"/>
        <v>749.69999999999993</v>
      </c>
      <c r="Q92" s="70">
        <f t="shared" si="56"/>
        <v>749.8</v>
      </c>
      <c r="R92" s="70">
        <f t="shared" si="56"/>
        <v>789.30000000000007</v>
      </c>
      <c r="S92" s="70">
        <f t="shared" si="56"/>
        <v>785.69999999999993</v>
      </c>
      <c r="T92" s="70">
        <f t="shared" si="56"/>
        <v>827.2</v>
      </c>
      <c r="U92" s="70">
        <f t="shared" si="56"/>
        <v>805.9</v>
      </c>
      <c r="V92" s="70">
        <f t="shared" si="56"/>
        <v>768.3</v>
      </c>
      <c r="W92" s="70">
        <f t="shared" si="56"/>
        <v>628.76</v>
      </c>
      <c r="X92" s="70">
        <f t="shared" si="56"/>
        <v>348.4</v>
      </c>
      <c r="Y92" s="70">
        <f>SUMIF(Y81:Y91,"&gt;0")</f>
        <v>164.9</v>
      </c>
      <c r="Z92" s="70">
        <f>SUMIF(Z81:Z91,"&gt;0")</f>
        <v>93.4</v>
      </c>
      <c r="AA92" s="70">
        <f t="shared" si="56"/>
        <v>41</v>
      </c>
      <c r="AB92" s="70">
        <f t="shared" ref="AB92:AC92" si="57">SUMIF(AB81:AB91,"&gt;0")</f>
        <v>74.5</v>
      </c>
      <c r="AC92" s="70">
        <f t="shared" si="57"/>
        <v>97.5</v>
      </c>
      <c r="AD92" s="70">
        <f t="shared" ref="AD92:AE92" si="58">SUMIF(AD81:AD91,"&gt;0")</f>
        <v>97.5</v>
      </c>
      <c r="AE92" s="70">
        <f t="shared" si="58"/>
        <v>102.4</v>
      </c>
      <c r="AF92" s="70">
        <f t="shared" ref="AF92" si="59">SUMIF(AF81:AF91,"&gt;0")</f>
        <v>83</v>
      </c>
      <c r="AG92" s="100">
        <f>SUM(AG81:AG91)</f>
        <v>0</v>
      </c>
      <c r="AH92" s="48">
        <f t="shared" si="54"/>
        <v>827.2</v>
      </c>
      <c r="AI92" s="49">
        <f t="shared" si="55"/>
        <v>41</v>
      </c>
      <c r="AK92" s="98"/>
      <c r="AL92" s="89"/>
      <c r="AM92" s="101"/>
      <c r="AN92" s="202"/>
      <c r="AY92" s="81"/>
      <c r="BF92" s="81"/>
      <c r="BG92" s="81">
        <v>56.5</v>
      </c>
      <c r="BH92" s="81">
        <v>0</v>
      </c>
      <c r="BI92" s="81">
        <v>421.8</v>
      </c>
      <c r="BJ92" s="81">
        <v>6.6</v>
      </c>
      <c r="BK92" s="81">
        <v>40</v>
      </c>
      <c r="BL92" s="81">
        <v>61.6</v>
      </c>
    </row>
    <row r="93" spans="1:64" x14ac:dyDescent="0.25">
      <c r="A93" s="45" t="s">
        <v>119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54"/>
        <v>0</v>
      </c>
      <c r="AI93" s="49">
        <f t="shared" si="55"/>
        <v>0</v>
      </c>
      <c r="AK93" s="98"/>
      <c r="AL93" s="89"/>
      <c r="AM93" s="89"/>
      <c r="AN93" s="203"/>
      <c r="BF93" s="81"/>
      <c r="BG93" s="81">
        <v>53</v>
      </c>
      <c r="BH93" s="81">
        <v>0</v>
      </c>
      <c r="BI93" s="81">
        <v>478</v>
      </c>
      <c r="BJ93" s="81">
        <v>4.5999999999999996</v>
      </c>
      <c r="BK93" s="81">
        <v>121</v>
      </c>
      <c r="BL93" s="81">
        <v>67.900000000000006</v>
      </c>
    </row>
    <row r="94" spans="1:64" ht="15.75" thickBot="1" x14ac:dyDescent="0.3">
      <c r="A94" s="64" t="s">
        <v>120</v>
      </c>
      <c r="B94" s="89">
        <v>0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54"/>
        <v>0</v>
      </c>
      <c r="AI94" s="49">
        <f t="shared" si="55"/>
        <v>0</v>
      </c>
      <c r="AK94" s="103"/>
      <c r="AL94" s="104"/>
      <c r="AM94" s="104"/>
      <c r="AN94" s="105"/>
      <c r="BF94" s="81"/>
      <c r="BG94" s="81">
        <v>51.3</v>
      </c>
      <c r="BH94" s="81">
        <v>0</v>
      </c>
      <c r="BI94" s="81">
        <v>501.9</v>
      </c>
      <c r="BJ94" s="81">
        <v>3.9</v>
      </c>
      <c r="BK94" s="81">
        <v>120</v>
      </c>
      <c r="BL94" s="81">
        <v>72.599999999999994</v>
      </c>
    </row>
    <row r="95" spans="1:64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0</v>
      </c>
      <c r="Y95" s="106">
        <v>0</v>
      </c>
      <c r="Z95" s="106">
        <v>0</v>
      </c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54"/>
        <v>0</v>
      </c>
      <c r="AI95" s="49">
        <f t="shared" si="55"/>
        <v>0</v>
      </c>
      <c r="BF95" s="81"/>
      <c r="BG95" s="81">
        <v>47.5</v>
      </c>
      <c r="BH95" s="81">
        <v>0</v>
      </c>
      <c r="BI95" s="81">
        <v>510</v>
      </c>
      <c r="BJ95" s="81">
        <v>3.3</v>
      </c>
      <c r="BK95" s="81">
        <v>125.7</v>
      </c>
      <c r="BL95" s="81">
        <v>63.3</v>
      </c>
    </row>
    <row r="96" spans="1:64" ht="15.75" thickBot="1" x14ac:dyDescent="0.3">
      <c r="A96" s="86" t="s">
        <v>122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>
        <v>0</v>
      </c>
      <c r="Y96" s="70"/>
      <c r="Z96" s="70"/>
      <c r="AA96" s="70"/>
      <c r="AB96" s="70"/>
      <c r="AC96" s="70"/>
      <c r="AD96" s="70"/>
      <c r="AE96" s="70"/>
      <c r="AF96" s="70"/>
      <c r="AG96" s="100">
        <f>SUM(AG93:AG95)</f>
        <v>55.4</v>
      </c>
      <c r="AH96" s="48">
        <f t="shared" si="54"/>
        <v>0</v>
      </c>
      <c r="AI96" s="49">
        <f t="shared" si="55"/>
        <v>0</v>
      </c>
      <c r="BF96" s="81"/>
      <c r="BG96" s="81">
        <v>55.7</v>
      </c>
      <c r="BH96" s="81">
        <v>0</v>
      </c>
      <c r="BI96" s="81">
        <v>520.29999999999995</v>
      </c>
      <c r="BJ96" s="81">
        <v>3.7</v>
      </c>
      <c r="BK96" s="81">
        <v>136.69999999999999</v>
      </c>
      <c r="BL96" s="81">
        <v>72.900000000000006</v>
      </c>
    </row>
    <row r="97" spans="1:64" ht="15.75" thickBot="1" x14ac:dyDescent="0.3">
      <c r="A97" s="86" t="s">
        <v>123</v>
      </c>
      <c r="B97" s="107">
        <f t="shared" ref="B97:AG97" si="60">B58+B62+B80+B76+B92+B96</f>
        <v>1076.19</v>
      </c>
      <c r="C97" s="107">
        <f t="shared" si="60"/>
        <v>1032.5900000000001</v>
      </c>
      <c r="D97" s="107">
        <f t="shared" si="60"/>
        <v>1001.19</v>
      </c>
      <c r="E97" s="107">
        <f t="shared" si="60"/>
        <v>1021.89</v>
      </c>
      <c r="F97" s="107">
        <f t="shared" si="60"/>
        <v>1017.8900000000001</v>
      </c>
      <c r="G97" s="107">
        <f t="shared" si="60"/>
        <v>1045.8900000000001</v>
      </c>
      <c r="H97" s="107">
        <f t="shared" si="60"/>
        <v>1089.69</v>
      </c>
      <c r="I97" s="107">
        <f t="shared" si="60"/>
        <v>1183.8900000000001</v>
      </c>
      <c r="J97" s="107">
        <f t="shared" si="60"/>
        <v>1350.0900000000001</v>
      </c>
      <c r="K97" s="107">
        <f t="shared" si="60"/>
        <v>1412.3899999999999</v>
      </c>
      <c r="L97" s="107">
        <f t="shared" si="60"/>
        <v>1485.0900000000001</v>
      </c>
      <c r="M97" s="107">
        <f t="shared" si="60"/>
        <v>1512.79</v>
      </c>
      <c r="N97" s="107">
        <f t="shared" si="60"/>
        <v>1468.3900000000003</v>
      </c>
      <c r="O97" s="107">
        <f t="shared" si="60"/>
        <v>1563.49</v>
      </c>
      <c r="P97" s="107">
        <f t="shared" si="60"/>
        <v>1579.19</v>
      </c>
      <c r="Q97" s="107">
        <f t="shared" si="60"/>
        <v>1579.99</v>
      </c>
      <c r="R97" s="107">
        <f t="shared" si="60"/>
        <v>1630.4900000000002</v>
      </c>
      <c r="S97" s="107">
        <f t="shared" si="60"/>
        <v>1617.19</v>
      </c>
      <c r="T97" s="107">
        <f t="shared" si="60"/>
        <v>1631.69</v>
      </c>
      <c r="U97" s="107">
        <f t="shared" si="60"/>
        <v>1612.79</v>
      </c>
      <c r="V97" s="107">
        <f t="shared" si="60"/>
        <v>1574.9899999999998</v>
      </c>
      <c r="W97" s="107">
        <f t="shared" si="60"/>
        <v>1548.55</v>
      </c>
      <c r="X97" s="107">
        <f t="shared" si="60"/>
        <v>1379.19</v>
      </c>
      <c r="Y97" s="107">
        <f>Y58+Y62+Y80+Y76+Y92+Y96</f>
        <v>1400.65</v>
      </c>
      <c r="Z97" s="107">
        <f>Z58+Z62+Z80+Z76+Z92+Z96</f>
        <v>1547.9499999999998</v>
      </c>
      <c r="AA97" s="107">
        <f t="shared" si="60"/>
        <v>1499.49</v>
      </c>
      <c r="AB97" s="107">
        <f t="shared" ref="AB97:AC97" si="61">AB58+AB62+AB80+AB76+AB92+AB96</f>
        <v>1399.49</v>
      </c>
      <c r="AC97" s="107">
        <f t="shared" si="61"/>
        <v>1370.09</v>
      </c>
      <c r="AD97" s="107">
        <f t="shared" ref="AD97:AE97" si="62">AD58+AD62+AD80+AD76+AD92+AD96</f>
        <v>1370.09</v>
      </c>
      <c r="AE97" s="107">
        <f t="shared" si="62"/>
        <v>1133.69</v>
      </c>
      <c r="AF97" s="107">
        <f t="shared" ref="AF97" si="63">AF58+AF62+AF80+AF76+AF92+AF96</f>
        <v>1081.29</v>
      </c>
      <c r="AG97" s="71">
        <f t="shared" si="60"/>
        <v>2231.81</v>
      </c>
      <c r="AH97" s="48">
        <f t="shared" si="54"/>
        <v>1631.69</v>
      </c>
      <c r="AI97" s="49">
        <f t="shared" si="55"/>
        <v>1001.19</v>
      </c>
      <c r="BF97" s="81"/>
      <c r="BG97" s="81">
        <v>67.2</v>
      </c>
      <c r="BH97" s="81">
        <v>0</v>
      </c>
      <c r="BI97" s="81">
        <v>508.2</v>
      </c>
      <c r="BJ97" s="81">
        <v>5</v>
      </c>
      <c r="BK97" s="81">
        <v>136</v>
      </c>
      <c r="BL97" s="81">
        <v>69.3</v>
      </c>
    </row>
    <row r="98" spans="1:64" ht="15.75" thickBot="1" x14ac:dyDescent="0.3">
      <c r="A98" s="108" t="s">
        <v>124</v>
      </c>
      <c r="B98" s="109">
        <v>250</v>
      </c>
      <c r="C98" s="109">
        <v>200</v>
      </c>
      <c r="D98" s="109">
        <v>200</v>
      </c>
      <c r="E98" s="109">
        <v>200</v>
      </c>
      <c r="F98" s="109">
        <v>200</v>
      </c>
      <c r="G98" s="109">
        <v>200</v>
      </c>
      <c r="H98" s="109">
        <v>200</v>
      </c>
      <c r="I98" s="109">
        <v>200</v>
      </c>
      <c r="J98" s="109">
        <v>15</v>
      </c>
      <c r="K98" s="109">
        <v>100</v>
      </c>
      <c r="L98" s="109">
        <v>50</v>
      </c>
      <c r="M98" s="109">
        <v>50</v>
      </c>
      <c r="N98" s="109"/>
      <c r="O98" s="109"/>
      <c r="P98" s="109"/>
      <c r="Q98" s="109"/>
      <c r="R98" s="109"/>
      <c r="S98" s="109">
        <v>20</v>
      </c>
      <c r="T98" s="109">
        <v>20</v>
      </c>
      <c r="U98" s="109">
        <v>20</v>
      </c>
      <c r="V98" s="109">
        <v>20</v>
      </c>
      <c r="W98" s="109"/>
      <c r="X98" s="109">
        <v>200</v>
      </c>
      <c r="Y98" s="109">
        <v>300</v>
      </c>
      <c r="Z98" s="109">
        <v>300</v>
      </c>
      <c r="AA98" s="109">
        <v>300</v>
      </c>
      <c r="AB98" s="109">
        <v>320</v>
      </c>
      <c r="AC98" s="109">
        <v>320</v>
      </c>
      <c r="AD98" s="109">
        <v>350</v>
      </c>
      <c r="AE98" s="109">
        <v>350</v>
      </c>
      <c r="AF98" s="109">
        <v>350</v>
      </c>
      <c r="AG98" s="100"/>
      <c r="AH98" s="48">
        <f t="shared" si="54"/>
        <v>350</v>
      </c>
      <c r="AI98" s="49">
        <f t="shared" si="55"/>
        <v>15</v>
      </c>
      <c r="BF98" s="81"/>
      <c r="BG98" s="81">
        <v>69.7</v>
      </c>
      <c r="BH98" s="81">
        <v>0</v>
      </c>
      <c r="BI98" s="81">
        <v>545</v>
      </c>
      <c r="BJ98" s="81">
        <v>6.5</v>
      </c>
      <c r="BK98" s="81">
        <v>128</v>
      </c>
      <c r="BL98" s="81">
        <v>78</v>
      </c>
    </row>
    <row r="99" spans="1:64" ht="15.75" thickBot="1" x14ac:dyDescent="0.3">
      <c r="A99" s="86" t="s">
        <v>125</v>
      </c>
      <c r="B99" s="107">
        <f t="shared" ref="B99:AA99" si="64">B97+B98</f>
        <v>1326.19</v>
      </c>
      <c r="C99" s="107">
        <f t="shared" si="64"/>
        <v>1232.5900000000001</v>
      </c>
      <c r="D99" s="107">
        <f t="shared" si="64"/>
        <v>1201.19</v>
      </c>
      <c r="E99" s="107">
        <f t="shared" si="64"/>
        <v>1221.8899999999999</v>
      </c>
      <c r="F99" s="107">
        <f t="shared" si="64"/>
        <v>1217.8900000000001</v>
      </c>
      <c r="G99" s="107">
        <f t="shared" si="64"/>
        <v>1245.8900000000001</v>
      </c>
      <c r="H99" s="107">
        <f t="shared" si="64"/>
        <v>1289.69</v>
      </c>
      <c r="I99" s="107">
        <f t="shared" si="64"/>
        <v>1383.89</v>
      </c>
      <c r="J99" s="107">
        <f t="shared" si="64"/>
        <v>1365.0900000000001</v>
      </c>
      <c r="K99" s="107">
        <f t="shared" si="64"/>
        <v>1512.3899999999999</v>
      </c>
      <c r="L99" s="107">
        <f t="shared" si="64"/>
        <v>1535.0900000000001</v>
      </c>
      <c r="M99" s="107">
        <f t="shared" si="64"/>
        <v>1562.79</v>
      </c>
      <c r="N99" s="107">
        <f t="shared" si="64"/>
        <v>1468.3900000000003</v>
      </c>
      <c r="O99" s="107">
        <f t="shared" si="64"/>
        <v>1563.49</v>
      </c>
      <c r="P99" s="107">
        <f t="shared" si="64"/>
        <v>1579.19</v>
      </c>
      <c r="Q99" s="107">
        <f t="shared" si="64"/>
        <v>1579.99</v>
      </c>
      <c r="R99" s="107">
        <f t="shared" si="64"/>
        <v>1630.4900000000002</v>
      </c>
      <c r="S99" s="107">
        <f t="shared" si="64"/>
        <v>1637.19</v>
      </c>
      <c r="T99" s="107">
        <f t="shared" si="64"/>
        <v>1651.69</v>
      </c>
      <c r="U99" s="107">
        <f t="shared" si="64"/>
        <v>1632.79</v>
      </c>
      <c r="V99" s="107">
        <f t="shared" si="64"/>
        <v>1594.9899999999998</v>
      </c>
      <c r="W99" s="107">
        <f t="shared" si="64"/>
        <v>1548.55</v>
      </c>
      <c r="X99" s="107">
        <f t="shared" si="64"/>
        <v>1579.19</v>
      </c>
      <c r="Y99" s="107">
        <f>Y97+Y98</f>
        <v>1700.65</v>
      </c>
      <c r="Z99" s="107">
        <f>Z97+Z98</f>
        <v>1847.9499999999998</v>
      </c>
      <c r="AA99" s="107">
        <f t="shared" si="64"/>
        <v>1799.49</v>
      </c>
      <c r="AB99" s="107">
        <f t="shared" ref="AB99:AC99" si="65">AB97+AB98</f>
        <v>1719.49</v>
      </c>
      <c r="AC99" s="107">
        <f t="shared" si="65"/>
        <v>1690.09</v>
      </c>
      <c r="AD99" s="107">
        <f t="shared" ref="AD99:AE99" si="66">AD97+AD98</f>
        <v>1720.09</v>
      </c>
      <c r="AE99" s="107">
        <f t="shared" si="66"/>
        <v>1483.69</v>
      </c>
      <c r="AF99" s="107">
        <f t="shared" ref="AF99" si="67">AF97+AF98</f>
        <v>1431.29</v>
      </c>
      <c r="AG99" s="100">
        <f>AG96+AG92+AG80+AG76+AG58+AG98</f>
        <v>1693.71</v>
      </c>
      <c r="AH99" s="48">
        <f t="shared" si="54"/>
        <v>1847.9499999999998</v>
      </c>
      <c r="AI99" s="49">
        <f t="shared" si="55"/>
        <v>1201.19</v>
      </c>
      <c r="BF99" s="81"/>
      <c r="BG99" s="81">
        <v>67.2</v>
      </c>
      <c r="BH99" s="81">
        <v>0</v>
      </c>
      <c r="BI99" s="81">
        <v>525</v>
      </c>
      <c r="BJ99" s="81">
        <v>7.8</v>
      </c>
      <c r="BK99" s="81">
        <v>130</v>
      </c>
      <c r="BL99" s="81">
        <v>75.900000000000006</v>
      </c>
    </row>
    <row r="100" spans="1:64" ht="15.75" thickBot="1" x14ac:dyDescent="0.3">
      <c r="A100" s="86" t="s">
        <v>126</v>
      </c>
      <c r="B100" s="107">
        <f t="shared" ref="B100:M100" si="68">B99-(B107)</f>
        <v>1326.19</v>
      </c>
      <c r="C100" s="107">
        <f t="shared" si="68"/>
        <v>1232.5900000000001</v>
      </c>
      <c r="D100" s="107">
        <f t="shared" si="68"/>
        <v>1201.19</v>
      </c>
      <c r="E100" s="107">
        <f t="shared" si="68"/>
        <v>1221.8899999999999</v>
      </c>
      <c r="F100" s="107">
        <f t="shared" si="68"/>
        <v>1217.8900000000001</v>
      </c>
      <c r="G100" s="107">
        <f t="shared" si="68"/>
        <v>1245.8900000000001</v>
      </c>
      <c r="H100" s="107">
        <f t="shared" si="68"/>
        <v>1289.69</v>
      </c>
      <c r="I100" s="107">
        <f t="shared" si="68"/>
        <v>1383.89</v>
      </c>
      <c r="J100" s="107">
        <f t="shared" si="68"/>
        <v>1365.0900000000001</v>
      </c>
      <c r="K100" s="107">
        <f t="shared" si="68"/>
        <v>1512.3899999999999</v>
      </c>
      <c r="L100" s="107">
        <f t="shared" si="68"/>
        <v>1535.0900000000001</v>
      </c>
      <c r="M100" s="107">
        <f t="shared" si="68"/>
        <v>1562.79</v>
      </c>
      <c r="N100" s="107">
        <f>N99-(N107)</f>
        <v>1468.3900000000003</v>
      </c>
      <c r="O100" s="107">
        <f t="shared" ref="O100:AA100" si="69">O99-(O107)</f>
        <v>1563.49</v>
      </c>
      <c r="P100" s="107">
        <f t="shared" si="69"/>
        <v>1579.19</v>
      </c>
      <c r="Q100" s="107">
        <f t="shared" si="69"/>
        <v>1579.99</v>
      </c>
      <c r="R100" s="107">
        <f t="shared" si="69"/>
        <v>1630.4900000000002</v>
      </c>
      <c r="S100" s="107">
        <f t="shared" si="69"/>
        <v>1637.19</v>
      </c>
      <c r="T100" s="107">
        <f t="shared" si="69"/>
        <v>1651.69</v>
      </c>
      <c r="U100" s="107">
        <f t="shared" si="69"/>
        <v>1632.79</v>
      </c>
      <c r="V100" s="107">
        <f t="shared" si="69"/>
        <v>1594.9899999999998</v>
      </c>
      <c r="W100" s="107">
        <f t="shared" si="69"/>
        <v>1548.55</v>
      </c>
      <c r="X100" s="107">
        <f t="shared" si="69"/>
        <v>1579.19</v>
      </c>
      <c r="Y100" s="107">
        <f t="shared" si="69"/>
        <v>1700.65</v>
      </c>
      <c r="Z100" s="107">
        <f t="shared" si="69"/>
        <v>1847.9499999999998</v>
      </c>
      <c r="AA100" s="107">
        <f t="shared" si="69"/>
        <v>1799.49</v>
      </c>
      <c r="AB100" s="107">
        <f t="shared" ref="AB100:AC100" si="70">AB99-(AB107)</f>
        <v>1719.49</v>
      </c>
      <c r="AC100" s="107">
        <f t="shared" si="70"/>
        <v>1690.09</v>
      </c>
      <c r="AD100" s="107">
        <f t="shared" ref="AD100:AE100" si="71">AD99-(AD107)</f>
        <v>1720.09</v>
      </c>
      <c r="AE100" s="107">
        <f t="shared" si="71"/>
        <v>1483.69</v>
      </c>
      <c r="AF100" s="107">
        <f t="shared" ref="AF100" si="72">AF99-(AF107)</f>
        <v>1431.29</v>
      </c>
      <c r="AG100" s="100"/>
      <c r="AH100" s="48">
        <f t="shared" si="54"/>
        <v>1847.9499999999998</v>
      </c>
      <c r="AI100" s="49">
        <f t="shared" si="55"/>
        <v>1201.19</v>
      </c>
      <c r="BF100" s="81"/>
      <c r="BG100" s="81">
        <v>63.8</v>
      </c>
      <c r="BH100" s="81">
        <v>0</v>
      </c>
      <c r="BI100" s="81">
        <v>495</v>
      </c>
      <c r="BJ100" s="81">
        <v>9</v>
      </c>
      <c r="BK100" s="81">
        <v>130</v>
      </c>
      <c r="BL100" s="81">
        <v>70.5</v>
      </c>
    </row>
    <row r="101" spans="1:64" x14ac:dyDescent="0.25">
      <c r="A101" s="45" t="s">
        <v>107</v>
      </c>
      <c r="B101" s="88">
        <f t="shared" ref="B101:AA101" si="73">IF(B84&lt;0,B84*-1,0)</f>
        <v>0</v>
      </c>
      <c r="C101" s="88">
        <f t="shared" si="73"/>
        <v>0</v>
      </c>
      <c r="D101" s="88">
        <f t="shared" si="73"/>
        <v>0</v>
      </c>
      <c r="E101" s="88">
        <f t="shared" si="73"/>
        <v>0</v>
      </c>
      <c r="F101" s="88">
        <f t="shared" si="73"/>
        <v>0</v>
      </c>
      <c r="G101" s="88">
        <f t="shared" si="73"/>
        <v>0</v>
      </c>
      <c r="H101" s="88">
        <f t="shared" si="73"/>
        <v>0</v>
      </c>
      <c r="I101" s="88">
        <f t="shared" si="73"/>
        <v>0</v>
      </c>
      <c r="J101" s="88">
        <f t="shared" si="73"/>
        <v>0</v>
      </c>
      <c r="K101" s="88">
        <f t="shared" si="73"/>
        <v>0</v>
      </c>
      <c r="L101" s="88">
        <f t="shared" si="73"/>
        <v>0</v>
      </c>
      <c r="M101" s="88">
        <f t="shared" si="73"/>
        <v>0</v>
      </c>
      <c r="N101" s="88">
        <f t="shared" si="73"/>
        <v>0</v>
      </c>
      <c r="O101" s="88">
        <f t="shared" si="73"/>
        <v>0</v>
      </c>
      <c r="P101" s="88">
        <f t="shared" si="73"/>
        <v>0</v>
      </c>
      <c r="Q101" s="88">
        <f t="shared" si="73"/>
        <v>0</v>
      </c>
      <c r="R101" s="88">
        <f t="shared" si="73"/>
        <v>0</v>
      </c>
      <c r="S101" s="88">
        <f t="shared" si="73"/>
        <v>0</v>
      </c>
      <c r="T101" s="88">
        <f t="shared" si="73"/>
        <v>0</v>
      </c>
      <c r="U101" s="88">
        <f t="shared" si="73"/>
        <v>0</v>
      </c>
      <c r="V101" s="88">
        <f t="shared" si="73"/>
        <v>0</v>
      </c>
      <c r="W101" s="88">
        <f t="shared" si="73"/>
        <v>0</v>
      </c>
      <c r="X101" s="88">
        <f t="shared" si="73"/>
        <v>0</v>
      </c>
      <c r="Y101" s="88">
        <f t="shared" si="73"/>
        <v>0</v>
      </c>
      <c r="Z101" s="88">
        <f t="shared" si="73"/>
        <v>0</v>
      </c>
      <c r="AA101" s="88">
        <f t="shared" si="73"/>
        <v>0</v>
      </c>
      <c r="AB101" s="88">
        <f t="shared" ref="AB101:AC101" si="74">IF(AB84&lt;0,AB84*-1,0)</f>
        <v>0</v>
      </c>
      <c r="AC101" s="88">
        <f t="shared" si="74"/>
        <v>0</v>
      </c>
      <c r="AD101" s="88">
        <f t="shared" ref="AD101:AE101" si="75">IF(AD84&lt;0,AD84*-1,0)</f>
        <v>0</v>
      </c>
      <c r="AE101" s="88">
        <f t="shared" si="75"/>
        <v>0</v>
      </c>
      <c r="AF101" s="88">
        <f t="shared" ref="AF101" si="76">IF(AF84&lt;0,AF84*-1,0)</f>
        <v>0</v>
      </c>
      <c r="AG101" s="60"/>
      <c r="AH101" s="48">
        <f t="shared" si="54"/>
        <v>0</v>
      </c>
      <c r="AI101" s="49">
        <f t="shared" si="55"/>
        <v>0</v>
      </c>
      <c r="BF101" s="80"/>
      <c r="BG101" s="81">
        <v>59.4</v>
      </c>
      <c r="BH101" s="81">
        <v>0</v>
      </c>
      <c r="BI101" s="81">
        <v>150</v>
      </c>
      <c r="BJ101" s="81">
        <v>9</v>
      </c>
      <c r="BK101" s="81">
        <v>74</v>
      </c>
      <c r="BL101" s="81">
        <v>56</v>
      </c>
    </row>
    <row r="102" spans="1:64" x14ac:dyDescent="0.25">
      <c r="A102" s="64" t="s">
        <v>105</v>
      </c>
      <c r="B102" s="88">
        <f t="shared" ref="B102:AA102" si="77">IF(B82&lt;0,B82*-1,0)</f>
        <v>0</v>
      </c>
      <c r="C102" s="88">
        <f t="shared" si="77"/>
        <v>0</v>
      </c>
      <c r="D102" s="88">
        <f t="shared" si="77"/>
        <v>0</v>
      </c>
      <c r="E102" s="88">
        <f t="shared" si="77"/>
        <v>0</v>
      </c>
      <c r="F102" s="88">
        <f t="shared" si="77"/>
        <v>0</v>
      </c>
      <c r="G102" s="88">
        <f t="shared" si="77"/>
        <v>0</v>
      </c>
      <c r="H102" s="88">
        <f t="shared" si="77"/>
        <v>0</v>
      </c>
      <c r="I102" s="88">
        <f t="shared" si="77"/>
        <v>0</v>
      </c>
      <c r="J102" s="88">
        <f t="shared" si="77"/>
        <v>0</v>
      </c>
      <c r="K102" s="88">
        <f t="shared" si="77"/>
        <v>0</v>
      </c>
      <c r="L102" s="88">
        <f t="shared" si="77"/>
        <v>0</v>
      </c>
      <c r="M102" s="88">
        <f t="shared" si="77"/>
        <v>0</v>
      </c>
      <c r="N102" s="88">
        <f t="shared" si="77"/>
        <v>0</v>
      </c>
      <c r="O102" s="88">
        <f t="shared" si="77"/>
        <v>0</v>
      </c>
      <c r="P102" s="88">
        <f t="shared" si="77"/>
        <v>0</v>
      </c>
      <c r="Q102" s="88">
        <f t="shared" si="77"/>
        <v>0</v>
      </c>
      <c r="R102" s="88">
        <f t="shared" si="77"/>
        <v>0</v>
      </c>
      <c r="S102" s="88">
        <f t="shared" si="77"/>
        <v>0</v>
      </c>
      <c r="T102" s="88">
        <f t="shared" si="77"/>
        <v>0</v>
      </c>
      <c r="U102" s="88">
        <f t="shared" si="77"/>
        <v>0</v>
      </c>
      <c r="V102" s="88">
        <f t="shared" si="77"/>
        <v>0</v>
      </c>
      <c r="W102" s="88">
        <f t="shared" si="77"/>
        <v>0</v>
      </c>
      <c r="X102" s="88">
        <f t="shared" si="77"/>
        <v>0</v>
      </c>
      <c r="Y102" s="88">
        <f t="shared" si="77"/>
        <v>0</v>
      </c>
      <c r="Z102" s="88">
        <f t="shared" si="77"/>
        <v>0</v>
      </c>
      <c r="AA102" s="88">
        <f t="shared" si="77"/>
        <v>0</v>
      </c>
      <c r="AB102" s="88">
        <f t="shared" ref="AB102:AC102" si="78">IF(AB82&lt;0,AB82*-1,0)</f>
        <v>0</v>
      </c>
      <c r="AC102" s="88">
        <f t="shared" si="78"/>
        <v>0</v>
      </c>
      <c r="AD102" s="88">
        <f t="shared" ref="AD102:AE102" si="79">IF(AD82&lt;0,AD82*-1,0)</f>
        <v>0</v>
      </c>
      <c r="AE102" s="88">
        <f t="shared" si="79"/>
        <v>0</v>
      </c>
      <c r="AF102" s="88">
        <f t="shared" ref="AF102" si="80">IF(AF82&lt;0,AF82*-1,0)</f>
        <v>0</v>
      </c>
      <c r="AG102" s="65"/>
      <c r="AH102" s="48">
        <f t="shared" si="54"/>
        <v>0</v>
      </c>
      <c r="AI102" s="49">
        <f t="shared" si="55"/>
        <v>0</v>
      </c>
      <c r="BF102" s="80"/>
      <c r="BG102" s="81">
        <v>34.799999999999997</v>
      </c>
      <c r="BH102" s="81">
        <v>0</v>
      </c>
      <c r="BI102" s="81">
        <v>0</v>
      </c>
      <c r="BJ102" s="81">
        <v>0</v>
      </c>
      <c r="BK102" s="81">
        <v>0</v>
      </c>
      <c r="BL102" s="81">
        <v>58.6</v>
      </c>
    </row>
    <row r="103" spans="1:64" x14ac:dyDescent="0.25">
      <c r="A103" s="96" t="s">
        <v>127</v>
      </c>
      <c r="B103" s="88">
        <f t="shared" ref="B103:AA103" si="81">IF(B85&lt;0,B85*-1,0)</f>
        <v>0</v>
      </c>
      <c r="C103" s="88">
        <f t="shared" si="81"/>
        <v>0</v>
      </c>
      <c r="D103" s="88">
        <f t="shared" si="81"/>
        <v>0</v>
      </c>
      <c r="E103" s="88">
        <f t="shared" si="81"/>
        <v>0</v>
      </c>
      <c r="F103" s="88">
        <f t="shared" si="81"/>
        <v>0</v>
      </c>
      <c r="G103" s="88">
        <f t="shared" si="81"/>
        <v>0</v>
      </c>
      <c r="H103" s="88">
        <f t="shared" si="81"/>
        <v>0</v>
      </c>
      <c r="I103" s="88">
        <f t="shared" si="81"/>
        <v>0</v>
      </c>
      <c r="J103" s="88">
        <f t="shared" si="81"/>
        <v>0</v>
      </c>
      <c r="K103" s="88">
        <f t="shared" si="81"/>
        <v>0</v>
      </c>
      <c r="L103" s="88">
        <f t="shared" si="81"/>
        <v>0</v>
      </c>
      <c r="M103" s="88">
        <f t="shared" si="81"/>
        <v>0</v>
      </c>
      <c r="N103" s="88">
        <f t="shared" si="81"/>
        <v>0</v>
      </c>
      <c r="O103" s="88">
        <f t="shared" si="81"/>
        <v>0</v>
      </c>
      <c r="P103" s="88">
        <f t="shared" si="81"/>
        <v>0</v>
      </c>
      <c r="Q103" s="88">
        <f t="shared" si="81"/>
        <v>0</v>
      </c>
      <c r="R103" s="88">
        <f t="shared" si="81"/>
        <v>0</v>
      </c>
      <c r="S103" s="88">
        <f t="shared" si="81"/>
        <v>0</v>
      </c>
      <c r="T103" s="88">
        <f t="shared" si="81"/>
        <v>0</v>
      </c>
      <c r="U103" s="88">
        <f t="shared" si="81"/>
        <v>0</v>
      </c>
      <c r="V103" s="88">
        <f t="shared" si="81"/>
        <v>0</v>
      </c>
      <c r="W103" s="88">
        <f t="shared" si="81"/>
        <v>0</v>
      </c>
      <c r="X103" s="88">
        <f t="shared" si="81"/>
        <v>0</v>
      </c>
      <c r="Y103" s="88">
        <f t="shared" si="81"/>
        <v>0</v>
      </c>
      <c r="Z103" s="88">
        <f t="shared" si="81"/>
        <v>0</v>
      </c>
      <c r="AA103" s="88">
        <f t="shared" si="81"/>
        <v>0</v>
      </c>
      <c r="AB103" s="88">
        <f t="shared" ref="AB103:AC103" si="82">IF(AB85&lt;0,AB85*-1,0)</f>
        <v>0</v>
      </c>
      <c r="AC103" s="88">
        <f t="shared" si="82"/>
        <v>0</v>
      </c>
      <c r="AD103" s="88">
        <f t="shared" ref="AD103:AE103" si="83">IF(AD85&lt;0,AD85*-1,0)</f>
        <v>0</v>
      </c>
      <c r="AE103" s="88">
        <f t="shared" si="83"/>
        <v>0</v>
      </c>
      <c r="AF103" s="88">
        <f t="shared" ref="AF103" si="84">IF(AF85&lt;0,AF85*-1,0)</f>
        <v>0</v>
      </c>
      <c r="AG103" s="110"/>
      <c r="AH103" s="48">
        <f t="shared" si="54"/>
        <v>0</v>
      </c>
      <c r="AI103" s="49">
        <f t="shared" si="55"/>
        <v>0</v>
      </c>
      <c r="BF103" s="80"/>
      <c r="BG103" s="81">
        <v>36.4</v>
      </c>
      <c r="BH103" s="81">
        <v>0</v>
      </c>
      <c r="BI103" s="81">
        <v>38.1</v>
      </c>
      <c r="BJ103" s="81">
        <v>0</v>
      </c>
      <c r="BK103" s="81">
        <v>0</v>
      </c>
      <c r="BL103" s="81">
        <v>0</v>
      </c>
    </row>
    <row r="104" spans="1:64" x14ac:dyDescent="0.25">
      <c r="A104" s="96" t="s">
        <v>128</v>
      </c>
      <c r="B104" s="88">
        <f t="shared" ref="B104:AA104" si="85">IF(B83&lt;0,B83*-1,0)</f>
        <v>0</v>
      </c>
      <c r="C104" s="88">
        <f t="shared" si="85"/>
        <v>0</v>
      </c>
      <c r="D104" s="88">
        <f t="shared" si="85"/>
        <v>0</v>
      </c>
      <c r="E104" s="88">
        <f t="shared" si="85"/>
        <v>0</v>
      </c>
      <c r="F104" s="88">
        <f t="shared" si="85"/>
        <v>0</v>
      </c>
      <c r="G104" s="88">
        <f t="shared" si="85"/>
        <v>0</v>
      </c>
      <c r="H104" s="88">
        <f t="shared" si="85"/>
        <v>0</v>
      </c>
      <c r="I104" s="88">
        <f t="shared" si="85"/>
        <v>0</v>
      </c>
      <c r="J104" s="88">
        <f t="shared" si="85"/>
        <v>0</v>
      </c>
      <c r="K104" s="88">
        <f t="shared" si="85"/>
        <v>0</v>
      </c>
      <c r="L104" s="88">
        <f t="shared" si="85"/>
        <v>0</v>
      </c>
      <c r="M104" s="88">
        <f t="shared" si="85"/>
        <v>0</v>
      </c>
      <c r="N104" s="88">
        <f t="shared" si="85"/>
        <v>0</v>
      </c>
      <c r="O104" s="88">
        <f t="shared" si="85"/>
        <v>0</v>
      </c>
      <c r="P104" s="88">
        <f t="shared" si="85"/>
        <v>0</v>
      </c>
      <c r="Q104" s="88">
        <f t="shared" si="85"/>
        <v>0</v>
      </c>
      <c r="R104" s="88">
        <f t="shared" si="85"/>
        <v>0</v>
      </c>
      <c r="S104" s="88">
        <f t="shared" si="85"/>
        <v>0</v>
      </c>
      <c r="T104" s="88">
        <f t="shared" si="85"/>
        <v>0</v>
      </c>
      <c r="U104" s="88">
        <f t="shared" si="85"/>
        <v>0</v>
      </c>
      <c r="V104" s="88">
        <f t="shared" si="85"/>
        <v>0</v>
      </c>
      <c r="W104" s="88">
        <f t="shared" si="85"/>
        <v>0</v>
      </c>
      <c r="X104" s="88">
        <f t="shared" si="85"/>
        <v>0</v>
      </c>
      <c r="Y104" s="88">
        <f t="shared" si="85"/>
        <v>0</v>
      </c>
      <c r="Z104" s="88">
        <f t="shared" si="85"/>
        <v>0</v>
      </c>
      <c r="AA104" s="88">
        <f t="shared" si="85"/>
        <v>0</v>
      </c>
      <c r="AB104" s="88">
        <f t="shared" ref="AB104:AC104" si="86">IF(AB83&lt;0,AB83*-1,0)</f>
        <v>0</v>
      </c>
      <c r="AC104" s="88">
        <f t="shared" si="86"/>
        <v>0</v>
      </c>
      <c r="AD104" s="88">
        <f t="shared" ref="AD104:AE104" si="87">IF(AD83&lt;0,AD83*-1,0)</f>
        <v>0</v>
      </c>
      <c r="AE104" s="88">
        <f t="shared" si="87"/>
        <v>0</v>
      </c>
      <c r="AF104" s="88">
        <f t="shared" ref="AF104" si="88">IF(AF83&lt;0,AF83*-1,0)</f>
        <v>0</v>
      </c>
      <c r="AG104" s="110"/>
      <c r="AH104" s="48">
        <f t="shared" si="54"/>
        <v>0</v>
      </c>
      <c r="AI104" s="49">
        <f t="shared" si="55"/>
        <v>0</v>
      </c>
      <c r="BF104" s="80"/>
      <c r="BG104" s="81">
        <v>34.700000000000003</v>
      </c>
      <c r="BH104" s="81">
        <v>0</v>
      </c>
      <c r="BI104" s="81">
        <v>62.8</v>
      </c>
      <c r="BJ104" s="81">
        <v>0</v>
      </c>
      <c r="BK104" s="81">
        <v>0</v>
      </c>
      <c r="BL104" s="81">
        <v>0</v>
      </c>
    </row>
    <row r="105" spans="1:64" x14ac:dyDescent="0.25">
      <c r="A105" s="96" t="s">
        <v>104</v>
      </c>
      <c r="B105" s="88">
        <f t="shared" ref="B105:AA105" si="89">IF(B81&lt;0,B81*-1,0)</f>
        <v>0</v>
      </c>
      <c r="C105" s="88">
        <f t="shared" si="89"/>
        <v>0</v>
      </c>
      <c r="D105" s="88">
        <f t="shared" si="89"/>
        <v>0</v>
      </c>
      <c r="E105" s="88">
        <f t="shared" si="89"/>
        <v>0</v>
      </c>
      <c r="F105" s="88">
        <f t="shared" si="89"/>
        <v>0</v>
      </c>
      <c r="G105" s="88">
        <f t="shared" si="89"/>
        <v>0</v>
      </c>
      <c r="H105" s="88">
        <f t="shared" si="89"/>
        <v>0</v>
      </c>
      <c r="I105" s="88">
        <f t="shared" si="89"/>
        <v>0</v>
      </c>
      <c r="J105" s="88">
        <f t="shared" si="89"/>
        <v>0</v>
      </c>
      <c r="K105" s="88">
        <f t="shared" si="89"/>
        <v>0</v>
      </c>
      <c r="L105" s="88">
        <f t="shared" si="89"/>
        <v>0</v>
      </c>
      <c r="M105" s="88">
        <f t="shared" si="89"/>
        <v>0</v>
      </c>
      <c r="N105" s="88">
        <f t="shared" si="89"/>
        <v>0</v>
      </c>
      <c r="O105" s="88">
        <f t="shared" si="89"/>
        <v>0</v>
      </c>
      <c r="P105" s="88">
        <f t="shared" si="89"/>
        <v>0</v>
      </c>
      <c r="Q105" s="88">
        <f t="shared" si="89"/>
        <v>0</v>
      </c>
      <c r="R105" s="88">
        <f t="shared" si="89"/>
        <v>0</v>
      </c>
      <c r="S105" s="88">
        <f t="shared" si="89"/>
        <v>0</v>
      </c>
      <c r="T105" s="88">
        <f t="shared" si="89"/>
        <v>0</v>
      </c>
      <c r="U105" s="88">
        <f t="shared" si="89"/>
        <v>0</v>
      </c>
      <c r="V105" s="88">
        <f t="shared" si="89"/>
        <v>0</v>
      </c>
      <c r="W105" s="88">
        <f t="shared" si="89"/>
        <v>0</v>
      </c>
      <c r="X105" s="88">
        <f t="shared" si="89"/>
        <v>0</v>
      </c>
      <c r="Y105" s="88">
        <f t="shared" si="89"/>
        <v>0</v>
      </c>
      <c r="Z105" s="88">
        <f t="shared" si="89"/>
        <v>0</v>
      </c>
      <c r="AA105" s="88">
        <f t="shared" si="89"/>
        <v>0</v>
      </c>
      <c r="AB105" s="88">
        <f t="shared" ref="AB105:AC105" si="90">IF(AB81&lt;0,AB81*-1,0)</f>
        <v>0</v>
      </c>
      <c r="AC105" s="88">
        <f t="shared" si="90"/>
        <v>0</v>
      </c>
      <c r="AD105" s="88">
        <f t="shared" ref="AD105:AE105" si="91">IF(AD81&lt;0,AD81*-1,0)</f>
        <v>0</v>
      </c>
      <c r="AE105" s="88">
        <f t="shared" si="91"/>
        <v>0</v>
      </c>
      <c r="AF105" s="88">
        <f t="shared" ref="AF105" si="92">IF(AF81&lt;0,AF81*-1,0)</f>
        <v>0</v>
      </c>
      <c r="AG105" s="110"/>
      <c r="AH105" s="48">
        <f t="shared" si="54"/>
        <v>0</v>
      </c>
      <c r="AI105" s="49">
        <f t="shared" si="55"/>
        <v>0</v>
      </c>
      <c r="BF105" s="80"/>
      <c r="BG105" s="81">
        <v>32.6</v>
      </c>
      <c r="BH105" s="81">
        <v>0</v>
      </c>
      <c r="BI105" s="81">
        <v>69.8</v>
      </c>
      <c r="BJ105" s="81">
        <v>0</v>
      </c>
      <c r="BK105" s="81">
        <v>0</v>
      </c>
      <c r="BL105" s="81">
        <v>0</v>
      </c>
    </row>
    <row r="106" spans="1:64" ht="15.75" thickBot="1" x14ac:dyDescent="0.3">
      <c r="A106" s="96" t="s">
        <v>129</v>
      </c>
      <c r="B106" s="106">
        <v>0</v>
      </c>
      <c r="C106" s="106">
        <v>0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0</v>
      </c>
      <c r="Y106" s="106">
        <v>0</v>
      </c>
      <c r="Z106" s="106">
        <v>0</v>
      </c>
      <c r="AA106" s="106">
        <v>0</v>
      </c>
      <c r="AB106" s="106">
        <v>0</v>
      </c>
      <c r="AC106" s="106">
        <v>0</v>
      </c>
      <c r="AD106" s="106">
        <v>0</v>
      </c>
      <c r="AE106" s="106">
        <v>0</v>
      </c>
      <c r="AF106" s="106">
        <v>0</v>
      </c>
      <c r="AG106" s="97"/>
      <c r="AH106" s="48">
        <f t="shared" si="54"/>
        <v>0</v>
      </c>
      <c r="AI106" s="49">
        <f t="shared" si="55"/>
        <v>0</v>
      </c>
      <c r="BG106" s="81">
        <v>28.7</v>
      </c>
      <c r="BH106" s="81">
        <v>0</v>
      </c>
      <c r="BI106" s="81">
        <v>54.3</v>
      </c>
      <c r="BJ106" s="81">
        <v>0</v>
      </c>
      <c r="BK106" s="81">
        <v>0</v>
      </c>
      <c r="BL106" s="81">
        <v>0</v>
      </c>
    </row>
    <row r="107" spans="1:64" ht="15.75" thickBot="1" x14ac:dyDescent="0.3">
      <c r="A107" s="111" t="s">
        <v>130</v>
      </c>
      <c r="B107" s="70">
        <f t="shared" ref="B107:C107" si="93">SUM(B101:B106)</f>
        <v>0</v>
      </c>
      <c r="C107" s="70">
        <f t="shared" si="93"/>
        <v>0</v>
      </c>
      <c r="D107" s="70">
        <f t="shared" ref="D107:AA107" si="94">SUM(D101:D106)</f>
        <v>0</v>
      </c>
      <c r="E107" s="70">
        <f t="shared" si="94"/>
        <v>0</v>
      </c>
      <c r="F107" s="70">
        <f t="shared" si="94"/>
        <v>0</v>
      </c>
      <c r="G107" s="70">
        <f t="shared" si="94"/>
        <v>0</v>
      </c>
      <c r="H107" s="70">
        <f t="shared" si="94"/>
        <v>0</v>
      </c>
      <c r="I107" s="70">
        <f t="shared" si="94"/>
        <v>0</v>
      </c>
      <c r="J107" s="70">
        <f t="shared" si="94"/>
        <v>0</v>
      </c>
      <c r="K107" s="70">
        <f t="shared" si="94"/>
        <v>0</v>
      </c>
      <c r="L107" s="70">
        <f t="shared" si="94"/>
        <v>0</v>
      </c>
      <c r="M107" s="70">
        <f t="shared" si="94"/>
        <v>0</v>
      </c>
      <c r="N107" s="70">
        <f t="shared" si="94"/>
        <v>0</v>
      </c>
      <c r="O107" s="70">
        <f t="shared" si="94"/>
        <v>0</v>
      </c>
      <c r="P107" s="70">
        <f t="shared" si="94"/>
        <v>0</v>
      </c>
      <c r="Q107" s="70">
        <f t="shared" si="94"/>
        <v>0</v>
      </c>
      <c r="R107" s="70">
        <f t="shared" si="94"/>
        <v>0</v>
      </c>
      <c r="S107" s="70">
        <f t="shared" si="94"/>
        <v>0</v>
      </c>
      <c r="T107" s="70">
        <f t="shared" si="94"/>
        <v>0</v>
      </c>
      <c r="U107" s="70">
        <f t="shared" si="94"/>
        <v>0</v>
      </c>
      <c r="V107" s="70">
        <f t="shared" si="94"/>
        <v>0</v>
      </c>
      <c r="W107" s="70">
        <f t="shared" si="94"/>
        <v>0</v>
      </c>
      <c r="X107" s="70">
        <f t="shared" si="94"/>
        <v>0</v>
      </c>
      <c r="Y107" s="70">
        <f t="shared" si="94"/>
        <v>0</v>
      </c>
      <c r="Z107" s="70">
        <f t="shared" si="94"/>
        <v>0</v>
      </c>
      <c r="AA107" s="70">
        <f t="shared" si="94"/>
        <v>0</v>
      </c>
      <c r="AB107" s="70">
        <f t="shared" ref="AB107:AC107" si="95">SUM(AB101:AB106)</f>
        <v>0</v>
      </c>
      <c r="AC107" s="70">
        <f t="shared" si="95"/>
        <v>0</v>
      </c>
      <c r="AD107" s="70">
        <f t="shared" ref="AD107:AE107" si="96">SUM(AD101:AD106)</f>
        <v>0</v>
      </c>
      <c r="AE107" s="70">
        <f t="shared" si="96"/>
        <v>0</v>
      </c>
      <c r="AF107" s="70">
        <f t="shared" ref="AF107" si="97">SUM(AF101:AF106)</f>
        <v>0</v>
      </c>
      <c r="AG107" s="100"/>
      <c r="AH107" s="48">
        <f t="shared" si="54"/>
        <v>0</v>
      </c>
      <c r="AI107" s="49">
        <f t="shared" si="55"/>
        <v>0</v>
      </c>
      <c r="AK107" s="51"/>
      <c r="BG107" s="81">
        <v>19</v>
      </c>
      <c r="BH107" s="81">
        <v>0</v>
      </c>
      <c r="BI107" s="81">
        <v>56</v>
      </c>
      <c r="BJ107" s="81">
        <v>10</v>
      </c>
      <c r="BK107" s="81">
        <v>0</v>
      </c>
      <c r="BL107" s="81">
        <v>56</v>
      </c>
    </row>
    <row r="108" spans="1:64" ht="15.75" thickBot="1" x14ac:dyDescent="0.3">
      <c r="A108" s="86" t="s">
        <v>131</v>
      </c>
      <c r="B108" s="70">
        <f t="shared" ref="B108:AA108" si="98">B92-B107</f>
        <v>141</v>
      </c>
      <c r="C108" s="70">
        <f t="shared" si="98"/>
        <v>146.4</v>
      </c>
      <c r="D108" s="70">
        <f t="shared" si="98"/>
        <v>124</v>
      </c>
      <c r="E108" s="70">
        <f t="shared" si="98"/>
        <v>143.9</v>
      </c>
      <c r="F108" s="70">
        <f t="shared" si="98"/>
        <v>139.69999999999999</v>
      </c>
      <c r="G108" s="70">
        <f t="shared" si="98"/>
        <v>167.7</v>
      </c>
      <c r="H108" s="70">
        <f t="shared" si="98"/>
        <v>99.1</v>
      </c>
      <c r="I108" s="70">
        <f t="shared" si="98"/>
        <v>81.800000000000011</v>
      </c>
      <c r="J108" s="70">
        <f t="shared" si="98"/>
        <v>406.7</v>
      </c>
      <c r="K108" s="70">
        <f t="shared" si="98"/>
        <v>549</v>
      </c>
      <c r="L108" s="70">
        <f t="shared" si="98"/>
        <v>592.80000000000007</v>
      </c>
      <c r="M108" s="70">
        <f t="shared" si="98"/>
        <v>602.29999999999995</v>
      </c>
      <c r="N108" s="70">
        <f t="shared" si="98"/>
        <v>586.50000000000011</v>
      </c>
      <c r="O108" s="70">
        <f t="shared" si="98"/>
        <v>724.5</v>
      </c>
      <c r="P108" s="70">
        <f t="shared" si="98"/>
        <v>749.69999999999993</v>
      </c>
      <c r="Q108" s="70">
        <f t="shared" si="98"/>
        <v>749.8</v>
      </c>
      <c r="R108" s="70">
        <f t="shared" si="98"/>
        <v>789.30000000000007</v>
      </c>
      <c r="S108" s="70">
        <f t="shared" si="98"/>
        <v>785.69999999999993</v>
      </c>
      <c r="T108" s="70">
        <f t="shared" si="98"/>
        <v>827.2</v>
      </c>
      <c r="U108" s="70">
        <f t="shared" si="98"/>
        <v>805.9</v>
      </c>
      <c r="V108" s="70">
        <f t="shared" si="98"/>
        <v>768.3</v>
      </c>
      <c r="W108" s="70">
        <f t="shared" si="98"/>
        <v>628.76</v>
      </c>
      <c r="X108" s="70">
        <f t="shared" si="98"/>
        <v>348.4</v>
      </c>
      <c r="Y108" s="70">
        <f>Y92-Y107</f>
        <v>164.9</v>
      </c>
      <c r="Z108" s="70">
        <f>Z92-Z107</f>
        <v>93.4</v>
      </c>
      <c r="AA108" s="70">
        <f t="shared" si="98"/>
        <v>41</v>
      </c>
      <c r="AB108" s="70">
        <f t="shared" ref="AB108:AC108" si="99">AB92-AB107</f>
        <v>74.5</v>
      </c>
      <c r="AC108" s="70">
        <f t="shared" si="99"/>
        <v>97.5</v>
      </c>
      <c r="AD108" s="70">
        <f t="shared" ref="AD108:AE108" si="100">AD92-AD107</f>
        <v>97.5</v>
      </c>
      <c r="AE108" s="70">
        <f t="shared" si="100"/>
        <v>102.4</v>
      </c>
      <c r="AF108" s="70">
        <f t="shared" ref="AF108" si="101">AF92-AF107</f>
        <v>83</v>
      </c>
      <c r="AG108" s="100"/>
      <c r="AH108" s="48">
        <f t="shared" si="54"/>
        <v>827.2</v>
      </c>
      <c r="AI108" s="49">
        <f t="shared" si="55"/>
        <v>41</v>
      </c>
    </row>
    <row r="109" spans="1:64" x14ac:dyDescent="0.25">
      <c r="A109" s="112" t="s">
        <v>132</v>
      </c>
      <c r="B109" s="113">
        <v>49.875999999999998</v>
      </c>
      <c r="C109" s="113">
        <v>49.932000000000002</v>
      </c>
      <c r="D109" s="113">
        <v>50.003999999999998</v>
      </c>
      <c r="E109" s="113">
        <v>49.976999999999997</v>
      </c>
      <c r="F109" s="113">
        <v>49.951000000000001</v>
      </c>
      <c r="G109" s="113">
        <v>49.957000000000001</v>
      </c>
      <c r="H109" s="113">
        <v>50.048000000000002</v>
      </c>
      <c r="I109" s="113">
        <v>50.003</v>
      </c>
      <c r="J109" s="113">
        <v>49.99</v>
      </c>
      <c r="K109" s="113">
        <v>49.994</v>
      </c>
      <c r="L109" s="113">
        <v>50.011000000000003</v>
      </c>
      <c r="M109" s="113">
        <v>49.997999999999998</v>
      </c>
      <c r="N109" s="113">
        <v>50.03</v>
      </c>
      <c r="O109" s="113">
        <v>50.045000000000002</v>
      </c>
      <c r="P109" s="113">
        <v>50.039000000000001</v>
      </c>
      <c r="Q109" s="113">
        <v>49.920999999999999</v>
      </c>
      <c r="R109" s="113">
        <v>49.917999999999999</v>
      </c>
      <c r="S109" s="113">
        <v>49.941000000000003</v>
      </c>
      <c r="T109" s="113">
        <v>49.805</v>
      </c>
      <c r="U109" s="113">
        <v>49.938000000000002</v>
      </c>
      <c r="V109" s="113">
        <v>50.015000000000001</v>
      </c>
      <c r="W109" s="113">
        <v>49.97</v>
      </c>
      <c r="X109" s="113">
        <v>50.024999999999999</v>
      </c>
      <c r="Y109" s="113">
        <v>49.866999999999997</v>
      </c>
      <c r="Z109" s="113">
        <v>50.04</v>
      </c>
      <c r="AA109" s="113">
        <v>50</v>
      </c>
      <c r="AB109" s="113">
        <v>50.11</v>
      </c>
      <c r="AC109" s="113">
        <v>50</v>
      </c>
      <c r="AD109" s="113">
        <v>49.92</v>
      </c>
      <c r="AE109" s="113">
        <v>49.99</v>
      </c>
      <c r="AF109" s="113">
        <v>49.97</v>
      </c>
      <c r="AG109" s="114"/>
      <c r="AH109" s="48">
        <f t="shared" si="54"/>
        <v>50.11</v>
      </c>
      <c r="AI109" s="49">
        <f t="shared" si="55"/>
        <v>49.805</v>
      </c>
    </row>
    <row r="110" spans="1:64" x14ac:dyDescent="0.25">
      <c r="A110" s="115" t="s">
        <v>133</v>
      </c>
      <c r="B110" s="75">
        <v>128</v>
      </c>
      <c r="C110" s="75">
        <v>130.69999999999999</v>
      </c>
      <c r="D110" s="75">
        <v>132.69999999999999</v>
      </c>
      <c r="E110" s="75">
        <v>132.6</v>
      </c>
      <c r="F110" s="75">
        <v>132.6</v>
      </c>
      <c r="G110" s="75">
        <v>132.4</v>
      </c>
      <c r="H110" s="75">
        <v>130.6</v>
      </c>
      <c r="I110" s="75">
        <v>128.19999999999999</v>
      </c>
      <c r="J110" s="75">
        <v>122.4</v>
      </c>
      <c r="K110" s="75">
        <v>124.5</v>
      </c>
      <c r="L110" s="75">
        <v>121.8</v>
      </c>
      <c r="M110" s="75">
        <v>122.5</v>
      </c>
      <c r="N110" s="75">
        <v>125.9</v>
      </c>
      <c r="O110" s="75">
        <v>125.4</v>
      </c>
      <c r="P110" s="75">
        <v>124</v>
      </c>
      <c r="Q110" s="75">
        <v>124.2</v>
      </c>
      <c r="R110" s="75">
        <v>122.7</v>
      </c>
      <c r="S110" s="75">
        <v>123.9</v>
      </c>
      <c r="T110" s="75">
        <v>121.4</v>
      </c>
      <c r="U110" s="75">
        <v>123</v>
      </c>
      <c r="V110" s="75">
        <v>126.6</v>
      </c>
      <c r="W110" s="75">
        <v>126.8</v>
      </c>
      <c r="X110" s="75">
        <v>128.80000000000001</v>
      </c>
      <c r="Y110" s="75">
        <v>125.8</v>
      </c>
      <c r="Z110" s="75">
        <v>126.4</v>
      </c>
      <c r="AA110" s="75">
        <v>128.1</v>
      </c>
      <c r="AB110" s="75">
        <v>130.1</v>
      </c>
      <c r="AC110" s="75">
        <v>129.9</v>
      </c>
      <c r="AD110" s="75">
        <v>130.9</v>
      </c>
      <c r="AE110" s="75">
        <v>131.69999999999999</v>
      </c>
      <c r="AF110" s="75">
        <v>131.9</v>
      </c>
      <c r="AG110" s="116"/>
      <c r="AH110" s="48">
        <f t="shared" si="54"/>
        <v>132.69999999999999</v>
      </c>
      <c r="AI110" s="49">
        <f t="shared" si="55"/>
        <v>121.4</v>
      </c>
    </row>
    <row r="111" spans="1:64" x14ac:dyDescent="0.25">
      <c r="A111" s="115" t="s">
        <v>134</v>
      </c>
      <c r="B111" s="75">
        <v>134.19999999999999</v>
      </c>
      <c r="C111" s="75">
        <v>134.80000000000001</v>
      </c>
      <c r="D111" s="75">
        <v>136</v>
      </c>
      <c r="E111" s="75">
        <v>136</v>
      </c>
      <c r="F111" s="75">
        <v>135.9</v>
      </c>
      <c r="G111" s="75">
        <v>135.30000000000001</v>
      </c>
      <c r="H111" s="75">
        <v>133.6</v>
      </c>
      <c r="I111" s="75">
        <v>131.30000000000001</v>
      </c>
      <c r="J111" s="75">
        <v>127.1</v>
      </c>
      <c r="K111" s="75">
        <v>1218.3</v>
      </c>
      <c r="L111" s="75">
        <v>125.7</v>
      </c>
      <c r="M111" s="75">
        <v>126</v>
      </c>
      <c r="N111" s="75">
        <v>128.19999999999999</v>
      </c>
      <c r="O111" s="75">
        <v>127.5</v>
      </c>
      <c r="P111" s="75">
        <v>126.6</v>
      </c>
      <c r="Q111" s="75">
        <v>127.1</v>
      </c>
      <c r="R111" s="75">
        <v>125.9</v>
      </c>
      <c r="S111" s="75">
        <v>127</v>
      </c>
      <c r="T111" s="75">
        <v>124.7</v>
      </c>
      <c r="U111" s="75">
        <v>125.7</v>
      </c>
      <c r="V111" s="75">
        <v>129.1</v>
      </c>
      <c r="W111" s="75">
        <v>128.9</v>
      </c>
      <c r="X111" s="75">
        <v>130.5</v>
      </c>
      <c r="Y111" s="75">
        <v>128.19999999999999</v>
      </c>
      <c r="Z111" s="75">
        <v>128.69999999999999</v>
      </c>
      <c r="AA111" s="75">
        <v>130.19999999999999</v>
      </c>
      <c r="AB111" s="75">
        <v>132.4</v>
      </c>
      <c r="AC111" s="75">
        <v>132.4</v>
      </c>
      <c r="AD111" s="75">
        <v>133</v>
      </c>
      <c r="AE111" s="75">
        <v>134.5</v>
      </c>
      <c r="AF111" s="75">
        <v>135</v>
      </c>
      <c r="AG111" s="116"/>
      <c r="AH111" s="48">
        <f t="shared" si="54"/>
        <v>1218.3</v>
      </c>
      <c r="AI111" s="49">
        <f t="shared" si="55"/>
        <v>124.7</v>
      </c>
    </row>
    <row r="112" spans="1:64" x14ac:dyDescent="0.25">
      <c r="A112" s="115" t="s">
        <v>135</v>
      </c>
      <c r="B112" s="75">
        <v>131.80000000000001</v>
      </c>
      <c r="C112" s="75">
        <v>132.80000000000001</v>
      </c>
      <c r="D112" s="75">
        <v>133.30000000000001</v>
      </c>
      <c r="E112" s="75">
        <v>132.80000000000001</v>
      </c>
      <c r="F112" s="75">
        <v>131.9</v>
      </c>
      <c r="G112" s="75">
        <v>132.69999999999999</v>
      </c>
      <c r="H112" s="75">
        <v>128.5</v>
      </c>
      <c r="I112" s="75">
        <v>125.1</v>
      </c>
      <c r="J112" s="75">
        <v>124.7</v>
      </c>
      <c r="K112" s="75">
        <v>125</v>
      </c>
      <c r="L112" s="75">
        <v>126.8</v>
      </c>
      <c r="M112" s="75">
        <v>126.8</v>
      </c>
      <c r="N112" s="75">
        <v>127.4</v>
      </c>
      <c r="O112" s="75">
        <v>124.1</v>
      </c>
      <c r="P112" s="75">
        <v>127.3</v>
      </c>
      <c r="Q112" s="75">
        <v>125.5</v>
      </c>
      <c r="R112" s="75">
        <v>122.4</v>
      </c>
      <c r="S112" s="75">
        <v>128</v>
      </c>
      <c r="T112" s="75">
        <v>120.8</v>
      </c>
      <c r="U112" s="75">
        <v>124.7</v>
      </c>
      <c r="V112" s="75">
        <v>127.2</v>
      </c>
      <c r="W112" s="75">
        <v>129.30000000000001</v>
      </c>
      <c r="X112" s="75">
        <v>129.1</v>
      </c>
      <c r="Y112" s="75">
        <v>122.3</v>
      </c>
      <c r="Z112" s="75">
        <v>130.5</v>
      </c>
      <c r="AA112" s="75">
        <v>129.4</v>
      </c>
      <c r="AB112" s="75">
        <v>132.19999999999999</v>
      </c>
      <c r="AC112" s="75">
        <v>131.4</v>
      </c>
      <c r="AD112" s="75">
        <v>133.6</v>
      </c>
      <c r="AE112" s="75">
        <v>132.5</v>
      </c>
      <c r="AF112" s="75">
        <v>133.69999999999999</v>
      </c>
      <c r="AG112" s="116"/>
      <c r="AH112" s="48">
        <f t="shared" si="54"/>
        <v>133.69999999999999</v>
      </c>
      <c r="AI112" s="49">
        <f t="shared" si="55"/>
        <v>120.8</v>
      </c>
    </row>
    <row r="113" spans="1:35" x14ac:dyDescent="0.25">
      <c r="A113" s="117" t="s">
        <v>136</v>
      </c>
      <c r="B113" s="75">
        <v>131.9</v>
      </c>
      <c r="C113" s="75">
        <v>132.80000000000001</v>
      </c>
      <c r="D113" s="75">
        <v>133.6</v>
      </c>
      <c r="E113" s="75">
        <v>133.19999999999999</v>
      </c>
      <c r="F113" s="75">
        <v>133.30000000000001</v>
      </c>
      <c r="G113" s="75">
        <v>132.4</v>
      </c>
      <c r="H113" s="75">
        <v>129</v>
      </c>
      <c r="I113" s="75">
        <v>125.9</v>
      </c>
      <c r="J113" s="75">
        <v>126</v>
      </c>
      <c r="K113" s="75">
        <v>124.6</v>
      </c>
      <c r="L113" s="75">
        <v>126.4</v>
      </c>
      <c r="M113" s="75">
        <v>125</v>
      </c>
      <c r="N113" s="75">
        <v>125.4</v>
      </c>
      <c r="O113" s="75">
        <v>123.2</v>
      </c>
      <c r="P113" s="75">
        <v>127</v>
      </c>
      <c r="Q113" s="75">
        <v>124.4</v>
      </c>
      <c r="R113" s="75"/>
      <c r="S113" s="75"/>
      <c r="T113" s="75"/>
      <c r="U113" s="75"/>
      <c r="V113" s="75"/>
      <c r="W113" s="75">
        <v>127.1</v>
      </c>
      <c r="X113" s="75">
        <v>127</v>
      </c>
      <c r="Y113" s="75">
        <v>121.3</v>
      </c>
      <c r="Z113" s="75">
        <v>129.69999999999999</v>
      </c>
      <c r="AA113" s="75">
        <v>127.5</v>
      </c>
      <c r="AB113" s="75">
        <v>131.4</v>
      </c>
      <c r="AC113" s="75">
        <v>130.80000000000001</v>
      </c>
      <c r="AD113" s="75">
        <v>132.4</v>
      </c>
      <c r="AE113" s="75">
        <v>131.1</v>
      </c>
      <c r="AF113" s="75">
        <v>132.69999999999999</v>
      </c>
      <c r="AG113" s="116"/>
      <c r="AH113" s="48">
        <f t="shared" si="54"/>
        <v>133.6</v>
      </c>
      <c r="AI113" s="49">
        <f t="shared" si="55"/>
        <v>121.3</v>
      </c>
    </row>
    <row r="114" spans="1:35" x14ac:dyDescent="0.25">
      <c r="A114" s="117" t="s">
        <v>137</v>
      </c>
      <c r="B114" s="118">
        <v>136.80000000000001</v>
      </c>
      <c r="C114" s="118">
        <v>136.5</v>
      </c>
      <c r="D114" s="118">
        <v>136.80000000000001</v>
      </c>
      <c r="E114" s="118">
        <v>137.1</v>
      </c>
      <c r="F114" s="118">
        <v>137</v>
      </c>
      <c r="G114" s="118">
        <v>136.19999999999999</v>
      </c>
      <c r="H114" s="118">
        <v>137.19999999999999</v>
      </c>
      <c r="I114" s="118">
        <v>133.30000000000001</v>
      </c>
      <c r="J114" s="118">
        <v>134.6</v>
      </c>
      <c r="K114" s="118">
        <v>135</v>
      </c>
      <c r="L114" s="118">
        <v>131.9</v>
      </c>
      <c r="M114" s="118">
        <v>131.6</v>
      </c>
      <c r="N114" s="118">
        <v>134.30000000000001</v>
      </c>
      <c r="O114" s="118">
        <v>132.69999999999999</v>
      </c>
      <c r="P114" s="118">
        <v>132.80000000000001</v>
      </c>
      <c r="Q114" s="118">
        <v>136</v>
      </c>
      <c r="R114" s="118">
        <v>132.80000000000001</v>
      </c>
      <c r="S114" s="118">
        <v>133.30000000000001</v>
      </c>
      <c r="T114" s="118">
        <v>130.6</v>
      </c>
      <c r="U114" s="118">
        <v>133.4</v>
      </c>
      <c r="V114" s="118">
        <v>134.4</v>
      </c>
      <c r="W114" s="118">
        <v>134.19999999999999</v>
      </c>
      <c r="X114" s="118">
        <v>137.4</v>
      </c>
      <c r="Y114" s="118">
        <v>134.80000000000001</v>
      </c>
      <c r="Z114" s="118">
        <v>131.1</v>
      </c>
      <c r="AA114" s="118">
        <v>132.1</v>
      </c>
      <c r="AB114" s="118">
        <v>133.80000000000001</v>
      </c>
      <c r="AC114" s="118">
        <v>133.4</v>
      </c>
      <c r="AD114" s="118">
        <v>135</v>
      </c>
      <c r="AE114" s="118">
        <v>136.4</v>
      </c>
      <c r="AF114" s="118">
        <v>134.4</v>
      </c>
      <c r="AG114" s="119"/>
      <c r="AH114" s="48">
        <f t="shared" si="54"/>
        <v>137.4</v>
      </c>
      <c r="AI114" s="49">
        <f t="shared" si="55"/>
        <v>130.6</v>
      </c>
    </row>
    <row r="115" spans="1:35" x14ac:dyDescent="0.25">
      <c r="A115" s="115" t="s">
        <v>138</v>
      </c>
      <c r="B115" s="75">
        <v>134</v>
      </c>
      <c r="C115" s="75">
        <v>133.6</v>
      </c>
      <c r="D115" s="75">
        <v>134.9</v>
      </c>
      <c r="E115" s="75">
        <v>135</v>
      </c>
      <c r="F115" s="75">
        <v>135.69999999999999</v>
      </c>
      <c r="G115" s="75">
        <v>131.69999999999999</v>
      </c>
      <c r="H115" s="75">
        <v>129.4</v>
      </c>
      <c r="I115" s="75">
        <v>131.30000000000001</v>
      </c>
      <c r="J115" s="75">
        <v>130.9</v>
      </c>
      <c r="K115" s="75">
        <v>129.30000000000001</v>
      </c>
      <c r="L115" s="75">
        <v>125.1</v>
      </c>
      <c r="M115" s="75">
        <v>125</v>
      </c>
      <c r="N115" s="75">
        <v>121.6</v>
      </c>
      <c r="O115" s="75">
        <v>125</v>
      </c>
      <c r="P115" s="75">
        <v>124.8</v>
      </c>
      <c r="Q115" s="75">
        <v>130.5</v>
      </c>
      <c r="R115" s="75">
        <v>125.7</v>
      </c>
      <c r="S115" s="75">
        <v>122.1</v>
      </c>
      <c r="T115" s="75">
        <v>129.30000000000001</v>
      </c>
      <c r="U115" s="75">
        <v>125.3</v>
      </c>
      <c r="V115" s="75">
        <v>124</v>
      </c>
      <c r="W115" s="75">
        <v>125.1</v>
      </c>
      <c r="X115" s="75">
        <v>126.1</v>
      </c>
      <c r="Y115" s="75">
        <v>125.3</v>
      </c>
      <c r="Z115" s="75">
        <v>123.2</v>
      </c>
      <c r="AA115" s="75">
        <v>124.6</v>
      </c>
      <c r="AB115" s="75">
        <v>131.9</v>
      </c>
      <c r="AC115" s="75">
        <v>131</v>
      </c>
      <c r="AD115" s="75">
        <v>133.4</v>
      </c>
      <c r="AE115" s="75">
        <v>134.80000000000001</v>
      </c>
      <c r="AF115" s="75">
        <v>131.4</v>
      </c>
      <c r="AG115" s="116"/>
      <c r="AH115" s="48">
        <f t="shared" si="54"/>
        <v>135.69999999999999</v>
      </c>
      <c r="AI115" s="49">
        <f t="shared" si="55"/>
        <v>121.6</v>
      </c>
    </row>
    <row r="116" spans="1:35" ht="15.75" thickBot="1" x14ac:dyDescent="0.3">
      <c r="A116" s="115" t="s">
        <v>139</v>
      </c>
      <c r="B116" s="104">
        <v>67.599999999999994</v>
      </c>
      <c r="C116" s="104">
        <v>67.8</v>
      </c>
      <c r="D116" s="104">
        <v>68.3</v>
      </c>
      <c r="E116" s="104">
        <v>68.400000000000006</v>
      </c>
      <c r="F116" s="104">
        <v>68.3</v>
      </c>
      <c r="G116" s="104">
        <v>68</v>
      </c>
      <c r="H116" s="104">
        <v>67.099999999999994</v>
      </c>
      <c r="I116" s="104">
        <v>66</v>
      </c>
      <c r="J116" s="104">
        <v>63.6</v>
      </c>
      <c r="K116" s="104">
        <v>64.7</v>
      </c>
      <c r="L116" s="104">
        <v>63.5</v>
      </c>
      <c r="M116" s="104">
        <v>63.3</v>
      </c>
      <c r="N116" s="104">
        <v>64.5</v>
      </c>
      <c r="O116" s="104">
        <v>64.3</v>
      </c>
      <c r="P116" s="104">
        <v>63.9</v>
      </c>
      <c r="Q116" s="104">
        <v>64.099999999999994</v>
      </c>
      <c r="R116" s="104">
        <v>63.5</v>
      </c>
      <c r="S116" s="104">
        <v>64.2</v>
      </c>
      <c r="T116" s="104">
        <v>62.7</v>
      </c>
      <c r="U116" s="104">
        <v>63.7</v>
      </c>
      <c r="V116" s="104">
        <v>65.5</v>
      </c>
      <c r="W116" s="104">
        <v>65.2</v>
      </c>
      <c r="X116" s="104">
        <v>65.400000000000006</v>
      </c>
      <c r="Y116" s="104">
        <v>64.3</v>
      </c>
      <c r="Z116" s="104">
        <v>64.7</v>
      </c>
      <c r="AA116" s="104">
        <v>65.400000000000006</v>
      </c>
      <c r="AB116" s="104">
        <v>66.599999999999994</v>
      </c>
      <c r="AC116" s="104">
        <v>66.599999999999994</v>
      </c>
      <c r="AD116" s="104">
        <v>66.7</v>
      </c>
      <c r="AE116" s="104">
        <v>67.400000000000006</v>
      </c>
      <c r="AF116" s="104">
        <v>67.7</v>
      </c>
      <c r="AG116" s="120"/>
      <c r="AH116" s="48">
        <f t="shared" si="54"/>
        <v>68.400000000000006</v>
      </c>
      <c r="AI116" s="49">
        <f t="shared" si="55"/>
        <v>62.7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 t="s">
        <v>140</v>
      </c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54"/>
        <v>0</v>
      </c>
      <c r="AI117" s="49">
        <f t="shared" si="55"/>
        <v>0</v>
      </c>
    </row>
    <row r="118" spans="1:35" ht="15.75" thickBot="1" x14ac:dyDescent="0.3">
      <c r="A118" s="122" t="s">
        <v>141</v>
      </c>
      <c r="B118" s="123">
        <f>SUM(B22,B28,B31:B32,B66,B68:B69,B71,B73,B119:B123,B155,B161,B167,B176,B178,B190,B197,B200:B201,B208,B210,B212,B216:B218,B220:B222,B227,B233:B234,B236:B238,B246,B251)</f>
        <v>115.94</v>
      </c>
      <c r="C118" s="123">
        <f>SUM(C22,C28,C31:C32,C66,C68:C69,C71,C73,C119:C123,C155,C161,C167,C176,C178,C190,C197,C200:C201,C208,C210,C212,C216:C218,C220:C222,C227,C233:C234,C236:C238,C246,C251)</f>
        <v>47.84</v>
      </c>
      <c r="D118" s="123">
        <f t="shared" ref="D118:O118" si="102">SUM(D22,D28,D31:D32,D66,D68:D69,D71,D73,D119:D123,D155,D161,D167,D176,D178,D190,D197,D200:D201,D208,D210,D212,D216:D218,D220:D222,D227,D233:D234,D236:D238,D246,D251)</f>
        <v>98.439999999999984</v>
      </c>
      <c r="E118" s="123">
        <f t="shared" si="102"/>
        <v>59.739999999999966</v>
      </c>
      <c r="F118" s="123">
        <f t="shared" si="102"/>
        <v>64.839999999999989</v>
      </c>
      <c r="G118" s="123">
        <f t="shared" si="102"/>
        <v>93.54</v>
      </c>
      <c r="H118" s="123">
        <f t="shared" si="102"/>
        <v>146.74</v>
      </c>
      <c r="I118" s="123">
        <f t="shared" si="102"/>
        <v>167.93999999999994</v>
      </c>
      <c r="J118" s="123">
        <f t="shared" si="102"/>
        <v>228.44</v>
      </c>
      <c r="K118" s="123">
        <f t="shared" si="102"/>
        <v>268.14</v>
      </c>
      <c r="L118" s="123">
        <f t="shared" si="102"/>
        <v>300.54000000000002</v>
      </c>
      <c r="M118" s="123">
        <f t="shared" si="102"/>
        <v>300.13999999999993</v>
      </c>
      <c r="N118" s="123">
        <f t="shared" si="102"/>
        <v>297.94</v>
      </c>
      <c r="O118" s="123">
        <f t="shared" si="102"/>
        <v>307.04000000000002</v>
      </c>
      <c r="P118" s="123">
        <v>42</v>
      </c>
      <c r="Q118" s="123">
        <f t="shared" ref="Q118:AA118" si="103">SUM(Q22,Q28,Q31:Q32,Q66,Q68:Q69,Q71,Q73,Q119:Q123,Q155,Q161,Q167,Q176,Q178,Q190,Q197,Q200:Q201,Q208,Q210,Q212,Q216:Q218,Q220:Q222,Q227,Q233:Q234,Q236:Q238,Q246,Q251)</f>
        <v>288.64</v>
      </c>
      <c r="R118" s="123">
        <f t="shared" si="103"/>
        <v>276.33999999999997</v>
      </c>
      <c r="S118" s="123">
        <f t="shared" si="103"/>
        <v>284.94</v>
      </c>
      <c r="T118" s="123">
        <f t="shared" si="103"/>
        <v>290.14</v>
      </c>
      <c r="U118" s="123">
        <f t="shared" si="103"/>
        <v>294.64000000000004</v>
      </c>
      <c r="V118" s="123">
        <f t="shared" si="103"/>
        <v>281.14</v>
      </c>
      <c r="W118" s="123">
        <f t="shared" si="103"/>
        <v>291.33999999999997</v>
      </c>
      <c r="X118" s="123">
        <f t="shared" si="103"/>
        <v>282.14</v>
      </c>
      <c r="Y118" s="123">
        <f t="shared" ref="Y118:Z118" si="104">SUM(Y20,Y26,Y37:Y38,Y66,Y68:Y69,Y71,Y73,Y119:Y123,Y148,Y154,Y160,Y169,Y171,Y183,Y190,Y193:Y194,Y201,Y203,Y205,Y209:Y211,Y213:Y215,Y220,Y226:Y227,Y229:Y231,Y239,Y244)</f>
        <v>323.29999999999995</v>
      </c>
      <c r="Z118" s="123">
        <f t="shared" si="104"/>
        <v>371.59999999999997</v>
      </c>
      <c r="AA118" s="123">
        <f t="shared" si="103"/>
        <v>338.24</v>
      </c>
      <c r="AB118" s="123">
        <f t="shared" ref="AB118:AC118" si="105">SUM(AB22,AB28,AB31:AB32,AB66,AB68:AB69,AB71,AB73,AB119:AB123,AB155,AB161,AB167,AB176,AB178,AB190,AB197,AB200:AB201,AB208,AB210,AB212,AB216:AB218,AB220:AB222,AB227,AB233:AB234,AB236:AB238,AB246,AB251)</f>
        <v>299.54000000000002</v>
      </c>
      <c r="AC118" s="123">
        <f t="shared" si="105"/>
        <v>284.24</v>
      </c>
      <c r="AD118" s="123">
        <f t="shared" ref="AD118:AE118" si="106">SUM(AD22,AD28,AD31:AD32,AD66,AD68:AD69,AD71,AD73,AD119:AD123,AD155,AD161,AD167,AD176,AD178,AD190,AD197,AD200:AD201,AD208,AD210,AD212,AD216:AD218,AD220:AD222,AD227,AD233:AD234,AD236:AD238,AD246,AD251)</f>
        <v>246.44</v>
      </c>
      <c r="AE118" s="123">
        <f t="shared" si="106"/>
        <v>185.04</v>
      </c>
      <c r="AF118" s="123">
        <f t="shared" ref="AF118" si="107">SUM(AF22,AF28,AF31:AF32,AF66,AF68:AF69,AF71,AF73,AF119:AF123,AF155,AF161,AF167,AF176,AF178,AF190,AF197,AF200:AF201,AF208,AF210,AF212,AF216:AF218,AF220:AF222,AF227,AF233:AF234,AF236:AF238,AF246,AF251)</f>
        <v>131.13999999999996</v>
      </c>
      <c r="AG118" s="124"/>
      <c r="AH118" s="48">
        <f t="shared" si="54"/>
        <v>371.59999999999997</v>
      </c>
      <c r="AI118" s="49">
        <f t="shared" si="55"/>
        <v>42</v>
      </c>
    </row>
    <row r="119" spans="1:35" x14ac:dyDescent="0.25">
      <c r="A119" s="125" t="s">
        <v>142</v>
      </c>
      <c r="B119" s="126">
        <v>52.2</v>
      </c>
      <c r="C119" s="126">
        <v>47.1</v>
      </c>
      <c r="D119" s="126">
        <v>31.9</v>
      </c>
      <c r="E119" s="126">
        <v>27.7</v>
      </c>
      <c r="F119" s="126">
        <v>27.6</v>
      </c>
      <c r="G119" s="126">
        <v>23.9</v>
      </c>
      <c r="H119" s="126">
        <v>52.3</v>
      </c>
      <c r="I119" s="126">
        <v>69.5</v>
      </c>
      <c r="J119" s="126">
        <v>33.6</v>
      </c>
      <c r="K119" s="126">
        <v>51.6</v>
      </c>
      <c r="L119" s="126">
        <v>52.4</v>
      </c>
      <c r="M119" s="126">
        <v>37</v>
      </c>
      <c r="N119" s="126">
        <v>18.899999999999999</v>
      </c>
      <c r="O119" s="126">
        <v>27.5</v>
      </c>
      <c r="P119" s="126">
        <v>18.8</v>
      </c>
      <c r="Q119" s="126">
        <v>21.2</v>
      </c>
      <c r="R119" s="126">
        <v>17.7</v>
      </c>
      <c r="S119" s="126">
        <v>18.7</v>
      </c>
      <c r="T119" s="126">
        <v>12</v>
      </c>
      <c r="U119" s="126">
        <v>14.2</v>
      </c>
      <c r="V119" s="126">
        <v>12.2</v>
      </c>
      <c r="W119" s="126">
        <v>12</v>
      </c>
      <c r="X119" s="126">
        <v>31.1</v>
      </c>
      <c r="Y119" s="126">
        <v>27.5</v>
      </c>
      <c r="Z119" s="126">
        <v>42.1</v>
      </c>
      <c r="AA119" s="126">
        <v>33</v>
      </c>
      <c r="AB119" s="126">
        <v>39.200000000000003</v>
      </c>
      <c r="AC119" s="126">
        <v>43.6</v>
      </c>
      <c r="AD119" s="126">
        <v>45.6</v>
      </c>
      <c r="AE119" s="126">
        <v>33.799999999999997</v>
      </c>
      <c r="AF119" s="126">
        <v>23.9</v>
      </c>
      <c r="AG119" s="127">
        <v>75</v>
      </c>
      <c r="AH119" s="48">
        <f t="shared" si="54"/>
        <v>69.5</v>
      </c>
      <c r="AI119" s="49">
        <f t="shared" si="55"/>
        <v>12</v>
      </c>
    </row>
    <row r="120" spans="1:35" x14ac:dyDescent="0.25">
      <c r="A120" s="128" t="s">
        <v>143</v>
      </c>
      <c r="B120" s="129">
        <v>78</v>
      </c>
      <c r="C120" s="129">
        <v>-98</v>
      </c>
      <c r="D120" s="129">
        <v>49.6</v>
      </c>
      <c r="E120" s="129">
        <v>45.3</v>
      </c>
      <c r="F120" s="129">
        <v>45.6</v>
      </c>
      <c r="G120" s="129">
        <v>41</v>
      </c>
      <c r="H120" s="129">
        <v>77.2</v>
      </c>
      <c r="I120" s="129">
        <v>100.9</v>
      </c>
      <c r="J120" s="129">
        <v>51.6</v>
      </c>
      <c r="K120" s="129">
        <v>74.8</v>
      </c>
      <c r="L120" s="129">
        <v>76.2</v>
      </c>
      <c r="M120" s="129">
        <v>57</v>
      </c>
      <c r="N120" s="129">
        <v>26.6</v>
      </c>
      <c r="O120" s="129">
        <v>33.5</v>
      </c>
      <c r="P120" s="129">
        <v>22.1</v>
      </c>
      <c r="Q120" s="129">
        <v>26.4</v>
      </c>
      <c r="R120" s="129">
        <v>21.6</v>
      </c>
      <c r="S120" s="129">
        <v>21.2</v>
      </c>
      <c r="T120" s="129">
        <v>11.5</v>
      </c>
      <c r="U120" s="129">
        <v>15</v>
      </c>
      <c r="V120" s="129">
        <v>12.9</v>
      </c>
      <c r="W120" s="129">
        <v>13.2</v>
      </c>
      <c r="X120" s="129">
        <v>45.9</v>
      </c>
      <c r="Y120" s="129">
        <v>42.3</v>
      </c>
      <c r="Z120" s="129">
        <v>62</v>
      </c>
      <c r="AA120" s="129">
        <v>50.3</v>
      </c>
      <c r="AB120" s="129">
        <v>59.3</v>
      </c>
      <c r="AC120" s="129">
        <v>65.099999999999994</v>
      </c>
      <c r="AD120" s="129">
        <v>68.2</v>
      </c>
      <c r="AE120" s="129">
        <v>53.2</v>
      </c>
      <c r="AF120" s="129">
        <v>40.299999999999997</v>
      </c>
      <c r="AG120" s="127">
        <v>240</v>
      </c>
      <c r="AH120" s="48">
        <f t="shared" si="54"/>
        <v>100.9</v>
      </c>
      <c r="AI120" s="49">
        <f t="shared" si="55"/>
        <v>-98</v>
      </c>
    </row>
    <row r="121" spans="1:35" x14ac:dyDescent="0.25">
      <c r="A121" s="128" t="s">
        <v>144</v>
      </c>
      <c r="B121" s="129">
        <v>-100</v>
      </c>
      <c r="C121" s="129">
        <v>13.7</v>
      </c>
      <c r="D121" s="129">
        <v>-77</v>
      </c>
      <c r="E121" s="129">
        <v>-115.3</v>
      </c>
      <c r="F121" s="129">
        <v>-113.2</v>
      </c>
      <c r="G121" s="129">
        <v>-98.5</v>
      </c>
      <c r="H121" s="129">
        <v>-116.5</v>
      </c>
      <c r="I121" s="129">
        <v>-123.9</v>
      </c>
      <c r="J121" s="129">
        <v>-59.8</v>
      </c>
      <c r="K121" s="129">
        <v>-60.7</v>
      </c>
      <c r="L121" s="129">
        <v>-51.2</v>
      </c>
      <c r="M121" s="129">
        <f>-10-12</f>
        <v>-22</v>
      </c>
      <c r="N121" s="129">
        <v>16.899999999999999</v>
      </c>
      <c r="O121" s="129">
        <f>5.2+5.6</f>
        <v>10.8</v>
      </c>
      <c r="P121" s="129">
        <v>7.5</v>
      </c>
      <c r="Q121" s="129">
        <f>1.9+2.5</f>
        <v>4.4000000000000004</v>
      </c>
      <c r="R121" s="129">
        <v>2.6</v>
      </c>
      <c r="S121" s="129">
        <v>7</v>
      </c>
      <c r="T121" s="129">
        <v>17</v>
      </c>
      <c r="U121" s="129">
        <v>20</v>
      </c>
      <c r="V121" s="129">
        <v>22</v>
      </c>
      <c r="W121" s="129">
        <v>23</v>
      </c>
      <c r="X121" s="129">
        <v>6</v>
      </c>
      <c r="Y121" s="129">
        <v>6</v>
      </c>
      <c r="Z121" s="129">
        <v>9.1999999999999993</v>
      </c>
      <c r="AA121" s="129">
        <v>9</v>
      </c>
      <c r="AB121" s="129">
        <v>-2.5</v>
      </c>
      <c r="AC121" s="129">
        <v>-8.5</v>
      </c>
      <c r="AD121" s="129">
        <v>-15</v>
      </c>
      <c r="AE121" s="129">
        <v>-29.5</v>
      </c>
      <c r="AF121" s="129">
        <v>-53</v>
      </c>
      <c r="AG121" s="127">
        <v>240</v>
      </c>
      <c r="AH121" s="48">
        <f t="shared" si="54"/>
        <v>23</v>
      </c>
      <c r="AI121" s="49">
        <f t="shared" si="55"/>
        <v>-123.9</v>
      </c>
    </row>
    <row r="122" spans="1:35" ht="15.75" thickBot="1" x14ac:dyDescent="0.3">
      <c r="A122" s="128" t="s">
        <v>145</v>
      </c>
      <c r="B122" s="129">
        <v>12.5</v>
      </c>
      <c r="C122" s="129">
        <v>13.6</v>
      </c>
      <c r="D122" s="129">
        <v>22.7</v>
      </c>
      <c r="E122" s="129">
        <v>22.9</v>
      </c>
      <c r="F122" s="129">
        <v>23.5</v>
      </c>
      <c r="G122" s="129">
        <v>27.7</v>
      </c>
      <c r="H122" s="129">
        <v>29.9</v>
      </c>
      <c r="I122" s="129">
        <v>28.9</v>
      </c>
      <c r="J122" s="129">
        <v>2.5</v>
      </c>
      <c r="K122" s="129">
        <v>3.1</v>
      </c>
      <c r="L122" s="129">
        <v>4</v>
      </c>
      <c r="M122" s="129">
        <v>0.2</v>
      </c>
      <c r="N122" s="129">
        <v>2</v>
      </c>
      <c r="O122" s="129">
        <v>3.7</v>
      </c>
      <c r="P122" s="129">
        <v>2</v>
      </c>
      <c r="Q122" s="129">
        <v>-1.4</v>
      </c>
      <c r="R122" s="129">
        <v>-3.1</v>
      </c>
      <c r="S122" s="129">
        <v>2.8</v>
      </c>
      <c r="T122" s="129">
        <v>-2</v>
      </c>
      <c r="U122" s="129">
        <v>-2.5</v>
      </c>
      <c r="V122" s="129">
        <v>12.7</v>
      </c>
      <c r="W122" s="129">
        <v>17.2</v>
      </c>
      <c r="X122" s="129">
        <v>19.100000000000001</v>
      </c>
      <c r="Y122" s="129">
        <v>23.1</v>
      </c>
      <c r="Z122" s="129">
        <v>46.4</v>
      </c>
      <c r="AA122" s="129">
        <v>44</v>
      </c>
      <c r="AB122" s="129">
        <v>42</v>
      </c>
      <c r="AC122" s="129">
        <v>40.299999999999997</v>
      </c>
      <c r="AD122" s="129">
        <v>40.200000000000003</v>
      </c>
      <c r="AE122" s="129">
        <v>33.1</v>
      </c>
      <c r="AF122" s="129">
        <v>29.1</v>
      </c>
      <c r="AG122" s="127">
        <v>60</v>
      </c>
      <c r="AH122" s="48">
        <f t="shared" si="54"/>
        <v>46.4</v>
      </c>
      <c r="AI122" s="49">
        <f t="shared" si="55"/>
        <v>-3.1</v>
      </c>
    </row>
    <row r="123" spans="1:35" x14ac:dyDescent="0.25">
      <c r="A123" s="125" t="s">
        <v>146</v>
      </c>
      <c r="B123" s="130">
        <v>-25</v>
      </c>
      <c r="C123" s="130">
        <v>-26.8</v>
      </c>
      <c r="D123" s="130">
        <v>-27</v>
      </c>
      <c r="E123" s="130">
        <v>-23.2</v>
      </c>
      <c r="F123" s="130">
        <v>-21</v>
      </c>
      <c r="G123" s="130">
        <v>-2.9</v>
      </c>
      <c r="H123" s="130">
        <v>0.9</v>
      </c>
      <c r="I123" s="130">
        <v>-10.8</v>
      </c>
      <c r="J123" s="130">
        <v>98.2</v>
      </c>
      <c r="K123" s="130">
        <v>95.1</v>
      </c>
      <c r="L123" s="130">
        <v>111.8</v>
      </c>
      <c r="M123" s="130">
        <v>119.1</v>
      </c>
      <c r="N123" s="130">
        <v>121.3</v>
      </c>
      <c r="O123" s="130">
        <v>115</v>
      </c>
      <c r="P123" s="130">
        <v>123.8</v>
      </c>
      <c r="Q123" s="130">
        <v>119</v>
      </c>
      <c r="R123" s="130">
        <v>119.9</v>
      </c>
      <c r="S123" s="130">
        <v>119</v>
      </c>
      <c r="T123" s="130">
        <v>142</v>
      </c>
      <c r="U123" s="130">
        <v>143.6</v>
      </c>
      <c r="V123" s="130">
        <v>121.3</v>
      </c>
      <c r="W123" s="130">
        <v>127</v>
      </c>
      <c r="X123" s="130">
        <v>82.1</v>
      </c>
      <c r="Y123" s="130">
        <v>123</v>
      </c>
      <c r="Z123" s="130">
        <v>109.5</v>
      </c>
      <c r="AA123" s="130">
        <v>103</v>
      </c>
      <c r="AB123" s="130">
        <v>66.400000000000006</v>
      </c>
      <c r="AC123" s="130">
        <v>48.6</v>
      </c>
      <c r="AD123" s="130">
        <v>12.3</v>
      </c>
      <c r="AE123" s="130">
        <v>-0.7</v>
      </c>
      <c r="AF123" s="130">
        <v>-4.3</v>
      </c>
      <c r="AG123" s="131">
        <v>120</v>
      </c>
      <c r="AH123" s="48">
        <f t="shared" si="54"/>
        <v>143.6</v>
      </c>
      <c r="AI123" s="49">
        <f t="shared" si="55"/>
        <v>-27</v>
      </c>
    </row>
    <row r="124" spans="1:35" x14ac:dyDescent="0.25">
      <c r="A124" s="128" t="s">
        <v>147</v>
      </c>
      <c r="B124" s="130">
        <v>9.6999999999999993</v>
      </c>
      <c r="C124" s="130">
        <v>9.1999999999999993</v>
      </c>
      <c r="D124" s="130">
        <v>9.8000000000000007</v>
      </c>
      <c r="E124" s="130">
        <v>11.5</v>
      </c>
      <c r="F124" s="130">
        <v>12.3</v>
      </c>
      <c r="G124" s="130">
        <v>21.5</v>
      </c>
      <c r="H124" s="130">
        <v>23</v>
      </c>
      <c r="I124" s="130">
        <v>17.7</v>
      </c>
      <c r="J124" s="130">
        <v>72.63</v>
      </c>
      <c r="K124" s="130">
        <v>70.7</v>
      </c>
      <c r="L124" s="130">
        <v>78.2</v>
      </c>
      <c r="M124" s="130">
        <v>81.099999999999994</v>
      </c>
      <c r="N124" s="130">
        <v>82.6</v>
      </c>
      <c r="O124" s="130">
        <v>78</v>
      </c>
      <c r="P124" s="130">
        <v>83</v>
      </c>
      <c r="Q124" s="130">
        <v>82</v>
      </c>
      <c r="R124" s="130">
        <v>81.8</v>
      </c>
      <c r="S124" s="130">
        <v>81.400000000000006</v>
      </c>
      <c r="T124" s="130">
        <v>91</v>
      </c>
      <c r="U124" s="130">
        <v>92</v>
      </c>
      <c r="V124" s="130">
        <v>82</v>
      </c>
      <c r="W124" s="130">
        <v>86</v>
      </c>
      <c r="X124" s="130">
        <v>63</v>
      </c>
      <c r="Y124" s="130">
        <v>82.4</v>
      </c>
      <c r="Z124" s="130">
        <v>76</v>
      </c>
      <c r="AA124" s="130">
        <v>73</v>
      </c>
      <c r="AB124" s="130">
        <v>51.5</v>
      </c>
      <c r="AC124" s="130">
        <v>43</v>
      </c>
      <c r="AD124" s="130">
        <v>25.7</v>
      </c>
      <c r="AE124" s="130">
        <v>19.7</v>
      </c>
      <c r="AF124" s="130">
        <v>18.5</v>
      </c>
      <c r="AG124" s="131"/>
      <c r="AH124" s="48">
        <f t="shared" si="54"/>
        <v>92</v>
      </c>
      <c r="AI124" s="49">
        <f t="shared" si="55"/>
        <v>9.1999999999999993</v>
      </c>
    </row>
    <row r="125" spans="1:35" x14ac:dyDescent="0.25">
      <c r="A125" s="128" t="s">
        <v>148</v>
      </c>
      <c r="B125" s="130">
        <v>-35</v>
      </c>
      <c r="C125" s="130">
        <v>-34</v>
      </c>
      <c r="D125" s="130">
        <v>-25</v>
      </c>
      <c r="E125" s="130">
        <v>-21.4</v>
      </c>
      <c r="F125" s="130">
        <v>-19.7</v>
      </c>
      <c r="G125" s="130">
        <v>-19.399999999999999</v>
      </c>
      <c r="H125" s="130">
        <v>29</v>
      </c>
      <c r="I125" s="130">
        <v>-67</v>
      </c>
      <c r="J125" s="130">
        <v>0.1</v>
      </c>
      <c r="K125" s="130">
        <v>-19.3</v>
      </c>
      <c r="L125" s="130">
        <v>-16.8</v>
      </c>
      <c r="M125" s="130">
        <v>-8.1</v>
      </c>
      <c r="N125" s="130">
        <v>-0.5</v>
      </c>
      <c r="O125" s="130">
        <v>0</v>
      </c>
      <c r="P125" s="130">
        <v>19.399999999999999</v>
      </c>
      <c r="Q125" s="130">
        <v>20.100000000000001</v>
      </c>
      <c r="R125" s="130">
        <v>21.6</v>
      </c>
      <c r="S125" s="130">
        <v>18</v>
      </c>
      <c r="T125" s="130">
        <v>28.2</v>
      </c>
      <c r="U125" s="130">
        <v>24</v>
      </c>
      <c r="V125" s="130">
        <v>13.2</v>
      </c>
      <c r="W125" s="130">
        <v>9</v>
      </c>
      <c r="X125" s="130">
        <v>-33</v>
      </c>
      <c r="Y125" s="130">
        <v>-22.3</v>
      </c>
      <c r="Z125" s="130">
        <v>-52</v>
      </c>
      <c r="AA125" s="130">
        <v>-41</v>
      </c>
      <c r="AB125" s="130">
        <v>-52.1</v>
      </c>
      <c r="AC125" s="130">
        <v>-59</v>
      </c>
      <c r="AD125" s="130">
        <v>-70.5</v>
      </c>
      <c r="AE125" s="130">
        <v>-49</v>
      </c>
      <c r="AF125" s="130">
        <v>-30.9</v>
      </c>
      <c r="AG125" s="131"/>
      <c r="AH125" s="48">
        <f t="shared" si="54"/>
        <v>29</v>
      </c>
      <c r="AI125" s="49">
        <f t="shared" si="55"/>
        <v>-70.5</v>
      </c>
    </row>
    <row r="126" spans="1:35" ht="15.75" thickBot="1" x14ac:dyDescent="0.3">
      <c r="A126" s="128" t="s">
        <v>149</v>
      </c>
      <c r="B126" s="130">
        <v>10</v>
      </c>
      <c r="C126" s="130">
        <v>6.6</v>
      </c>
      <c r="D126" s="130">
        <v>3</v>
      </c>
      <c r="E126" s="130">
        <v>7.2</v>
      </c>
      <c r="F126" s="130">
        <v>8.6999999999999993</v>
      </c>
      <c r="G126" s="130">
        <v>16.100000000000001</v>
      </c>
      <c r="H126" s="130">
        <v>16.7</v>
      </c>
      <c r="I126" s="130">
        <v>10.4</v>
      </c>
      <c r="J126" s="130">
        <v>74</v>
      </c>
      <c r="K126" s="130">
        <v>85.7</v>
      </c>
      <c r="L126" s="130">
        <v>100.9</v>
      </c>
      <c r="M126" s="130">
        <v>97.1</v>
      </c>
      <c r="N126" s="130">
        <v>84.3</v>
      </c>
      <c r="O126" s="130">
        <v>77.3</v>
      </c>
      <c r="P126" s="130">
        <v>87.6</v>
      </c>
      <c r="Q126" s="130">
        <v>88</v>
      </c>
      <c r="R126" s="130">
        <v>85</v>
      </c>
      <c r="S126" s="130">
        <v>83.2</v>
      </c>
      <c r="T126" s="130">
        <v>96</v>
      </c>
      <c r="U126" s="130">
        <v>98</v>
      </c>
      <c r="V126" s="130">
        <v>85</v>
      </c>
      <c r="W126" s="130">
        <v>82.6</v>
      </c>
      <c r="X126" s="130">
        <v>41</v>
      </c>
      <c r="Y126" s="130">
        <v>60.4</v>
      </c>
      <c r="Z126" s="130">
        <v>54</v>
      </c>
      <c r="AA126" s="130">
        <v>53</v>
      </c>
      <c r="AB126" s="130">
        <v>32.9</v>
      </c>
      <c r="AC126" s="130">
        <v>24.7</v>
      </c>
      <c r="AD126" s="130">
        <v>16.5</v>
      </c>
      <c r="AE126" s="130">
        <v>6.5</v>
      </c>
      <c r="AF126" s="130">
        <v>10.199999999999999</v>
      </c>
      <c r="AG126" s="127"/>
      <c r="AH126" s="48">
        <f>MAX(B126:AF126)</f>
        <v>100.9</v>
      </c>
      <c r="AI126" s="49">
        <f>MIN(B126:AF126)</f>
        <v>3</v>
      </c>
    </row>
    <row r="127" spans="1:35" x14ac:dyDescent="0.25">
      <c r="A127" s="125" t="s">
        <v>305</v>
      </c>
      <c r="B127" s="130">
        <v>-83</v>
      </c>
      <c r="C127" s="130">
        <v>-73</v>
      </c>
      <c r="D127" s="130">
        <v>-73</v>
      </c>
      <c r="E127" s="130">
        <v>-71.2</v>
      </c>
      <c r="F127" s="130">
        <v>-61.7</v>
      </c>
      <c r="G127" s="130">
        <v>-72.5</v>
      </c>
      <c r="H127" s="130">
        <v>-72.900000000000006</v>
      </c>
      <c r="I127" s="130">
        <v>-98.3</v>
      </c>
      <c r="J127" s="130">
        <v>-35.6</v>
      </c>
      <c r="K127" s="130">
        <v>-18.2</v>
      </c>
      <c r="L127" s="130">
        <v>14.6</v>
      </c>
      <c r="M127" s="130">
        <v>18</v>
      </c>
      <c r="N127" s="130">
        <v>16.7</v>
      </c>
      <c r="O127" s="130">
        <v>23.4</v>
      </c>
      <c r="P127" s="130">
        <v>29.4</v>
      </c>
      <c r="Q127" s="130">
        <v>28</v>
      </c>
      <c r="R127" s="130">
        <v>27</v>
      </c>
      <c r="S127" s="130">
        <v>28</v>
      </c>
      <c r="T127" s="130">
        <v>38</v>
      </c>
      <c r="U127" s="130">
        <v>39</v>
      </c>
      <c r="V127" s="130">
        <v>26</v>
      </c>
      <c r="W127" s="130">
        <v>-21</v>
      </c>
      <c r="X127" s="130">
        <v>-95</v>
      </c>
      <c r="Y127" s="130">
        <v>-183</v>
      </c>
      <c r="Z127" s="130">
        <v>-192</v>
      </c>
      <c r="AA127" s="130">
        <v>-178</v>
      </c>
      <c r="AB127" s="130">
        <v>-145.9</v>
      </c>
      <c r="AC127" s="130">
        <v>-121.9</v>
      </c>
      <c r="AD127" s="130">
        <v>-58.6</v>
      </c>
      <c r="AE127" s="130">
        <v>-73</v>
      </c>
      <c r="AF127" s="130">
        <v>-74.3</v>
      </c>
      <c r="AG127" s="127"/>
      <c r="AH127" s="48">
        <f>MAX(B127:AF127)</f>
        <v>39</v>
      </c>
      <c r="AI127" s="49">
        <f>MIN(B127:AF127)</f>
        <v>-192</v>
      </c>
    </row>
    <row r="128" spans="1:35" x14ac:dyDescent="0.25">
      <c r="A128" s="128" t="s">
        <v>151</v>
      </c>
      <c r="B128" s="118">
        <v>-11</v>
      </c>
      <c r="C128" s="118">
        <v>-10</v>
      </c>
      <c r="D128" s="118">
        <v>-10</v>
      </c>
      <c r="E128" s="118">
        <v>-6.3</v>
      </c>
      <c r="F128" s="118">
        <v>-5.9</v>
      </c>
      <c r="G128" s="118">
        <v>-8.6999999999999993</v>
      </c>
      <c r="H128" s="118">
        <v>-21.8</v>
      </c>
      <c r="I128" s="118">
        <v>-24.3</v>
      </c>
      <c r="J128" s="118">
        <v>-28.3</v>
      </c>
      <c r="K128" s="118">
        <v>-29.6</v>
      </c>
      <c r="L128" s="118">
        <v>-40.9</v>
      </c>
      <c r="M128" s="118">
        <v>-37.5</v>
      </c>
      <c r="N128" s="118">
        <v>-33.299999999999997</v>
      </c>
      <c r="O128" s="118">
        <v>-34.5</v>
      </c>
      <c r="P128" s="118">
        <v>-30.7</v>
      </c>
      <c r="Q128" s="118">
        <v>-28</v>
      </c>
      <c r="R128" s="118">
        <v>28.3</v>
      </c>
      <c r="S128" s="118">
        <v>-29.1</v>
      </c>
      <c r="T128" s="118">
        <v>-38.5</v>
      </c>
      <c r="U128" s="118">
        <v>-40</v>
      </c>
      <c r="V128" s="118">
        <v>-49.3</v>
      </c>
      <c r="W128" s="118">
        <v>-45.1</v>
      </c>
      <c r="X128" s="118">
        <v>-51.3</v>
      </c>
      <c r="Y128" s="118">
        <v>-54.3</v>
      </c>
      <c r="Z128" s="118">
        <v>-48</v>
      </c>
      <c r="AA128" s="118">
        <v>-52</v>
      </c>
      <c r="AB128" s="118">
        <v>-42.5</v>
      </c>
      <c r="AC128" s="118">
        <v>-41.6</v>
      </c>
      <c r="AD128" s="118">
        <v>-23.3</v>
      </c>
      <c r="AE128" s="118">
        <v>-27.3</v>
      </c>
      <c r="AF128" s="118">
        <v>-19.3</v>
      </c>
      <c r="AG128" s="127"/>
      <c r="AH128" s="48">
        <f>MAX(B128:AF128)</f>
        <v>28.3</v>
      </c>
      <c r="AI128" s="49">
        <f>MIN(B128:AF128)</f>
        <v>-54.3</v>
      </c>
    </row>
    <row r="129" spans="1:37" x14ac:dyDescent="0.25">
      <c r="A129" s="128" t="s">
        <v>306</v>
      </c>
      <c r="B129" s="118">
        <v>71</v>
      </c>
      <c r="C129" s="118">
        <v>68</v>
      </c>
      <c r="D129" s="118">
        <v>66</v>
      </c>
      <c r="E129" s="118">
        <v>60.6</v>
      </c>
      <c r="F129" s="118">
        <v>61.7</v>
      </c>
      <c r="G129" s="118">
        <v>64</v>
      </c>
      <c r="H129" s="118">
        <v>69.599999999999994</v>
      </c>
      <c r="I129" s="118">
        <v>72.900000000000006</v>
      </c>
      <c r="J129" s="118">
        <v>100.2</v>
      </c>
      <c r="K129" s="118">
        <v>111.5</v>
      </c>
      <c r="L129" s="118">
        <v>99.8</v>
      </c>
      <c r="M129" s="118">
        <v>108.7</v>
      </c>
      <c r="N129" s="118">
        <v>104.3</v>
      </c>
      <c r="O129" s="118">
        <v>113.5</v>
      </c>
      <c r="P129" s="118">
        <v>116.3</v>
      </c>
      <c r="Q129" s="118">
        <v>113.2</v>
      </c>
      <c r="R129" s="118">
        <v>124</v>
      </c>
      <c r="S129" s="118">
        <v>123.5</v>
      </c>
      <c r="T129" s="118">
        <v>118</v>
      </c>
      <c r="U129" s="118">
        <v>112.4</v>
      </c>
      <c r="V129" s="118">
        <v>116</v>
      </c>
      <c r="W129" s="118">
        <v>112.4</v>
      </c>
      <c r="X129" s="118">
        <v>105</v>
      </c>
      <c r="Y129" s="118">
        <v>117</v>
      </c>
      <c r="Z129" s="118">
        <v>110</v>
      </c>
      <c r="AA129" s="118">
        <v>108</v>
      </c>
      <c r="AB129" s="118">
        <v>100.3</v>
      </c>
      <c r="AC129" s="118">
        <v>96.4</v>
      </c>
      <c r="AD129" s="118">
        <v>77.2</v>
      </c>
      <c r="AE129" s="118">
        <v>73.3</v>
      </c>
      <c r="AF129" s="118">
        <v>64.099999999999994</v>
      </c>
      <c r="AG129" s="127"/>
      <c r="AH129" s="48">
        <f>MAX(B129:AF129)</f>
        <v>124</v>
      </c>
      <c r="AI129" s="49">
        <f>MIN(B129:AF129)</f>
        <v>60.6</v>
      </c>
    </row>
    <row r="130" spans="1:37" ht="15.75" thickBot="1" x14ac:dyDescent="0.3">
      <c r="A130" s="128" t="s">
        <v>153</v>
      </c>
      <c r="B130" s="118">
        <v>79</v>
      </c>
      <c r="C130" s="118">
        <v>79</v>
      </c>
      <c r="D130" s="118">
        <v>77</v>
      </c>
      <c r="E130" s="118">
        <v>73.099999999999994</v>
      </c>
      <c r="F130" s="118">
        <v>71.7</v>
      </c>
      <c r="G130" s="118">
        <v>72.5</v>
      </c>
      <c r="H130" s="118">
        <v>80.3</v>
      </c>
      <c r="I130" s="118">
        <v>82.7</v>
      </c>
      <c r="J130" s="118">
        <v>106.2</v>
      </c>
      <c r="K130" s="118">
        <v>122.2</v>
      </c>
      <c r="L130" s="118">
        <v>112.5</v>
      </c>
      <c r="M130" s="118">
        <v>114.2</v>
      </c>
      <c r="N130" s="118">
        <v>111.8</v>
      </c>
      <c r="O130" s="118">
        <v>118</v>
      </c>
      <c r="P130" s="118">
        <v>120.4</v>
      </c>
      <c r="Q130" s="118">
        <v>113.9</v>
      </c>
      <c r="R130" s="118">
        <v>123.3</v>
      </c>
      <c r="S130" s="118">
        <v>125</v>
      </c>
      <c r="T130" s="118">
        <v>122</v>
      </c>
      <c r="U130" s="118">
        <v>114.4</v>
      </c>
      <c r="V130" s="118">
        <v>117.2</v>
      </c>
      <c r="W130" s="118">
        <v>115</v>
      </c>
      <c r="X130" s="118">
        <v>114</v>
      </c>
      <c r="Y130" s="118">
        <v>127</v>
      </c>
      <c r="Z130" s="118">
        <v>121.2</v>
      </c>
      <c r="AA130" s="118">
        <v>120</v>
      </c>
      <c r="AB130" s="118">
        <v>110.8</v>
      </c>
      <c r="AC130" s="118">
        <v>108.6</v>
      </c>
      <c r="AD130" s="118">
        <v>91.9</v>
      </c>
      <c r="AE130" s="118">
        <v>87.5</v>
      </c>
      <c r="AF130" s="118">
        <v>78.900000000000006</v>
      </c>
      <c r="AG130" s="127"/>
      <c r="AH130" s="48">
        <f>MAX(B130:AF130)</f>
        <v>127</v>
      </c>
      <c r="AI130" s="49">
        <f>MIN(B130:AF130)</f>
        <v>71.7</v>
      </c>
    </row>
    <row r="131" spans="1:37" x14ac:dyDescent="0.25">
      <c r="A131" s="132" t="s">
        <v>154</v>
      </c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4"/>
      <c r="AG131" s="44"/>
      <c r="AH131" s="48"/>
      <c r="AI131" s="49"/>
    </row>
    <row r="132" spans="1:37" x14ac:dyDescent="0.25">
      <c r="A132" s="135" t="s">
        <v>155</v>
      </c>
      <c r="B132" s="136">
        <v>1982.68</v>
      </c>
      <c r="C132" s="136">
        <v>1982.75</v>
      </c>
      <c r="D132" s="136">
        <v>1982.85</v>
      </c>
      <c r="E132" s="136">
        <v>1982.98</v>
      </c>
      <c r="F132" s="136">
        <v>1983.08</v>
      </c>
      <c r="G132" s="136">
        <v>1983.2</v>
      </c>
      <c r="H132" s="136"/>
      <c r="I132" s="136">
        <v>1983.2</v>
      </c>
      <c r="J132" s="136"/>
      <c r="K132" s="136">
        <v>1983.1</v>
      </c>
      <c r="L132" s="136"/>
      <c r="M132" s="136">
        <v>1983.37</v>
      </c>
      <c r="N132" s="136">
        <v>1983.55</v>
      </c>
      <c r="O132" s="136">
        <v>1983.8</v>
      </c>
      <c r="P132" s="136">
        <v>1984.02</v>
      </c>
      <c r="Q132" s="136">
        <v>1984.25</v>
      </c>
      <c r="R132" s="136">
        <v>1984.49</v>
      </c>
      <c r="S132" s="136">
        <v>1984.68</v>
      </c>
      <c r="T132" s="136">
        <v>1984.87</v>
      </c>
      <c r="U132" s="136">
        <v>1985.2</v>
      </c>
      <c r="V132" s="136">
        <v>1985.29</v>
      </c>
      <c r="W132" s="136"/>
      <c r="X132" s="136">
        <v>1985.25</v>
      </c>
      <c r="Y132" s="136"/>
      <c r="Z132" s="136">
        <v>1984.4</v>
      </c>
      <c r="AA132" s="136"/>
      <c r="AB132" s="136">
        <v>1983.2</v>
      </c>
      <c r="AC132" s="136"/>
      <c r="AD132" s="136">
        <v>1982.6</v>
      </c>
      <c r="AE132" s="136">
        <v>1982.6</v>
      </c>
      <c r="AF132" s="137"/>
      <c r="AG132" s="138"/>
      <c r="AH132" s="48"/>
      <c r="AI132" s="49"/>
    </row>
    <row r="133" spans="1:37" x14ac:dyDescent="0.25">
      <c r="A133" s="135" t="s">
        <v>156</v>
      </c>
      <c r="B133" s="139">
        <v>521.15</v>
      </c>
      <c r="C133" s="139">
        <v>521.08000000000004</v>
      </c>
      <c r="D133" s="139">
        <v>521.22</v>
      </c>
      <c r="E133" s="139">
        <v>521.41999999999996</v>
      </c>
      <c r="F133" s="139">
        <v>521.62</v>
      </c>
      <c r="G133" s="139">
        <v>521.84</v>
      </c>
      <c r="H133" s="139"/>
      <c r="I133" s="139">
        <v>521.96</v>
      </c>
      <c r="J133" s="139"/>
      <c r="K133" s="139">
        <v>521.97</v>
      </c>
      <c r="L133" s="139"/>
      <c r="M133" s="139">
        <v>521.9</v>
      </c>
      <c r="N133" s="139">
        <v>521.72</v>
      </c>
      <c r="O133" s="139">
        <v>521.72</v>
      </c>
      <c r="P133" s="139">
        <v>521.74</v>
      </c>
      <c r="Q133" s="139">
        <v>521.77</v>
      </c>
      <c r="R133" s="139">
        <v>521.76</v>
      </c>
      <c r="S133" s="139">
        <v>521.71</v>
      </c>
      <c r="T133" s="139">
        <v>521.67999999999995</v>
      </c>
      <c r="U133" s="139">
        <v>521.64</v>
      </c>
      <c r="V133" s="139">
        <v>521.65</v>
      </c>
      <c r="W133" s="139"/>
      <c r="X133" s="139">
        <v>521.66999999999996</v>
      </c>
      <c r="Y133" s="139"/>
      <c r="Z133" s="139">
        <v>521.47</v>
      </c>
      <c r="AA133" s="139"/>
      <c r="AB133" s="139">
        <v>520.97</v>
      </c>
      <c r="AC133" s="139"/>
      <c r="AD133" s="139">
        <v>520.38</v>
      </c>
      <c r="AE133" s="139">
        <v>519.79999999999995</v>
      </c>
      <c r="AF133" s="140"/>
      <c r="AG133" s="138"/>
      <c r="AH133" s="48"/>
      <c r="AI133" s="49"/>
    </row>
    <row r="134" spans="1:37" x14ac:dyDescent="0.25">
      <c r="A134" s="135" t="s">
        <v>158</v>
      </c>
      <c r="B134" s="139">
        <v>622.9</v>
      </c>
      <c r="C134" s="139">
        <v>623.13</v>
      </c>
      <c r="D134" s="139">
        <v>623.29999999999995</v>
      </c>
      <c r="E134" s="139">
        <v>623.41</v>
      </c>
      <c r="F134" s="139">
        <v>623.58000000000004</v>
      </c>
      <c r="G134" s="139">
        <v>623.66999999999996</v>
      </c>
      <c r="H134" s="139"/>
      <c r="I134" s="139">
        <v>623.64</v>
      </c>
      <c r="J134" s="139"/>
      <c r="K134" s="139">
        <v>623.51</v>
      </c>
      <c r="L134" s="139"/>
      <c r="M134" s="139">
        <v>623.28</v>
      </c>
      <c r="N134" s="139">
        <v>622.88</v>
      </c>
      <c r="O134" s="139"/>
      <c r="P134" s="139">
        <v>623.1</v>
      </c>
      <c r="Q134" s="139">
        <v>623.13</v>
      </c>
      <c r="R134" s="139">
        <v>623.17999999999995</v>
      </c>
      <c r="S134" s="139">
        <v>623.23</v>
      </c>
      <c r="T134" s="139">
        <v>623.32000000000005</v>
      </c>
      <c r="U134" s="139">
        <v>623.4</v>
      </c>
      <c r="V134" s="139">
        <v>623.42999999999995</v>
      </c>
      <c r="W134" s="139"/>
      <c r="X134" s="139">
        <v>623.6</v>
      </c>
      <c r="Y134" s="139"/>
      <c r="Z134" s="139">
        <v>623.64</v>
      </c>
      <c r="AA134" s="139"/>
      <c r="AB134" s="139">
        <v>623.05999999999995</v>
      </c>
      <c r="AC134" s="139"/>
      <c r="AD134" s="139">
        <v>622.45000000000005</v>
      </c>
      <c r="AE134" s="139">
        <v>621.76</v>
      </c>
      <c r="AF134" s="140"/>
      <c r="AG134" s="138"/>
      <c r="AH134" s="48"/>
      <c r="AI134" s="49"/>
    </row>
    <row r="135" spans="1:37" x14ac:dyDescent="0.25">
      <c r="A135" s="135" t="s">
        <v>159</v>
      </c>
      <c r="B135" s="139">
        <v>335.2</v>
      </c>
      <c r="C135" s="139">
        <v>335.37</v>
      </c>
      <c r="D135" s="139">
        <v>335.55</v>
      </c>
      <c r="E135" s="139">
        <v>335.63</v>
      </c>
      <c r="F135" s="139">
        <v>335.75</v>
      </c>
      <c r="G135" s="139">
        <v>335.91</v>
      </c>
      <c r="H135" s="139"/>
      <c r="I135" s="139">
        <v>335.99</v>
      </c>
      <c r="J135" s="139"/>
      <c r="K135" s="139">
        <v>335.8</v>
      </c>
      <c r="L135" s="139"/>
      <c r="M135" s="139">
        <v>335.47</v>
      </c>
      <c r="N135" s="139">
        <v>335.1</v>
      </c>
      <c r="O135" s="139">
        <v>335.02</v>
      </c>
      <c r="P135" s="139">
        <v>334.91</v>
      </c>
      <c r="Q135" s="139">
        <v>334.92</v>
      </c>
      <c r="R135" s="139">
        <v>335.1</v>
      </c>
      <c r="S135" s="139">
        <v>335.3</v>
      </c>
      <c r="T135" s="139">
        <v>335.21</v>
      </c>
      <c r="U135" s="139">
        <v>335.19</v>
      </c>
      <c r="V135" s="139">
        <v>335.22</v>
      </c>
      <c r="W135" s="139"/>
      <c r="X135" s="139">
        <v>335.25</v>
      </c>
      <c r="Y135" s="139"/>
      <c r="Z135" s="139">
        <v>335.16</v>
      </c>
      <c r="AA135" s="139"/>
      <c r="AB135" s="139">
        <v>334.77</v>
      </c>
      <c r="AC135" s="139"/>
      <c r="AD135" s="139">
        <v>334.37</v>
      </c>
      <c r="AE135" s="139">
        <v>334.08</v>
      </c>
      <c r="AF135" s="140"/>
      <c r="AG135" s="138"/>
      <c r="AH135" s="48"/>
      <c r="AI135" s="49"/>
    </row>
    <row r="136" spans="1:37" x14ac:dyDescent="0.25">
      <c r="A136" s="135" t="s">
        <v>160</v>
      </c>
      <c r="B136" s="139">
        <v>882.5</v>
      </c>
      <c r="C136" s="139">
        <v>883.5</v>
      </c>
      <c r="D136" s="139">
        <v>884.4</v>
      </c>
      <c r="E136" s="139">
        <v>885.2</v>
      </c>
      <c r="F136" s="139">
        <v>886.3</v>
      </c>
      <c r="G136" s="139">
        <v>886.6</v>
      </c>
      <c r="H136" s="139"/>
      <c r="I136" s="139">
        <v>886.9</v>
      </c>
      <c r="J136" s="139"/>
      <c r="K136" s="139">
        <v>886.7</v>
      </c>
      <c r="L136" s="139"/>
      <c r="M136" s="139">
        <v>886.7</v>
      </c>
      <c r="N136" s="139">
        <v>886.8</v>
      </c>
      <c r="O136" s="139">
        <v>886.9</v>
      </c>
      <c r="P136" s="139">
        <v>886.9</v>
      </c>
      <c r="Q136" s="139">
        <v>886.8</v>
      </c>
      <c r="R136" s="139">
        <v>886.6</v>
      </c>
      <c r="S136" s="139">
        <v>886.5</v>
      </c>
      <c r="T136" s="139">
        <v>886.5</v>
      </c>
      <c r="U136" s="139">
        <v>886.4</v>
      </c>
      <c r="V136" s="139">
        <v>886.2</v>
      </c>
      <c r="W136" s="139"/>
      <c r="X136" s="139">
        <v>885.9</v>
      </c>
      <c r="Y136" s="139"/>
      <c r="Z136" s="139">
        <v>885.3</v>
      </c>
      <c r="AA136" s="139"/>
      <c r="AB136" s="139">
        <v>884</v>
      </c>
      <c r="AC136" s="139"/>
      <c r="AD136" s="139">
        <v>882.5</v>
      </c>
      <c r="AE136" s="139">
        <v>881.9</v>
      </c>
      <c r="AF136" s="140"/>
      <c r="AG136" s="138"/>
      <c r="AH136" s="48"/>
      <c r="AI136" s="49"/>
    </row>
    <row r="137" spans="1:37" ht="15.75" thickBot="1" x14ac:dyDescent="0.3">
      <c r="A137" s="135" t="s">
        <v>161</v>
      </c>
      <c r="B137" s="141">
        <v>1519.62</v>
      </c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>
        <v>1519.48</v>
      </c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>
        <v>1519.49</v>
      </c>
      <c r="Y137" s="141"/>
      <c r="Z137" s="141"/>
      <c r="AA137" s="141"/>
      <c r="AB137" s="141"/>
      <c r="AC137" s="141"/>
      <c r="AD137" s="141"/>
      <c r="AE137" s="141"/>
      <c r="AF137" s="142"/>
      <c r="AG137" s="138"/>
      <c r="AH137" s="48"/>
      <c r="AI137" s="49"/>
    </row>
    <row r="138" spans="1:37" ht="15.75" thickBot="1" x14ac:dyDescent="0.3">
      <c r="A138" s="143" t="s">
        <v>162</v>
      </c>
      <c r="B138" s="144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108">SUM(B139:B243)</f>
        <v>0</v>
      </c>
      <c r="C244" s="160">
        <f t="shared" si="108"/>
        <v>0</v>
      </c>
      <c r="D244" s="160">
        <f t="shared" si="108"/>
        <v>0</v>
      </c>
      <c r="E244" s="160">
        <f t="shared" si="108"/>
        <v>0</v>
      </c>
      <c r="F244" s="160">
        <f t="shared" si="108"/>
        <v>0</v>
      </c>
      <c r="G244" s="160">
        <f t="shared" si="108"/>
        <v>0</v>
      </c>
      <c r="H244" s="160">
        <f t="shared" si="108"/>
        <v>0</v>
      </c>
      <c r="I244" s="160">
        <f t="shared" si="108"/>
        <v>0</v>
      </c>
      <c r="J244" s="160">
        <f t="shared" si="108"/>
        <v>0</v>
      </c>
      <c r="K244" s="160">
        <f t="shared" si="108"/>
        <v>0</v>
      </c>
      <c r="L244" s="160">
        <f t="shared" si="108"/>
        <v>0</v>
      </c>
      <c r="M244" s="160">
        <f t="shared" si="108"/>
        <v>0</v>
      </c>
      <c r="N244" s="160">
        <f t="shared" si="108"/>
        <v>0</v>
      </c>
      <c r="O244" s="160">
        <f t="shared" si="108"/>
        <v>0</v>
      </c>
      <c r="P244" s="160">
        <f t="shared" si="108"/>
        <v>0</v>
      </c>
      <c r="Q244" s="160">
        <f t="shared" si="108"/>
        <v>0</v>
      </c>
      <c r="R244" s="160">
        <f t="shared" si="108"/>
        <v>0</v>
      </c>
      <c r="S244" s="160">
        <f t="shared" si="108"/>
        <v>0</v>
      </c>
      <c r="T244" s="160">
        <f t="shared" si="108"/>
        <v>0</v>
      </c>
      <c r="U244" s="160">
        <f t="shared" si="108"/>
        <v>0</v>
      </c>
      <c r="V244" s="160">
        <f t="shared" si="108"/>
        <v>0</v>
      </c>
      <c r="W244" s="160">
        <f t="shared" si="108"/>
        <v>0</v>
      </c>
      <c r="X244" s="160">
        <f t="shared" si="108"/>
        <v>0</v>
      </c>
      <c r="Y244" s="160">
        <f t="shared" si="108"/>
        <v>0</v>
      </c>
      <c r="Z244" s="160">
        <f t="shared" si="108"/>
        <v>0</v>
      </c>
      <c r="AA244" s="160">
        <f t="shared" si="108"/>
        <v>0</v>
      </c>
      <c r="AB244" s="160">
        <f t="shared" si="108"/>
        <v>0</v>
      </c>
      <c r="AC244" s="160">
        <f t="shared" si="108"/>
        <v>0</v>
      </c>
      <c r="AD244" s="160">
        <f t="shared" si="108"/>
        <v>0</v>
      </c>
      <c r="AE244" s="160">
        <f t="shared" si="108"/>
        <v>0</v>
      </c>
      <c r="AF244" s="161">
        <f t="shared" si="108"/>
        <v>0</v>
      </c>
      <c r="AG244" s="162">
        <f t="shared" si="108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109">AF246</f>
        <v>0.3</v>
      </c>
      <c r="C246" s="165">
        <v>0.3</v>
      </c>
      <c r="D246" s="165">
        <f t="shared" ref="D246:S251" si="110">C246</f>
        <v>0.3</v>
      </c>
      <c r="E246" s="165">
        <f t="shared" si="110"/>
        <v>0.3</v>
      </c>
      <c r="F246" s="165">
        <f t="shared" si="110"/>
        <v>0.3</v>
      </c>
      <c r="G246" s="165">
        <f t="shared" si="110"/>
        <v>0.3</v>
      </c>
      <c r="H246" s="165">
        <f t="shared" si="110"/>
        <v>0.3</v>
      </c>
      <c r="I246" s="165">
        <f t="shared" si="110"/>
        <v>0.3</v>
      </c>
      <c r="J246" s="165">
        <f t="shared" si="110"/>
        <v>0.3</v>
      </c>
      <c r="K246" s="165">
        <f t="shared" si="110"/>
        <v>0.3</v>
      </c>
      <c r="L246" s="165">
        <f t="shared" si="110"/>
        <v>0.3</v>
      </c>
      <c r="M246" s="165">
        <f t="shared" si="110"/>
        <v>0.3</v>
      </c>
      <c r="N246" s="165">
        <f t="shared" si="110"/>
        <v>0.3</v>
      </c>
      <c r="O246" s="165">
        <f t="shared" si="110"/>
        <v>0.3</v>
      </c>
      <c r="P246" s="165">
        <f t="shared" si="110"/>
        <v>0.3</v>
      </c>
      <c r="Q246" s="165">
        <f t="shared" si="110"/>
        <v>0.3</v>
      </c>
      <c r="R246" s="165">
        <f t="shared" si="110"/>
        <v>0.3</v>
      </c>
      <c r="S246" s="165">
        <f t="shared" si="110"/>
        <v>0.3</v>
      </c>
      <c r="T246" s="165">
        <f t="shared" ref="T246:AF251" si="111">S246</f>
        <v>0.3</v>
      </c>
      <c r="U246" s="165">
        <f t="shared" si="111"/>
        <v>0.3</v>
      </c>
      <c r="V246" s="165">
        <f t="shared" si="111"/>
        <v>0.3</v>
      </c>
      <c r="W246" s="165">
        <f t="shared" si="111"/>
        <v>0.3</v>
      </c>
      <c r="X246" s="165">
        <f t="shared" si="111"/>
        <v>0.3</v>
      </c>
      <c r="Y246" s="165">
        <f t="shared" si="111"/>
        <v>0.3</v>
      </c>
      <c r="Z246" s="165">
        <f t="shared" si="111"/>
        <v>0.3</v>
      </c>
      <c r="AA246" s="165">
        <f t="shared" si="111"/>
        <v>0.3</v>
      </c>
      <c r="AB246" s="165">
        <f t="shared" si="111"/>
        <v>0.3</v>
      </c>
      <c r="AC246" s="165">
        <f t="shared" si="111"/>
        <v>0.3</v>
      </c>
      <c r="AD246" s="165">
        <f t="shared" si="111"/>
        <v>0.3</v>
      </c>
      <c r="AE246" s="165">
        <f t="shared" si="111"/>
        <v>0.3</v>
      </c>
      <c r="AF246" s="165">
        <f t="shared" si="111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109"/>
        <v>0.4</v>
      </c>
      <c r="C247" s="151">
        <v>0.4</v>
      </c>
      <c r="D247" s="151">
        <f t="shared" si="110"/>
        <v>0.4</v>
      </c>
      <c r="E247" s="151">
        <f t="shared" si="110"/>
        <v>0.4</v>
      </c>
      <c r="F247" s="151">
        <f t="shared" si="110"/>
        <v>0.4</v>
      </c>
      <c r="G247" s="151">
        <f t="shared" si="110"/>
        <v>0.4</v>
      </c>
      <c r="H247" s="151">
        <f t="shared" si="110"/>
        <v>0.4</v>
      </c>
      <c r="I247" s="151">
        <f t="shared" si="110"/>
        <v>0.4</v>
      </c>
      <c r="J247" s="151">
        <f t="shared" si="110"/>
        <v>0.4</v>
      </c>
      <c r="K247" s="151">
        <f t="shared" si="110"/>
        <v>0.4</v>
      </c>
      <c r="L247" s="151">
        <f t="shared" si="110"/>
        <v>0.4</v>
      </c>
      <c r="M247" s="151">
        <f t="shared" si="110"/>
        <v>0.4</v>
      </c>
      <c r="N247" s="151">
        <f t="shared" si="110"/>
        <v>0.4</v>
      </c>
      <c r="O247" s="151">
        <f t="shared" si="110"/>
        <v>0.4</v>
      </c>
      <c r="P247" s="151">
        <f t="shared" si="110"/>
        <v>0.4</v>
      </c>
      <c r="Q247" s="151">
        <f t="shared" si="110"/>
        <v>0.4</v>
      </c>
      <c r="R247" s="151">
        <f t="shared" si="110"/>
        <v>0.4</v>
      </c>
      <c r="S247" s="151">
        <f t="shared" si="110"/>
        <v>0.4</v>
      </c>
      <c r="T247" s="151">
        <f t="shared" si="111"/>
        <v>0.4</v>
      </c>
      <c r="U247" s="151">
        <f t="shared" si="111"/>
        <v>0.4</v>
      </c>
      <c r="V247" s="151">
        <f t="shared" si="111"/>
        <v>0.4</v>
      </c>
      <c r="W247" s="151">
        <f t="shared" si="111"/>
        <v>0.4</v>
      </c>
      <c r="X247" s="151">
        <f t="shared" si="111"/>
        <v>0.4</v>
      </c>
      <c r="Y247" s="151">
        <f t="shared" si="111"/>
        <v>0.4</v>
      </c>
      <c r="Z247" s="151">
        <f t="shared" si="111"/>
        <v>0.4</v>
      </c>
      <c r="AA247" s="151">
        <f t="shared" si="111"/>
        <v>0.4</v>
      </c>
      <c r="AB247" s="151">
        <f t="shared" si="111"/>
        <v>0.4</v>
      </c>
      <c r="AC247" s="151">
        <f t="shared" si="111"/>
        <v>0.4</v>
      </c>
      <c r="AD247" s="151">
        <f t="shared" si="111"/>
        <v>0.4</v>
      </c>
      <c r="AE247" s="151">
        <f t="shared" si="111"/>
        <v>0.4</v>
      </c>
      <c r="AF247" s="151">
        <f t="shared" si="111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109"/>
        <v>1.5</v>
      </c>
      <c r="C248" s="151">
        <v>1.5</v>
      </c>
      <c r="D248" s="151">
        <f t="shared" si="110"/>
        <v>1.5</v>
      </c>
      <c r="E248" s="151">
        <f t="shared" si="110"/>
        <v>1.5</v>
      </c>
      <c r="F248" s="151">
        <f t="shared" si="110"/>
        <v>1.5</v>
      </c>
      <c r="G248" s="151">
        <f t="shared" si="110"/>
        <v>1.5</v>
      </c>
      <c r="H248" s="151">
        <f t="shared" si="110"/>
        <v>1.5</v>
      </c>
      <c r="I248" s="151">
        <f t="shared" si="110"/>
        <v>1.5</v>
      </c>
      <c r="J248" s="151">
        <f t="shared" si="110"/>
        <v>1.5</v>
      </c>
      <c r="K248" s="151">
        <f t="shared" si="110"/>
        <v>1.5</v>
      </c>
      <c r="L248" s="151">
        <f t="shared" si="110"/>
        <v>1.5</v>
      </c>
      <c r="M248" s="151">
        <f t="shared" si="110"/>
        <v>1.5</v>
      </c>
      <c r="N248" s="151">
        <f t="shared" si="110"/>
        <v>1.5</v>
      </c>
      <c r="O248" s="151">
        <f t="shared" si="110"/>
        <v>1.5</v>
      </c>
      <c r="P248" s="151">
        <f t="shared" si="110"/>
        <v>1.5</v>
      </c>
      <c r="Q248" s="151">
        <f t="shared" si="110"/>
        <v>1.5</v>
      </c>
      <c r="R248" s="151">
        <f t="shared" si="110"/>
        <v>1.5</v>
      </c>
      <c r="S248" s="151">
        <f t="shared" si="110"/>
        <v>1.5</v>
      </c>
      <c r="T248" s="151">
        <f t="shared" si="111"/>
        <v>1.5</v>
      </c>
      <c r="U248" s="151">
        <f t="shared" si="111"/>
        <v>1.5</v>
      </c>
      <c r="V248" s="151">
        <f t="shared" si="111"/>
        <v>1.5</v>
      </c>
      <c r="W248" s="151">
        <f t="shared" si="111"/>
        <v>1.5</v>
      </c>
      <c r="X248" s="151">
        <f t="shared" si="111"/>
        <v>1.5</v>
      </c>
      <c r="Y248" s="151">
        <f t="shared" si="111"/>
        <v>1.5</v>
      </c>
      <c r="Z248" s="151">
        <f t="shared" si="111"/>
        <v>1.5</v>
      </c>
      <c r="AA248" s="151">
        <f t="shared" si="111"/>
        <v>1.5</v>
      </c>
      <c r="AB248" s="151">
        <f t="shared" si="111"/>
        <v>1.5</v>
      </c>
      <c r="AC248" s="151">
        <f t="shared" si="111"/>
        <v>1.5</v>
      </c>
      <c r="AD248" s="151">
        <f t="shared" si="111"/>
        <v>1.5</v>
      </c>
      <c r="AE248" s="151">
        <f t="shared" si="111"/>
        <v>1.5</v>
      </c>
      <c r="AF248" s="151">
        <f t="shared" si="111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109"/>
        <v>0.3</v>
      </c>
      <c r="C249" s="151">
        <v>0.3</v>
      </c>
      <c r="D249" s="151">
        <f t="shared" si="110"/>
        <v>0.3</v>
      </c>
      <c r="E249" s="151">
        <f t="shared" si="110"/>
        <v>0.3</v>
      </c>
      <c r="F249" s="151">
        <f t="shared" si="110"/>
        <v>0.3</v>
      </c>
      <c r="G249" s="151">
        <f t="shared" si="110"/>
        <v>0.3</v>
      </c>
      <c r="H249" s="151">
        <f t="shared" si="110"/>
        <v>0.3</v>
      </c>
      <c r="I249" s="151">
        <f t="shared" si="110"/>
        <v>0.3</v>
      </c>
      <c r="J249" s="151">
        <f t="shared" si="110"/>
        <v>0.3</v>
      </c>
      <c r="K249" s="151">
        <f t="shared" si="110"/>
        <v>0.3</v>
      </c>
      <c r="L249" s="151">
        <f t="shared" si="110"/>
        <v>0.3</v>
      </c>
      <c r="M249" s="151">
        <f t="shared" si="110"/>
        <v>0.3</v>
      </c>
      <c r="N249" s="151">
        <f t="shared" si="110"/>
        <v>0.3</v>
      </c>
      <c r="O249" s="151">
        <f t="shared" si="110"/>
        <v>0.3</v>
      </c>
      <c r="P249" s="151">
        <f t="shared" si="110"/>
        <v>0.3</v>
      </c>
      <c r="Q249" s="151">
        <f t="shared" si="110"/>
        <v>0.3</v>
      </c>
      <c r="R249" s="151">
        <f t="shared" si="110"/>
        <v>0.3</v>
      </c>
      <c r="S249" s="151">
        <f t="shared" si="110"/>
        <v>0.3</v>
      </c>
      <c r="T249" s="151">
        <f t="shared" si="111"/>
        <v>0.3</v>
      </c>
      <c r="U249" s="151">
        <f t="shared" si="111"/>
        <v>0.3</v>
      </c>
      <c r="V249" s="151">
        <f t="shared" si="111"/>
        <v>0.3</v>
      </c>
      <c r="W249" s="151">
        <f t="shared" si="111"/>
        <v>0.3</v>
      </c>
      <c r="X249" s="151">
        <f t="shared" si="111"/>
        <v>0.3</v>
      </c>
      <c r="Y249" s="151">
        <f t="shared" si="111"/>
        <v>0.3</v>
      </c>
      <c r="Z249" s="151">
        <f t="shared" si="111"/>
        <v>0.3</v>
      </c>
      <c r="AA249" s="151">
        <f t="shared" si="111"/>
        <v>0.3</v>
      </c>
      <c r="AB249" s="151">
        <f t="shared" si="111"/>
        <v>0.3</v>
      </c>
      <c r="AC249" s="151">
        <f t="shared" si="111"/>
        <v>0.3</v>
      </c>
      <c r="AD249" s="151">
        <f t="shared" si="111"/>
        <v>0.3</v>
      </c>
      <c r="AE249" s="151">
        <f t="shared" si="111"/>
        <v>0.3</v>
      </c>
      <c r="AF249" s="151">
        <f t="shared" si="111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109"/>
        <v>0.4</v>
      </c>
      <c r="C250" s="151">
        <v>0.4</v>
      </c>
      <c r="D250" s="151">
        <f t="shared" si="110"/>
        <v>0.4</v>
      </c>
      <c r="E250" s="151">
        <f t="shared" si="110"/>
        <v>0.4</v>
      </c>
      <c r="F250" s="151">
        <f t="shared" si="110"/>
        <v>0.4</v>
      </c>
      <c r="G250" s="151">
        <f t="shared" si="110"/>
        <v>0.4</v>
      </c>
      <c r="H250" s="151">
        <f t="shared" si="110"/>
        <v>0.4</v>
      </c>
      <c r="I250" s="151">
        <f t="shared" si="110"/>
        <v>0.4</v>
      </c>
      <c r="J250" s="151">
        <f t="shared" si="110"/>
        <v>0.4</v>
      </c>
      <c r="K250" s="151">
        <f t="shared" si="110"/>
        <v>0.4</v>
      </c>
      <c r="L250" s="151">
        <f t="shared" si="110"/>
        <v>0.4</v>
      </c>
      <c r="M250" s="151">
        <f t="shared" si="110"/>
        <v>0.4</v>
      </c>
      <c r="N250" s="151">
        <f t="shared" si="110"/>
        <v>0.4</v>
      </c>
      <c r="O250" s="151">
        <f t="shared" si="110"/>
        <v>0.4</v>
      </c>
      <c r="P250" s="151">
        <f t="shared" si="110"/>
        <v>0.4</v>
      </c>
      <c r="Q250" s="151">
        <f t="shared" si="110"/>
        <v>0.4</v>
      </c>
      <c r="R250" s="151">
        <f t="shared" si="110"/>
        <v>0.4</v>
      </c>
      <c r="S250" s="151">
        <f t="shared" si="110"/>
        <v>0.4</v>
      </c>
      <c r="T250" s="151">
        <f t="shared" si="111"/>
        <v>0.4</v>
      </c>
      <c r="U250" s="151">
        <f t="shared" si="111"/>
        <v>0.4</v>
      </c>
      <c r="V250" s="151">
        <f t="shared" si="111"/>
        <v>0.4</v>
      </c>
      <c r="W250" s="151">
        <f t="shared" si="111"/>
        <v>0.4</v>
      </c>
      <c r="X250" s="151">
        <f t="shared" si="111"/>
        <v>0.4</v>
      </c>
      <c r="Y250" s="151">
        <f t="shared" si="111"/>
        <v>0.4</v>
      </c>
      <c r="Z250" s="151">
        <f t="shared" si="111"/>
        <v>0.4</v>
      </c>
      <c r="AA250" s="151">
        <f t="shared" si="111"/>
        <v>0.4</v>
      </c>
      <c r="AB250" s="151">
        <f t="shared" si="111"/>
        <v>0.4</v>
      </c>
      <c r="AC250" s="151">
        <f t="shared" si="111"/>
        <v>0.4</v>
      </c>
      <c r="AD250" s="151">
        <f t="shared" si="111"/>
        <v>0.4</v>
      </c>
      <c r="AE250" s="151">
        <f t="shared" si="111"/>
        <v>0.4</v>
      </c>
      <c r="AF250" s="151">
        <f t="shared" si="111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109"/>
        <v>0.64</v>
      </c>
      <c r="C251" s="156">
        <v>0.64</v>
      </c>
      <c r="D251" s="156">
        <f t="shared" si="110"/>
        <v>0.64</v>
      </c>
      <c r="E251" s="156">
        <f t="shared" si="110"/>
        <v>0.64</v>
      </c>
      <c r="F251" s="156">
        <f t="shared" si="110"/>
        <v>0.64</v>
      </c>
      <c r="G251" s="156">
        <f t="shared" si="110"/>
        <v>0.64</v>
      </c>
      <c r="H251" s="156">
        <f t="shared" si="110"/>
        <v>0.64</v>
      </c>
      <c r="I251" s="156">
        <f t="shared" si="110"/>
        <v>0.64</v>
      </c>
      <c r="J251" s="156">
        <f t="shared" si="110"/>
        <v>0.64</v>
      </c>
      <c r="K251" s="156">
        <f t="shared" si="110"/>
        <v>0.64</v>
      </c>
      <c r="L251" s="156">
        <f t="shared" si="110"/>
        <v>0.64</v>
      </c>
      <c r="M251" s="156">
        <f t="shared" si="110"/>
        <v>0.64</v>
      </c>
      <c r="N251" s="156">
        <f t="shared" si="110"/>
        <v>0.64</v>
      </c>
      <c r="O251" s="156">
        <f t="shared" si="110"/>
        <v>0.64</v>
      </c>
      <c r="P251" s="156">
        <f t="shared" si="110"/>
        <v>0.64</v>
      </c>
      <c r="Q251" s="156">
        <f t="shared" si="110"/>
        <v>0.64</v>
      </c>
      <c r="R251" s="156">
        <f t="shared" si="110"/>
        <v>0.64</v>
      </c>
      <c r="S251" s="156">
        <f t="shared" si="110"/>
        <v>0.64</v>
      </c>
      <c r="T251" s="156">
        <f t="shared" si="111"/>
        <v>0.64</v>
      </c>
      <c r="U251" s="156">
        <f t="shared" si="111"/>
        <v>0.64</v>
      </c>
      <c r="V251" s="156">
        <f t="shared" si="111"/>
        <v>0.64</v>
      </c>
      <c r="W251" s="156">
        <f t="shared" si="111"/>
        <v>0.64</v>
      </c>
      <c r="X251" s="156">
        <f t="shared" si="111"/>
        <v>0.64</v>
      </c>
      <c r="Y251" s="156">
        <f t="shared" si="111"/>
        <v>0.64</v>
      </c>
      <c r="Z251" s="156">
        <f t="shared" si="111"/>
        <v>0.64</v>
      </c>
      <c r="AA251" s="156">
        <f t="shared" si="111"/>
        <v>0.64</v>
      </c>
      <c r="AB251" s="156">
        <f t="shared" si="111"/>
        <v>0.64</v>
      </c>
      <c r="AC251" s="156">
        <f t="shared" si="111"/>
        <v>0.64</v>
      </c>
      <c r="AD251" s="156">
        <f t="shared" si="111"/>
        <v>0.64</v>
      </c>
      <c r="AE251" s="156">
        <f t="shared" si="111"/>
        <v>0.64</v>
      </c>
      <c r="AF251" s="156">
        <f t="shared" si="111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112">SUM(B246:B251)</f>
        <v>3.54</v>
      </c>
      <c r="C252" s="160">
        <f t="shared" si="112"/>
        <v>3.54</v>
      </c>
      <c r="D252" s="160">
        <f t="shared" si="112"/>
        <v>3.54</v>
      </c>
      <c r="E252" s="160">
        <f t="shared" si="112"/>
        <v>3.54</v>
      </c>
      <c r="F252" s="160">
        <f t="shared" si="112"/>
        <v>3.54</v>
      </c>
      <c r="G252" s="160">
        <f t="shared" si="112"/>
        <v>3.54</v>
      </c>
      <c r="H252" s="160">
        <f t="shared" si="112"/>
        <v>3.54</v>
      </c>
      <c r="I252" s="160">
        <f t="shared" si="112"/>
        <v>3.54</v>
      </c>
      <c r="J252" s="160">
        <f t="shared" si="112"/>
        <v>3.54</v>
      </c>
      <c r="K252" s="160">
        <f t="shared" si="112"/>
        <v>3.54</v>
      </c>
      <c r="L252" s="160">
        <f t="shared" si="112"/>
        <v>3.54</v>
      </c>
      <c r="M252" s="160">
        <f t="shared" si="112"/>
        <v>3.54</v>
      </c>
      <c r="N252" s="160">
        <f t="shared" si="112"/>
        <v>3.54</v>
      </c>
      <c r="O252" s="160">
        <f t="shared" si="112"/>
        <v>3.54</v>
      </c>
      <c r="P252" s="160">
        <f t="shared" si="112"/>
        <v>3.54</v>
      </c>
      <c r="Q252" s="160">
        <f t="shared" si="112"/>
        <v>3.54</v>
      </c>
      <c r="R252" s="160">
        <f t="shared" si="112"/>
        <v>3.54</v>
      </c>
      <c r="S252" s="160">
        <f t="shared" si="112"/>
        <v>3.54</v>
      </c>
      <c r="T252" s="160">
        <f t="shared" si="112"/>
        <v>3.54</v>
      </c>
      <c r="U252" s="160">
        <f t="shared" si="112"/>
        <v>3.54</v>
      </c>
      <c r="V252" s="160">
        <f t="shared" si="112"/>
        <v>3.54</v>
      </c>
      <c r="W252" s="160">
        <f t="shared" si="112"/>
        <v>3.54</v>
      </c>
      <c r="X252" s="160">
        <f t="shared" si="112"/>
        <v>3.54</v>
      </c>
      <c r="Y252" s="160">
        <f t="shared" si="112"/>
        <v>3.54</v>
      </c>
      <c r="Z252" s="160">
        <f t="shared" si="112"/>
        <v>3.54</v>
      </c>
      <c r="AA252" s="160">
        <f t="shared" si="112"/>
        <v>3.54</v>
      </c>
      <c r="AB252" s="160">
        <f t="shared" si="112"/>
        <v>3.54</v>
      </c>
      <c r="AC252" s="160">
        <f t="shared" si="112"/>
        <v>3.54</v>
      </c>
      <c r="AD252" s="160">
        <f t="shared" si="112"/>
        <v>3.54</v>
      </c>
      <c r="AE252" s="160">
        <f t="shared" si="112"/>
        <v>3.54</v>
      </c>
      <c r="AF252" s="160">
        <f t="shared" si="112"/>
        <v>3.54</v>
      </c>
      <c r="AG252" s="170">
        <f t="shared" si="112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1562.79</v>
      </c>
      <c r="C256" s="173">
        <f>INDEX(G9:N9,1,MATCH(MAX(G99:N99),G99:N99,0))</f>
        <v>0.33333333333333331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2080/10/21)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1321" priority="90">
      <formula>$AH11=0</formula>
    </cfRule>
  </conditionalFormatting>
  <conditionalFormatting sqref="A132:A253">
    <cfRule type="expression" dxfId="1320" priority="91">
      <formula>$AH132=0</formula>
    </cfRule>
  </conditionalFormatting>
  <conditionalFormatting sqref="B8">
    <cfRule type="expression" dxfId="1319" priority="149">
      <formula>AND(C$9&gt;=14/24,C$9&lt;20/24)</formula>
    </cfRule>
    <cfRule type="expression" dxfId="1318" priority="150">
      <formula>AND(C$9&gt;=8/24,C$9&lt;14/24)</formula>
    </cfRule>
    <cfRule type="expression" dxfId="1317" priority="151">
      <formula>C$9&lt;8/24</formula>
    </cfRule>
    <cfRule type="expression" dxfId="1316" priority="152">
      <formula>C$9&gt;=20/24</formula>
    </cfRule>
  </conditionalFormatting>
  <conditionalFormatting sqref="B11:G52 H12:J52 K13:AF52 B59:D68 D63:D74 C68:C74 B69:AF74 B77:AF99 B9:AF10 B101:AF117 B119:AF137 B244:AF244 B246:B252">
    <cfRule type="expression" dxfId="1315" priority="41">
      <formula>B$9&gt;=20/24</formula>
    </cfRule>
  </conditionalFormatting>
  <conditionalFormatting sqref="B9:AF10 B11:G52 H12:J52 K13:AF52 B59:D68 D63:D74 C68:C74 B69:AF74 B77:AF99 B101:AF117 B119:AF137 B244:AF244 B246:B252">
    <cfRule type="expression" dxfId="1314" priority="43">
      <formula>AND(B$9&gt;=8/24,B$9&lt;14/24)</formula>
    </cfRule>
    <cfRule type="expression" dxfId="1313" priority="42">
      <formula>AND(B$9&gt;=14/24,B$9&lt;20/24)</formula>
    </cfRule>
    <cfRule type="expression" dxfId="1312" priority="44">
      <formula>B$9&lt;8/24</formula>
    </cfRule>
  </conditionalFormatting>
  <conditionalFormatting sqref="B53:AF57">
    <cfRule type="expression" dxfId="1311" priority="53">
      <formula>B$9&lt;8/24</formula>
    </cfRule>
  </conditionalFormatting>
  <conditionalFormatting sqref="D246:AF252">
    <cfRule type="expression" dxfId="1310" priority="137">
      <formula>D$9&lt;8/24</formula>
    </cfRule>
    <cfRule type="expression" dxfId="1309" priority="136">
      <formula>AND(D$9&gt;=8/24,D$9&lt;14/24)</formula>
    </cfRule>
    <cfRule type="expression" dxfId="1308" priority="134">
      <formula>D$9&gt;=20/24</formula>
    </cfRule>
    <cfRule type="expression" dxfId="1307" priority="135">
      <formula>AND(D$9&gt;=14/24,D$9&lt;20/24)</formula>
    </cfRule>
  </conditionalFormatting>
  <conditionalFormatting sqref="E11:G55 B11:D61 H12:J55 K13:AF55 E57:F61 G57:AA76 AB57:AF80 AG62 B62:F76 B77:AA80 AG80">
    <cfRule type="expression" dxfId="1306" priority="40">
      <formula>B11&gt;$AG11</formula>
    </cfRule>
  </conditionalFormatting>
  <conditionalFormatting sqref="E63:I67 J64:J67 K67">
    <cfRule type="expression" dxfId="1305" priority="55">
      <formula>AND(E$9&gt;=14/24,E$9&lt;20/24)</formula>
    </cfRule>
    <cfRule type="expression" dxfId="1304" priority="54">
      <formula>E$9&gt;=20/24</formula>
    </cfRule>
    <cfRule type="expression" dxfId="1303" priority="56">
      <formula>AND(E$9&gt;=8/24,E$9&lt;14/24)</formula>
    </cfRule>
    <cfRule type="expression" dxfId="1302" priority="57">
      <formula>E$9&lt;8/24</formula>
    </cfRule>
  </conditionalFormatting>
  <conditionalFormatting sqref="E68:K68">
    <cfRule type="expression" dxfId="1301" priority="49">
      <formula>E$9&gt;=20/24</formula>
    </cfRule>
    <cfRule type="expression" dxfId="1300" priority="51">
      <formula>AND(E$9&gt;=8/24,E$9&lt;14/24)</formula>
    </cfRule>
    <cfRule type="expression" dxfId="1299" priority="52">
      <formula>E$9&lt;8/24</formula>
    </cfRule>
    <cfRule type="expression" dxfId="1298" priority="50">
      <formula>AND(E$9&gt;=14/24,E$9&lt;20/24)</formula>
    </cfRule>
  </conditionalFormatting>
  <conditionalFormatting sqref="E11:R11 S11:AF12 K12:R12">
    <cfRule type="expression" dxfId="1297" priority="62">
      <formula>E$9&lt;8/24</formula>
    </cfRule>
    <cfRule type="expression" dxfId="1296" priority="61">
      <formula>AND(E$9&gt;=8/24,E$9&lt;14/24)</formula>
    </cfRule>
    <cfRule type="expression" dxfId="1295" priority="60">
      <formula>AND(E$9&gt;=14/24,E$9&lt;20/24)</formula>
    </cfRule>
    <cfRule type="expression" dxfId="1294" priority="59">
      <formula>E$9&gt;=20/24</formula>
    </cfRule>
    <cfRule type="expression" dxfId="1293" priority="58">
      <formula>E11&gt;$AG11</formula>
    </cfRule>
  </conditionalFormatting>
  <conditionalFormatting sqref="E53:AF55 B53:D57">
    <cfRule type="expression" dxfId="1292" priority="37">
      <formula>B$9&gt;=20/24</formula>
    </cfRule>
    <cfRule type="expression" dxfId="1291" priority="38">
      <formula>AND(B$9&gt;=14/24,B$9&lt;20/24)</formula>
    </cfRule>
    <cfRule type="expression" dxfId="1290" priority="39">
      <formula>AND(B$9&gt;=8/24,B$9&lt;14/24)</formula>
    </cfRule>
  </conditionalFormatting>
  <conditionalFormatting sqref="E56:AF56">
    <cfRule type="expression" dxfId="1289" priority="45">
      <formula>E56&gt;$AG56</formula>
    </cfRule>
  </conditionalFormatting>
  <conditionalFormatting sqref="E56:AF57">
    <cfRule type="expression" dxfId="1288" priority="46">
      <formula>E$9&gt;=20/24</formula>
    </cfRule>
    <cfRule type="expression" dxfId="1287" priority="47">
      <formula>AND(E$9&gt;=14/24,E$9&lt;20/24)</formula>
    </cfRule>
    <cfRule type="expression" dxfId="1286" priority="48">
      <formula>AND(E$9&gt;=8/24,E$9&lt;14/24)</formula>
    </cfRule>
  </conditionalFormatting>
  <conditionalFormatting sqref="E59:AF62">
    <cfRule type="expression" dxfId="1285" priority="71">
      <formula>E$9&lt;8/24</formula>
    </cfRule>
    <cfRule type="expression" dxfId="1284" priority="70">
      <formula>AND(E$9&gt;=8/24,E$9&lt;14/24)</formula>
    </cfRule>
    <cfRule type="expression" dxfId="1283" priority="69">
      <formula>AND(E$9&gt;=14/24,E$9&lt;20/24)</formula>
    </cfRule>
    <cfRule type="expression" dxfId="1282" priority="68">
      <formula>E$9&gt;=20/24</formula>
    </cfRule>
  </conditionalFormatting>
  <conditionalFormatting sqref="F63:L65">
    <cfRule type="expression" dxfId="1281" priority="82">
      <formula>F$9&gt;=20/24</formula>
    </cfRule>
    <cfRule type="expression" dxfId="1280" priority="85">
      <formula>F$9&lt;8/24</formula>
    </cfRule>
    <cfRule type="expression" dxfId="1279" priority="84">
      <formula>AND(F$9&gt;=8/24,F$9&lt;14/24)</formula>
    </cfRule>
    <cfRule type="expression" dxfId="1278" priority="83">
      <formula>AND(F$9&gt;=14/24,F$9&lt;20/24)</formula>
    </cfRule>
  </conditionalFormatting>
  <conditionalFormatting sqref="L68:Y68">
    <cfRule type="expression" dxfId="1277" priority="80">
      <formula>AND(L$9&gt;=8/24,L$9&lt;14/24)</formula>
    </cfRule>
    <cfRule type="expression" dxfId="1276" priority="81">
      <formula>L$9&lt;8/24</formula>
    </cfRule>
    <cfRule type="expression" dxfId="1275" priority="78">
      <formula>L$9&gt;=20/24</formula>
    </cfRule>
    <cfRule type="expression" dxfId="1274" priority="79">
      <formula>AND(L$9&gt;=14/24,L$9&lt;20/24)</formula>
    </cfRule>
  </conditionalFormatting>
  <conditionalFormatting sqref="M8 S8 AB8">
    <cfRule type="expression" dxfId="1273" priority="143">
      <formula>N$9&lt;8/24</formula>
    </cfRule>
    <cfRule type="expression" dxfId="1272" priority="142">
      <formula>AND(N$9&gt;=8/24,N$9&lt;14/24)</formula>
    </cfRule>
    <cfRule type="expression" dxfId="1271" priority="141">
      <formula>AND(N$9&gt;=14/24,N$9&lt;20/24)</formula>
    </cfRule>
  </conditionalFormatting>
  <conditionalFormatting sqref="M63:Y67">
    <cfRule type="expression" dxfId="1270" priority="86">
      <formula>M$9&gt;=20/24</formula>
    </cfRule>
    <cfRule type="expression" dxfId="1269" priority="87">
      <formula>AND(M$9&gt;=14/24,M$9&lt;20/24)</formula>
    </cfRule>
    <cfRule type="expression" dxfId="1268" priority="88">
      <formula>AND(M$9&gt;=8/24,M$9&lt;14/24)</formula>
    </cfRule>
    <cfRule type="expression" dxfId="1267" priority="89">
      <formula>M$9&lt;8/24</formula>
    </cfRule>
  </conditionalFormatting>
  <conditionalFormatting sqref="O3:P3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266" priority="140">
      <formula>N$9&gt;=20/24</formula>
    </cfRule>
  </conditionalFormatting>
  <conditionalFormatting sqref="S8">
    <cfRule type="expression" dxfId="1265" priority="130">
      <formula>U$9&lt;8/24</formula>
    </cfRule>
    <cfRule type="expression" dxfId="1264" priority="129">
      <formula>AND(U$9&gt;=8/24,U$9&lt;14/24)</formula>
    </cfRule>
    <cfRule type="expression" dxfId="1263" priority="128">
      <formula>AND(U$9&gt;=14/24,U$9&lt;20/24)</formula>
    </cfRule>
    <cfRule type="expression" dxfId="1262" priority="127">
      <formula>U$9&gt;=20/24</formula>
    </cfRule>
  </conditionalFormatting>
  <conditionalFormatting sqref="T63:AF68">
    <cfRule type="expression" dxfId="1261" priority="75">
      <formula>T$9&lt;8/24</formula>
    </cfRule>
    <cfRule type="expression" dxfId="1260" priority="74">
      <formula>AND(T$9&gt;=8/24,T$9&lt;14/24)</formula>
    </cfRule>
    <cfRule type="expression" dxfId="1259" priority="73">
      <formula>AND(T$9&gt;=14/24,T$9&lt;20/24)</formula>
    </cfRule>
    <cfRule type="expression" dxfId="1258" priority="72">
      <formula>T$9&gt;=20/24</formula>
    </cfRule>
  </conditionalFormatting>
  <conditionalFormatting sqref="V3 AB3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257" priority="124">
      <formula>AND(AD$9&gt;=14/24,AD$9&lt;20/24)</formula>
    </cfRule>
    <cfRule type="expression" dxfId="1256" priority="123">
      <formula>AD$9&gt;=20/24</formula>
    </cfRule>
    <cfRule type="expression" dxfId="1255" priority="126">
      <formula>AD$9&lt;8/24</formula>
    </cfRule>
    <cfRule type="expression" dxfId="1254" priority="125">
      <formula>AND(AD$9&gt;=8/24,AD$9&lt;14/24)</formula>
    </cfRule>
  </conditionalFormatting>
  <conditionalFormatting sqref="AG58">
    <cfRule type="expression" dxfId="1253" priority="118">
      <formula>AG58&gt;$AG58</formula>
    </cfRule>
  </conditionalFormatting>
  <conditionalFormatting sqref="AG62">
    <cfRule type="expression" dxfId="1252" priority="101">
      <formula>AG$9&gt;=20/24</formula>
    </cfRule>
    <cfRule type="expression" dxfId="1251" priority="102">
      <formula>AND(AG$9&gt;=14/24,AG$9&lt;20/24)</formula>
    </cfRule>
    <cfRule type="expression" dxfId="1250" priority="103">
      <formula>AND(AG$9&gt;=8/24,AG$9&lt;14/24)</formula>
    </cfRule>
    <cfRule type="expression" dxfId="1249" priority="104">
      <formula>AG$9&lt;8/24</formula>
    </cfRule>
  </conditionalFormatting>
  <conditionalFormatting sqref="AG75:AG76">
    <cfRule type="expression" dxfId="1248" priority="96">
      <formula>AG75&gt;$AG75</formula>
    </cfRule>
  </conditionalFormatting>
  <conditionalFormatting sqref="AG80">
    <cfRule type="expression" dxfId="1247" priority="100">
      <formula>AG$9&lt;8/24</formula>
    </cfRule>
    <cfRule type="expression" dxfId="1246" priority="97">
      <formula>AG$9&gt;=20/24</formula>
    </cfRule>
    <cfRule type="expression" dxfId="1245" priority="98">
      <formula>AND(AG$9&gt;=14/24,AG$9&lt;20/24)</formula>
    </cfRule>
    <cfRule type="expression" dxfId="1244" priority="99">
      <formula>AND(AG$9&gt;=8/24,AG$9&lt;14/24)</formula>
    </cfRule>
  </conditionalFormatting>
  <conditionalFormatting sqref="AG97">
    <cfRule type="expression" dxfId="1243" priority="122">
      <formula>AG$9&lt;8/24</formula>
    </cfRule>
    <cfRule type="expression" dxfId="1242" priority="121">
      <formula>AND(AG$9&gt;=8/24,AG$9&lt;14/24)</formula>
    </cfRule>
    <cfRule type="expression" dxfId="1241" priority="120">
      <formula>AND(AG$9&gt;=14/24,AG$9&lt;20/24)</formula>
    </cfRule>
    <cfRule type="expression" dxfId="1240" priority="119">
      <formula>AG$9&gt;=20/24</formula>
    </cfRule>
  </conditionalFormatting>
  <conditionalFormatting sqref="AL4:AL6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239" priority="147">
      <formula>AJ$9&lt;8/24</formula>
    </cfRule>
    <cfRule type="expression" dxfId="1238" priority="145">
      <formula>AND(AJ$9&gt;=14/24,AJ$9&lt;20/24)</formula>
    </cfRule>
    <cfRule type="expression" dxfId="1237" priority="144">
      <formula>AJ$9&gt;=20/24</formula>
    </cfRule>
    <cfRule type="expression" dxfId="1236" priority="146">
      <formula>AND(AJ$9&gt;=8/24,AJ$9&lt;14/24)</formula>
    </cfRule>
  </conditionalFormatting>
  <conditionalFormatting sqref="AL88:AN88 AL94:AN94">
    <cfRule type="expression" dxfId="1235" priority="113">
      <formula>AND(AL$9&gt;=8/24,AL$9&lt;14/24)</formula>
    </cfRule>
    <cfRule type="expression" dxfId="1234" priority="111">
      <formula>AL$9&gt;=20/24</formula>
    </cfRule>
    <cfRule type="expression" dxfId="1233" priority="112">
      <formula>AND(AL$9&gt;=14/24,AL$9&lt;20/24)</formula>
    </cfRule>
    <cfRule type="expression" dxfId="1232" priority="114">
      <formula>AL$9&lt;8/24</formula>
    </cfRule>
  </conditionalFormatting>
  <conditionalFormatting sqref="AM15:AM21 AN16:AR21">
    <cfRule type="expression" dxfId="1231" priority="15">
      <formula>AND(AX$9&gt;=8/24,AX$9&lt;14/24)</formula>
    </cfRule>
    <cfRule type="expression" dxfId="1230" priority="16">
      <formula>AX$9&lt;8/24</formula>
    </cfRule>
    <cfRule type="expression" dxfId="1229" priority="14">
      <formula>AND(AX$9&gt;=14/24,AX$9&lt;20/24)</formula>
    </cfRule>
    <cfRule type="expression" dxfId="1228" priority="13">
      <formula>AX$9&gt;=20/24</formula>
    </cfRule>
  </conditionalFormatting>
  <conditionalFormatting sqref="AN89:AN92">
    <cfRule type="expression" dxfId="1227" priority="107">
      <formula>AN$9&gt;=20/24</formula>
    </cfRule>
    <cfRule type="expression" dxfId="1226" priority="108">
      <formula>AND(AN$9&gt;=14/24,AN$9&lt;20/24)</formula>
    </cfRule>
    <cfRule type="expression" dxfId="1225" priority="109">
      <formula>AND(AN$9&gt;=8/24,AN$9&lt;14/24)</formula>
    </cfRule>
    <cfRule type="expression" dxfId="1224" priority="110">
      <formula>AN$9&lt;8/24</formula>
    </cfRule>
  </conditionalFormatting>
  <conditionalFormatting sqref="AN15:AR15">
    <cfRule type="expression" dxfId="1223" priority="2">
      <formula>AND(U$9&gt;=14/24,U$9&lt;20/24)</formula>
    </cfRule>
    <cfRule type="expression" dxfId="1222" priority="3">
      <formula>AND(U$9&gt;=8/24,U$9&lt;14/24)</formula>
    </cfRule>
    <cfRule type="expression" dxfId="1221" priority="4">
      <formula>U$9&lt;8/24</formula>
    </cfRule>
    <cfRule type="expression" dxfId="1220" priority="1">
      <formula>U$9&gt;=20/24</formula>
    </cfRule>
  </conditionalFormatting>
  <conditionalFormatting sqref="AS15">
    <cfRule type="expression" dxfId="1219" priority="12">
      <formula>AA$9&lt;8/24</formula>
    </cfRule>
    <cfRule type="expression" dxfId="1218" priority="9">
      <formula>AA$9&gt;=20/24</formula>
    </cfRule>
    <cfRule type="expression" dxfId="1217" priority="10">
      <formula>AND(AA$9&gt;=14/24,AA$9&lt;20/24)</formula>
    </cfRule>
    <cfRule type="expression" dxfId="1216" priority="11">
      <formula>AND(AA$9&gt;=8/24,AA$9&lt;14/24)</formula>
    </cfRule>
  </conditionalFormatting>
  <conditionalFormatting sqref="AS16:AS21">
    <cfRule type="expression" dxfId="1215" priority="18">
      <formula>AND(BE$9&gt;=14/24,BE$9&lt;20/24)</formula>
    </cfRule>
    <cfRule type="expression" dxfId="1214" priority="17">
      <formula>BE$9&gt;=20/24</formula>
    </cfRule>
    <cfRule type="expression" dxfId="1213" priority="20">
      <formula>BE$9&lt;8/24</formula>
    </cfRule>
    <cfRule type="expression" dxfId="1212" priority="19">
      <formula>AND(BE$9&gt;=8/24,BE$9&lt;14/24)</formula>
    </cfRule>
  </conditionalFormatting>
  <conditionalFormatting sqref="AT15 AX15">
    <cfRule type="expression" dxfId="1211" priority="22">
      <formula>AND(AC$9&gt;=14/24,AC$9&lt;20/24)</formula>
    </cfRule>
    <cfRule type="expression" dxfId="1210" priority="23">
      <formula>AND(AC$9&gt;=8/24,AC$9&lt;14/24)</formula>
    </cfRule>
    <cfRule type="expression" dxfId="1209" priority="24">
      <formula>AC$9&lt;8/24</formula>
    </cfRule>
    <cfRule type="expression" dxfId="1208" priority="21">
      <formula>AC$9&gt;=20/24</formula>
    </cfRule>
  </conditionalFormatting>
  <conditionalFormatting sqref="AT16:AT21">
    <cfRule type="expression" dxfId="1207" priority="25">
      <formula>BG$9&gt;=20/24</formula>
    </cfRule>
    <cfRule type="expression" dxfId="1206" priority="26">
      <formula>AND(BG$9&gt;=14/24,BG$9&lt;20/24)</formula>
    </cfRule>
    <cfRule type="expression" dxfId="1205" priority="27">
      <formula>AND(BG$9&gt;=8/24,BG$9&lt;14/24)</formula>
    </cfRule>
    <cfRule type="expression" dxfId="1204" priority="28">
      <formula>BG$9&lt;8/24</formula>
    </cfRule>
  </conditionalFormatting>
  <conditionalFormatting sqref="AU15:AV15">
    <cfRule type="expression" dxfId="1203" priority="32">
      <formula>AE$9&lt;8/24</formula>
    </cfRule>
    <cfRule type="expression" dxfId="1202" priority="31">
      <formula>AND(AE$9&gt;=8/24,AE$9&lt;14/24)</formula>
    </cfRule>
    <cfRule type="expression" dxfId="1201" priority="30">
      <formula>AND(AE$9&gt;=14/24,AE$9&lt;20/24)</formula>
    </cfRule>
    <cfRule type="expression" dxfId="1200" priority="29">
      <formula>AE$9&gt;=20/24</formula>
    </cfRule>
  </conditionalFormatting>
  <conditionalFormatting sqref="AU16:AX21">
    <cfRule type="expression" dxfId="1199" priority="33">
      <formula>BI$9&gt;=20/24</formula>
    </cfRule>
    <cfRule type="expression" dxfId="1198" priority="34">
      <formula>AND(BI$9&gt;=14/24,BI$9&lt;20/24)</formula>
    </cfRule>
    <cfRule type="expression" dxfId="1197" priority="35">
      <formula>AND(BI$9&gt;=8/24,BI$9&lt;14/24)</formula>
    </cfRule>
    <cfRule type="expression" dxfId="1196" priority="36">
      <formula>BI$9&lt;8/24</formula>
    </cfRule>
  </conditionalFormatting>
  <conditionalFormatting sqref="AW15">
    <cfRule type="expression" dxfId="1195" priority="5">
      <formula>B$9&gt;=20/24</formula>
    </cfRule>
    <cfRule type="expression" dxfId="1194" priority="6">
      <formula>AND(B$9&gt;=14/24,B$9&lt;20/24)</formula>
    </cfRule>
    <cfRule type="expression" dxfId="1193" priority="8">
      <formula>B$9&lt;8/24</formula>
    </cfRule>
    <cfRule type="expression" dxfId="1192" priority="7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31421-95D1-4FB8-AD2C-450904E4D5B2}">
  <sheetPr codeName="Sheet26"/>
  <dimension ref="A1:CJ294"/>
  <sheetViews>
    <sheetView zoomScale="106" workbookViewId="0">
      <pane xSplit="1" ySplit="10" topLeftCell="B115" activePane="bottomRight" state="frozen"/>
      <selection activeCell="Z63" sqref="Z63"/>
      <selection pane="topRight" activeCell="Z63" sqref="Z63"/>
      <selection pane="bottomLeft" activeCell="Z63" sqref="Z63"/>
      <selection pane="bottomRight" activeCell="AL15" sqref="AL15:BJ24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2080/10/22</v>
      </c>
      <c r="C4" s="214"/>
      <c r="D4" s="214"/>
      <c r="E4" s="215" t="str">
        <f ca="1">"2080/"&amp;"10/"&amp;INT(MID(CELL("filename",G6),FIND("]",CELL("filename",G6))+1,200))</f>
        <v>2080/10/22</v>
      </c>
      <c r="F4" s="215"/>
      <c r="G4" s="215"/>
      <c r="H4" s="215" t="str">
        <f ca="1">TEXT(E4,"dddd")</f>
        <v>Tuesday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102.6</v>
      </c>
      <c r="C5" s="30">
        <f t="shared" ref="C5:AE5" si="0">D92</f>
        <v>91.1</v>
      </c>
      <c r="D5" s="30">
        <f t="shared" si="0"/>
        <v>100.2</v>
      </c>
      <c r="E5" s="30">
        <f t="shared" si="0"/>
        <v>108.10000000000001</v>
      </c>
      <c r="F5" s="30">
        <f t="shared" si="0"/>
        <v>127.4</v>
      </c>
      <c r="G5" s="30">
        <f t="shared" si="0"/>
        <v>276</v>
      </c>
      <c r="H5" s="30">
        <f t="shared" si="0"/>
        <v>277.8</v>
      </c>
      <c r="I5" s="30">
        <f t="shared" si="0"/>
        <v>568.80000000000007</v>
      </c>
      <c r="J5" s="30">
        <f t="shared" si="0"/>
        <v>730.3</v>
      </c>
      <c r="K5" s="30">
        <f t="shared" si="0"/>
        <v>758.90000000000009</v>
      </c>
      <c r="L5" s="30">
        <f t="shared" si="0"/>
        <v>755.2</v>
      </c>
      <c r="M5" s="30">
        <f t="shared" si="0"/>
        <v>692.1</v>
      </c>
      <c r="N5" s="30">
        <f t="shared" si="0"/>
        <v>783.8</v>
      </c>
      <c r="O5" s="30">
        <f t="shared" si="0"/>
        <v>779.8</v>
      </c>
      <c r="P5" s="30">
        <f t="shared" si="0"/>
        <v>696.99999999999989</v>
      </c>
      <c r="Q5" s="30">
        <f t="shared" si="0"/>
        <v>545.1</v>
      </c>
      <c r="R5" s="30">
        <f t="shared" si="0"/>
        <v>782.19999999999993</v>
      </c>
      <c r="S5" s="30">
        <f t="shared" si="0"/>
        <v>758.9</v>
      </c>
      <c r="T5" s="30">
        <f t="shared" si="0"/>
        <v>763.1</v>
      </c>
      <c r="U5" s="30">
        <f t="shared" si="0"/>
        <v>694.09999999999991</v>
      </c>
      <c r="V5" s="30">
        <f t="shared" si="0"/>
        <v>779</v>
      </c>
      <c r="W5" s="30">
        <f t="shared" si="0"/>
        <v>414.09999999999997</v>
      </c>
      <c r="X5" s="30">
        <f t="shared" si="0"/>
        <v>155.70000000000002</v>
      </c>
      <c r="Y5" s="30">
        <f t="shared" si="0"/>
        <v>120.4</v>
      </c>
      <c r="Z5" s="30">
        <f t="shared" si="0"/>
        <v>149.1</v>
      </c>
      <c r="AA5" s="30">
        <f t="shared" si="0"/>
        <v>145.4</v>
      </c>
      <c r="AB5" s="30">
        <f t="shared" si="0"/>
        <v>151.4</v>
      </c>
      <c r="AC5" s="30">
        <f t="shared" si="0"/>
        <v>288.5</v>
      </c>
      <c r="AD5" s="30">
        <f t="shared" si="0"/>
        <v>172.9</v>
      </c>
      <c r="AE5" s="30">
        <f t="shared" si="0"/>
        <v>175.1</v>
      </c>
      <c r="AF5" s="30">
        <f>B92</f>
        <v>124.6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1712MW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Load=1273</v>
      </c>
      <c r="B7" s="35">
        <f>B100</f>
        <v>1396.8899999999999</v>
      </c>
      <c r="C7" s="35">
        <f t="shared" ref="C7:AF7" si="1">C100</f>
        <v>1345.3899999999999</v>
      </c>
      <c r="D7" s="35">
        <f t="shared" si="1"/>
        <v>1307.69</v>
      </c>
      <c r="E7" s="35">
        <f t="shared" si="1"/>
        <v>1311.3899999999999</v>
      </c>
      <c r="F7" s="35">
        <f t="shared" si="1"/>
        <v>1272.8899999999999</v>
      </c>
      <c r="G7" s="35">
        <f t="shared" si="1"/>
        <v>1327.79</v>
      </c>
      <c r="H7" s="35">
        <f t="shared" si="1"/>
        <v>1379.09</v>
      </c>
      <c r="I7" s="35">
        <f t="shared" si="1"/>
        <v>1436.6899999999998</v>
      </c>
      <c r="J7" s="35">
        <f t="shared" si="1"/>
        <v>1520.99</v>
      </c>
      <c r="K7" s="35">
        <f t="shared" si="1"/>
        <v>1594.4899999999998</v>
      </c>
      <c r="L7" s="35">
        <f t="shared" si="1"/>
        <v>1711.89</v>
      </c>
      <c r="M7" s="35">
        <f t="shared" si="1"/>
        <v>1709.49</v>
      </c>
      <c r="N7" s="35">
        <f t="shared" si="1"/>
        <v>1638.79</v>
      </c>
      <c r="O7" s="35">
        <f t="shared" si="1"/>
        <v>1697.99</v>
      </c>
      <c r="P7" s="35">
        <f t="shared" si="1"/>
        <v>1695.99</v>
      </c>
      <c r="Q7" s="35">
        <f t="shared" si="1"/>
        <v>1586.8899999999999</v>
      </c>
      <c r="R7" s="35">
        <f t="shared" si="1"/>
        <v>1403.8899999999999</v>
      </c>
      <c r="S7" s="35">
        <f t="shared" si="1"/>
        <v>1669.79</v>
      </c>
      <c r="T7" s="35">
        <f t="shared" si="1"/>
        <v>1656.8899999999999</v>
      </c>
      <c r="U7" s="35">
        <f t="shared" si="1"/>
        <v>1666.59</v>
      </c>
      <c r="V7" s="35">
        <f t="shared" si="1"/>
        <v>1621.79</v>
      </c>
      <c r="W7" s="35">
        <f t="shared" si="1"/>
        <v>1667.69</v>
      </c>
      <c r="X7" s="35">
        <f t="shared" si="1"/>
        <v>1607.8899999999999</v>
      </c>
      <c r="Y7" s="35">
        <f t="shared" si="1"/>
        <v>1793.7500000000002</v>
      </c>
      <c r="Z7" s="35">
        <f t="shared" si="1"/>
        <v>1916.0500000000002</v>
      </c>
      <c r="AA7" s="35">
        <f t="shared" si="1"/>
        <v>1849.49</v>
      </c>
      <c r="AB7" s="35">
        <f t="shared" si="1"/>
        <v>1796.0900000000001</v>
      </c>
      <c r="AC7" s="35">
        <f t="shared" si="1"/>
        <v>1825.39</v>
      </c>
      <c r="AD7" s="35">
        <f t="shared" si="1"/>
        <v>1703.79</v>
      </c>
      <c r="AE7" s="35">
        <f t="shared" si="1"/>
        <v>1577.4900000000002</v>
      </c>
      <c r="AF7" s="35">
        <f t="shared" si="1"/>
        <v>1474.99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1916.05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1916.05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22.3</v>
      </c>
      <c r="C11" s="46">
        <v>22.3</v>
      </c>
      <c r="D11" s="46">
        <v>22.3</v>
      </c>
      <c r="E11" s="46">
        <v>22.3</v>
      </c>
      <c r="F11" s="46">
        <v>22.3</v>
      </c>
      <c r="G11" s="46">
        <v>22.3</v>
      </c>
      <c r="H11" s="46">
        <v>22.3</v>
      </c>
      <c r="I11" s="46">
        <v>22.3</v>
      </c>
      <c r="J11" s="46">
        <v>22.3</v>
      </c>
      <c r="K11" s="46">
        <v>22.3</v>
      </c>
      <c r="L11" s="46">
        <v>22.3</v>
      </c>
      <c r="M11" s="46">
        <v>22.3</v>
      </c>
      <c r="N11" s="46">
        <v>22.3</v>
      </c>
      <c r="O11" s="46">
        <v>22.3</v>
      </c>
      <c r="P11" s="46">
        <v>22.3</v>
      </c>
      <c r="Q11" s="46">
        <v>22.3</v>
      </c>
      <c r="R11" s="46">
        <v>22.3</v>
      </c>
      <c r="S11" s="46">
        <v>22.3</v>
      </c>
      <c r="T11" s="46">
        <v>22.3</v>
      </c>
      <c r="U11" s="46">
        <v>22.3</v>
      </c>
      <c r="V11" s="46">
        <v>22.3</v>
      </c>
      <c r="W11" s="46">
        <v>22.3</v>
      </c>
      <c r="X11" s="46">
        <v>22.3</v>
      </c>
      <c r="Y11" s="46">
        <v>24</v>
      </c>
      <c r="Z11" s="46">
        <v>26.4</v>
      </c>
      <c r="AA11" s="46">
        <v>26.4</v>
      </c>
      <c r="AB11" s="46">
        <v>26.4</v>
      </c>
      <c r="AC11" s="46">
        <v>26.4</v>
      </c>
      <c r="AD11" s="46">
        <v>26.4</v>
      </c>
      <c r="AE11" s="46">
        <v>24.1</v>
      </c>
      <c r="AF11" s="46">
        <v>25.5</v>
      </c>
      <c r="AG11" s="47">
        <v>86</v>
      </c>
      <c r="AH11" s="48">
        <f t="shared" ref="AH11:AH16" si="2">MAX(B11:AF11)</f>
        <v>26.4</v>
      </c>
      <c r="AI11" s="49">
        <f t="shared" ref="AI11:AI16" si="3">MIN(B11:AF11)</f>
        <v>22.3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12</v>
      </c>
      <c r="C12" s="46">
        <v>12</v>
      </c>
      <c r="D12" s="46">
        <v>12</v>
      </c>
      <c r="E12" s="46">
        <v>12</v>
      </c>
      <c r="F12" s="46">
        <v>12</v>
      </c>
      <c r="G12" s="46">
        <v>12</v>
      </c>
      <c r="H12" s="46">
        <v>12</v>
      </c>
      <c r="I12" s="46">
        <v>12</v>
      </c>
      <c r="J12" s="46">
        <v>12</v>
      </c>
      <c r="K12" s="46">
        <v>12</v>
      </c>
      <c r="L12" s="46">
        <v>12</v>
      </c>
      <c r="M12" s="46">
        <v>12</v>
      </c>
      <c r="N12" s="46">
        <v>12</v>
      </c>
      <c r="O12" s="46">
        <v>12</v>
      </c>
      <c r="P12" s="46">
        <v>12</v>
      </c>
      <c r="Q12" s="46">
        <v>12</v>
      </c>
      <c r="R12" s="46">
        <v>12</v>
      </c>
      <c r="S12" s="46">
        <v>12</v>
      </c>
      <c r="T12" s="46">
        <v>12</v>
      </c>
      <c r="U12" s="46">
        <v>12</v>
      </c>
      <c r="V12" s="46">
        <v>12</v>
      </c>
      <c r="W12" s="46">
        <v>12</v>
      </c>
      <c r="X12" s="46">
        <v>12</v>
      </c>
      <c r="Y12" s="46">
        <v>12</v>
      </c>
      <c r="Z12" s="46">
        <v>12</v>
      </c>
      <c r="AA12" s="46">
        <v>12</v>
      </c>
      <c r="AB12" s="46">
        <v>12</v>
      </c>
      <c r="AC12" s="46">
        <v>12</v>
      </c>
      <c r="AD12" s="46">
        <v>12</v>
      </c>
      <c r="AE12" s="46">
        <v>12</v>
      </c>
      <c r="AF12" s="46">
        <v>12</v>
      </c>
      <c r="AG12" s="50">
        <v>54</v>
      </c>
      <c r="AH12" s="48">
        <f t="shared" si="2"/>
        <v>12</v>
      </c>
      <c r="AI12" s="49">
        <f t="shared" si="3"/>
        <v>12</v>
      </c>
      <c r="AK12" s="51"/>
      <c r="AL12" s="52" t="str">
        <f ca="1">MID(CELL("filename",C7),FIND("]",CELL("filename",C7))+1,600)</f>
        <v>22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16.5</v>
      </c>
      <c r="C13" s="46">
        <v>16.5</v>
      </c>
      <c r="D13" s="46">
        <v>16.5</v>
      </c>
      <c r="E13" s="46">
        <v>16.5</v>
      </c>
      <c r="F13" s="46">
        <v>16.5</v>
      </c>
      <c r="G13" s="46">
        <v>16.5</v>
      </c>
      <c r="H13" s="46">
        <v>16.5</v>
      </c>
      <c r="I13" s="46">
        <v>16.5</v>
      </c>
      <c r="J13" s="46">
        <v>16.5</v>
      </c>
      <c r="K13" s="46">
        <v>16.5</v>
      </c>
      <c r="L13" s="46">
        <v>16.5</v>
      </c>
      <c r="M13" s="46">
        <v>16.5</v>
      </c>
      <c r="N13" s="46">
        <v>16.5</v>
      </c>
      <c r="O13" s="46">
        <v>16.5</v>
      </c>
      <c r="P13" s="46">
        <v>16.5</v>
      </c>
      <c r="Q13" s="46">
        <v>16.5</v>
      </c>
      <c r="R13" s="46">
        <v>16.5</v>
      </c>
      <c r="S13" s="46">
        <v>16.5</v>
      </c>
      <c r="T13" s="46">
        <v>16.5</v>
      </c>
      <c r="U13" s="46">
        <v>16.5</v>
      </c>
      <c r="V13" s="46">
        <v>16.5</v>
      </c>
      <c r="W13" s="46">
        <v>16.5</v>
      </c>
      <c r="X13" s="46">
        <v>16.5</v>
      </c>
      <c r="Y13" s="46">
        <v>16.5</v>
      </c>
      <c r="Z13" s="46">
        <v>16.5</v>
      </c>
      <c r="AA13" s="46">
        <v>16.5</v>
      </c>
      <c r="AB13" s="46">
        <v>16.5</v>
      </c>
      <c r="AC13" s="46">
        <v>16.5</v>
      </c>
      <c r="AD13" s="46">
        <v>16.5</v>
      </c>
      <c r="AE13" s="46">
        <v>16</v>
      </c>
      <c r="AF13" s="46">
        <v>16</v>
      </c>
      <c r="AG13" s="50">
        <v>54</v>
      </c>
      <c r="AH13" s="48">
        <f t="shared" si="2"/>
        <v>16.5</v>
      </c>
      <c r="AI13" s="49">
        <f t="shared" si="3"/>
        <v>16</v>
      </c>
      <c r="AK13" s="51"/>
      <c r="AL13" s="52" t="str">
        <f ca="1">"Daily Load Curve(Excluding of Export) of Nepal ("&amp;A4&amp;" "&amp;B4&amp;")"</f>
        <v>Daily Load Curve(Excluding of Export) of Nepal (Nepali Date: 2080/10/22)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14.8</v>
      </c>
      <c r="C14" s="46">
        <v>14.8</v>
      </c>
      <c r="D14" s="46">
        <v>14.8</v>
      </c>
      <c r="E14" s="46">
        <v>14.8</v>
      </c>
      <c r="F14" s="46">
        <v>14.8</v>
      </c>
      <c r="G14" s="46">
        <v>14.8</v>
      </c>
      <c r="H14" s="46">
        <v>14.8</v>
      </c>
      <c r="I14" s="46">
        <v>14.8</v>
      </c>
      <c r="J14" s="46">
        <v>14.8</v>
      </c>
      <c r="K14" s="46">
        <v>14.8</v>
      </c>
      <c r="L14" s="46">
        <v>14.8</v>
      </c>
      <c r="M14" s="46">
        <v>14.8</v>
      </c>
      <c r="N14" s="46">
        <v>14.8</v>
      </c>
      <c r="O14" s="46">
        <v>14.8</v>
      </c>
      <c r="P14" s="46">
        <v>14.8</v>
      </c>
      <c r="Q14" s="46">
        <v>14.8</v>
      </c>
      <c r="R14" s="46">
        <v>14.8</v>
      </c>
      <c r="S14" s="46">
        <v>14.8</v>
      </c>
      <c r="T14" s="46">
        <v>14.8</v>
      </c>
      <c r="U14" s="46">
        <v>14.8</v>
      </c>
      <c r="V14" s="46">
        <v>14.8</v>
      </c>
      <c r="W14" s="46">
        <v>14.8</v>
      </c>
      <c r="X14" s="46">
        <v>14.8</v>
      </c>
      <c r="Y14" s="46">
        <v>14.8</v>
      </c>
      <c r="Z14" s="46">
        <v>14.8</v>
      </c>
      <c r="AA14" s="46">
        <v>14.8</v>
      </c>
      <c r="AB14" s="46">
        <v>14.8</v>
      </c>
      <c r="AC14" s="46">
        <v>14.8</v>
      </c>
      <c r="AD14" s="46">
        <v>14.8</v>
      </c>
      <c r="AE14" s="46">
        <v>14</v>
      </c>
      <c r="AF14" s="46">
        <v>13.9</v>
      </c>
      <c r="AG14" s="47">
        <v>52.4</v>
      </c>
      <c r="AH14" s="48">
        <f t="shared" si="2"/>
        <v>14.8</v>
      </c>
      <c r="AI14" s="49">
        <f t="shared" si="3"/>
        <v>13.9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36.6</v>
      </c>
      <c r="C15" s="46">
        <v>36.6</v>
      </c>
      <c r="D15" s="46">
        <v>36.6</v>
      </c>
      <c r="E15" s="46">
        <v>36.6</v>
      </c>
      <c r="F15" s="46">
        <v>36.6</v>
      </c>
      <c r="G15" s="46">
        <v>36.6</v>
      </c>
      <c r="H15" s="46">
        <v>36.6</v>
      </c>
      <c r="I15" s="46">
        <v>36.6</v>
      </c>
      <c r="J15" s="46">
        <v>36.6</v>
      </c>
      <c r="K15" s="46">
        <v>36.6</v>
      </c>
      <c r="L15" s="46">
        <v>36.6</v>
      </c>
      <c r="M15" s="46">
        <v>36.6</v>
      </c>
      <c r="N15" s="46">
        <v>36.6</v>
      </c>
      <c r="O15" s="46">
        <v>36.6</v>
      </c>
      <c r="P15" s="46">
        <v>36.6</v>
      </c>
      <c r="Q15" s="46">
        <v>36.6</v>
      </c>
      <c r="R15" s="46">
        <v>36.6</v>
      </c>
      <c r="S15" s="46">
        <v>36.6</v>
      </c>
      <c r="T15" s="46">
        <v>36.6</v>
      </c>
      <c r="U15" s="46">
        <v>36.6</v>
      </c>
      <c r="V15" s="46">
        <v>36.6</v>
      </c>
      <c r="W15" s="46">
        <v>36.6</v>
      </c>
      <c r="X15" s="46">
        <v>36.6</v>
      </c>
      <c r="Y15" s="46">
        <v>36.6</v>
      </c>
      <c r="Z15" s="46">
        <v>36.6</v>
      </c>
      <c r="AA15" s="46">
        <v>36.6</v>
      </c>
      <c r="AB15" s="46">
        <v>36.6</v>
      </c>
      <c r="AC15" s="46">
        <v>36.6</v>
      </c>
      <c r="AD15" s="46">
        <v>36.6</v>
      </c>
      <c r="AE15" s="46">
        <v>39.4</v>
      </c>
      <c r="AF15" s="46">
        <v>42.6</v>
      </c>
      <c r="AG15" s="50">
        <v>50</v>
      </c>
      <c r="AH15" s="48">
        <f t="shared" si="2"/>
        <v>42.6</v>
      </c>
      <c r="AI15" s="49">
        <f t="shared" si="3"/>
        <v>36.6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15</v>
      </c>
      <c r="C16" s="46">
        <v>15</v>
      </c>
      <c r="D16" s="46">
        <v>15</v>
      </c>
      <c r="E16" s="46">
        <v>15</v>
      </c>
      <c r="F16" s="46">
        <v>15</v>
      </c>
      <c r="G16" s="46">
        <v>15</v>
      </c>
      <c r="H16" s="46">
        <v>15</v>
      </c>
      <c r="I16" s="46">
        <v>15</v>
      </c>
      <c r="J16" s="46">
        <v>15</v>
      </c>
      <c r="K16" s="46">
        <v>15</v>
      </c>
      <c r="L16" s="46">
        <v>15</v>
      </c>
      <c r="M16" s="46">
        <v>15</v>
      </c>
      <c r="N16" s="46">
        <v>15</v>
      </c>
      <c r="O16" s="46">
        <v>15</v>
      </c>
      <c r="P16" s="46">
        <v>15</v>
      </c>
      <c r="Q16" s="46">
        <v>15</v>
      </c>
      <c r="R16" s="46">
        <v>15</v>
      </c>
      <c r="S16" s="46">
        <v>15</v>
      </c>
      <c r="T16" s="46">
        <v>15</v>
      </c>
      <c r="U16" s="46">
        <v>15</v>
      </c>
      <c r="V16" s="46">
        <v>15</v>
      </c>
      <c r="W16" s="46">
        <v>15</v>
      </c>
      <c r="X16" s="46">
        <v>15</v>
      </c>
      <c r="Y16" s="46">
        <v>15</v>
      </c>
      <c r="Z16" s="46">
        <v>15</v>
      </c>
      <c r="AA16" s="46">
        <v>15</v>
      </c>
      <c r="AB16" s="46">
        <v>15</v>
      </c>
      <c r="AC16" s="46">
        <v>15</v>
      </c>
      <c r="AD16" s="46">
        <v>15</v>
      </c>
      <c r="AE16" s="46">
        <v>15.1</v>
      </c>
      <c r="AF16" s="46">
        <v>15.1</v>
      </c>
      <c r="AG16" s="50">
        <v>45</v>
      </c>
      <c r="AH16" s="48">
        <f t="shared" si="2"/>
        <v>15.1</v>
      </c>
      <c r="AI16" s="49">
        <f t="shared" si="3"/>
        <v>15</v>
      </c>
      <c r="AK16" s="51"/>
      <c r="AL16" s="54" t="s">
        <v>7</v>
      </c>
      <c r="AM16" s="59">
        <f>B58</f>
        <v>526.04999999999995</v>
      </c>
      <c r="AN16" s="59">
        <f t="shared" ref="AN16:AR16" si="4">C58</f>
        <v>526.04999999999995</v>
      </c>
      <c r="AO16" s="59">
        <f t="shared" si="4"/>
        <v>526.04999999999995</v>
      </c>
      <c r="AP16" s="59">
        <f t="shared" si="4"/>
        <v>526.04999999999995</v>
      </c>
      <c r="AQ16" s="59">
        <f t="shared" si="4"/>
        <v>526.04999999999995</v>
      </c>
      <c r="AR16" s="59">
        <f t="shared" si="4"/>
        <v>526.04999999999995</v>
      </c>
      <c r="AS16" s="59">
        <f>I58</f>
        <v>526.04999999999995</v>
      </c>
      <c r="AT16" s="59">
        <f>K58</f>
        <v>526.04999999999995</v>
      </c>
      <c r="AU16" s="59">
        <f t="shared" ref="AU16:AX16" si="5">M58</f>
        <v>526.04999999999995</v>
      </c>
      <c r="AV16" s="59">
        <f t="shared" si="5"/>
        <v>526.04999999999995</v>
      </c>
      <c r="AW16" s="59">
        <f t="shared" si="5"/>
        <v>526.04999999999995</v>
      </c>
      <c r="AX16" s="59">
        <f t="shared" si="5"/>
        <v>526.04999999999995</v>
      </c>
      <c r="AY16" s="59">
        <f t="shared" ref="AY16" si="6">Q58</f>
        <v>526.04999999999995</v>
      </c>
      <c r="AZ16" s="59">
        <f t="shared" ref="AZ16" si="7">R58</f>
        <v>526.04999999999995</v>
      </c>
      <c r="BA16" s="59">
        <f t="shared" ref="BA16" si="8">S58</f>
        <v>526.04999999999995</v>
      </c>
      <c r="BB16" s="59">
        <f t="shared" ref="BB16" si="9">T58</f>
        <v>526.04999999999995</v>
      </c>
      <c r="BC16" s="59">
        <f t="shared" ref="BC16" si="10">U58</f>
        <v>526.04999999999995</v>
      </c>
      <c r="BD16" s="59">
        <f t="shared" ref="BD16" si="11">V58</f>
        <v>526.04999999999995</v>
      </c>
      <c r="BE16" s="197">
        <f>X58</f>
        <v>526.04999999999995</v>
      </c>
      <c r="BF16" s="197">
        <f>Z58</f>
        <v>530.15</v>
      </c>
      <c r="BG16" s="197">
        <f>AB58</f>
        <v>519.54999999999995</v>
      </c>
      <c r="BH16" s="197">
        <f>AD58</f>
        <v>519.54999999999995</v>
      </c>
      <c r="BI16" s="197">
        <f t="shared" ref="BI16:BJ16" si="12">AE58</f>
        <v>523.45000000000005</v>
      </c>
      <c r="BJ16" s="197">
        <f t="shared" si="12"/>
        <v>524.45000000000005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27</v>
      </c>
      <c r="C17" s="46">
        <v>27</v>
      </c>
      <c r="D17" s="46">
        <v>27</v>
      </c>
      <c r="E17" s="46">
        <v>27</v>
      </c>
      <c r="F17" s="46">
        <v>27</v>
      </c>
      <c r="G17" s="46">
        <v>27</v>
      </c>
      <c r="H17" s="46">
        <v>27</v>
      </c>
      <c r="I17" s="46">
        <v>27</v>
      </c>
      <c r="J17" s="46">
        <v>27</v>
      </c>
      <c r="K17" s="46">
        <v>27</v>
      </c>
      <c r="L17" s="46">
        <v>27</v>
      </c>
      <c r="M17" s="46">
        <v>27</v>
      </c>
      <c r="N17" s="46">
        <v>27</v>
      </c>
      <c r="O17" s="46">
        <v>27</v>
      </c>
      <c r="P17" s="46">
        <v>27</v>
      </c>
      <c r="Q17" s="46">
        <v>27</v>
      </c>
      <c r="R17" s="46">
        <v>27</v>
      </c>
      <c r="S17" s="46">
        <v>27</v>
      </c>
      <c r="T17" s="46">
        <v>27</v>
      </c>
      <c r="U17" s="46">
        <v>27</v>
      </c>
      <c r="V17" s="46">
        <v>27</v>
      </c>
      <c r="W17" s="46">
        <v>27</v>
      </c>
      <c r="X17" s="46">
        <v>27</v>
      </c>
      <c r="Y17" s="46">
        <v>27</v>
      </c>
      <c r="Z17" s="46">
        <v>27</v>
      </c>
      <c r="AA17" s="46">
        <v>27</v>
      </c>
      <c r="AB17" s="46">
        <v>16.399999999999999</v>
      </c>
      <c r="AC17" s="46">
        <v>16.399999999999999</v>
      </c>
      <c r="AD17" s="46">
        <v>16.399999999999999</v>
      </c>
      <c r="AE17" s="46">
        <v>16.399999999999999</v>
      </c>
      <c r="AF17" s="46">
        <v>16.399999999999999</v>
      </c>
      <c r="AG17" s="50">
        <v>44</v>
      </c>
      <c r="AH17" s="48">
        <f>MAX(B17:AG17)</f>
        <v>44</v>
      </c>
      <c r="AI17" s="49">
        <f>MIN(B17:AG17)</f>
        <v>16.399999999999999</v>
      </c>
      <c r="AK17" s="51"/>
      <c r="AL17" s="54" t="s">
        <v>27</v>
      </c>
      <c r="AM17" s="59">
        <f>B62</f>
        <v>106.5</v>
      </c>
      <c r="AN17" s="59">
        <f t="shared" ref="AN17:AR17" si="13">C62</f>
        <v>86.5</v>
      </c>
      <c r="AO17" s="59">
        <f t="shared" si="13"/>
        <v>66.5</v>
      </c>
      <c r="AP17" s="59">
        <f t="shared" si="13"/>
        <v>67</v>
      </c>
      <c r="AQ17" s="59">
        <f t="shared" si="13"/>
        <v>61.800000000000004</v>
      </c>
      <c r="AR17" s="59">
        <f t="shared" si="13"/>
        <v>112.9</v>
      </c>
      <c r="AS17" s="59">
        <f>I62</f>
        <v>96.3</v>
      </c>
      <c r="AT17" s="59">
        <f>K62</f>
        <v>66.599999999999994</v>
      </c>
      <c r="AU17" s="59">
        <f t="shared" ref="AU17:AX17" si="14">M62</f>
        <v>77.8</v>
      </c>
      <c r="AV17" s="59">
        <f t="shared" si="14"/>
        <v>52.7</v>
      </c>
      <c r="AW17" s="59">
        <f t="shared" si="14"/>
        <v>37.6</v>
      </c>
      <c r="AX17" s="59">
        <f t="shared" si="14"/>
        <v>37.6</v>
      </c>
      <c r="AY17" s="59">
        <f t="shared" ref="AY17" si="15">Q62</f>
        <v>36.5</v>
      </c>
      <c r="AZ17" s="59">
        <f t="shared" ref="AZ17" si="16">R62</f>
        <v>36.5</v>
      </c>
      <c r="BA17" s="59">
        <f t="shared" ref="BA17" si="17">S62</f>
        <v>34.200000000000003</v>
      </c>
      <c r="BB17" s="59">
        <f t="shared" ref="BB17" si="18">T62</f>
        <v>33.700000000000003</v>
      </c>
      <c r="BC17" s="59">
        <f t="shared" ref="BC17" si="19">U62</f>
        <v>36</v>
      </c>
      <c r="BD17" s="59">
        <f t="shared" ref="BD17" si="20">V62</f>
        <v>35.099999999999994</v>
      </c>
      <c r="BE17" s="197">
        <f>X62</f>
        <v>147.4</v>
      </c>
      <c r="BF17" s="197">
        <f>Z62</f>
        <v>494.79999999999995</v>
      </c>
      <c r="BG17" s="197">
        <f>AB62</f>
        <v>412</v>
      </c>
      <c r="BH17" s="197">
        <f>AD62</f>
        <v>116.9</v>
      </c>
      <c r="BI17" s="197">
        <f t="shared" ref="BI17:BJ17" si="21">AE62</f>
        <v>104.5</v>
      </c>
      <c r="BJ17" s="197">
        <f t="shared" si="21"/>
        <v>101.69999999999999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10</v>
      </c>
      <c r="C18" s="46">
        <v>10</v>
      </c>
      <c r="D18" s="46">
        <v>10</v>
      </c>
      <c r="E18" s="46">
        <v>10</v>
      </c>
      <c r="F18" s="46">
        <v>10</v>
      </c>
      <c r="G18" s="46">
        <v>10</v>
      </c>
      <c r="H18" s="46">
        <v>10</v>
      </c>
      <c r="I18" s="46">
        <v>10</v>
      </c>
      <c r="J18" s="46">
        <v>10</v>
      </c>
      <c r="K18" s="46">
        <v>10</v>
      </c>
      <c r="L18" s="46">
        <v>10</v>
      </c>
      <c r="M18" s="46">
        <v>10</v>
      </c>
      <c r="N18" s="46">
        <v>10</v>
      </c>
      <c r="O18" s="46">
        <v>10</v>
      </c>
      <c r="P18" s="46">
        <v>10</v>
      </c>
      <c r="Q18" s="46">
        <v>10</v>
      </c>
      <c r="R18" s="46">
        <v>10</v>
      </c>
      <c r="S18" s="46">
        <v>10</v>
      </c>
      <c r="T18" s="46">
        <v>10</v>
      </c>
      <c r="U18" s="46">
        <v>10</v>
      </c>
      <c r="V18" s="46">
        <v>10</v>
      </c>
      <c r="W18" s="46">
        <v>10</v>
      </c>
      <c r="X18" s="46">
        <v>10</v>
      </c>
      <c r="Y18" s="46">
        <v>10</v>
      </c>
      <c r="Z18" s="46">
        <v>10</v>
      </c>
      <c r="AA18" s="46">
        <v>10</v>
      </c>
      <c r="AB18" s="46">
        <v>10</v>
      </c>
      <c r="AC18" s="46">
        <v>10</v>
      </c>
      <c r="AD18" s="46">
        <v>10</v>
      </c>
      <c r="AE18" s="46">
        <v>10.5</v>
      </c>
      <c r="AF18" s="46">
        <v>10.5</v>
      </c>
      <c r="AG18" s="50">
        <v>42</v>
      </c>
      <c r="AH18" s="48">
        <f t="shared" ref="AH18:AH81" si="22">MAX(B18:AF18)</f>
        <v>10.5</v>
      </c>
      <c r="AI18" s="49">
        <f t="shared" ref="AI18:AI81" si="23">MIN(B18:AF18)</f>
        <v>10</v>
      </c>
      <c r="AK18" s="51"/>
      <c r="AL18" s="54" t="s">
        <v>29</v>
      </c>
      <c r="AM18" s="59">
        <f>B76</f>
        <v>194.23999999999995</v>
      </c>
      <c r="AN18" s="59">
        <f t="shared" ref="AN18:AR18" si="24">C76</f>
        <v>184.73999999999998</v>
      </c>
      <c r="AO18" s="59">
        <f t="shared" si="24"/>
        <v>178.53999999999996</v>
      </c>
      <c r="AP18" s="59">
        <f t="shared" si="24"/>
        <v>182.64</v>
      </c>
      <c r="AQ18" s="59">
        <f t="shared" si="24"/>
        <v>159.13999999999996</v>
      </c>
      <c r="AR18" s="59">
        <f t="shared" si="24"/>
        <v>163.63999999999996</v>
      </c>
      <c r="AS18" s="59">
        <f>I76</f>
        <v>184.53999999999996</v>
      </c>
      <c r="AT18" s="59">
        <f>K76</f>
        <v>241.53999999999994</v>
      </c>
      <c r="AU18" s="59">
        <f t="shared" ref="AU18:AX18" si="25">M76</f>
        <v>320.44000000000005</v>
      </c>
      <c r="AV18" s="59">
        <f t="shared" si="25"/>
        <v>299.34000000000003</v>
      </c>
      <c r="AW18" s="59">
        <f t="shared" si="25"/>
        <v>271.34000000000003</v>
      </c>
      <c r="AX18" s="59">
        <f t="shared" si="25"/>
        <v>273.34000000000003</v>
      </c>
      <c r="AY18" s="59">
        <f t="shared" ref="AY18" si="26">Q76</f>
        <v>248.14</v>
      </c>
      <c r="AZ18" s="59">
        <f t="shared" ref="AZ18" si="27">R76</f>
        <v>198.83999999999997</v>
      </c>
      <c r="BA18" s="59">
        <f t="shared" ref="BA18" si="28">S76</f>
        <v>160.03999999999996</v>
      </c>
      <c r="BB18" s="59">
        <f t="shared" ref="BB18" si="29">T76</f>
        <v>170.73999999999998</v>
      </c>
      <c r="BC18" s="59">
        <f t="shared" ref="BC18" si="30">U76</f>
        <v>174.14</v>
      </c>
      <c r="BD18" s="59">
        <f t="shared" ref="BD18" si="31">V76</f>
        <v>199.63999999999996</v>
      </c>
      <c r="BE18" s="197">
        <f>X76</f>
        <v>283.44</v>
      </c>
      <c r="BF18" s="197">
        <f>Z76</f>
        <v>373.30000000000007</v>
      </c>
      <c r="BG18" s="197">
        <f>AB76</f>
        <v>321.74</v>
      </c>
      <c r="BH18" s="197">
        <f>AD76</f>
        <v>330.64</v>
      </c>
      <c r="BI18" s="197">
        <f t="shared" ref="BI18:BJ18" si="32">AE76</f>
        <v>329.14000000000004</v>
      </c>
      <c r="BJ18" s="197">
        <f t="shared" si="32"/>
        <v>226.34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16.3</v>
      </c>
      <c r="C19" s="46">
        <v>16.3</v>
      </c>
      <c r="D19" s="46">
        <v>16.3</v>
      </c>
      <c r="E19" s="46">
        <v>16.3</v>
      </c>
      <c r="F19" s="46">
        <v>16.3</v>
      </c>
      <c r="G19" s="46">
        <v>16.3</v>
      </c>
      <c r="H19" s="46">
        <v>16.3</v>
      </c>
      <c r="I19" s="46">
        <v>16.3</v>
      </c>
      <c r="J19" s="46">
        <v>16.3</v>
      </c>
      <c r="K19" s="46">
        <v>16.3</v>
      </c>
      <c r="L19" s="46">
        <v>16.3</v>
      </c>
      <c r="M19" s="46">
        <v>16.3</v>
      </c>
      <c r="N19" s="46">
        <v>16.3</v>
      </c>
      <c r="O19" s="46">
        <v>16.3</v>
      </c>
      <c r="P19" s="46">
        <v>16.3</v>
      </c>
      <c r="Q19" s="46">
        <v>16.3</v>
      </c>
      <c r="R19" s="46">
        <v>16.3</v>
      </c>
      <c r="S19" s="46">
        <v>16.3</v>
      </c>
      <c r="T19" s="46">
        <v>16.3</v>
      </c>
      <c r="U19" s="46">
        <v>16.3</v>
      </c>
      <c r="V19" s="46">
        <v>16.3</v>
      </c>
      <c r="W19" s="46">
        <v>16.3</v>
      </c>
      <c r="X19" s="46">
        <v>16.3</v>
      </c>
      <c r="Y19" s="46">
        <v>16.3</v>
      </c>
      <c r="Z19" s="46">
        <v>16.3</v>
      </c>
      <c r="AA19" s="46">
        <v>16.3</v>
      </c>
      <c r="AB19" s="46">
        <v>16.3</v>
      </c>
      <c r="AC19" s="46">
        <v>16.3</v>
      </c>
      <c r="AD19" s="46">
        <v>16.3</v>
      </c>
      <c r="AE19" s="46">
        <v>16.3</v>
      </c>
      <c r="AF19" s="46">
        <v>16.3</v>
      </c>
      <c r="AG19" s="50">
        <v>38.46</v>
      </c>
      <c r="AH19" s="48">
        <f t="shared" si="22"/>
        <v>16.3</v>
      </c>
      <c r="AI19" s="49">
        <f t="shared" si="23"/>
        <v>16.3</v>
      </c>
      <c r="AK19" s="51"/>
      <c r="AL19" s="54" t="s">
        <v>31</v>
      </c>
      <c r="AM19" s="59">
        <f>B92</f>
        <v>124.6</v>
      </c>
      <c r="AN19" s="59">
        <f t="shared" ref="AN19:AR19" si="33">C92</f>
        <v>102.6</v>
      </c>
      <c r="AO19" s="59">
        <f t="shared" si="33"/>
        <v>91.1</v>
      </c>
      <c r="AP19" s="59">
        <f t="shared" si="33"/>
        <v>100.2</v>
      </c>
      <c r="AQ19" s="59">
        <f t="shared" si="33"/>
        <v>108.10000000000001</v>
      </c>
      <c r="AR19" s="59">
        <f t="shared" si="33"/>
        <v>127.4</v>
      </c>
      <c r="AS19" s="59">
        <f>I92</f>
        <v>277.8</v>
      </c>
      <c r="AT19" s="59">
        <f>K92</f>
        <v>730.3</v>
      </c>
      <c r="AU19" s="59">
        <f t="shared" ref="AU19:AX19" si="34">M92</f>
        <v>755.2</v>
      </c>
      <c r="AV19" s="59">
        <f t="shared" si="34"/>
        <v>692.1</v>
      </c>
      <c r="AW19" s="59">
        <f t="shared" si="34"/>
        <v>783.8</v>
      </c>
      <c r="AX19" s="59">
        <f t="shared" si="34"/>
        <v>779.8</v>
      </c>
      <c r="AY19" s="59">
        <f t="shared" ref="AY19" si="35">Q92</f>
        <v>696.99999999999989</v>
      </c>
      <c r="AZ19" s="59">
        <f t="shared" ref="AZ19" si="36">R92</f>
        <v>545.1</v>
      </c>
      <c r="BA19" s="59">
        <f t="shared" ref="BA19" si="37">S92</f>
        <v>782.19999999999993</v>
      </c>
      <c r="BB19" s="59">
        <f t="shared" ref="BB19" si="38">T92</f>
        <v>758.9</v>
      </c>
      <c r="BC19" s="59">
        <f t="shared" ref="BC19" si="39">U92</f>
        <v>763.1</v>
      </c>
      <c r="BD19" s="59">
        <f t="shared" ref="BD19" si="40">V92</f>
        <v>694.09999999999991</v>
      </c>
      <c r="BE19" s="197">
        <f>X92</f>
        <v>414.09999999999997</v>
      </c>
      <c r="BF19" s="197">
        <f>Z92</f>
        <v>120.4</v>
      </c>
      <c r="BG19" s="197">
        <f>AB92</f>
        <v>145.4</v>
      </c>
      <c r="BH19" s="197">
        <f>AD92</f>
        <v>288.5</v>
      </c>
      <c r="BI19" s="197">
        <f t="shared" ref="BI19:BJ19" si="41">AE92</f>
        <v>172.9</v>
      </c>
      <c r="BJ19" s="197">
        <f t="shared" si="41"/>
        <v>175.1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7.8</v>
      </c>
      <c r="C20" s="46">
        <v>7.8</v>
      </c>
      <c r="D20" s="46">
        <v>7.8</v>
      </c>
      <c r="E20" s="46">
        <v>7.8</v>
      </c>
      <c r="F20" s="46">
        <v>7.8</v>
      </c>
      <c r="G20" s="46">
        <v>7.8</v>
      </c>
      <c r="H20" s="46">
        <v>7.8</v>
      </c>
      <c r="I20" s="46">
        <v>7.8</v>
      </c>
      <c r="J20" s="46">
        <v>7.8</v>
      </c>
      <c r="K20" s="46">
        <v>7.8</v>
      </c>
      <c r="L20" s="46">
        <v>7.8</v>
      </c>
      <c r="M20" s="46">
        <v>7.8</v>
      </c>
      <c r="N20" s="46">
        <v>7.8</v>
      </c>
      <c r="O20" s="46">
        <v>7.8</v>
      </c>
      <c r="P20" s="46">
        <v>7.8</v>
      </c>
      <c r="Q20" s="46">
        <v>7.8</v>
      </c>
      <c r="R20" s="46">
        <v>7.8</v>
      </c>
      <c r="S20" s="46">
        <v>7.8</v>
      </c>
      <c r="T20" s="46">
        <v>7.8</v>
      </c>
      <c r="U20" s="46">
        <v>7.8</v>
      </c>
      <c r="V20" s="46">
        <v>7.8</v>
      </c>
      <c r="W20" s="46">
        <v>7.8</v>
      </c>
      <c r="X20" s="46">
        <v>7.8</v>
      </c>
      <c r="Y20" s="46">
        <v>7.8</v>
      </c>
      <c r="Z20" s="46">
        <v>7.8</v>
      </c>
      <c r="AA20" s="46">
        <v>7.8</v>
      </c>
      <c r="AB20" s="46">
        <v>7.8</v>
      </c>
      <c r="AC20" s="46">
        <v>7.8</v>
      </c>
      <c r="AD20" s="46">
        <v>7.8</v>
      </c>
      <c r="AE20" s="46">
        <v>7.8</v>
      </c>
      <c r="AF20" s="46">
        <v>7.8</v>
      </c>
      <c r="AG20" s="50">
        <v>38.46</v>
      </c>
      <c r="AH20" s="48">
        <f t="shared" si="22"/>
        <v>7.8</v>
      </c>
      <c r="AI20" s="49">
        <f t="shared" si="23"/>
        <v>7.8</v>
      </c>
      <c r="AK20" s="51"/>
      <c r="AL20" s="54" t="s">
        <v>33</v>
      </c>
      <c r="AM20" s="59">
        <f>B80</f>
        <v>95.5</v>
      </c>
      <c r="AN20" s="59">
        <f t="shared" ref="AN20:AR20" si="42">C80</f>
        <v>95.5</v>
      </c>
      <c r="AO20" s="59">
        <f t="shared" si="42"/>
        <v>95.5</v>
      </c>
      <c r="AP20" s="59">
        <f t="shared" si="42"/>
        <v>95.5</v>
      </c>
      <c r="AQ20" s="59">
        <f t="shared" si="42"/>
        <v>97.8</v>
      </c>
      <c r="AR20" s="59">
        <f t="shared" si="42"/>
        <v>97.8</v>
      </c>
      <c r="AS20" s="59">
        <f>I80</f>
        <v>62</v>
      </c>
      <c r="AT20" s="59">
        <f>K80</f>
        <v>0</v>
      </c>
      <c r="AU20" s="59">
        <f t="shared" ref="AU20:AX20" si="43">M80</f>
        <v>0</v>
      </c>
      <c r="AV20" s="59">
        <f t="shared" si="43"/>
        <v>38.599999999999994</v>
      </c>
      <c r="AW20" s="59">
        <f t="shared" si="43"/>
        <v>49.2</v>
      </c>
      <c r="AX20" s="59">
        <f t="shared" si="43"/>
        <v>49.2</v>
      </c>
      <c r="AY20" s="59">
        <f t="shared" ref="AY20" si="44">Q80</f>
        <v>49.2</v>
      </c>
      <c r="AZ20" s="59">
        <f t="shared" ref="AZ20" si="45">R80</f>
        <v>97.4</v>
      </c>
      <c r="BA20" s="59">
        <f t="shared" ref="BA20" si="46">S80</f>
        <v>97.3</v>
      </c>
      <c r="BB20" s="59">
        <f t="shared" ref="BB20" si="47">T80</f>
        <v>97.5</v>
      </c>
      <c r="BC20" s="59">
        <f t="shared" ref="BC20" si="48">U80</f>
        <v>97.3</v>
      </c>
      <c r="BD20" s="59">
        <f t="shared" ref="BD20" si="49">V80</f>
        <v>96.9</v>
      </c>
      <c r="BE20" s="197">
        <f>X80</f>
        <v>86.9</v>
      </c>
      <c r="BF20" s="197">
        <f>Z80</f>
        <v>97.4</v>
      </c>
      <c r="BG20" s="197">
        <f>AB80</f>
        <v>97.4</v>
      </c>
      <c r="BH20" s="197">
        <f>AD80</f>
        <v>98.2</v>
      </c>
      <c r="BI20" s="197">
        <f t="shared" ref="BI20:BJ20" si="50">AE80</f>
        <v>97.5</v>
      </c>
      <c r="BJ20" s="197">
        <f t="shared" si="50"/>
        <v>97.4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11</v>
      </c>
      <c r="C21" s="46">
        <v>11</v>
      </c>
      <c r="D21" s="46">
        <v>11</v>
      </c>
      <c r="E21" s="46">
        <v>11</v>
      </c>
      <c r="F21" s="46">
        <v>11</v>
      </c>
      <c r="G21" s="46">
        <v>11</v>
      </c>
      <c r="H21" s="46">
        <v>11</v>
      </c>
      <c r="I21" s="46">
        <v>11</v>
      </c>
      <c r="J21" s="46">
        <v>11</v>
      </c>
      <c r="K21" s="46">
        <v>11</v>
      </c>
      <c r="L21" s="46">
        <v>11</v>
      </c>
      <c r="M21" s="46">
        <v>11</v>
      </c>
      <c r="N21" s="46">
        <v>11</v>
      </c>
      <c r="O21" s="46">
        <v>11</v>
      </c>
      <c r="P21" s="46">
        <v>11</v>
      </c>
      <c r="Q21" s="46">
        <v>11</v>
      </c>
      <c r="R21" s="46">
        <v>11</v>
      </c>
      <c r="S21" s="46">
        <v>11</v>
      </c>
      <c r="T21" s="46">
        <v>11</v>
      </c>
      <c r="U21" s="46">
        <v>11</v>
      </c>
      <c r="V21" s="46">
        <v>11</v>
      </c>
      <c r="W21" s="46">
        <v>11</v>
      </c>
      <c r="X21" s="46">
        <v>11</v>
      </c>
      <c r="Y21" s="46">
        <v>11</v>
      </c>
      <c r="Z21" s="46">
        <v>11</v>
      </c>
      <c r="AA21" s="46">
        <v>11</v>
      </c>
      <c r="AB21" s="46">
        <v>11</v>
      </c>
      <c r="AC21" s="46">
        <v>11</v>
      </c>
      <c r="AD21" s="46">
        <v>11</v>
      </c>
      <c r="AE21" s="46">
        <v>11</v>
      </c>
      <c r="AF21" s="46">
        <v>11</v>
      </c>
      <c r="AG21" s="50">
        <v>36</v>
      </c>
      <c r="AH21" s="48">
        <f t="shared" si="22"/>
        <v>11</v>
      </c>
      <c r="AI21" s="49">
        <f t="shared" si="23"/>
        <v>11</v>
      </c>
      <c r="AK21" s="51"/>
      <c r="AL21" s="54" t="s">
        <v>35</v>
      </c>
      <c r="AM21" s="59">
        <f>B98</f>
        <v>350</v>
      </c>
      <c r="AN21" s="59">
        <f t="shared" ref="AN21:AR21" si="51">C98</f>
        <v>350</v>
      </c>
      <c r="AO21" s="59">
        <f t="shared" si="51"/>
        <v>350</v>
      </c>
      <c r="AP21" s="59">
        <f t="shared" si="51"/>
        <v>340</v>
      </c>
      <c r="AQ21" s="59">
        <f t="shared" si="51"/>
        <v>320</v>
      </c>
      <c r="AR21" s="59">
        <f t="shared" si="51"/>
        <v>300</v>
      </c>
      <c r="AS21" s="59">
        <f>I98</f>
        <v>290</v>
      </c>
      <c r="AT21" s="59">
        <f>K98</f>
        <v>30</v>
      </c>
      <c r="AU21" s="59">
        <f t="shared" ref="AU21:AX21" si="52">M98</f>
        <v>30</v>
      </c>
      <c r="AV21" s="59">
        <f t="shared" si="52"/>
        <v>30</v>
      </c>
      <c r="AW21" s="59">
        <f t="shared" si="52"/>
        <v>30</v>
      </c>
      <c r="AX21" s="59">
        <f t="shared" si="52"/>
        <v>30</v>
      </c>
      <c r="AY21" s="59">
        <f t="shared" ref="AY21" si="53">Q98</f>
        <v>30</v>
      </c>
      <c r="AZ21" s="59">
        <f t="shared" ref="AZ21" si="54">R98</f>
        <v>0</v>
      </c>
      <c r="BA21" s="59">
        <f t="shared" ref="BA21" si="55">S98</f>
        <v>70</v>
      </c>
      <c r="BB21" s="59">
        <f t="shared" ref="BB21" si="56">T98</f>
        <v>70</v>
      </c>
      <c r="BC21" s="59">
        <f t="shared" ref="BC21" si="57">U98</f>
        <v>70</v>
      </c>
      <c r="BD21" s="59">
        <f t="shared" ref="BD21" si="58">V98</f>
        <v>70</v>
      </c>
      <c r="BE21" s="197">
        <f>X98</f>
        <v>150</v>
      </c>
      <c r="BF21" s="197">
        <f>Z98</f>
        <v>300</v>
      </c>
      <c r="BG21" s="197">
        <f>AB98</f>
        <v>300</v>
      </c>
      <c r="BH21" s="197">
        <f>AD98</f>
        <v>350</v>
      </c>
      <c r="BI21" s="197">
        <f t="shared" ref="BI21:BJ21" si="59">AE98</f>
        <v>350</v>
      </c>
      <c r="BJ21" s="197">
        <f t="shared" si="59"/>
        <v>350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8.8000000000000007</v>
      </c>
      <c r="C22" s="46">
        <v>8.8000000000000007</v>
      </c>
      <c r="D22" s="46">
        <v>8.8000000000000007</v>
      </c>
      <c r="E22" s="46">
        <v>8.8000000000000007</v>
      </c>
      <c r="F22" s="46">
        <v>8.8000000000000007</v>
      </c>
      <c r="G22" s="46">
        <v>8.8000000000000007</v>
      </c>
      <c r="H22" s="46">
        <v>8.8000000000000007</v>
      </c>
      <c r="I22" s="46">
        <v>8.8000000000000007</v>
      </c>
      <c r="J22" s="46">
        <v>8.8000000000000007</v>
      </c>
      <c r="K22" s="46">
        <v>8.8000000000000007</v>
      </c>
      <c r="L22" s="46">
        <v>8.8000000000000007</v>
      </c>
      <c r="M22" s="46">
        <v>8.8000000000000007</v>
      </c>
      <c r="N22" s="46">
        <v>8.8000000000000007</v>
      </c>
      <c r="O22" s="46">
        <v>8.8000000000000007</v>
      </c>
      <c r="P22" s="46">
        <v>8.8000000000000007</v>
      </c>
      <c r="Q22" s="46">
        <v>8.8000000000000007</v>
      </c>
      <c r="R22" s="46">
        <v>8.8000000000000007</v>
      </c>
      <c r="S22" s="46">
        <v>8.8000000000000007</v>
      </c>
      <c r="T22" s="46">
        <v>8.8000000000000007</v>
      </c>
      <c r="U22" s="46">
        <v>8.8000000000000007</v>
      </c>
      <c r="V22" s="46">
        <v>8.8000000000000007</v>
      </c>
      <c r="W22" s="46">
        <v>8.8000000000000007</v>
      </c>
      <c r="X22" s="46">
        <v>8.8000000000000007</v>
      </c>
      <c r="Y22" s="46">
        <v>8.8000000000000007</v>
      </c>
      <c r="Z22" s="46">
        <v>8.8000000000000007</v>
      </c>
      <c r="AA22" s="46">
        <v>8.8000000000000007</v>
      </c>
      <c r="AB22" s="46">
        <v>8.8000000000000007</v>
      </c>
      <c r="AC22" s="46">
        <v>8.8000000000000007</v>
      </c>
      <c r="AD22" s="46">
        <v>8.8000000000000007</v>
      </c>
      <c r="AE22" s="46">
        <v>15.1</v>
      </c>
      <c r="AF22" s="46">
        <v>15.1</v>
      </c>
      <c r="AG22" s="60">
        <v>30</v>
      </c>
      <c r="AH22" s="48">
        <f t="shared" si="22"/>
        <v>15.1</v>
      </c>
      <c r="AI22" s="49">
        <f t="shared" si="23"/>
        <v>8.8000000000000007</v>
      </c>
      <c r="AK22" s="51"/>
      <c r="AL22" s="61" t="s">
        <v>37</v>
      </c>
      <c r="AM22" s="62">
        <f>SUM(AM16:AM21)</f>
        <v>1396.8899999999999</v>
      </c>
      <c r="AN22" s="62">
        <f t="shared" ref="AN22:AX22" si="60">SUM(AN16:AN21)</f>
        <v>1345.3899999999999</v>
      </c>
      <c r="AO22" s="62">
        <f t="shared" si="60"/>
        <v>1307.69</v>
      </c>
      <c r="AP22" s="62">
        <f t="shared" si="60"/>
        <v>1311.3899999999999</v>
      </c>
      <c r="AQ22" s="62">
        <f t="shared" si="60"/>
        <v>1272.8899999999999</v>
      </c>
      <c r="AR22" s="62">
        <f t="shared" si="60"/>
        <v>1327.79</v>
      </c>
      <c r="AS22" s="62">
        <f t="shared" si="60"/>
        <v>1436.6899999999998</v>
      </c>
      <c r="AT22" s="62">
        <f t="shared" si="60"/>
        <v>1594.4899999999998</v>
      </c>
      <c r="AU22" s="62">
        <f t="shared" si="60"/>
        <v>1709.49</v>
      </c>
      <c r="AV22" s="62">
        <f t="shared" si="60"/>
        <v>1638.79</v>
      </c>
      <c r="AW22" s="62">
        <f t="shared" si="60"/>
        <v>1697.99</v>
      </c>
      <c r="AX22" s="62">
        <f t="shared" si="60"/>
        <v>1695.99</v>
      </c>
      <c r="AY22" s="62">
        <f t="shared" ref="AY22:BH22" si="61">SUM(AY16:AY21)</f>
        <v>1586.8899999999999</v>
      </c>
      <c r="AZ22" s="62">
        <f t="shared" si="61"/>
        <v>1403.8899999999999</v>
      </c>
      <c r="BA22" s="62">
        <f t="shared" si="61"/>
        <v>1669.7899999999997</v>
      </c>
      <c r="BB22" s="62">
        <f t="shared" si="61"/>
        <v>1656.8899999999999</v>
      </c>
      <c r="BC22" s="62">
        <f t="shared" si="61"/>
        <v>1666.59</v>
      </c>
      <c r="BD22" s="62">
        <f t="shared" si="61"/>
        <v>1621.79</v>
      </c>
      <c r="BE22" s="62">
        <f t="shared" si="61"/>
        <v>1607.8899999999999</v>
      </c>
      <c r="BF22" s="62">
        <f t="shared" ref="BF22:BG22" si="62">SUM(BF16:BF21)</f>
        <v>1916.0500000000002</v>
      </c>
      <c r="BG22" s="62">
        <f t="shared" si="62"/>
        <v>1796.0900000000001</v>
      </c>
      <c r="BH22" s="62">
        <f t="shared" si="61"/>
        <v>1703.79</v>
      </c>
      <c r="BI22" s="62">
        <f t="shared" ref="BI22:BJ22" si="63">SUM(BI16:BI21)</f>
        <v>1577.4900000000002</v>
      </c>
      <c r="BJ22" s="62">
        <f t="shared" si="63"/>
        <v>1474.9900000000002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9</v>
      </c>
      <c r="C23" s="46">
        <v>9</v>
      </c>
      <c r="D23" s="46">
        <v>9</v>
      </c>
      <c r="E23" s="46">
        <v>9</v>
      </c>
      <c r="F23" s="46">
        <v>9</v>
      </c>
      <c r="G23" s="46">
        <v>9</v>
      </c>
      <c r="H23" s="46">
        <v>9</v>
      </c>
      <c r="I23" s="46">
        <v>9</v>
      </c>
      <c r="J23" s="46">
        <v>9</v>
      </c>
      <c r="K23" s="46">
        <v>9</v>
      </c>
      <c r="L23" s="46">
        <v>9</v>
      </c>
      <c r="M23" s="46">
        <v>9</v>
      </c>
      <c r="N23" s="46">
        <v>9</v>
      </c>
      <c r="O23" s="46">
        <v>9</v>
      </c>
      <c r="P23" s="46">
        <v>9</v>
      </c>
      <c r="Q23" s="46">
        <v>9</v>
      </c>
      <c r="R23" s="46">
        <v>9</v>
      </c>
      <c r="S23" s="46">
        <v>9</v>
      </c>
      <c r="T23" s="46">
        <v>9</v>
      </c>
      <c r="U23" s="46">
        <v>9</v>
      </c>
      <c r="V23" s="46">
        <v>9</v>
      </c>
      <c r="W23" s="46">
        <v>9</v>
      </c>
      <c r="X23" s="46">
        <v>9</v>
      </c>
      <c r="Y23" s="46">
        <v>9</v>
      </c>
      <c r="Z23" s="46">
        <v>9</v>
      </c>
      <c r="AA23" s="46">
        <v>9</v>
      </c>
      <c r="AB23" s="46">
        <v>9</v>
      </c>
      <c r="AC23" s="46">
        <v>9</v>
      </c>
      <c r="AD23" s="46">
        <v>9</v>
      </c>
      <c r="AE23" s="46">
        <v>9</v>
      </c>
      <c r="AF23" s="46">
        <v>9</v>
      </c>
      <c r="AG23" s="50">
        <v>24.2</v>
      </c>
      <c r="AH23" s="48">
        <f t="shared" si="22"/>
        <v>9</v>
      </c>
      <c r="AI23" s="49">
        <f t="shared" si="23"/>
        <v>9</v>
      </c>
      <c r="AK23" s="51"/>
      <c r="AL23" s="61" t="s">
        <v>39</v>
      </c>
      <c r="AM23" s="62">
        <f>B107*-1</f>
        <v>0</v>
      </c>
      <c r="AN23" s="62">
        <f t="shared" ref="AN23:AR23" si="64">C107*-1</f>
        <v>0</v>
      </c>
      <c r="AO23" s="62">
        <f t="shared" si="64"/>
        <v>0</v>
      </c>
      <c r="AP23" s="62">
        <f t="shared" si="64"/>
        <v>0</v>
      </c>
      <c r="AQ23" s="62">
        <f t="shared" si="64"/>
        <v>0</v>
      </c>
      <c r="AR23" s="62">
        <f t="shared" si="64"/>
        <v>0</v>
      </c>
      <c r="AS23" s="62">
        <f>I107*-1</f>
        <v>0</v>
      </c>
      <c r="AT23" s="62">
        <f>K107*-1</f>
        <v>0</v>
      </c>
      <c r="AU23" s="62">
        <f t="shared" ref="AU23:AX23" si="65">M107*-1</f>
        <v>0</v>
      </c>
      <c r="AV23" s="62">
        <f t="shared" si="65"/>
        <v>0</v>
      </c>
      <c r="AW23" s="62">
        <f t="shared" si="65"/>
        <v>0</v>
      </c>
      <c r="AX23" s="62">
        <f t="shared" si="65"/>
        <v>0</v>
      </c>
      <c r="AY23" s="62">
        <f t="shared" ref="AY23" si="66">Q107*-1</f>
        <v>0</v>
      </c>
      <c r="AZ23" s="62">
        <f t="shared" ref="AZ23" si="67">R107*-1</f>
        <v>0</v>
      </c>
      <c r="BA23" s="62">
        <f t="shared" ref="BA23" si="68">S107*-1</f>
        <v>0</v>
      </c>
      <c r="BB23" s="62">
        <f t="shared" ref="BB23" si="69">T107*-1</f>
        <v>0</v>
      </c>
      <c r="BC23" s="62">
        <f t="shared" ref="BC23" si="70">U107*-1</f>
        <v>0</v>
      </c>
      <c r="BD23" s="62">
        <f t="shared" ref="BD23" si="71">V107*-1</f>
        <v>0</v>
      </c>
      <c r="BE23" s="62">
        <f>X107*-1</f>
        <v>0</v>
      </c>
      <c r="BF23" s="62">
        <f>Z107*-1</f>
        <v>0</v>
      </c>
      <c r="BG23" s="62">
        <f>AB107*-1</f>
        <v>0</v>
      </c>
      <c r="BH23" s="62">
        <f>AD107*-1</f>
        <v>0</v>
      </c>
      <c r="BI23" s="62">
        <f t="shared" ref="BI23:BJ23" si="72">AE107*-1</f>
        <v>0</v>
      </c>
      <c r="BJ23" s="62">
        <f t="shared" si="72"/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7</v>
      </c>
      <c r="C24" s="46">
        <v>7</v>
      </c>
      <c r="D24" s="46">
        <v>7</v>
      </c>
      <c r="E24" s="46">
        <v>7</v>
      </c>
      <c r="F24" s="46">
        <v>7</v>
      </c>
      <c r="G24" s="46">
        <v>7</v>
      </c>
      <c r="H24" s="46">
        <v>7</v>
      </c>
      <c r="I24" s="46">
        <v>7</v>
      </c>
      <c r="J24" s="46">
        <v>7</v>
      </c>
      <c r="K24" s="46">
        <v>7</v>
      </c>
      <c r="L24" s="46">
        <v>7</v>
      </c>
      <c r="M24" s="46">
        <v>7</v>
      </c>
      <c r="N24" s="46">
        <v>7</v>
      </c>
      <c r="O24" s="46">
        <v>7</v>
      </c>
      <c r="P24" s="46">
        <v>7</v>
      </c>
      <c r="Q24" s="46">
        <v>7</v>
      </c>
      <c r="R24" s="46">
        <v>7</v>
      </c>
      <c r="S24" s="46">
        <v>7</v>
      </c>
      <c r="T24" s="46">
        <v>7</v>
      </c>
      <c r="U24" s="46">
        <v>7</v>
      </c>
      <c r="V24" s="46">
        <v>7</v>
      </c>
      <c r="W24" s="46">
        <v>7</v>
      </c>
      <c r="X24" s="46">
        <v>7</v>
      </c>
      <c r="Y24" s="46">
        <v>7</v>
      </c>
      <c r="Z24" s="46">
        <v>7</v>
      </c>
      <c r="AA24" s="46">
        <v>7</v>
      </c>
      <c r="AB24" s="46">
        <v>7</v>
      </c>
      <c r="AC24" s="46">
        <v>7</v>
      </c>
      <c r="AD24" s="46">
        <v>7</v>
      </c>
      <c r="AE24" s="46">
        <v>6.4</v>
      </c>
      <c r="AF24" s="46">
        <v>6.9</v>
      </c>
      <c r="AG24" s="50">
        <v>28</v>
      </c>
      <c r="AH24" s="48">
        <f t="shared" si="22"/>
        <v>7</v>
      </c>
      <c r="AI24" s="49">
        <f t="shared" si="23"/>
        <v>6.4</v>
      </c>
      <c r="AK24" s="51"/>
      <c r="AL24" s="61" t="s">
        <v>41</v>
      </c>
      <c r="AM24" s="62">
        <f>AM22+AM23</f>
        <v>1396.8899999999999</v>
      </c>
      <c r="AN24" s="62">
        <f t="shared" ref="AN24:AX24" si="73">AN22+AN23</f>
        <v>1345.3899999999999</v>
      </c>
      <c r="AO24" s="62">
        <f t="shared" si="73"/>
        <v>1307.69</v>
      </c>
      <c r="AP24" s="62">
        <f t="shared" si="73"/>
        <v>1311.3899999999999</v>
      </c>
      <c r="AQ24" s="62">
        <f t="shared" si="73"/>
        <v>1272.8899999999999</v>
      </c>
      <c r="AR24" s="62">
        <f t="shared" si="73"/>
        <v>1327.79</v>
      </c>
      <c r="AS24" s="62">
        <f t="shared" si="73"/>
        <v>1436.6899999999998</v>
      </c>
      <c r="AT24" s="62">
        <f t="shared" si="73"/>
        <v>1594.4899999999998</v>
      </c>
      <c r="AU24" s="62">
        <f t="shared" si="73"/>
        <v>1709.49</v>
      </c>
      <c r="AV24" s="62">
        <f t="shared" si="73"/>
        <v>1638.79</v>
      </c>
      <c r="AW24" s="62">
        <f t="shared" si="73"/>
        <v>1697.99</v>
      </c>
      <c r="AX24" s="62">
        <f t="shared" si="73"/>
        <v>1695.99</v>
      </c>
      <c r="AY24" s="62">
        <f t="shared" ref="AY24:BH24" si="74">AY22+AY23</f>
        <v>1586.8899999999999</v>
      </c>
      <c r="AZ24" s="62">
        <f t="shared" si="74"/>
        <v>1403.8899999999999</v>
      </c>
      <c r="BA24" s="62">
        <f t="shared" si="74"/>
        <v>1669.7899999999997</v>
      </c>
      <c r="BB24" s="62">
        <f t="shared" si="74"/>
        <v>1656.8899999999999</v>
      </c>
      <c r="BC24" s="62">
        <f t="shared" si="74"/>
        <v>1666.59</v>
      </c>
      <c r="BD24" s="62">
        <f t="shared" si="74"/>
        <v>1621.79</v>
      </c>
      <c r="BE24" s="62">
        <f t="shared" si="74"/>
        <v>1607.8899999999999</v>
      </c>
      <c r="BF24" s="62">
        <f t="shared" ref="BF24:BG24" si="75">BF22+BF23</f>
        <v>1916.0500000000002</v>
      </c>
      <c r="BG24" s="62">
        <f t="shared" si="75"/>
        <v>1796.0900000000001</v>
      </c>
      <c r="BH24" s="62">
        <f t="shared" si="74"/>
        <v>1703.79</v>
      </c>
      <c r="BI24" s="62">
        <f t="shared" ref="BI24:BJ24" si="76">BI22+BI23</f>
        <v>1577.4900000000002</v>
      </c>
      <c r="BJ24" s="62">
        <f t="shared" si="76"/>
        <v>1474.9900000000002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9.6999999999999993</v>
      </c>
      <c r="C25" s="46">
        <v>9.6999999999999993</v>
      </c>
      <c r="D25" s="46">
        <v>9.6999999999999993</v>
      </c>
      <c r="E25" s="46">
        <v>9.6999999999999993</v>
      </c>
      <c r="F25" s="46">
        <v>9.6999999999999993</v>
      </c>
      <c r="G25" s="46">
        <v>9.6999999999999993</v>
      </c>
      <c r="H25" s="46">
        <v>9.6999999999999993</v>
      </c>
      <c r="I25" s="46">
        <v>9.6999999999999993</v>
      </c>
      <c r="J25" s="46">
        <v>9.6999999999999993</v>
      </c>
      <c r="K25" s="46">
        <v>9.6999999999999993</v>
      </c>
      <c r="L25" s="46">
        <v>9.6999999999999993</v>
      </c>
      <c r="M25" s="46">
        <v>9.6999999999999993</v>
      </c>
      <c r="N25" s="46">
        <v>9.6999999999999993</v>
      </c>
      <c r="O25" s="46">
        <v>9.6999999999999993</v>
      </c>
      <c r="P25" s="46">
        <v>9.6999999999999993</v>
      </c>
      <c r="Q25" s="46">
        <v>9.6999999999999993</v>
      </c>
      <c r="R25" s="46">
        <v>9.6999999999999993</v>
      </c>
      <c r="S25" s="46">
        <v>9.6999999999999993</v>
      </c>
      <c r="T25" s="46">
        <v>9.6999999999999993</v>
      </c>
      <c r="U25" s="46">
        <v>9.6999999999999993</v>
      </c>
      <c r="V25" s="46">
        <v>9.6999999999999993</v>
      </c>
      <c r="W25" s="46">
        <v>9.6999999999999993</v>
      </c>
      <c r="X25" s="46">
        <v>9.6999999999999993</v>
      </c>
      <c r="Y25" s="46">
        <v>9.6999999999999993</v>
      </c>
      <c r="Z25" s="46">
        <v>9.6999999999999993</v>
      </c>
      <c r="AA25" s="46">
        <v>9.6999999999999993</v>
      </c>
      <c r="AB25" s="46">
        <v>9.6999999999999993</v>
      </c>
      <c r="AC25" s="46">
        <v>9.6999999999999993</v>
      </c>
      <c r="AD25" s="46">
        <v>9.6999999999999993</v>
      </c>
      <c r="AE25" s="46">
        <v>9.4</v>
      </c>
      <c r="AF25" s="46">
        <v>8.1</v>
      </c>
      <c r="AG25" s="60">
        <v>30</v>
      </c>
      <c r="AH25" s="48">
        <f t="shared" si="22"/>
        <v>9.6999999999999993</v>
      </c>
      <c r="AI25" s="49">
        <f t="shared" si="23"/>
        <v>8.1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11</v>
      </c>
      <c r="C26" s="46">
        <v>11</v>
      </c>
      <c r="D26" s="46">
        <v>11</v>
      </c>
      <c r="E26" s="46">
        <v>11</v>
      </c>
      <c r="F26" s="46">
        <v>11</v>
      </c>
      <c r="G26" s="46">
        <v>11</v>
      </c>
      <c r="H26" s="46">
        <v>11</v>
      </c>
      <c r="I26" s="46">
        <v>11</v>
      </c>
      <c r="J26" s="46">
        <v>11</v>
      </c>
      <c r="K26" s="46">
        <v>11</v>
      </c>
      <c r="L26" s="46">
        <v>11</v>
      </c>
      <c r="M26" s="46">
        <v>11</v>
      </c>
      <c r="N26" s="46">
        <v>11</v>
      </c>
      <c r="O26" s="46">
        <v>11</v>
      </c>
      <c r="P26" s="46">
        <v>11</v>
      </c>
      <c r="Q26" s="46">
        <v>11</v>
      </c>
      <c r="R26" s="46">
        <v>11</v>
      </c>
      <c r="S26" s="46">
        <v>11</v>
      </c>
      <c r="T26" s="46">
        <v>11</v>
      </c>
      <c r="U26" s="46">
        <v>11</v>
      </c>
      <c r="V26" s="46">
        <v>11</v>
      </c>
      <c r="W26" s="46">
        <v>11</v>
      </c>
      <c r="X26" s="46">
        <v>11</v>
      </c>
      <c r="Y26" s="46">
        <v>11</v>
      </c>
      <c r="Z26" s="46">
        <v>11</v>
      </c>
      <c r="AA26" s="46">
        <v>11</v>
      </c>
      <c r="AB26" s="46">
        <v>11</v>
      </c>
      <c r="AC26" s="46">
        <v>11</v>
      </c>
      <c r="AD26" s="46">
        <v>11</v>
      </c>
      <c r="AE26" s="46">
        <v>11</v>
      </c>
      <c r="AF26" s="46">
        <v>10.7</v>
      </c>
      <c r="AG26" s="50">
        <v>25</v>
      </c>
      <c r="AH26" s="48">
        <f t="shared" si="22"/>
        <v>11</v>
      </c>
      <c r="AI26" s="49">
        <f t="shared" si="23"/>
        <v>10.7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5</v>
      </c>
      <c r="N27" s="46">
        <v>5</v>
      </c>
      <c r="O27" s="46">
        <v>5</v>
      </c>
      <c r="P27" s="46">
        <v>5</v>
      </c>
      <c r="Q27" s="46">
        <v>5</v>
      </c>
      <c r="R27" s="46">
        <v>5</v>
      </c>
      <c r="S27" s="46">
        <v>5</v>
      </c>
      <c r="T27" s="46">
        <v>5</v>
      </c>
      <c r="U27" s="46">
        <v>5</v>
      </c>
      <c r="V27" s="46">
        <v>5</v>
      </c>
      <c r="W27" s="46">
        <v>5</v>
      </c>
      <c r="X27" s="46">
        <v>5</v>
      </c>
      <c r="Y27" s="46">
        <v>5</v>
      </c>
      <c r="Z27" s="46">
        <v>5</v>
      </c>
      <c r="AA27" s="46">
        <v>5</v>
      </c>
      <c r="AB27" s="46">
        <v>5</v>
      </c>
      <c r="AC27" s="46">
        <v>5</v>
      </c>
      <c r="AD27" s="46">
        <v>5</v>
      </c>
      <c r="AE27" s="46">
        <v>5</v>
      </c>
      <c r="AF27" s="46">
        <v>5</v>
      </c>
      <c r="AG27" s="50">
        <v>25</v>
      </c>
      <c r="AH27" s="48">
        <f t="shared" si="22"/>
        <v>5</v>
      </c>
      <c r="AI27" s="49">
        <f t="shared" si="23"/>
        <v>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10</v>
      </c>
      <c r="C28" s="46">
        <v>10</v>
      </c>
      <c r="D28" s="46">
        <v>10</v>
      </c>
      <c r="E28" s="46">
        <v>10</v>
      </c>
      <c r="F28" s="46">
        <v>10</v>
      </c>
      <c r="G28" s="46">
        <v>10</v>
      </c>
      <c r="H28" s="46">
        <v>10</v>
      </c>
      <c r="I28" s="46">
        <v>10</v>
      </c>
      <c r="J28" s="46">
        <v>10</v>
      </c>
      <c r="K28" s="46">
        <v>10</v>
      </c>
      <c r="L28" s="46">
        <v>10</v>
      </c>
      <c r="M28" s="46">
        <v>10</v>
      </c>
      <c r="N28" s="46">
        <v>10</v>
      </c>
      <c r="O28" s="46">
        <v>10</v>
      </c>
      <c r="P28" s="46">
        <v>10</v>
      </c>
      <c r="Q28" s="46">
        <v>10</v>
      </c>
      <c r="R28" s="46">
        <v>10</v>
      </c>
      <c r="S28" s="46">
        <v>10</v>
      </c>
      <c r="T28" s="46">
        <v>10</v>
      </c>
      <c r="U28" s="46">
        <v>10</v>
      </c>
      <c r="V28" s="46">
        <v>10</v>
      </c>
      <c r="W28" s="46">
        <v>10</v>
      </c>
      <c r="X28" s="46">
        <v>10</v>
      </c>
      <c r="Y28" s="46">
        <v>10</v>
      </c>
      <c r="Z28" s="46">
        <v>10</v>
      </c>
      <c r="AA28" s="46">
        <v>10</v>
      </c>
      <c r="AB28" s="46">
        <v>10</v>
      </c>
      <c r="AC28" s="46">
        <v>10</v>
      </c>
      <c r="AD28" s="46">
        <v>10</v>
      </c>
      <c r="AE28" s="46">
        <v>10</v>
      </c>
      <c r="AF28" s="46">
        <v>10</v>
      </c>
      <c r="AG28" s="50">
        <v>25</v>
      </c>
      <c r="AH28" s="48">
        <f t="shared" si="22"/>
        <v>10</v>
      </c>
      <c r="AI28" s="49">
        <f t="shared" si="23"/>
        <v>10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12.2</v>
      </c>
      <c r="C29" s="46">
        <v>12.2</v>
      </c>
      <c r="D29" s="46">
        <v>12.2</v>
      </c>
      <c r="E29" s="46">
        <v>12.2</v>
      </c>
      <c r="F29" s="46">
        <v>12.2</v>
      </c>
      <c r="G29" s="46">
        <v>12.2</v>
      </c>
      <c r="H29" s="46">
        <v>12.2</v>
      </c>
      <c r="I29" s="46">
        <v>12.2</v>
      </c>
      <c r="J29" s="46">
        <v>12.2</v>
      </c>
      <c r="K29" s="46">
        <v>12.2</v>
      </c>
      <c r="L29" s="46">
        <v>12.2</v>
      </c>
      <c r="M29" s="46">
        <v>12.2</v>
      </c>
      <c r="N29" s="46">
        <v>12.2</v>
      </c>
      <c r="O29" s="46">
        <v>12.2</v>
      </c>
      <c r="P29" s="46">
        <v>12.2</v>
      </c>
      <c r="Q29" s="46">
        <v>12.2</v>
      </c>
      <c r="R29" s="46">
        <v>12.2</v>
      </c>
      <c r="S29" s="46">
        <v>12.2</v>
      </c>
      <c r="T29" s="46">
        <v>12.2</v>
      </c>
      <c r="U29" s="46">
        <v>12.2</v>
      </c>
      <c r="V29" s="46">
        <v>12.2</v>
      </c>
      <c r="W29" s="46">
        <v>12.2</v>
      </c>
      <c r="X29" s="46">
        <v>12.2</v>
      </c>
      <c r="Y29" s="46">
        <v>12.2</v>
      </c>
      <c r="Z29" s="46">
        <v>12.2</v>
      </c>
      <c r="AA29" s="46">
        <v>12.2</v>
      </c>
      <c r="AB29" s="46">
        <v>12.2</v>
      </c>
      <c r="AC29" s="46">
        <v>12.2</v>
      </c>
      <c r="AD29" s="46">
        <v>12.2</v>
      </c>
      <c r="AE29" s="46">
        <v>12.2</v>
      </c>
      <c r="AF29" s="46">
        <v>12.2</v>
      </c>
      <c r="AG29" s="50">
        <v>25</v>
      </c>
      <c r="AH29" s="48">
        <f t="shared" si="22"/>
        <v>12.2</v>
      </c>
      <c r="AI29" s="49">
        <f t="shared" si="23"/>
        <v>12.2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6.4</v>
      </c>
      <c r="C30" s="46">
        <v>6.4</v>
      </c>
      <c r="D30" s="46">
        <v>6.4</v>
      </c>
      <c r="E30" s="46">
        <v>6.4</v>
      </c>
      <c r="F30" s="46">
        <v>6.4</v>
      </c>
      <c r="G30" s="46">
        <v>6.4</v>
      </c>
      <c r="H30" s="46">
        <v>6.4</v>
      </c>
      <c r="I30" s="46">
        <v>6.4</v>
      </c>
      <c r="J30" s="46">
        <v>6.4</v>
      </c>
      <c r="K30" s="46">
        <v>6.4</v>
      </c>
      <c r="L30" s="46">
        <v>6.4</v>
      </c>
      <c r="M30" s="46">
        <v>6.4</v>
      </c>
      <c r="N30" s="46">
        <v>6.4</v>
      </c>
      <c r="O30" s="46">
        <v>6.4</v>
      </c>
      <c r="P30" s="46">
        <v>6.4</v>
      </c>
      <c r="Q30" s="46">
        <v>6.4</v>
      </c>
      <c r="R30" s="46">
        <v>6.4</v>
      </c>
      <c r="S30" s="46">
        <v>6.4</v>
      </c>
      <c r="T30" s="46">
        <v>6.4</v>
      </c>
      <c r="U30" s="46">
        <v>6.4</v>
      </c>
      <c r="V30" s="46">
        <v>6.4</v>
      </c>
      <c r="W30" s="46">
        <v>6.4</v>
      </c>
      <c r="X30" s="46">
        <v>6.4</v>
      </c>
      <c r="Y30" s="46">
        <v>6.4</v>
      </c>
      <c r="Z30" s="46">
        <v>6.4</v>
      </c>
      <c r="AA30" s="46">
        <v>6.4</v>
      </c>
      <c r="AB30" s="46">
        <v>6.4</v>
      </c>
      <c r="AC30" s="46">
        <v>6.4</v>
      </c>
      <c r="AD30" s="46">
        <v>6.4</v>
      </c>
      <c r="AE30" s="46">
        <v>6.4</v>
      </c>
      <c r="AF30" s="46">
        <v>5.0999999999999996</v>
      </c>
      <c r="AG30" s="50">
        <v>23.5</v>
      </c>
      <c r="AH30" s="48">
        <f t="shared" si="22"/>
        <v>6.4</v>
      </c>
      <c r="AI30" s="49">
        <f t="shared" si="23"/>
        <v>5.0999999999999996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>
        <v>3</v>
      </c>
      <c r="V31" s="46">
        <v>3</v>
      </c>
      <c r="W31" s="46">
        <v>3</v>
      </c>
      <c r="X31" s="46">
        <v>3</v>
      </c>
      <c r="Y31" s="46">
        <v>3</v>
      </c>
      <c r="Z31" s="46">
        <v>3</v>
      </c>
      <c r="AA31" s="46">
        <v>3</v>
      </c>
      <c r="AB31" s="46">
        <v>3</v>
      </c>
      <c r="AC31" s="46">
        <v>3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22"/>
        <v>3</v>
      </c>
      <c r="AI31" s="49">
        <f t="shared" si="23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5.5</v>
      </c>
      <c r="Q32" s="46">
        <v>5.5</v>
      </c>
      <c r="R32" s="46">
        <v>5.5</v>
      </c>
      <c r="S32" s="46">
        <v>5.5</v>
      </c>
      <c r="T32" s="46">
        <v>5.5</v>
      </c>
      <c r="U32" s="46">
        <v>5.5</v>
      </c>
      <c r="V32" s="46">
        <v>5.5</v>
      </c>
      <c r="W32" s="46">
        <v>5.5</v>
      </c>
      <c r="X32" s="46">
        <v>5.5</v>
      </c>
      <c r="Y32" s="46">
        <v>5.5</v>
      </c>
      <c r="Z32" s="46">
        <v>5.5</v>
      </c>
      <c r="AA32" s="46">
        <v>5.5</v>
      </c>
      <c r="AB32" s="46">
        <v>5.5</v>
      </c>
      <c r="AC32" s="46">
        <v>5.5</v>
      </c>
      <c r="AD32" s="46">
        <v>5.5</v>
      </c>
      <c r="AE32" s="46">
        <v>5.5</v>
      </c>
      <c r="AF32" s="46">
        <v>5.5</v>
      </c>
      <c r="AG32" s="50">
        <v>22.1</v>
      </c>
      <c r="AH32" s="48">
        <f t="shared" si="22"/>
        <v>5.5</v>
      </c>
      <c r="AI32" s="49">
        <f t="shared" si="23"/>
        <v>5.5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5</v>
      </c>
      <c r="C33" s="46">
        <v>5</v>
      </c>
      <c r="D33" s="46">
        <v>5</v>
      </c>
      <c r="E33" s="46">
        <v>5</v>
      </c>
      <c r="F33" s="46">
        <v>5</v>
      </c>
      <c r="G33" s="46">
        <v>5</v>
      </c>
      <c r="H33" s="46">
        <v>5</v>
      </c>
      <c r="I33" s="46">
        <v>5</v>
      </c>
      <c r="J33" s="46">
        <v>5</v>
      </c>
      <c r="K33" s="46">
        <v>5</v>
      </c>
      <c r="L33" s="46">
        <v>5</v>
      </c>
      <c r="M33" s="46">
        <v>5</v>
      </c>
      <c r="N33" s="46">
        <v>5</v>
      </c>
      <c r="O33" s="46">
        <v>5</v>
      </c>
      <c r="P33" s="46">
        <v>5</v>
      </c>
      <c r="Q33" s="46">
        <v>5</v>
      </c>
      <c r="R33" s="46">
        <v>5</v>
      </c>
      <c r="S33" s="46">
        <v>5</v>
      </c>
      <c r="T33" s="46">
        <v>5</v>
      </c>
      <c r="U33" s="46">
        <v>5</v>
      </c>
      <c r="V33" s="46">
        <v>5</v>
      </c>
      <c r="W33" s="46">
        <v>5</v>
      </c>
      <c r="X33" s="46">
        <v>5</v>
      </c>
      <c r="Y33" s="46">
        <v>5</v>
      </c>
      <c r="Z33" s="46">
        <v>5</v>
      </c>
      <c r="AA33" s="46">
        <v>5</v>
      </c>
      <c r="AB33" s="46">
        <v>5</v>
      </c>
      <c r="AC33" s="46">
        <v>5</v>
      </c>
      <c r="AD33" s="46">
        <v>5</v>
      </c>
      <c r="AE33" s="46">
        <v>5</v>
      </c>
      <c r="AF33" s="46">
        <v>5</v>
      </c>
      <c r="AG33" s="50">
        <v>22</v>
      </c>
      <c r="AH33" s="48">
        <f t="shared" si="22"/>
        <v>5</v>
      </c>
      <c r="AI33" s="49">
        <f t="shared" si="23"/>
        <v>5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11.8</v>
      </c>
      <c r="C34" s="46">
        <v>11.8</v>
      </c>
      <c r="D34" s="46">
        <v>11.8</v>
      </c>
      <c r="E34" s="46">
        <v>11.8</v>
      </c>
      <c r="F34" s="46">
        <v>11.8</v>
      </c>
      <c r="G34" s="46">
        <v>11.8</v>
      </c>
      <c r="H34" s="46">
        <v>11.8</v>
      </c>
      <c r="I34" s="46">
        <v>11.8</v>
      </c>
      <c r="J34" s="46">
        <v>11.8</v>
      </c>
      <c r="K34" s="46">
        <v>11.8</v>
      </c>
      <c r="L34" s="46">
        <v>11.8</v>
      </c>
      <c r="M34" s="46">
        <v>11.8</v>
      </c>
      <c r="N34" s="46">
        <v>11.8</v>
      </c>
      <c r="O34" s="46">
        <v>11.8</v>
      </c>
      <c r="P34" s="46">
        <v>11.8</v>
      </c>
      <c r="Q34" s="46">
        <v>11.8</v>
      </c>
      <c r="R34" s="46">
        <v>11.8</v>
      </c>
      <c r="S34" s="46">
        <v>11.8</v>
      </c>
      <c r="T34" s="46">
        <v>11.8</v>
      </c>
      <c r="U34" s="46">
        <v>11.8</v>
      </c>
      <c r="V34" s="46">
        <v>11.8</v>
      </c>
      <c r="W34" s="46">
        <v>11.8</v>
      </c>
      <c r="X34" s="46">
        <v>11.8</v>
      </c>
      <c r="Y34" s="46">
        <v>11.8</v>
      </c>
      <c r="Z34" s="46">
        <v>11.8</v>
      </c>
      <c r="AA34" s="46">
        <v>11.8</v>
      </c>
      <c r="AB34" s="46">
        <v>11.8</v>
      </c>
      <c r="AC34" s="46">
        <v>11.8</v>
      </c>
      <c r="AD34" s="46">
        <v>11.8</v>
      </c>
      <c r="AE34" s="46">
        <v>10.5</v>
      </c>
      <c r="AF34" s="46">
        <v>9.4</v>
      </c>
      <c r="AG34" s="50">
        <v>22</v>
      </c>
      <c r="AH34" s="48">
        <f t="shared" si="22"/>
        <v>11.8</v>
      </c>
      <c r="AI34" s="49">
        <f t="shared" si="23"/>
        <v>9.4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22"/>
        <v>4</v>
      </c>
      <c r="AI35" s="49">
        <f t="shared" si="23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>
        <v>4</v>
      </c>
      <c r="V36" s="46">
        <v>4</v>
      </c>
      <c r="W36" s="46">
        <v>4</v>
      </c>
      <c r="X36" s="46">
        <v>4</v>
      </c>
      <c r="Y36" s="46">
        <v>4</v>
      </c>
      <c r="Z36" s="46">
        <v>4</v>
      </c>
      <c r="AA36" s="46">
        <v>4</v>
      </c>
      <c r="AB36" s="46">
        <v>4</v>
      </c>
      <c r="AC36" s="46">
        <v>4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22"/>
        <v>4</v>
      </c>
      <c r="AI36" s="49">
        <f t="shared" si="23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>
        <v>5.7</v>
      </c>
      <c r="V37" s="46">
        <v>5.7</v>
      </c>
      <c r="W37" s="46">
        <v>5.7</v>
      </c>
      <c r="X37" s="46">
        <v>5.7</v>
      </c>
      <c r="Y37" s="46">
        <v>5.7</v>
      </c>
      <c r="Z37" s="46">
        <v>5.7</v>
      </c>
      <c r="AA37" s="46">
        <v>5.7</v>
      </c>
      <c r="AB37" s="46">
        <v>5.7</v>
      </c>
      <c r="AC37" s="46">
        <v>5.7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22"/>
        <v>5.7</v>
      </c>
      <c r="AI37" s="49">
        <f t="shared" si="23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7.2</v>
      </c>
      <c r="Q38" s="46">
        <v>7.2</v>
      </c>
      <c r="R38" s="46">
        <v>7.2</v>
      </c>
      <c r="S38" s="46">
        <v>7.2</v>
      </c>
      <c r="T38" s="46">
        <v>7.2</v>
      </c>
      <c r="U38" s="46">
        <v>7.2</v>
      </c>
      <c r="V38" s="46">
        <v>7.2</v>
      </c>
      <c r="W38" s="46">
        <v>7.2</v>
      </c>
      <c r="X38" s="46">
        <v>7.2</v>
      </c>
      <c r="Y38" s="46">
        <v>7.2</v>
      </c>
      <c r="Z38" s="46">
        <v>7.2</v>
      </c>
      <c r="AA38" s="46">
        <v>7.2</v>
      </c>
      <c r="AB38" s="46">
        <v>7.2</v>
      </c>
      <c r="AC38" s="46">
        <v>7.2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22"/>
        <v>7.2</v>
      </c>
      <c r="AI38" s="49">
        <f t="shared" si="23"/>
        <v>7.2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22"/>
        <v>0</v>
      </c>
      <c r="AI39" s="49">
        <f t="shared" si="23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8</v>
      </c>
      <c r="C40" s="46">
        <v>8</v>
      </c>
      <c r="D40" s="46">
        <v>8</v>
      </c>
      <c r="E40" s="46">
        <v>8</v>
      </c>
      <c r="F40" s="46">
        <v>8</v>
      </c>
      <c r="G40" s="46">
        <v>8</v>
      </c>
      <c r="H40" s="46">
        <v>8</v>
      </c>
      <c r="I40" s="46">
        <v>8</v>
      </c>
      <c r="J40" s="46">
        <v>8</v>
      </c>
      <c r="K40" s="46">
        <v>8</v>
      </c>
      <c r="L40" s="46">
        <v>8</v>
      </c>
      <c r="M40" s="46">
        <v>8</v>
      </c>
      <c r="N40" s="46">
        <v>8</v>
      </c>
      <c r="O40" s="46">
        <v>8</v>
      </c>
      <c r="P40" s="46">
        <v>8</v>
      </c>
      <c r="Q40" s="46">
        <v>8</v>
      </c>
      <c r="R40" s="46">
        <v>8</v>
      </c>
      <c r="S40" s="46">
        <v>8</v>
      </c>
      <c r="T40" s="46">
        <v>8</v>
      </c>
      <c r="U40" s="46">
        <v>8</v>
      </c>
      <c r="V40" s="46">
        <v>8</v>
      </c>
      <c r="W40" s="46">
        <v>8</v>
      </c>
      <c r="X40" s="46">
        <v>8</v>
      </c>
      <c r="Y40" s="46">
        <v>8</v>
      </c>
      <c r="Z40" s="46">
        <v>8</v>
      </c>
      <c r="AA40" s="46">
        <v>8</v>
      </c>
      <c r="AB40" s="46">
        <v>8</v>
      </c>
      <c r="AC40" s="46">
        <v>8</v>
      </c>
      <c r="AD40" s="46">
        <v>8</v>
      </c>
      <c r="AE40" s="46">
        <v>8</v>
      </c>
      <c r="AF40" s="46">
        <v>8</v>
      </c>
      <c r="AG40" s="50">
        <v>14.9</v>
      </c>
      <c r="AH40" s="48">
        <f t="shared" si="22"/>
        <v>8</v>
      </c>
      <c r="AI40" s="49">
        <f t="shared" si="23"/>
        <v>8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22"/>
        <v>4</v>
      </c>
      <c r="AI41" s="49">
        <f t="shared" si="23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>
        <v>1.8</v>
      </c>
      <c r="V42" s="46">
        <v>1.8</v>
      </c>
      <c r="W42" s="46">
        <v>1.8</v>
      </c>
      <c r="X42" s="46">
        <v>1.8</v>
      </c>
      <c r="Y42" s="46">
        <v>1.8</v>
      </c>
      <c r="Z42" s="46">
        <v>1.8</v>
      </c>
      <c r="AA42" s="46">
        <v>1.8</v>
      </c>
      <c r="AB42" s="46">
        <v>1.8</v>
      </c>
      <c r="AC42" s="46">
        <v>1.8</v>
      </c>
      <c r="AD42" s="46">
        <v>1.8</v>
      </c>
      <c r="AE42" s="46">
        <v>1.8</v>
      </c>
      <c r="AF42" s="46">
        <v>1.8</v>
      </c>
      <c r="AG42" s="50">
        <v>13.6</v>
      </c>
      <c r="AH42" s="48">
        <f t="shared" si="22"/>
        <v>1.8</v>
      </c>
      <c r="AI42" s="49">
        <f t="shared" si="23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>
        <v>3.8</v>
      </c>
      <c r="V43" s="46">
        <v>3.8</v>
      </c>
      <c r="W43" s="46">
        <v>3.8</v>
      </c>
      <c r="X43" s="46">
        <v>3.8</v>
      </c>
      <c r="Y43" s="46">
        <v>3.8</v>
      </c>
      <c r="Z43" s="46">
        <v>3.8</v>
      </c>
      <c r="AA43" s="46">
        <v>3.8</v>
      </c>
      <c r="AB43" s="46">
        <v>3.8</v>
      </c>
      <c r="AC43" s="46">
        <v>3.8</v>
      </c>
      <c r="AD43" s="46">
        <v>3.8</v>
      </c>
      <c r="AE43" s="46">
        <v>3.8</v>
      </c>
      <c r="AF43" s="46">
        <v>3.8</v>
      </c>
      <c r="AG43" s="50">
        <v>13</v>
      </c>
      <c r="AH43" s="48">
        <f t="shared" si="22"/>
        <v>3.8</v>
      </c>
      <c r="AI43" s="49">
        <f t="shared" si="23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6.4</v>
      </c>
      <c r="C44" s="46">
        <v>6.4</v>
      </c>
      <c r="D44" s="46">
        <v>6.4</v>
      </c>
      <c r="E44" s="46">
        <v>6.4</v>
      </c>
      <c r="F44" s="46">
        <v>6.4</v>
      </c>
      <c r="G44" s="46">
        <v>6.4</v>
      </c>
      <c r="H44" s="46">
        <v>6.4</v>
      </c>
      <c r="I44" s="46">
        <v>6.4</v>
      </c>
      <c r="J44" s="46">
        <v>6.4</v>
      </c>
      <c r="K44" s="46">
        <v>6.4</v>
      </c>
      <c r="L44" s="46">
        <v>6.4</v>
      </c>
      <c r="M44" s="46">
        <v>6.4</v>
      </c>
      <c r="N44" s="46">
        <v>6.4</v>
      </c>
      <c r="O44" s="46">
        <v>6.4</v>
      </c>
      <c r="P44" s="46">
        <v>6.4</v>
      </c>
      <c r="Q44" s="46">
        <v>6.4</v>
      </c>
      <c r="R44" s="46">
        <v>6.4</v>
      </c>
      <c r="S44" s="46">
        <v>6.4</v>
      </c>
      <c r="T44" s="46">
        <v>6.4</v>
      </c>
      <c r="U44" s="46">
        <v>6.4</v>
      </c>
      <c r="V44" s="46">
        <v>6.4</v>
      </c>
      <c r="W44" s="46">
        <v>6.4</v>
      </c>
      <c r="X44" s="46">
        <v>6.4</v>
      </c>
      <c r="Y44" s="46">
        <v>6.4</v>
      </c>
      <c r="Z44" s="46">
        <v>6.4</v>
      </c>
      <c r="AA44" s="46">
        <v>6.4</v>
      </c>
      <c r="AB44" s="46">
        <v>6.4</v>
      </c>
      <c r="AC44" s="46">
        <v>6.4</v>
      </c>
      <c r="AD44" s="46">
        <v>6.4</v>
      </c>
      <c r="AE44" s="46">
        <v>6.4</v>
      </c>
      <c r="AF44" s="46">
        <v>6.4</v>
      </c>
      <c r="AG44" s="50">
        <v>12</v>
      </c>
      <c r="AH44" s="48">
        <f t="shared" si="22"/>
        <v>6.4</v>
      </c>
      <c r="AI44" s="49">
        <f t="shared" si="23"/>
        <v>6.4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>
        <v>9</v>
      </c>
      <c r="V45" s="46">
        <v>9</v>
      </c>
      <c r="W45" s="46">
        <v>9</v>
      </c>
      <c r="X45" s="46">
        <v>9</v>
      </c>
      <c r="Y45" s="46">
        <v>9</v>
      </c>
      <c r="Z45" s="46">
        <v>9</v>
      </c>
      <c r="AA45" s="46">
        <v>9</v>
      </c>
      <c r="AB45" s="46">
        <v>9</v>
      </c>
      <c r="AC45" s="46">
        <v>9</v>
      </c>
      <c r="AD45" s="46">
        <v>9</v>
      </c>
      <c r="AE45" s="46">
        <v>9</v>
      </c>
      <c r="AF45" s="46">
        <v>9</v>
      </c>
      <c r="AG45" s="50">
        <v>12</v>
      </c>
      <c r="AH45" s="48">
        <f t="shared" si="22"/>
        <v>9</v>
      </c>
      <c r="AI45" s="49">
        <f t="shared" si="23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22"/>
        <v>3</v>
      </c>
      <c r="AI46" s="49">
        <f t="shared" si="23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>
        <v>3.5</v>
      </c>
      <c r="V47" s="46">
        <v>3.5</v>
      </c>
      <c r="W47" s="46">
        <v>3.5</v>
      </c>
      <c r="X47" s="46">
        <v>3.5</v>
      </c>
      <c r="Y47" s="46">
        <v>3.5</v>
      </c>
      <c r="Z47" s="46">
        <v>3.5</v>
      </c>
      <c r="AA47" s="46">
        <v>3.5</v>
      </c>
      <c r="AB47" s="46">
        <v>3.5</v>
      </c>
      <c r="AC47" s="46">
        <v>3.5</v>
      </c>
      <c r="AD47" s="46">
        <v>3.5</v>
      </c>
      <c r="AE47" s="46">
        <v>3.5</v>
      </c>
      <c r="AF47" s="46">
        <v>3.5</v>
      </c>
      <c r="AG47" s="63">
        <v>22</v>
      </c>
      <c r="AH47" s="48">
        <f t="shared" si="22"/>
        <v>3.5</v>
      </c>
      <c r="AI47" s="49">
        <f t="shared" si="23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>
        <v>5</v>
      </c>
      <c r="V48" s="46">
        <v>5</v>
      </c>
      <c r="W48" s="46">
        <v>5</v>
      </c>
      <c r="X48" s="46">
        <v>5</v>
      </c>
      <c r="Y48" s="46">
        <v>5</v>
      </c>
      <c r="Z48" s="46">
        <v>5</v>
      </c>
      <c r="AA48" s="46">
        <v>5</v>
      </c>
      <c r="AB48" s="46">
        <v>5</v>
      </c>
      <c r="AC48" s="46">
        <v>5</v>
      </c>
      <c r="AD48" s="46">
        <v>5</v>
      </c>
      <c r="AE48" s="46">
        <v>5</v>
      </c>
      <c r="AF48" s="46">
        <v>5</v>
      </c>
      <c r="AG48" s="60">
        <v>11.88</v>
      </c>
      <c r="AH48" s="48">
        <f t="shared" si="22"/>
        <v>5</v>
      </c>
      <c r="AI48" s="49">
        <f t="shared" si="23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5">
        <v>11</v>
      </c>
      <c r="AH49" s="48">
        <f t="shared" si="22"/>
        <v>3</v>
      </c>
      <c r="AI49" s="49">
        <f t="shared" si="23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4" t="s">
        <v>67</v>
      </c>
      <c r="B50" s="46">
        <v>2.4500000000000002</v>
      </c>
      <c r="C50" s="46">
        <v>2.4500000000000002</v>
      </c>
      <c r="D50" s="46">
        <v>2.4500000000000002</v>
      </c>
      <c r="E50" s="46">
        <v>2.4500000000000002</v>
      </c>
      <c r="F50" s="46">
        <v>2.4500000000000002</v>
      </c>
      <c r="G50" s="46">
        <v>2.4500000000000002</v>
      </c>
      <c r="H50" s="46">
        <v>2.4500000000000002</v>
      </c>
      <c r="I50" s="46">
        <v>2.4500000000000002</v>
      </c>
      <c r="J50" s="46">
        <v>2.4500000000000002</v>
      </c>
      <c r="K50" s="46">
        <v>2.4500000000000002</v>
      </c>
      <c r="L50" s="46">
        <v>2.4500000000000002</v>
      </c>
      <c r="M50" s="46">
        <v>2.4500000000000002</v>
      </c>
      <c r="N50" s="46">
        <v>2.4500000000000002</v>
      </c>
      <c r="O50" s="46">
        <v>2.4500000000000002</v>
      </c>
      <c r="P50" s="46">
        <v>2.4500000000000002</v>
      </c>
      <c r="Q50" s="46">
        <v>2.4500000000000002</v>
      </c>
      <c r="R50" s="46">
        <v>2.4500000000000002</v>
      </c>
      <c r="S50" s="46">
        <v>2.4500000000000002</v>
      </c>
      <c r="T50" s="46">
        <v>2.4500000000000002</v>
      </c>
      <c r="U50" s="46">
        <v>2.4500000000000002</v>
      </c>
      <c r="V50" s="46">
        <v>2.4500000000000002</v>
      </c>
      <c r="W50" s="46">
        <v>2.4500000000000002</v>
      </c>
      <c r="X50" s="46">
        <v>2.4500000000000002</v>
      </c>
      <c r="Y50" s="46">
        <v>2.4500000000000002</v>
      </c>
      <c r="Z50" s="46">
        <v>2.4500000000000002</v>
      </c>
      <c r="AA50" s="46">
        <v>2.4500000000000002</v>
      </c>
      <c r="AB50" s="46">
        <v>2.4500000000000002</v>
      </c>
      <c r="AC50" s="46">
        <v>2.4500000000000002</v>
      </c>
      <c r="AD50" s="46">
        <v>2.4500000000000002</v>
      </c>
      <c r="AE50" s="46">
        <v>2.4500000000000002</v>
      </c>
      <c r="AF50" s="46">
        <v>2.4500000000000002</v>
      </c>
      <c r="AG50" s="65">
        <v>11</v>
      </c>
      <c r="AH50" s="48">
        <f t="shared" si="22"/>
        <v>2.4500000000000002</v>
      </c>
      <c r="AI50" s="49">
        <f t="shared" si="23"/>
        <v>2.4500000000000002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65">
        <v>11</v>
      </c>
      <c r="AH51" s="48">
        <f t="shared" si="22"/>
        <v>3</v>
      </c>
      <c r="AI51" s="49">
        <f t="shared" si="23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5">
        <v>10</v>
      </c>
      <c r="AH52" s="48">
        <f t="shared" si="22"/>
        <v>4</v>
      </c>
      <c r="AI52" s="49">
        <f t="shared" si="2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>
        <v>4.5</v>
      </c>
      <c r="V53" s="46">
        <v>4.5</v>
      </c>
      <c r="W53" s="46">
        <v>4.5</v>
      </c>
      <c r="X53" s="46">
        <v>4.5</v>
      </c>
      <c r="Y53" s="46">
        <v>4.5</v>
      </c>
      <c r="Z53" s="46">
        <v>4.5</v>
      </c>
      <c r="AA53" s="46">
        <v>4.5</v>
      </c>
      <c r="AB53" s="46">
        <v>4.5</v>
      </c>
      <c r="AC53" s="46">
        <v>4.5</v>
      </c>
      <c r="AD53" s="46">
        <v>4.5</v>
      </c>
      <c r="AE53" s="46">
        <v>4.5</v>
      </c>
      <c r="AF53" s="46">
        <v>4.5</v>
      </c>
      <c r="AG53" s="65">
        <v>10</v>
      </c>
      <c r="AH53" s="48">
        <f t="shared" si="22"/>
        <v>4.5</v>
      </c>
      <c r="AI53" s="49">
        <f t="shared" si="23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5">
        <v>10</v>
      </c>
      <c r="AH54" s="48">
        <f t="shared" si="22"/>
        <v>0</v>
      </c>
      <c r="AI54" s="49">
        <f t="shared" si="23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5">
        <v>10</v>
      </c>
      <c r="AH55" s="48">
        <f t="shared" si="22"/>
        <v>0</v>
      </c>
      <c r="AI55" s="49">
        <f t="shared" si="23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>
        <v>150</v>
      </c>
      <c r="W56" s="67">
        <v>150</v>
      </c>
      <c r="X56" s="67">
        <v>150</v>
      </c>
      <c r="Y56" s="67">
        <v>150</v>
      </c>
      <c r="Z56" s="67">
        <v>150</v>
      </c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22"/>
        <v>150</v>
      </c>
      <c r="AI56" s="49">
        <f t="shared" si="23"/>
        <v>150</v>
      </c>
      <c r="AK56" s="51"/>
    </row>
    <row r="57" spans="1:88" ht="15.75" thickBot="1" x14ac:dyDescent="0.3">
      <c r="A57" s="68" t="s">
        <v>74</v>
      </c>
      <c r="B57" s="67">
        <v>32.4</v>
      </c>
      <c r="C57" s="67">
        <v>32</v>
      </c>
      <c r="D57" s="67">
        <v>33</v>
      </c>
      <c r="E57" s="67">
        <f>13.2+22</f>
        <v>35.200000000000003</v>
      </c>
      <c r="F57" s="67">
        <f>13.5+22.9</f>
        <v>36.4</v>
      </c>
      <c r="G57" s="67">
        <f>13.7+22.7</f>
        <v>36.4</v>
      </c>
      <c r="H57" s="67">
        <f>12.8+21</f>
        <v>33.799999999999997</v>
      </c>
      <c r="I57" s="67">
        <f>13.8+22.5</f>
        <v>36.299999999999997</v>
      </c>
      <c r="J57" s="67">
        <f>14+21.1</f>
        <v>35.1</v>
      </c>
      <c r="K57" s="53">
        <f>14+20.8</f>
        <v>34.799999999999997</v>
      </c>
      <c r="L57" s="53">
        <f>10.1+18.4</f>
        <v>28.5</v>
      </c>
      <c r="M57" s="53">
        <f>10.1+18.4</f>
        <v>28.5</v>
      </c>
      <c r="N57" s="53">
        <v>32.5</v>
      </c>
      <c r="O57" s="53">
        <v>32.5</v>
      </c>
      <c r="P57" s="53">
        <v>32.5</v>
      </c>
      <c r="Q57" s="53">
        <v>32.5</v>
      </c>
      <c r="R57" s="53">
        <v>32.5</v>
      </c>
      <c r="S57" s="53">
        <v>32.5</v>
      </c>
      <c r="T57" s="53">
        <v>32.5</v>
      </c>
      <c r="U57" s="53">
        <v>32.5</v>
      </c>
      <c r="V57" s="53">
        <v>32.5</v>
      </c>
      <c r="W57" s="53">
        <v>32.5</v>
      </c>
      <c r="X57" s="53">
        <v>32.5</v>
      </c>
      <c r="Y57" s="53">
        <v>32.5</v>
      </c>
      <c r="Z57" s="53">
        <v>32.5</v>
      </c>
      <c r="AA57" s="53">
        <v>32.5</v>
      </c>
      <c r="AB57" s="53">
        <v>28.5</v>
      </c>
      <c r="AC57" s="53">
        <v>30</v>
      </c>
      <c r="AD57" s="53">
        <v>30</v>
      </c>
      <c r="AE57" s="53">
        <f>11.9+19.5</f>
        <v>31.4</v>
      </c>
      <c r="AF57" s="53">
        <f>12.1+19.8</f>
        <v>31.9</v>
      </c>
      <c r="AG57" s="65">
        <v>240</v>
      </c>
      <c r="AH57" s="48">
        <f t="shared" si="22"/>
        <v>36.4</v>
      </c>
      <c r="AI57" s="49">
        <f t="shared" si="23"/>
        <v>28.5</v>
      </c>
      <c r="AK57" s="51"/>
    </row>
    <row r="58" spans="1:88" ht="15.75" thickBot="1" x14ac:dyDescent="0.3">
      <c r="A58" s="69" t="s">
        <v>75</v>
      </c>
      <c r="B58" s="70">
        <f t="shared" ref="B58:C58" si="77">SUM(B11:B56)</f>
        <v>526.04999999999995</v>
      </c>
      <c r="C58" s="70">
        <f t="shared" si="77"/>
        <v>526.04999999999995</v>
      </c>
      <c r="D58" s="70">
        <f t="shared" ref="D58" si="78">SUM(D11:D56)</f>
        <v>526.04999999999995</v>
      </c>
      <c r="E58" s="70">
        <f t="shared" ref="E58:AD58" si="79">SUM(E11:E56)</f>
        <v>526.04999999999995</v>
      </c>
      <c r="F58" s="70">
        <f t="shared" si="79"/>
        <v>526.04999999999995</v>
      </c>
      <c r="G58" s="70">
        <f t="shared" si="79"/>
        <v>526.04999999999995</v>
      </c>
      <c r="H58" s="70">
        <f t="shared" si="79"/>
        <v>526.04999999999995</v>
      </c>
      <c r="I58" s="70">
        <f t="shared" si="79"/>
        <v>526.04999999999995</v>
      </c>
      <c r="J58" s="70">
        <f t="shared" si="79"/>
        <v>526.04999999999995</v>
      </c>
      <c r="K58" s="70">
        <f t="shared" si="79"/>
        <v>526.04999999999995</v>
      </c>
      <c r="L58" s="70">
        <f t="shared" si="79"/>
        <v>526.04999999999995</v>
      </c>
      <c r="M58" s="70">
        <f t="shared" si="79"/>
        <v>526.04999999999995</v>
      </c>
      <c r="N58" s="70">
        <f t="shared" si="79"/>
        <v>526.04999999999995</v>
      </c>
      <c r="O58" s="70">
        <f t="shared" si="79"/>
        <v>526.04999999999995</v>
      </c>
      <c r="P58" s="70">
        <f t="shared" si="79"/>
        <v>526.04999999999995</v>
      </c>
      <c r="Q58" s="70">
        <f t="shared" si="79"/>
        <v>526.04999999999995</v>
      </c>
      <c r="R58" s="70">
        <f t="shared" si="79"/>
        <v>526.04999999999995</v>
      </c>
      <c r="S58" s="70">
        <f t="shared" si="79"/>
        <v>526.04999999999995</v>
      </c>
      <c r="T58" s="70">
        <f t="shared" si="79"/>
        <v>526.04999999999995</v>
      </c>
      <c r="U58" s="70">
        <f t="shared" si="79"/>
        <v>526.04999999999995</v>
      </c>
      <c r="V58" s="70">
        <f t="shared" si="79"/>
        <v>526.04999999999995</v>
      </c>
      <c r="W58" s="70">
        <f t="shared" si="79"/>
        <v>526.04999999999995</v>
      </c>
      <c r="X58" s="70">
        <f t="shared" si="79"/>
        <v>526.04999999999995</v>
      </c>
      <c r="Y58" s="70">
        <f t="shared" si="79"/>
        <v>527.75</v>
      </c>
      <c r="Z58" s="70">
        <f t="shared" si="79"/>
        <v>530.15</v>
      </c>
      <c r="AA58" s="70">
        <f t="shared" si="79"/>
        <v>530.15</v>
      </c>
      <c r="AB58" s="70">
        <f t="shared" si="79"/>
        <v>519.54999999999995</v>
      </c>
      <c r="AC58" s="70">
        <f t="shared" si="79"/>
        <v>519.54999999999995</v>
      </c>
      <c r="AD58" s="70">
        <f t="shared" si="79"/>
        <v>519.54999999999995</v>
      </c>
      <c r="AE58" s="70">
        <f t="shared" ref="AE58:AF58" si="80">SUM(AE11:AE56)</f>
        <v>523.45000000000005</v>
      </c>
      <c r="AF58" s="70">
        <f t="shared" si="80"/>
        <v>524.45000000000005</v>
      </c>
      <c r="AG58" s="71">
        <f>SUM(AG14:AG56)</f>
        <v>1042.4000000000001</v>
      </c>
      <c r="AH58" s="48">
        <f t="shared" si="22"/>
        <v>530.15</v>
      </c>
      <c r="AI58" s="49">
        <f t="shared" si="23"/>
        <v>519.54999999999995</v>
      </c>
      <c r="AK58" s="51"/>
    </row>
    <row r="59" spans="1:88" x14ac:dyDescent="0.25">
      <c r="A59" s="72" t="s">
        <v>76</v>
      </c>
      <c r="B59" s="46">
        <v>70</v>
      </c>
      <c r="C59" s="46">
        <v>50</v>
      </c>
      <c r="D59" s="46">
        <v>30</v>
      </c>
      <c r="E59" s="46">
        <v>30.1</v>
      </c>
      <c r="F59" s="46">
        <v>25.1</v>
      </c>
      <c r="G59" s="46">
        <v>76.3</v>
      </c>
      <c r="H59" s="46">
        <v>15.1</v>
      </c>
      <c r="I59" s="46">
        <v>60.8</v>
      </c>
      <c r="J59" s="46">
        <v>30.4</v>
      </c>
      <c r="K59" s="46">
        <v>30.1</v>
      </c>
      <c r="L59" s="46">
        <v>40.200000000000003</v>
      </c>
      <c r="M59" s="46">
        <v>40.200000000000003</v>
      </c>
      <c r="N59" s="46">
        <v>15.1</v>
      </c>
      <c r="O59" s="46">
        <v>0</v>
      </c>
      <c r="P59" s="46">
        <v>0</v>
      </c>
      <c r="Q59" s="46">
        <v>0</v>
      </c>
      <c r="R59" s="46">
        <v>0</v>
      </c>
      <c r="S59" s="73">
        <v>0</v>
      </c>
      <c r="T59" s="73">
        <v>0</v>
      </c>
      <c r="U59" s="73">
        <v>0</v>
      </c>
      <c r="V59" s="73">
        <v>0</v>
      </c>
      <c r="W59" s="46">
        <v>0</v>
      </c>
      <c r="X59" s="46">
        <v>112.5</v>
      </c>
      <c r="Y59" s="46">
        <v>380</v>
      </c>
      <c r="Z59" s="46">
        <v>457.7</v>
      </c>
      <c r="AA59" s="46">
        <v>404</v>
      </c>
      <c r="AB59" s="46">
        <v>374</v>
      </c>
      <c r="AC59" s="46">
        <v>352</v>
      </c>
      <c r="AD59" s="46">
        <v>78.900000000000006</v>
      </c>
      <c r="AE59" s="46">
        <v>70.3</v>
      </c>
      <c r="AF59" s="46">
        <v>68.3</v>
      </c>
      <c r="AG59" s="60">
        <v>456</v>
      </c>
      <c r="AH59" s="48">
        <f t="shared" si="22"/>
        <v>457.7</v>
      </c>
      <c r="AI59" s="49">
        <f t="shared" si="23"/>
        <v>0</v>
      </c>
      <c r="AK59" s="51"/>
    </row>
    <row r="60" spans="1:88" x14ac:dyDescent="0.25">
      <c r="A60" s="74" t="s">
        <v>77</v>
      </c>
      <c r="B60" s="75">
        <v>22</v>
      </c>
      <c r="C60" s="75">
        <v>22</v>
      </c>
      <c r="D60" s="75">
        <v>22</v>
      </c>
      <c r="E60" s="75">
        <v>22.4</v>
      </c>
      <c r="F60" s="75">
        <v>22.1</v>
      </c>
      <c r="G60" s="75">
        <v>22.1</v>
      </c>
      <c r="H60" s="75">
        <v>22.7</v>
      </c>
      <c r="I60" s="75">
        <v>21</v>
      </c>
      <c r="J60" s="75">
        <v>22.9</v>
      </c>
      <c r="K60" s="75">
        <v>22</v>
      </c>
      <c r="L60" s="75">
        <v>23</v>
      </c>
      <c r="M60" s="75">
        <v>23</v>
      </c>
      <c r="N60" s="75">
        <v>23</v>
      </c>
      <c r="O60" s="75">
        <v>23</v>
      </c>
      <c r="P60" s="75">
        <v>23</v>
      </c>
      <c r="Q60" s="75">
        <v>23</v>
      </c>
      <c r="R60" s="75">
        <v>23</v>
      </c>
      <c r="S60" s="75">
        <v>21.9</v>
      </c>
      <c r="T60" s="75">
        <v>21.4</v>
      </c>
      <c r="U60" s="75">
        <v>21.9</v>
      </c>
      <c r="V60" s="75">
        <v>20.9</v>
      </c>
      <c r="W60" s="75">
        <v>21.2</v>
      </c>
      <c r="X60" s="75">
        <v>20.8</v>
      </c>
      <c r="Y60" s="75">
        <v>21.1</v>
      </c>
      <c r="Z60" s="75">
        <v>20.9</v>
      </c>
      <c r="AA60" s="75">
        <v>21.8</v>
      </c>
      <c r="AB60" s="75">
        <v>21.8</v>
      </c>
      <c r="AC60" s="75">
        <v>21.8</v>
      </c>
      <c r="AD60" s="75">
        <v>21.8</v>
      </c>
      <c r="AE60" s="75">
        <v>21.6</v>
      </c>
      <c r="AF60" s="75">
        <v>20.8</v>
      </c>
      <c r="AG60" s="65">
        <v>60</v>
      </c>
      <c r="AH60" s="48">
        <f t="shared" si="22"/>
        <v>23</v>
      </c>
      <c r="AI60" s="49">
        <f t="shared" si="23"/>
        <v>20.8</v>
      </c>
      <c r="AK60" s="51"/>
    </row>
    <row r="61" spans="1:88" ht="15.75" thickBot="1" x14ac:dyDescent="0.3">
      <c r="A61" s="76" t="s">
        <v>78</v>
      </c>
      <c r="B61" s="77">
        <v>14.5</v>
      </c>
      <c r="C61" s="77">
        <v>14.5</v>
      </c>
      <c r="D61" s="77">
        <v>14.5</v>
      </c>
      <c r="E61" s="77">
        <v>14.5</v>
      </c>
      <c r="F61" s="77">
        <v>14.6</v>
      </c>
      <c r="G61" s="77">
        <v>14.5</v>
      </c>
      <c r="H61" s="77">
        <v>14.6</v>
      </c>
      <c r="I61" s="77">
        <v>14.5</v>
      </c>
      <c r="J61" s="77">
        <v>14.5</v>
      </c>
      <c r="K61" s="77">
        <v>14.5</v>
      </c>
      <c r="L61" s="77">
        <v>14.6</v>
      </c>
      <c r="M61" s="77">
        <v>14.6</v>
      </c>
      <c r="N61" s="77">
        <v>14.6</v>
      </c>
      <c r="O61" s="77">
        <v>14.6</v>
      </c>
      <c r="P61" s="77">
        <v>14.6</v>
      </c>
      <c r="Q61" s="77">
        <v>13.5</v>
      </c>
      <c r="R61" s="77">
        <v>13.5</v>
      </c>
      <c r="S61" s="77">
        <v>12.3</v>
      </c>
      <c r="T61" s="77">
        <v>12.3</v>
      </c>
      <c r="U61" s="77">
        <v>14.1</v>
      </c>
      <c r="V61" s="77">
        <v>14.2</v>
      </c>
      <c r="W61" s="77">
        <v>14.2</v>
      </c>
      <c r="X61" s="77">
        <v>14.1</v>
      </c>
      <c r="Y61" s="77">
        <v>14.8</v>
      </c>
      <c r="Z61" s="77">
        <v>16.2</v>
      </c>
      <c r="AA61" s="77">
        <v>16.2</v>
      </c>
      <c r="AB61" s="77">
        <v>16.2</v>
      </c>
      <c r="AC61" s="77">
        <v>16.2</v>
      </c>
      <c r="AD61" s="77">
        <v>16.2</v>
      </c>
      <c r="AE61" s="77">
        <v>12.6</v>
      </c>
      <c r="AF61" s="77">
        <v>12.6</v>
      </c>
      <c r="AG61" s="78">
        <v>22.1</v>
      </c>
      <c r="AH61" s="48">
        <f t="shared" si="22"/>
        <v>16.2</v>
      </c>
      <c r="AI61" s="49">
        <f t="shared" si="23"/>
        <v>12.3</v>
      </c>
      <c r="AK61" s="51"/>
    </row>
    <row r="62" spans="1:88" ht="15.75" thickBot="1" x14ac:dyDescent="0.3">
      <c r="A62" s="79" t="s">
        <v>79</v>
      </c>
      <c r="B62" s="70">
        <f t="shared" ref="B62:C62" si="81">SUM(B59:B61)</f>
        <v>106.5</v>
      </c>
      <c r="C62" s="70">
        <f t="shared" si="81"/>
        <v>86.5</v>
      </c>
      <c r="D62" s="70">
        <f t="shared" ref="D62" si="82">SUM(D59:D61)</f>
        <v>66.5</v>
      </c>
      <c r="E62" s="70">
        <f t="shared" ref="E62:AG62" si="83">SUM(E59:E61)</f>
        <v>67</v>
      </c>
      <c r="F62" s="70">
        <f t="shared" si="83"/>
        <v>61.800000000000004</v>
      </c>
      <c r="G62" s="70">
        <f t="shared" si="83"/>
        <v>112.9</v>
      </c>
      <c r="H62" s="70">
        <f t="shared" si="83"/>
        <v>52.4</v>
      </c>
      <c r="I62" s="70">
        <f t="shared" si="83"/>
        <v>96.3</v>
      </c>
      <c r="J62" s="70">
        <f t="shared" si="83"/>
        <v>67.8</v>
      </c>
      <c r="K62" s="70">
        <f t="shared" si="83"/>
        <v>66.599999999999994</v>
      </c>
      <c r="L62" s="70">
        <f t="shared" si="83"/>
        <v>77.8</v>
      </c>
      <c r="M62" s="70">
        <f t="shared" si="83"/>
        <v>77.8</v>
      </c>
      <c r="N62" s="70">
        <f t="shared" si="83"/>
        <v>52.7</v>
      </c>
      <c r="O62" s="70">
        <f t="shared" si="83"/>
        <v>37.6</v>
      </c>
      <c r="P62" s="70">
        <f t="shared" si="83"/>
        <v>37.6</v>
      </c>
      <c r="Q62" s="70">
        <f t="shared" si="83"/>
        <v>36.5</v>
      </c>
      <c r="R62" s="70">
        <f t="shared" si="83"/>
        <v>36.5</v>
      </c>
      <c r="S62" s="70">
        <f t="shared" si="83"/>
        <v>34.200000000000003</v>
      </c>
      <c r="T62" s="70">
        <f t="shared" si="83"/>
        <v>33.700000000000003</v>
      </c>
      <c r="U62" s="70">
        <f t="shared" si="83"/>
        <v>36</v>
      </c>
      <c r="V62" s="70">
        <f t="shared" si="83"/>
        <v>35.099999999999994</v>
      </c>
      <c r="W62" s="70">
        <f t="shared" si="83"/>
        <v>35.4</v>
      </c>
      <c r="X62" s="70">
        <f t="shared" si="83"/>
        <v>147.4</v>
      </c>
      <c r="Y62" s="70">
        <f t="shared" si="83"/>
        <v>415.90000000000003</v>
      </c>
      <c r="Z62" s="70">
        <f t="shared" si="83"/>
        <v>494.79999999999995</v>
      </c>
      <c r="AA62" s="70">
        <f t="shared" si="83"/>
        <v>442</v>
      </c>
      <c r="AB62" s="70">
        <f t="shared" si="83"/>
        <v>412</v>
      </c>
      <c r="AC62" s="70">
        <f t="shared" si="83"/>
        <v>390</v>
      </c>
      <c r="AD62" s="70">
        <f t="shared" si="83"/>
        <v>116.9</v>
      </c>
      <c r="AE62" s="70">
        <f t="shared" ref="AE62:AF62" si="84">SUM(AE59:AE61)</f>
        <v>104.5</v>
      </c>
      <c r="AF62" s="70">
        <f t="shared" si="84"/>
        <v>101.69999999999999</v>
      </c>
      <c r="AG62" s="71">
        <f t="shared" si="83"/>
        <v>538.1</v>
      </c>
      <c r="AH62" s="48">
        <f t="shared" si="22"/>
        <v>494.79999999999995</v>
      </c>
      <c r="AI62" s="49">
        <f t="shared" si="23"/>
        <v>33.700000000000003</v>
      </c>
      <c r="AK62" s="51"/>
    </row>
    <row r="63" spans="1:88" x14ac:dyDescent="0.25">
      <c r="A63" s="45" t="s">
        <v>80</v>
      </c>
      <c r="B63" s="46">
        <v>45.9</v>
      </c>
      <c r="C63" s="46">
        <v>45.9</v>
      </c>
      <c r="D63" s="46">
        <v>30.1</v>
      </c>
      <c r="E63" s="46">
        <v>30</v>
      </c>
      <c r="F63" s="46">
        <v>29.8</v>
      </c>
      <c r="G63" s="46">
        <v>30.7</v>
      </c>
      <c r="H63" s="46">
        <v>31.1</v>
      </c>
      <c r="I63" s="46">
        <v>40.799999999999997</v>
      </c>
      <c r="J63" s="46">
        <v>80.7</v>
      </c>
      <c r="K63" s="46">
        <v>80.7</v>
      </c>
      <c r="L63" s="46">
        <v>90.7</v>
      </c>
      <c r="M63" s="46">
        <v>90.7</v>
      </c>
      <c r="N63" s="46">
        <v>97.2</v>
      </c>
      <c r="O63" s="46">
        <v>97.2</v>
      </c>
      <c r="P63" s="46">
        <v>97.2</v>
      </c>
      <c r="Q63" s="46">
        <v>76.2</v>
      </c>
      <c r="R63" s="46">
        <v>40.700000000000003</v>
      </c>
      <c r="S63" s="46">
        <v>30.8</v>
      </c>
      <c r="T63" s="46">
        <v>30.3</v>
      </c>
      <c r="U63" s="46">
        <v>35</v>
      </c>
      <c r="V63" s="46">
        <v>30</v>
      </c>
      <c r="W63" s="46">
        <v>30.1</v>
      </c>
      <c r="X63" s="46">
        <v>89</v>
      </c>
      <c r="Y63" s="46">
        <v>91.6</v>
      </c>
      <c r="Z63" s="46">
        <v>131.80000000000001</v>
      </c>
      <c r="AA63" s="46">
        <v>103.6</v>
      </c>
      <c r="AB63" s="46">
        <v>103.6</v>
      </c>
      <c r="AC63" s="46">
        <v>103.6</v>
      </c>
      <c r="AD63" s="46">
        <v>139.6</v>
      </c>
      <c r="AE63" s="46">
        <v>137.19999999999999</v>
      </c>
      <c r="AF63" s="46">
        <v>60.3</v>
      </c>
      <c r="AG63" s="60">
        <v>144</v>
      </c>
      <c r="AH63" s="48">
        <f t="shared" si="22"/>
        <v>139.6</v>
      </c>
      <c r="AI63" s="49">
        <f t="shared" si="23"/>
        <v>29.8</v>
      </c>
      <c r="AK63" s="51"/>
    </row>
    <row r="64" spans="1:88" x14ac:dyDescent="0.25">
      <c r="A64" s="64" t="s">
        <v>81</v>
      </c>
      <c r="B64" s="75">
        <v>24.7</v>
      </c>
      <c r="C64" s="75">
        <v>24.9</v>
      </c>
      <c r="D64" s="75">
        <v>24.5</v>
      </c>
      <c r="E64" s="75">
        <v>24.9</v>
      </c>
      <c r="F64" s="75">
        <v>0</v>
      </c>
      <c r="G64" s="75">
        <v>0</v>
      </c>
      <c r="H64" s="75">
        <v>25.1</v>
      </c>
      <c r="I64" s="75">
        <v>24.7</v>
      </c>
      <c r="J64" s="75">
        <v>24.8</v>
      </c>
      <c r="K64" s="75">
        <v>24.9</v>
      </c>
      <c r="L64" s="75">
        <v>59.2</v>
      </c>
      <c r="M64" s="75">
        <v>59.2</v>
      </c>
      <c r="N64" s="75">
        <v>60.3</v>
      </c>
      <c r="O64" s="75">
        <v>49.8</v>
      </c>
      <c r="P64" s="75">
        <v>49.8</v>
      </c>
      <c r="Q64" s="75">
        <v>39.299999999999997</v>
      </c>
      <c r="R64" s="75">
        <v>24.6</v>
      </c>
      <c r="S64" s="75">
        <v>20.6</v>
      </c>
      <c r="T64" s="75">
        <v>20.6</v>
      </c>
      <c r="U64" s="75">
        <v>20.6</v>
      </c>
      <c r="V64" s="75">
        <v>20.6</v>
      </c>
      <c r="W64" s="46">
        <v>20.6</v>
      </c>
      <c r="X64" s="46">
        <v>45.1</v>
      </c>
      <c r="Y64" s="46">
        <v>45.2</v>
      </c>
      <c r="Z64" s="46">
        <v>60.9</v>
      </c>
      <c r="AA64" s="46">
        <v>62</v>
      </c>
      <c r="AB64" s="46">
        <v>62</v>
      </c>
      <c r="AC64" s="46">
        <v>60</v>
      </c>
      <c r="AD64" s="46">
        <v>34.299999999999997</v>
      </c>
      <c r="AE64" s="46">
        <v>34.5</v>
      </c>
      <c r="AF64" s="46">
        <v>33.700000000000003</v>
      </c>
      <c r="AG64" s="65">
        <v>70</v>
      </c>
      <c r="AH64" s="48">
        <f t="shared" si="22"/>
        <v>62</v>
      </c>
      <c r="AI64" s="49">
        <f t="shared" si="23"/>
        <v>0</v>
      </c>
      <c r="AK64" s="51"/>
    </row>
    <row r="65" spans="1:75" x14ac:dyDescent="0.25">
      <c r="A65" s="64" t="s">
        <v>82</v>
      </c>
      <c r="B65" s="75">
        <v>32.299999999999997</v>
      </c>
      <c r="C65" s="75">
        <v>32.799999999999997</v>
      </c>
      <c r="D65" s="75">
        <v>32.9</v>
      </c>
      <c r="E65" s="75">
        <v>32.9</v>
      </c>
      <c r="F65" s="75">
        <v>33.200000000000003</v>
      </c>
      <c r="G65" s="75">
        <v>48.2</v>
      </c>
      <c r="H65" s="75">
        <v>34.1</v>
      </c>
      <c r="I65" s="75">
        <v>34</v>
      </c>
      <c r="J65" s="75">
        <v>33.9</v>
      </c>
      <c r="K65" s="75">
        <v>34.1</v>
      </c>
      <c r="L65" s="75">
        <v>68.099999999999994</v>
      </c>
      <c r="M65" s="75">
        <v>68.099999999999994</v>
      </c>
      <c r="N65" s="75">
        <v>36</v>
      </c>
      <c r="O65" s="75">
        <v>21.3</v>
      </c>
      <c r="P65" s="75">
        <v>21.3</v>
      </c>
      <c r="Q65" s="75">
        <v>21.8</v>
      </c>
      <c r="R65" s="75">
        <v>22.7</v>
      </c>
      <c r="S65" s="75">
        <v>0</v>
      </c>
      <c r="T65" s="75">
        <v>16.8</v>
      </c>
      <c r="U65" s="75">
        <v>22.2</v>
      </c>
      <c r="V65" s="75">
        <v>48.5</v>
      </c>
      <c r="W65" s="46">
        <v>50</v>
      </c>
      <c r="X65" s="46">
        <v>52.3</v>
      </c>
      <c r="Y65" s="46">
        <v>53.1</v>
      </c>
      <c r="Z65" s="46">
        <v>69</v>
      </c>
      <c r="AA65" s="46">
        <v>68.7</v>
      </c>
      <c r="AB65" s="46">
        <v>61</v>
      </c>
      <c r="AC65" s="46">
        <v>61</v>
      </c>
      <c r="AD65" s="46">
        <v>65</v>
      </c>
      <c r="AE65" s="46">
        <v>64.900000000000006</v>
      </c>
      <c r="AF65" s="46">
        <v>39.4</v>
      </c>
      <c r="AG65" s="65">
        <v>69</v>
      </c>
      <c r="AH65" s="48">
        <f t="shared" si="22"/>
        <v>69</v>
      </c>
      <c r="AI65" s="49">
        <f t="shared" si="23"/>
        <v>0</v>
      </c>
      <c r="AK65" s="51"/>
    </row>
    <row r="66" spans="1:75" x14ac:dyDescent="0.25">
      <c r="A66" s="64" t="s">
        <v>83</v>
      </c>
      <c r="B66" s="75">
        <v>38.200000000000003</v>
      </c>
      <c r="C66" s="75">
        <v>38.200000000000003</v>
      </c>
      <c r="D66" s="75">
        <v>38.200000000000003</v>
      </c>
      <c r="E66" s="75">
        <v>42.1</v>
      </c>
      <c r="F66" s="75">
        <v>42.3</v>
      </c>
      <c r="G66" s="75">
        <v>41.8</v>
      </c>
      <c r="H66" s="75">
        <v>42.3</v>
      </c>
      <c r="I66" s="75">
        <v>42.1</v>
      </c>
      <c r="J66" s="75">
        <v>41.8</v>
      </c>
      <c r="K66" s="67">
        <v>42.1</v>
      </c>
      <c r="L66" s="67">
        <v>41.8</v>
      </c>
      <c r="M66" s="67">
        <v>41.8</v>
      </c>
      <c r="N66" s="67">
        <v>41.8</v>
      </c>
      <c r="O66" s="67">
        <v>38</v>
      </c>
      <c r="P66" s="67">
        <v>38</v>
      </c>
      <c r="Q66" s="75">
        <v>42.3</v>
      </c>
      <c r="R66" s="75">
        <v>42.3</v>
      </c>
      <c r="S66" s="75">
        <v>38.799999999999997</v>
      </c>
      <c r="T66" s="75">
        <v>39</v>
      </c>
      <c r="U66" s="75">
        <v>39</v>
      </c>
      <c r="V66" s="75">
        <v>39</v>
      </c>
      <c r="W66" s="46">
        <v>38.799999999999997</v>
      </c>
      <c r="X66" s="46">
        <v>39</v>
      </c>
      <c r="Y66" s="46">
        <v>38.799999999999997</v>
      </c>
      <c r="Z66" s="46">
        <v>38.799999999999997</v>
      </c>
      <c r="AA66" s="46">
        <v>38.799999999999997</v>
      </c>
      <c r="AB66" s="46">
        <v>38.799999999999997</v>
      </c>
      <c r="AC66" s="46">
        <v>38.799999999999997</v>
      </c>
      <c r="AD66" s="46">
        <v>38.799999999999997</v>
      </c>
      <c r="AE66" s="46">
        <v>40</v>
      </c>
      <c r="AF66" s="46">
        <v>41.3</v>
      </c>
      <c r="AG66" s="65">
        <v>60</v>
      </c>
      <c r="AH66" s="48">
        <f t="shared" si="22"/>
        <v>42.3</v>
      </c>
      <c r="AI66" s="49">
        <f t="shared" si="23"/>
        <v>38</v>
      </c>
      <c r="AK66" s="51"/>
    </row>
    <row r="67" spans="1:75" x14ac:dyDescent="0.25">
      <c r="A67" s="64" t="s">
        <v>84</v>
      </c>
      <c r="B67" s="46">
        <v>10.199999999999999</v>
      </c>
      <c r="C67" s="46">
        <v>0</v>
      </c>
      <c r="D67" s="46">
        <v>9.9</v>
      </c>
      <c r="E67" s="75">
        <v>9.8000000000000007</v>
      </c>
      <c r="F67" s="75">
        <v>10.9</v>
      </c>
      <c r="G67" s="75">
        <v>0</v>
      </c>
      <c r="H67" s="75">
        <v>0</v>
      </c>
      <c r="I67" s="75">
        <v>0</v>
      </c>
      <c r="J67" s="75">
        <v>12</v>
      </c>
      <c r="K67" s="75">
        <v>14.6</v>
      </c>
      <c r="L67" s="67">
        <v>10.1</v>
      </c>
      <c r="M67" s="67">
        <v>10.1</v>
      </c>
      <c r="N67" s="67">
        <v>10.1</v>
      </c>
      <c r="O67" s="67">
        <v>10.1</v>
      </c>
      <c r="P67" s="67">
        <v>10.1</v>
      </c>
      <c r="Q67" s="75">
        <v>10.6</v>
      </c>
      <c r="R67" s="75">
        <v>10.6</v>
      </c>
      <c r="S67" s="75">
        <v>14.8</v>
      </c>
      <c r="T67" s="75">
        <v>11.5</v>
      </c>
      <c r="U67" s="75">
        <v>10.5</v>
      </c>
      <c r="V67" s="75">
        <v>14.7</v>
      </c>
      <c r="W67" s="46">
        <v>14.6</v>
      </c>
      <c r="X67" s="46">
        <v>14.4</v>
      </c>
      <c r="Y67" s="46">
        <v>23.6</v>
      </c>
      <c r="Z67" s="46">
        <v>27.2</v>
      </c>
      <c r="AA67" s="46">
        <v>14.1</v>
      </c>
      <c r="AB67" s="46">
        <v>12.7</v>
      </c>
      <c r="AC67" s="46">
        <v>10</v>
      </c>
      <c r="AD67" s="46">
        <v>10</v>
      </c>
      <c r="AE67" s="46">
        <v>10</v>
      </c>
      <c r="AF67" s="46">
        <v>10</v>
      </c>
      <c r="AG67" s="65">
        <v>30</v>
      </c>
      <c r="AH67" s="48">
        <f t="shared" si="22"/>
        <v>27.2</v>
      </c>
      <c r="AI67" s="49">
        <f t="shared" si="23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</row>
    <row r="68" spans="1:75" x14ac:dyDescent="0.25">
      <c r="A68" s="64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1</v>
      </c>
      <c r="K68" s="46">
        <v>2.2000000000000002</v>
      </c>
      <c r="L68" s="75">
        <v>6.3</v>
      </c>
      <c r="M68" s="75">
        <v>7.6</v>
      </c>
      <c r="N68" s="75">
        <v>12.6</v>
      </c>
      <c r="O68" s="75">
        <v>13.6</v>
      </c>
      <c r="P68" s="75">
        <v>15.6</v>
      </c>
      <c r="Q68" s="75">
        <v>16.600000000000001</v>
      </c>
      <c r="R68" s="75">
        <v>16.600000000000001</v>
      </c>
      <c r="S68" s="75">
        <v>13.7</v>
      </c>
      <c r="T68" s="75">
        <v>11.2</v>
      </c>
      <c r="U68" s="75">
        <v>5.5</v>
      </c>
      <c r="V68" s="75">
        <v>5.5</v>
      </c>
      <c r="W68" s="46">
        <v>0.7</v>
      </c>
      <c r="X68" s="46">
        <v>0</v>
      </c>
      <c r="Y68" s="46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5">
        <v>25</v>
      </c>
      <c r="AH68" s="48">
        <f t="shared" si="22"/>
        <v>16.600000000000001</v>
      </c>
      <c r="AI68" s="49">
        <f t="shared" si="23"/>
        <v>0</v>
      </c>
      <c r="AK68" s="51"/>
      <c r="AY68" s="1" t="s">
        <v>86</v>
      </c>
      <c r="AZ68" s="81">
        <f>ROUND(C81,0)</f>
        <v>0</v>
      </c>
      <c r="BA68" s="80">
        <f t="shared" ref="BA68:BD72" si="85">D81</f>
        <v>0</v>
      </c>
      <c r="BB68" s="80">
        <f t="shared" si="85"/>
        <v>0</v>
      </c>
      <c r="BC68" s="80">
        <f t="shared" si="85"/>
        <v>12.8</v>
      </c>
      <c r="BD68" s="80">
        <f t="shared" si="85"/>
        <v>15.9</v>
      </c>
      <c r="BE68" s="81">
        <f>I81</f>
        <v>20.8</v>
      </c>
      <c r="BF68" s="81">
        <f>K81</f>
        <v>59</v>
      </c>
      <c r="BG68" s="81">
        <f t="shared" ref="BG68:BP72" si="86">M81</f>
        <v>63.3</v>
      </c>
      <c r="BH68" s="81">
        <f t="shared" si="86"/>
        <v>47.6</v>
      </c>
      <c r="BI68" s="81">
        <f t="shared" si="86"/>
        <v>48.8</v>
      </c>
      <c r="BJ68" s="81">
        <f t="shared" si="86"/>
        <v>46.5</v>
      </c>
      <c r="BK68" s="81">
        <f t="shared" si="86"/>
        <v>58.5</v>
      </c>
      <c r="BL68" s="81">
        <f t="shared" si="86"/>
        <v>71</v>
      </c>
      <c r="BM68" s="81">
        <f t="shared" si="86"/>
        <v>66.400000000000006</v>
      </c>
      <c r="BN68" s="81">
        <f t="shared" si="86"/>
        <v>61.4</v>
      </c>
      <c r="BO68" s="81">
        <f t="shared" si="86"/>
        <v>56.4</v>
      </c>
      <c r="BP68" s="81">
        <f t="shared" si="86"/>
        <v>64.8</v>
      </c>
      <c r="BQ68" s="81">
        <f>X81</f>
        <v>69.8</v>
      </c>
      <c r="BR68" s="81">
        <f>Z81</f>
        <v>36</v>
      </c>
      <c r="BS68" s="80">
        <f>AB81</f>
        <v>50</v>
      </c>
      <c r="BT68" s="80">
        <f>AD81</f>
        <v>49.1</v>
      </c>
      <c r="BU68" s="80">
        <f>AE81</f>
        <v>42.9</v>
      </c>
      <c r="BV68" s="80">
        <f>AF81</f>
        <v>29.8</v>
      </c>
      <c r="BW68" s="80">
        <f>B81</f>
        <v>25.5</v>
      </c>
    </row>
    <row r="69" spans="1:75" x14ac:dyDescent="0.25">
      <c r="A69" s="64" t="s">
        <v>87</v>
      </c>
      <c r="B69" s="75">
        <v>15</v>
      </c>
      <c r="C69" s="75">
        <v>15</v>
      </c>
      <c r="D69" s="75">
        <v>15</v>
      </c>
      <c r="E69" s="75">
        <v>15</v>
      </c>
      <c r="F69" s="75">
        <v>15</v>
      </c>
      <c r="G69" s="75">
        <v>15</v>
      </c>
      <c r="H69" s="75">
        <v>15</v>
      </c>
      <c r="I69" s="75">
        <v>15</v>
      </c>
      <c r="J69" s="75">
        <v>15</v>
      </c>
      <c r="K69" s="75">
        <v>15</v>
      </c>
      <c r="L69" s="75">
        <v>15</v>
      </c>
      <c r="M69" s="75">
        <v>15</v>
      </c>
      <c r="N69" s="75">
        <v>15</v>
      </c>
      <c r="O69" s="75">
        <v>15</v>
      </c>
      <c r="P69" s="75">
        <v>15</v>
      </c>
      <c r="Q69" s="75">
        <v>15</v>
      </c>
      <c r="R69" s="75">
        <v>15</v>
      </c>
      <c r="S69" s="75">
        <v>15</v>
      </c>
      <c r="T69" s="75">
        <v>15</v>
      </c>
      <c r="U69" s="75">
        <v>15</v>
      </c>
      <c r="V69" s="75">
        <v>15</v>
      </c>
      <c r="W69" s="75">
        <v>15</v>
      </c>
      <c r="X69" s="75">
        <v>15</v>
      </c>
      <c r="Y69" s="75">
        <v>15</v>
      </c>
      <c r="Z69" s="75">
        <v>15</v>
      </c>
      <c r="AA69" s="75">
        <v>15</v>
      </c>
      <c r="AB69" s="75">
        <v>15</v>
      </c>
      <c r="AC69" s="75">
        <v>15</v>
      </c>
      <c r="AD69" s="75">
        <v>15</v>
      </c>
      <c r="AE69" s="75">
        <v>15</v>
      </c>
      <c r="AF69" s="75">
        <v>15</v>
      </c>
      <c r="AG69" s="65">
        <v>24</v>
      </c>
      <c r="AH69" s="48">
        <f t="shared" si="22"/>
        <v>15</v>
      </c>
      <c r="AI69" s="49">
        <f t="shared" si="23"/>
        <v>15</v>
      </c>
      <c r="AK69" s="51"/>
      <c r="AY69" s="1" t="s">
        <v>88</v>
      </c>
      <c r="AZ69" s="81">
        <f>ROUND(C82,0)</f>
        <v>0</v>
      </c>
      <c r="BA69" s="80">
        <f t="shared" si="85"/>
        <v>0</v>
      </c>
      <c r="BB69" s="80">
        <f t="shared" si="85"/>
        <v>0</v>
      </c>
      <c r="BC69" s="80">
        <f t="shared" si="85"/>
        <v>0</v>
      </c>
      <c r="BD69" s="80">
        <f t="shared" si="85"/>
        <v>0</v>
      </c>
      <c r="BE69" s="81">
        <f t="shared" ref="BE69:BE72" si="87">I82</f>
        <v>120.2</v>
      </c>
      <c r="BF69" s="81">
        <f t="shared" ref="BF69:BF72" si="88">K82</f>
        <v>0</v>
      </c>
      <c r="BG69" s="81">
        <f t="shared" si="86"/>
        <v>0</v>
      </c>
      <c r="BH69" s="81">
        <f t="shared" si="86"/>
        <v>0</v>
      </c>
      <c r="BI69" s="81">
        <f t="shared" si="86"/>
        <v>0</v>
      </c>
      <c r="BJ69" s="81">
        <f t="shared" si="86"/>
        <v>0</v>
      </c>
      <c r="BK69" s="81">
        <f t="shared" si="86"/>
        <v>0</v>
      </c>
      <c r="BL69" s="81">
        <f t="shared" si="86"/>
        <v>0</v>
      </c>
      <c r="BM69" s="81">
        <f t="shared" si="86"/>
        <v>0</v>
      </c>
      <c r="BN69" s="81">
        <f t="shared" si="86"/>
        <v>0</v>
      </c>
      <c r="BO69" s="81">
        <f t="shared" si="86"/>
        <v>0</v>
      </c>
      <c r="BP69" s="81">
        <f t="shared" si="86"/>
        <v>0</v>
      </c>
      <c r="BQ69" s="81">
        <f t="shared" ref="BQ69:BQ72" si="89">X82</f>
        <v>0</v>
      </c>
      <c r="BR69" s="81">
        <f t="shared" ref="BR69:BR72" si="90">Z82</f>
        <v>0</v>
      </c>
      <c r="BS69" s="80">
        <f t="shared" ref="BS69:BS72" si="91">AB82</f>
        <v>0</v>
      </c>
      <c r="BT69" s="80">
        <f t="shared" ref="BT69:BV72" si="92">AD82</f>
        <v>0</v>
      </c>
      <c r="BU69" s="80">
        <f t="shared" si="92"/>
        <v>0</v>
      </c>
      <c r="BV69" s="80">
        <f t="shared" si="92"/>
        <v>0</v>
      </c>
      <c r="BW69" s="80">
        <f t="shared" ref="BW69:BW72" si="93">B82</f>
        <v>0</v>
      </c>
    </row>
    <row r="70" spans="1:75" x14ac:dyDescent="0.25">
      <c r="A70" s="64" t="s">
        <v>89</v>
      </c>
      <c r="B70" s="75">
        <v>0</v>
      </c>
      <c r="C70" s="75">
        <v>0</v>
      </c>
      <c r="D70" s="75">
        <v>0</v>
      </c>
      <c r="E70" s="75">
        <v>0</v>
      </c>
      <c r="F70" s="75">
        <v>0</v>
      </c>
      <c r="G70" s="75">
        <v>0</v>
      </c>
      <c r="H70" s="75">
        <v>0</v>
      </c>
      <c r="I70" s="75">
        <v>0</v>
      </c>
      <c r="J70" s="75">
        <v>0</v>
      </c>
      <c r="K70" s="75">
        <v>0</v>
      </c>
      <c r="L70" s="75">
        <v>0</v>
      </c>
      <c r="M70" s="75">
        <v>0</v>
      </c>
      <c r="N70" s="75">
        <v>0</v>
      </c>
      <c r="O70" s="75">
        <v>0</v>
      </c>
      <c r="P70" s="75">
        <v>0</v>
      </c>
      <c r="Q70" s="75">
        <v>0</v>
      </c>
      <c r="R70" s="75">
        <v>0</v>
      </c>
      <c r="S70" s="75">
        <v>0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5">
        <v>0</v>
      </c>
      <c r="Z70" s="75">
        <v>0</v>
      </c>
      <c r="AA70" s="75">
        <v>0</v>
      </c>
      <c r="AB70" s="75">
        <v>0</v>
      </c>
      <c r="AC70" s="75">
        <v>0</v>
      </c>
      <c r="AD70" s="75">
        <v>0</v>
      </c>
      <c r="AE70" s="75">
        <v>0</v>
      </c>
      <c r="AF70" s="75">
        <v>0</v>
      </c>
      <c r="AG70" s="65">
        <v>15</v>
      </c>
      <c r="AH70" s="48">
        <f t="shared" si="22"/>
        <v>0</v>
      </c>
      <c r="AI70" s="49">
        <f t="shared" si="23"/>
        <v>0</v>
      </c>
      <c r="AK70" s="51"/>
      <c r="AL70" s="82"/>
      <c r="AO70" s="82"/>
      <c r="AY70" s="1" t="s">
        <v>90</v>
      </c>
      <c r="AZ70" s="81">
        <f>ROUND(C83,0)</f>
        <v>61</v>
      </c>
      <c r="BA70" s="80">
        <f t="shared" si="85"/>
        <v>49.1</v>
      </c>
      <c r="BB70" s="80">
        <f t="shared" si="85"/>
        <v>46.6</v>
      </c>
      <c r="BC70" s="80">
        <f t="shared" si="85"/>
        <v>44.1</v>
      </c>
      <c r="BD70" s="80">
        <f t="shared" si="85"/>
        <v>61.5</v>
      </c>
      <c r="BE70" s="81">
        <f t="shared" si="87"/>
        <v>35.4</v>
      </c>
      <c r="BF70" s="81">
        <f t="shared" si="88"/>
        <v>493</v>
      </c>
      <c r="BG70" s="81">
        <f t="shared" si="86"/>
        <v>506</v>
      </c>
      <c r="BH70" s="81">
        <f t="shared" si="86"/>
        <v>454</v>
      </c>
      <c r="BI70" s="81">
        <f t="shared" si="86"/>
        <v>536</v>
      </c>
      <c r="BJ70" s="81">
        <f t="shared" si="86"/>
        <v>528.79999999999995</v>
      </c>
      <c r="BK70" s="81">
        <f t="shared" si="86"/>
        <v>525.29999999999995</v>
      </c>
      <c r="BL70" s="81">
        <f t="shared" si="86"/>
        <v>411</v>
      </c>
      <c r="BM70" s="81">
        <f t="shared" si="86"/>
        <v>552.29999999999995</v>
      </c>
      <c r="BN70" s="81">
        <f t="shared" si="86"/>
        <v>563</v>
      </c>
      <c r="BO70" s="81">
        <f t="shared" si="86"/>
        <v>554.9</v>
      </c>
      <c r="BP70" s="81">
        <f t="shared" si="86"/>
        <v>477</v>
      </c>
      <c r="BQ70" s="81">
        <f t="shared" si="89"/>
        <v>203</v>
      </c>
      <c r="BR70" s="81">
        <f t="shared" si="90"/>
        <v>45</v>
      </c>
      <c r="BS70" s="80">
        <f t="shared" si="91"/>
        <v>56</v>
      </c>
      <c r="BT70" s="80">
        <f t="shared" si="92"/>
        <v>200</v>
      </c>
      <c r="BU70" s="80">
        <f t="shared" si="92"/>
        <v>80</v>
      </c>
      <c r="BV70" s="80">
        <f t="shared" si="92"/>
        <v>95.4</v>
      </c>
      <c r="BW70" s="80">
        <f t="shared" si="93"/>
        <v>57.1</v>
      </c>
    </row>
    <row r="71" spans="1:75" s="82" customFormat="1" x14ac:dyDescent="0.25">
      <c r="A71" s="64" t="s">
        <v>91</v>
      </c>
      <c r="B71" s="75">
        <v>9.1999999999999993</v>
      </c>
      <c r="C71" s="75">
        <v>9.1999999999999993</v>
      </c>
      <c r="D71" s="75">
        <v>9.1999999999999993</v>
      </c>
      <c r="E71" s="75">
        <v>9.1999999999999993</v>
      </c>
      <c r="F71" s="75">
        <v>9.1999999999999993</v>
      </c>
      <c r="G71" s="75">
        <v>9.1999999999999993</v>
      </c>
      <c r="H71" s="75">
        <v>9.1999999999999993</v>
      </c>
      <c r="I71" s="75">
        <v>9.1999999999999993</v>
      </c>
      <c r="J71" s="75">
        <v>9.1999999999999993</v>
      </c>
      <c r="K71" s="75">
        <v>9.1999999999999993</v>
      </c>
      <c r="L71" s="75">
        <v>9.1999999999999993</v>
      </c>
      <c r="M71" s="75">
        <v>9.1999999999999993</v>
      </c>
      <c r="N71" s="75">
        <v>9.1999999999999993</v>
      </c>
      <c r="O71" s="75">
        <v>9.1999999999999993</v>
      </c>
      <c r="P71" s="75">
        <v>9.1999999999999993</v>
      </c>
      <c r="Q71" s="75">
        <v>9.1999999999999993</v>
      </c>
      <c r="R71" s="75">
        <v>9.1999999999999993</v>
      </c>
      <c r="S71" s="75">
        <v>9.1999999999999993</v>
      </c>
      <c r="T71" s="75">
        <v>9.1999999999999993</v>
      </c>
      <c r="U71" s="75">
        <v>9.1999999999999993</v>
      </c>
      <c r="V71" s="75">
        <v>9.1999999999999993</v>
      </c>
      <c r="W71" s="75">
        <v>9.1999999999999993</v>
      </c>
      <c r="X71" s="75">
        <v>10.5</v>
      </c>
      <c r="Y71" s="75">
        <v>10.5</v>
      </c>
      <c r="Z71" s="75">
        <v>10.5</v>
      </c>
      <c r="AA71" s="75">
        <v>10.5</v>
      </c>
      <c r="AB71" s="75">
        <v>10.5</v>
      </c>
      <c r="AC71" s="75">
        <v>10.5</v>
      </c>
      <c r="AD71" s="75">
        <v>10.5</v>
      </c>
      <c r="AE71" s="75">
        <v>10</v>
      </c>
      <c r="AF71" s="75">
        <v>8.8000000000000007</v>
      </c>
      <c r="AG71" s="65">
        <v>14.1</v>
      </c>
      <c r="AH71" s="48">
        <f t="shared" si="22"/>
        <v>10.5</v>
      </c>
      <c r="AI71" s="49">
        <f t="shared" si="23"/>
        <v>8.8000000000000007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0</v>
      </c>
      <c r="BA71" s="80">
        <f t="shared" si="85"/>
        <v>0</v>
      </c>
      <c r="BB71" s="80">
        <f t="shared" si="85"/>
        <v>0</v>
      </c>
      <c r="BC71" s="80">
        <f t="shared" si="85"/>
        <v>0</v>
      </c>
      <c r="BD71" s="80">
        <f t="shared" si="85"/>
        <v>0</v>
      </c>
      <c r="BE71" s="81">
        <f t="shared" si="87"/>
        <v>14</v>
      </c>
      <c r="BF71" s="81">
        <f t="shared" si="88"/>
        <v>27</v>
      </c>
      <c r="BG71" s="81">
        <f t="shared" si="86"/>
        <v>25.7</v>
      </c>
      <c r="BH71" s="81">
        <f t="shared" si="86"/>
        <v>24.1</v>
      </c>
      <c r="BI71" s="81">
        <f t="shared" si="86"/>
        <v>22.5</v>
      </c>
      <c r="BJ71" s="81">
        <f t="shared" si="86"/>
        <v>20.7</v>
      </c>
      <c r="BK71" s="81">
        <f t="shared" si="86"/>
        <v>20.399999999999999</v>
      </c>
      <c r="BL71" s="81">
        <f t="shared" si="86"/>
        <v>21.4</v>
      </c>
      <c r="BM71" s="81">
        <f t="shared" si="86"/>
        <v>52.7</v>
      </c>
      <c r="BN71" s="81">
        <f t="shared" si="86"/>
        <v>41</v>
      </c>
      <c r="BO71" s="81">
        <f t="shared" si="86"/>
        <v>51.2</v>
      </c>
      <c r="BP71" s="81">
        <f t="shared" si="86"/>
        <v>49.9</v>
      </c>
      <c r="BQ71" s="81">
        <f t="shared" si="89"/>
        <v>40.9</v>
      </c>
      <c r="BR71" s="81">
        <f t="shared" si="90"/>
        <v>0</v>
      </c>
      <c r="BS71" s="80">
        <f t="shared" si="91"/>
        <v>0</v>
      </c>
      <c r="BT71" s="80">
        <f t="shared" si="92"/>
        <v>0</v>
      </c>
      <c r="BU71" s="80">
        <f t="shared" si="92"/>
        <v>0</v>
      </c>
      <c r="BV71" s="80">
        <f t="shared" si="92"/>
        <v>0</v>
      </c>
      <c r="BW71" s="80">
        <f t="shared" si="93"/>
        <v>0</v>
      </c>
    </row>
    <row r="72" spans="1:75" x14ac:dyDescent="0.25">
      <c r="A72" s="83" t="s">
        <v>93</v>
      </c>
      <c r="B72" s="75">
        <v>6.7</v>
      </c>
      <c r="C72" s="75">
        <v>6.7</v>
      </c>
      <c r="D72" s="75">
        <v>6.7</v>
      </c>
      <c r="E72" s="75">
        <v>6.7</v>
      </c>
      <c r="F72" s="75">
        <v>6.7</v>
      </c>
      <c r="G72" s="75">
        <v>6.7</v>
      </c>
      <c r="H72" s="75">
        <v>6.7</v>
      </c>
      <c r="I72" s="75">
        <v>6.7</v>
      </c>
      <c r="J72" s="75">
        <v>6.7</v>
      </c>
      <c r="K72" s="75">
        <v>6.7</v>
      </c>
      <c r="L72" s="75">
        <v>6.7</v>
      </c>
      <c r="M72" s="75">
        <v>6.7</v>
      </c>
      <c r="N72" s="75">
        <v>5.0999999999999996</v>
      </c>
      <c r="O72" s="75">
        <v>5.0999999999999996</v>
      </c>
      <c r="P72" s="75">
        <v>5.0999999999999996</v>
      </c>
      <c r="Q72" s="75">
        <v>5.0999999999999996</v>
      </c>
      <c r="R72" s="75">
        <v>5.0999999999999996</v>
      </c>
      <c r="S72" s="75">
        <v>5.0999999999999996</v>
      </c>
      <c r="T72" s="75">
        <v>5.0999999999999996</v>
      </c>
      <c r="U72" s="75">
        <v>5.0999999999999996</v>
      </c>
      <c r="V72" s="75">
        <v>5.0999999999999996</v>
      </c>
      <c r="W72" s="75">
        <v>5.0999999999999996</v>
      </c>
      <c r="X72" s="75">
        <v>6.1</v>
      </c>
      <c r="Y72" s="75">
        <v>6.1</v>
      </c>
      <c r="Z72" s="75">
        <v>6.1</v>
      </c>
      <c r="AA72" s="75">
        <v>6.1</v>
      </c>
      <c r="AB72" s="75">
        <v>6.1</v>
      </c>
      <c r="AC72" s="75">
        <v>6.1</v>
      </c>
      <c r="AD72" s="75">
        <v>5.4</v>
      </c>
      <c r="AE72" s="75">
        <v>5.5</v>
      </c>
      <c r="AF72" s="75">
        <v>5.8</v>
      </c>
      <c r="AG72" s="65">
        <v>14</v>
      </c>
      <c r="AH72" s="48">
        <f t="shared" si="22"/>
        <v>6.7</v>
      </c>
      <c r="AI72" s="49">
        <f t="shared" si="23"/>
        <v>5.0999999999999996</v>
      </c>
      <c r="AK72" s="51"/>
      <c r="AY72" s="1" t="s">
        <v>94</v>
      </c>
      <c r="AZ72" s="81">
        <f>ROUND(C85,0)</f>
        <v>0</v>
      </c>
      <c r="BA72" s="80">
        <f t="shared" si="85"/>
        <v>0</v>
      </c>
      <c r="BB72" s="80">
        <f t="shared" si="85"/>
        <v>0</v>
      </c>
      <c r="BC72" s="80">
        <f t="shared" si="85"/>
        <v>0</v>
      </c>
      <c r="BD72" s="80">
        <f t="shared" si="85"/>
        <v>0</v>
      </c>
      <c r="BE72" s="81">
        <f t="shared" si="87"/>
        <v>39.700000000000003</v>
      </c>
      <c r="BF72" s="81">
        <f t="shared" si="88"/>
        <v>108</v>
      </c>
      <c r="BG72" s="81">
        <f t="shared" si="86"/>
        <v>121</v>
      </c>
      <c r="BH72" s="81">
        <f t="shared" si="86"/>
        <v>126.4</v>
      </c>
      <c r="BI72" s="81">
        <f t="shared" si="86"/>
        <v>137.9</v>
      </c>
      <c r="BJ72" s="81">
        <f t="shared" si="86"/>
        <v>146</v>
      </c>
      <c r="BK72" s="81">
        <f t="shared" si="86"/>
        <v>55</v>
      </c>
      <c r="BL72" s="81">
        <f t="shared" si="86"/>
        <v>0</v>
      </c>
      <c r="BM72" s="81">
        <f t="shared" si="86"/>
        <v>68</v>
      </c>
      <c r="BN72" s="81">
        <f t="shared" si="86"/>
        <v>50.1</v>
      </c>
      <c r="BO72" s="81">
        <f t="shared" si="86"/>
        <v>61</v>
      </c>
      <c r="BP72" s="81">
        <f t="shared" si="86"/>
        <v>63</v>
      </c>
      <c r="BQ72" s="81">
        <f t="shared" si="89"/>
        <v>61</v>
      </c>
      <c r="BR72" s="81">
        <f t="shared" si="90"/>
        <v>0</v>
      </c>
      <c r="BS72" s="80">
        <f t="shared" si="91"/>
        <v>0</v>
      </c>
      <c r="BT72" s="80">
        <f t="shared" si="92"/>
        <v>0</v>
      </c>
      <c r="BU72" s="80">
        <f t="shared" si="92"/>
        <v>0</v>
      </c>
      <c r="BV72" s="80">
        <f t="shared" si="92"/>
        <v>0</v>
      </c>
      <c r="BW72" s="80">
        <f t="shared" si="93"/>
        <v>0</v>
      </c>
    </row>
    <row r="73" spans="1:75" x14ac:dyDescent="0.25">
      <c r="A73" s="64" t="s">
        <v>95</v>
      </c>
      <c r="B73" s="75">
        <v>4.5</v>
      </c>
      <c r="C73" s="75">
        <v>4.5</v>
      </c>
      <c r="D73" s="75">
        <v>4.5</v>
      </c>
      <c r="E73" s="75">
        <v>4.5</v>
      </c>
      <c r="F73" s="75">
        <v>4.5</v>
      </c>
      <c r="G73" s="75">
        <v>4.5</v>
      </c>
      <c r="H73" s="75">
        <v>4.5</v>
      </c>
      <c r="I73" s="75">
        <v>4.5</v>
      </c>
      <c r="J73" s="75">
        <v>4.5</v>
      </c>
      <c r="K73" s="75">
        <v>4.5</v>
      </c>
      <c r="L73" s="75">
        <v>4.5</v>
      </c>
      <c r="M73" s="75">
        <v>4.5</v>
      </c>
      <c r="N73" s="75">
        <v>4.5</v>
      </c>
      <c r="O73" s="75">
        <v>4.5</v>
      </c>
      <c r="P73" s="75">
        <v>4.5</v>
      </c>
      <c r="Q73" s="75">
        <v>4.5</v>
      </c>
      <c r="R73" s="75">
        <v>4.5</v>
      </c>
      <c r="S73" s="75">
        <v>4.5</v>
      </c>
      <c r="T73" s="75">
        <v>4.5</v>
      </c>
      <c r="U73" s="75">
        <v>4.5</v>
      </c>
      <c r="V73" s="75">
        <v>4.5</v>
      </c>
      <c r="W73" s="75">
        <v>4.5</v>
      </c>
      <c r="X73" s="75">
        <v>4.5</v>
      </c>
      <c r="Y73" s="75">
        <v>4.5</v>
      </c>
      <c r="Z73" s="75">
        <v>4.5</v>
      </c>
      <c r="AA73" s="75">
        <v>4.5</v>
      </c>
      <c r="AB73" s="75">
        <v>4.5</v>
      </c>
      <c r="AC73" s="75">
        <v>4.5</v>
      </c>
      <c r="AD73" s="75">
        <v>4.5</v>
      </c>
      <c r="AE73" s="75">
        <v>4.5</v>
      </c>
      <c r="AF73" s="75">
        <v>4.5</v>
      </c>
      <c r="AG73" s="65">
        <v>10.050000000000001</v>
      </c>
      <c r="AH73" s="48">
        <f t="shared" si="22"/>
        <v>4.5</v>
      </c>
      <c r="AI73" s="49">
        <f t="shared" si="23"/>
        <v>4.5</v>
      </c>
      <c r="AK73" s="51"/>
      <c r="AY73" s="1" t="s">
        <v>96</v>
      </c>
      <c r="AZ73" s="81">
        <f>ROUND(C91,0)</f>
        <v>42</v>
      </c>
      <c r="BA73" s="81">
        <f>D91</f>
        <v>42</v>
      </c>
      <c r="BB73" s="81">
        <f>E91</f>
        <v>53.6</v>
      </c>
      <c r="BC73" s="81">
        <f>F91</f>
        <v>51.2</v>
      </c>
      <c r="BD73" s="81">
        <f>G91</f>
        <v>50</v>
      </c>
      <c r="BE73" s="81">
        <f>I91</f>
        <v>47.7</v>
      </c>
      <c r="BF73" s="81">
        <f>K91</f>
        <v>43.3</v>
      </c>
      <c r="BG73" s="81">
        <f t="shared" ref="BG73:BP73" si="94">M91</f>
        <v>39.200000000000003</v>
      </c>
      <c r="BH73" s="81">
        <f t="shared" si="94"/>
        <v>40</v>
      </c>
      <c r="BI73" s="81">
        <f t="shared" si="94"/>
        <v>38.6</v>
      </c>
      <c r="BJ73" s="81">
        <f t="shared" si="94"/>
        <v>37.799999999999997</v>
      </c>
      <c r="BK73" s="81">
        <f t="shared" si="94"/>
        <v>37.799999999999997</v>
      </c>
      <c r="BL73" s="81">
        <f t="shared" si="94"/>
        <v>41.7</v>
      </c>
      <c r="BM73" s="81">
        <f t="shared" si="94"/>
        <v>42.8</v>
      </c>
      <c r="BN73" s="81">
        <f t="shared" si="94"/>
        <v>43.4</v>
      </c>
      <c r="BO73" s="81">
        <f t="shared" si="94"/>
        <v>39.6</v>
      </c>
      <c r="BP73" s="81">
        <f t="shared" si="94"/>
        <v>39.4</v>
      </c>
      <c r="BQ73" s="81">
        <f>X91</f>
        <v>39.4</v>
      </c>
      <c r="BR73" s="81">
        <f>Z91</f>
        <v>39.4</v>
      </c>
      <c r="BS73" s="81">
        <f>AB91</f>
        <v>39.4</v>
      </c>
      <c r="BT73" s="81">
        <f>AD91</f>
        <v>39.4</v>
      </c>
      <c r="BU73" s="81">
        <f>AE91</f>
        <v>50</v>
      </c>
      <c r="BV73" s="81">
        <f>AF91</f>
        <v>49.9</v>
      </c>
      <c r="BW73" s="81">
        <f>B91</f>
        <v>42</v>
      </c>
    </row>
    <row r="74" spans="1:75" x14ac:dyDescent="0.25">
      <c r="A74" s="64" t="s">
        <v>97</v>
      </c>
      <c r="B74" s="75">
        <v>4</v>
      </c>
      <c r="C74" s="75">
        <v>4</v>
      </c>
      <c r="D74" s="75">
        <v>4</v>
      </c>
      <c r="E74" s="75">
        <v>4</v>
      </c>
      <c r="F74" s="75">
        <v>4</v>
      </c>
      <c r="G74" s="75">
        <v>4</v>
      </c>
      <c r="H74" s="75">
        <v>4</v>
      </c>
      <c r="I74" s="75">
        <v>4</v>
      </c>
      <c r="J74" s="75">
        <v>4</v>
      </c>
      <c r="K74" s="75">
        <v>4</v>
      </c>
      <c r="L74" s="75">
        <v>4</v>
      </c>
      <c r="M74" s="75">
        <v>4</v>
      </c>
      <c r="N74" s="75">
        <v>4</v>
      </c>
      <c r="O74" s="75">
        <v>4</v>
      </c>
      <c r="P74" s="75">
        <v>4</v>
      </c>
      <c r="Q74" s="75">
        <v>4</v>
      </c>
      <c r="R74" s="75">
        <v>4</v>
      </c>
      <c r="S74" s="75">
        <v>4</v>
      </c>
      <c r="T74" s="75">
        <v>4</v>
      </c>
      <c r="U74" s="75">
        <v>4</v>
      </c>
      <c r="V74" s="75">
        <v>4</v>
      </c>
      <c r="W74" s="75">
        <v>4</v>
      </c>
      <c r="X74" s="75">
        <v>4</v>
      </c>
      <c r="Y74" s="75">
        <v>4</v>
      </c>
      <c r="Z74" s="75">
        <v>4</v>
      </c>
      <c r="AA74" s="75">
        <v>4</v>
      </c>
      <c r="AB74" s="75">
        <v>4</v>
      </c>
      <c r="AC74" s="75">
        <v>4</v>
      </c>
      <c r="AD74" s="75">
        <v>4</v>
      </c>
      <c r="AE74" s="75">
        <v>4</v>
      </c>
      <c r="AF74" s="75">
        <v>4</v>
      </c>
      <c r="AG74" s="65">
        <v>6.2</v>
      </c>
      <c r="AH74" s="48">
        <f t="shared" si="22"/>
        <v>4</v>
      </c>
      <c r="AI74" s="49">
        <f t="shared" si="23"/>
        <v>4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</row>
    <row r="75" spans="1:75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>
        <v>3.54</v>
      </c>
      <c r="W75" s="84">
        <v>3.54</v>
      </c>
      <c r="X75" s="84">
        <v>3.54</v>
      </c>
      <c r="Y75" s="84">
        <v>3.5</v>
      </c>
      <c r="Z75" s="84">
        <v>5.5</v>
      </c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22"/>
        <v>5.5</v>
      </c>
      <c r="AI75" s="49">
        <f t="shared" si="23"/>
        <v>3.5</v>
      </c>
      <c r="AK75" s="51"/>
      <c r="AZ75" s="81">
        <f>VALUE(AZ68)</f>
        <v>0</v>
      </c>
      <c r="BA75" s="81">
        <f t="shared" ref="BA75:BW75" si="95">VALUE(BA68)</f>
        <v>0</v>
      </c>
      <c r="BB75" s="81">
        <f t="shared" si="95"/>
        <v>0</v>
      </c>
      <c r="BC75" s="81">
        <f t="shared" si="95"/>
        <v>12.8</v>
      </c>
      <c r="BD75" s="81">
        <f t="shared" si="95"/>
        <v>15.9</v>
      </c>
      <c r="BE75" s="81">
        <f t="shared" si="95"/>
        <v>20.8</v>
      </c>
      <c r="BF75" s="81">
        <f t="shared" si="95"/>
        <v>59</v>
      </c>
      <c r="BG75" s="81">
        <f t="shared" si="95"/>
        <v>63.3</v>
      </c>
      <c r="BH75" s="81">
        <f t="shared" si="95"/>
        <v>47.6</v>
      </c>
      <c r="BI75" s="81">
        <f t="shared" si="95"/>
        <v>48.8</v>
      </c>
      <c r="BJ75" s="81">
        <f t="shared" si="95"/>
        <v>46.5</v>
      </c>
      <c r="BK75" s="81">
        <f t="shared" si="95"/>
        <v>58.5</v>
      </c>
      <c r="BL75" s="81">
        <f t="shared" si="95"/>
        <v>71</v>
      </c>
      <c r="BM75" s="81">
        <f t="shared" si="95"/>
        <v>66.400000000000006</v>
      </c>
      <c r="BN75" s="81">
        <f t="shared" si="95"/>
        <v>61.4</v>
      </c>
      <c r="BO75" s="81">
        <f t="shared" si="95"/>
        <v>56.4</v>
      </c>
      <c r="BP75" s="81">
        <f t="shared" si="95"/>
        <v>64.8</v>
      </c>
      <c r="BQ75" s="81">
        <f t="shared" si="95"/>
        <v>69.8</v>
      </c>
      <c r="BR75" s="81">
        <f t="shared" si="95"/>
        <v>36</v>
      </c>
      <c r="BS75" s="81">
        <f t="shared" si="95"/>
        <v>50</v>
      </c>
      <c r="BT75" s="81">
        <f t="shared" si="95"/>
        <v>49.1</v>
      </c>
      <c r="BU75" s="81">
        <f t="shared" si="95"/>
        <v>42.9</v>
      </c>
      <c r="BV75" s="81">
        <f t="shared" si="95"/>
        <v>29.8</v>
      </c>
      <c r="BW75" s="81">
        <f t="shared" si="95"/>
        <v>25.5</v>
      </c>
    </row>
    <row r="76" spans="1:75" ht="15.75" thickBot="1" x14ac:dyDescent="0.3">
      <c r="A76" s="86" t="s">
        <v>99</v>
      </c>
      <c r="B76" s="70">
        <f t="shared" ref="B76:C76" si="96">SUM(B63:B75)</f>
        <v>194.23999999999995</v>
      </c>
      <c r="C76" s="70">
        <f t="shared" si="96"/>
        <v>184.73999999999998</v>
      </c>
      <c r="D76" s="70">
        <f t="shared" ref="D76" si="97">SUM(D63:D75)</f>
        <v>178.53999999999996</v>
      </c>
      <c r="E76" s="70">
        <f t="shared" ref="E76:AG76" si="98">SUM(E63:E75)</f>
        <v>182.64</v>
      </c>
      <c r="F76" s="70">
        <f t="shared" si="98"/>
        <v>159.13999999999996</v>
      </c>
      <c r="G76" s="70">
        <f t="shared" si="98"/>
        <v>163.63999999999996</v>
      </c>
      <c r="H76" s="70">
        <f t="shared" si="98"/>
        <v>175.54</v>
      </c>
      <c r="I76" s="70">
        <f t="shared" si="98"/>
        <v>184.53999999999996</v>
      </c>
      <c r="J76" s="70">
        <f t="shared" si="98"/>
        <v>237.13999999999996</v>
      </c>
      <c r="K76" s="70">
        <f t="shared" si="98"/>
        <v>241.53999999999994</v>
      </c>
      <c r="L76" s="70">
        <f t="shared" si="98"/>
        <v>319.14000000000004</v>
      </c>
      <c r="M76" s="70">
        <f t="shared" si="98"/>
        <v>320.44000000000005</v>
      </c>
      <c r="N76" s="70">
        <f t="shared" si="98"/>
        <v>299.34000000000003</v>
      </c>
      <c r="O76" s="70">
        <f t="shared" si="98"/>
        <v>271.34000000000003</v>
      </c>
      <c r="P76" s="70">
        <f t="shared" si="98"/>
        <v>273.34000000000003</v>
      </c>
      <c r="Q76" s="70">
        <f t="shared" si="98"/>
        <v>248.14</v>
      </c>
      <c r="R76" s="70">
        <f t="shared" si="98"/>
        <v>198.83999999999997</v>
      </c>
      <c r="S76" s="70">
        <f t="shared" si="98"/>
        <v>160.03999999999996</v>
      </c>
      <c r="T76" s="70">
        <f t="shared" si="98"/>
        <v>170.73999999999998</v>
      </c>
      <c r="U76" s="70">
        <f t="shared" si="98"/>
        <v>174.14</v>
      </c>
      <c r="V76" s="70">
        <f t="shared" si="98"/>
        <v>199.63999999999996</v>
      </c>
      <c r="W76" s="70">
        <f t="shared" si="98"/>
        <v>196.13999999999996</v>
      </c>
      <c r="X76" s="70">
        <f t="shared" si="98"/>
        <v>283.44</v>
      </c>
      <c r="Y76" s="70">
        <f>SUM(Y63:Y75)</f>
        <v>295.89999999999998</v>
      </c>
      <c r="Z76" s="70">
        <f>SUM(Z63:Z75)</f>
        <v>373.30000000000007</v>
      </c>
      <c r="AA76" s="70">
        <f t="shared" si="98"/>
        <v>330.84000000000009</v>
      </c>
      <c r="AB76" s="70">
        <f t="shared" si="98"/>
        <v>321.74</v>
      </c>
      <c r="AC76" s="70">
        <f t="shared" si="98"/>
        <v>317.04000000000002</v>
      </c>
      <c r="AD76" s="70">
        <f t="shared" si="98"/>
        <v>330.64</v>
      </c>
      <c r="AE76" s="70">
        <f t="shared" ref="AE76:AF76" si="99">SUM(AE63:AE75)</f>
        <v>329.14000000000004</v>
      </c>
      <c r="AF76" s="70">
        <f t="shared" si="99"/>
        <v>226.34</v>
      </c>
      <c r="AG76" s="71">
        <f t="shared" si="98"/>
        <v>489.91</v>
      </c>
      <c r="AH76" s="48">
        <f t="shared" si="22"/>
        <v>373.30000000000007</v>
      </c>
      <c r="AI76" s="49">
        <f t="shared" si="23"/>
        <v>159.13999999999996</v>
      </c>
      <c r="AK76" s="51"/>
      <c r="AZ76" s="81">
        <f t="shared" ref="AZ76:BW80" si="100">VALUE(AZ69)</f>
        <v>0</v>
      </c>
      <c r="BA76" s="81">
        <f t="shared" si="100"/>
        <v>0</v>
      </c>
      <c r="BB76" s="81">
        <f t="shared" si="100"/>
        <v>0</v>
      </c>
      <c r="BC76" s="81">
        <f t="shared" si="100"/>
        <v>0</v>
      </c>
      <c r="BD76" s="81">
        <f t="shared" si="100"/>
        <v>0</v>
      </c>
      <c r="BE76" s="81">
        <f t="shared" si="100"/>
        <v>120.2</v>
      </c>
      <c r="BF76" s="81">
        <f t="shared" si="100"/>
        <v>0</v>
      </c>
      <c r="BG76" s="81">
        <f t="shared" si="100"/>
        <v>0</v>
      </c>
      <c r="BH76" s="81">
        <f t="shared" si="100"/>
        <v>0</v>
      </c>
      <c r="BI76" s="81">
        <f t="shared" si="100"/>
        <v>0</v>
      </c>
      <c r="BJ76" s="81">
        <f t="shared" si="100"/>
        <v>0</v>
      </c>
      <c r="BK76" s="81">
        <f t="shared" si="100"/>
        <v>0</v>
      </c>
      <c r="BL76" s="81">
        <f t="shared" si="100"/>
        <v>0</v>
      </c>
      <c r="BM76" s="81">
        <f t="shared" si="100"/>
        <v>0</v>
      </c>
      <c r="BN76" s="81">
        <f t="shared" si="100"/>
        <v>0</v>
      </c>
      <c r="BO76" s="81">
        <f t="shared" si="100"/>
        <v>0</v>
      </c>
      <c r="BP76" s="81">
        <f t="shared" si="100"/>
        <v>0</v>
      </c>
      <c r="BQ76" s="81">
        <f t="shared" si="100"/>
        <v>0</v>
      </c>
      <c r="BR76" s="81">
        <f t="shared" si="100"/>
        <v>0</v>
      </c>
      <c r="BS76" s="81">
        <f t="shared" si="100"/>
        <v>0</v>
      </c>
      <c r="BT76" s="81">
        <f t="shared" si="100"/>
        <v>0</v>
      </c>
      <c r="BU76" s="81">
        <f t="shared" si="100"/>
        <v>0</v>
      </c>
      <c r="BV76" s="81">
        <f t="shared" si="100"/>
        <v>0</v>
      </c>
      <c r="BW76" s="81">
        <f t="shared" si="100"/>
        <v>0</v>
      </c>
    </row>
    <row r="77" spans="1:75" x14ac:dyDescent="0.25">
      <c r="A77" s="45" t="s">
        <v>100</v>
      </c>
      <c r="B77" s="46">
        <v>60</v>
      </c>
      <c r="C77" s="46">
        <v>60</v>
      </c>
      <c r="D77" s="46">
        <v>60</v>
      </c>
      <c r="E77" s="46">
        <v>60</v>
      </c>
      <c r="F77" s="46">
        <v>60</v>
      </c>
      <c r="G77" s="46">
        <v>60</v>
      </c>
      <c r="H77" s="46">
        <v>40</v>
      </c>
      <c r="I77" s="46">
        <v>40</v>
      </c>
      <c r="J77" s="46">
        <v>40</v>
      </c>
      <c r="K77" s="46">
        <v>0</v>
      </c>
      <c r="L77" s="46">
        <v>0</v>
      </c>
      <c r="M77" s="46">
        <v>0</v>
      </c>
      <c r="N77" s="46">
        <v>30</v>
      </c>
      <c r="O77" s="46">
        <v>30</v>
      </c>
      <c r="P77" s="46">
        <v>30</v>
      </c>
      <c r="Q77" s="46">
        <v>30</v>
      </c>
      <c r="R77" s="46">
        <v>60</v>
      </c>
      <c r="S77" s="46">
        <v>60</v>
      </c>
      <c r="T77" s="46">
        <v>60</v>
      </c>
      <c r="U77" s="46">
        <v>60</v>
      </c>
      <c r="V77" s="46">
        <v>60</v>
      </c>
      <c r="W77" s="46">
        <v>40</v>
      </c>
      <c r="X77" s="46">
        <v>60</v>
      </c>
      <c r="Y77" s="46">
        <v>60</v>
      </c>
      <c r="Z77" s="46">
        <v>60</v>
      </c>
      <c r="AA77" s="46">
        <v>60</v>
      </c>
      <c r="AB77" s="46">
        <v>60</v>
      </c>
      <c r="AC77" s="46">
        <v>60</v>
      </c>
      <c r="AD77" s="46">
        <v>60</v>
      </c>
      <c r="AE77" s="46">
        <v>60</v>
      </c>
      <c r="AF77" s="46">
        <v>60</v>
      </c>
      <c r="AG77" s="60">
        <v>60</v>
      </c>
      <c r="AH77" s="48">
        <f t="shared" si="22"/>
        <v>60</v>
      </c>
      <c r="AI77" s="49">
        <f t="shared" si="23"/>
        <v>0</v>
      </c>
      <c r="AK77" s="51"/>
      <c r="AZ77" s="81">
        <f t="shared" si="100"/>
        <v>61</v>
      </c>
      <c r="BA77" s="81">
        <f t="shared" si="100"/>
        <v>49.1</v>
      </c>
      <c r="BB77" s="81">
        <f t="shared" si="100"/>
        <v>46.6</v>
      </c>
      <c r="BC77" s="81">
        <f t="shared" si="100"/>
        <v>44.1</v>
      </c>
      <c r="BD77" s="81">
        <f t="shared" si="100"/>
        <v>61.5</v>
      </c>
      <c r="BE77" s="81">
        <f t="shared" si="100"/>
        <v>35.4</v>
      </c>
      <c r="BF77" s="81">
        <f t="shared" si="100"/>
        <v>493</v>
      </c>
      <c r="BG77" s="81">
        <f t="shared" si="100"/>
        <v>506</v>
      </c>
      <c r="BH77" s="81">
        <f t="shared" si="100"/>
        <v>454</v>
      </c>
      <c r="BI77" s="81">
        <f t="shared" si="100"/>
        <v>536</v>
      </c>
      <c r="BJ77" s="81">
        <f t="shared" si="100"/>
        <v>528.79999999999995</v>
      </c>
      <c r="BK77" s="81">
        <f t="shared" si="100"/>
        <v>525.29999999999995</v>
      </c>
      <c r="BL77" s="81">
        <f t="shared" si="100"/>
        <v>411</v>
      </c>
      <c r="BM77" s="81">
        <f t="shared" si="100"/>
        <v>552.29999999999995</v>
      </c>
      <c r="BN77" s="81">
        <f t="shared" si="100"/>
        <v>563</v>
      </c>
      <c r="BO77" s="81">
        <f t="shared" si="100"/>
        <v>554.9</v>
      </c>
      <c r="BP77" s="81">
        <f t="shared" si="100"/>
        <v>477</v>
      </c>
      <c r="BQ77" s="81">
        <f t="shared" si="100"/>
        <v>203</v>
      </c>
      <c r="BR77" s="81">
        <f t="shared" si="100"/>
        <v>45</v>
      </c>
      <c r="BS77" s="81">
        <f t="shared" si="100"/>
        <v>56</v>
      </c>
      <c r="BT77" s="81">
        <f t="shared" si="100"/>
        <v>200</v>
      </c>
      <c r="BU77" s="81">
        <f t="shared" si="100"/>
        <v>80</v>
      </c>
      <c r="BV77" s="81">
        <f t="shared" si="100"/>
        <v>95.4</v>
      </c>
      <c r="BW77" s="81">
        <f t="shared" si="100"/>
        <v>57.1</v>
      </c>
    </row>
    <row r="78" spans="1:75" x14ac:dyDescent="0.25">
      <c r="A78" s="64" t="s">
        <v>101</v>
      </c>
      <c r="B78" s="75">
        <v>26</v>
      </c>
      <c r="C78" s="75">
        <v>26</v>
      </c>
      <c r="D78" s="75">
        <v>26</v>
      </c>
      <c r="E78" s="75">
        <v>26</v>
      </c>
      <c r="F78" s="75">
        <v>27.7</v>
      </c>
      <c r="G78" s="75">
        <v>27.7</v>
      </c>
      <c r="H78" s="75">
        <v>14</v>
      </c>
      <c r="I78" s="75">
        <v>16.100000000000001</v>
      </c>
      <c r="J78" s="75">
        <v>15.5</v>
      </c>
      <c r="K78" s="75">
        <v>0</v>
      </c>
      <c r="L78" s="75">
        <v>0</v>
      </c>
      <c r="M78" s="75">
        <v>0</v>
      </c>
      <c r="N78" s="75">
        <v>6.3</v>
      </c>
      <c r="O78" s="75">
        <v>14.1</v>
      </c>
      <c r="P78" s="75">
        <v>14.1</v>
      </c>
      <c r="Q78" s="75">
        <v>14.1</v>
      </c>
      <c r="R78" s="75">
        <v>27.4</v>
      </c>
      <c r="S78" s="75">
        <v>27.3</v>
      </c>
      <c r="T78" s="75">
        <v>27.5</v>
      </c>
      <c r="U78" s="75">
        <v>27.3</v>
      </c>
      <c r="V78" s="75">
        <v>27</v>
      </c>
      <c r="W78" s="75">
        <v>15.5</v>
      </c>
      <c r="X78" s="75">
        <v>19.7</v>
      </c>
      <c r="Y78" s="75">
        <v>28.2</v>
      </c>
      <c r="Z78" s="75">
        <v>27.4</v>
      </c>
      <c r="AA78" s="75">
        <v>27.4</v>
      </c>
      <c r="AB78" s="75">
        <v>27.4</v>
      </c>
      <c r="AC78" s="75">
        <v>27.4</v>
      </c>
      <c r="AD78" s="75">
        <v>28</v>
      </c>
      <c r="AE78" s="75">
        <v>27.5</v>
      </c>
      <c r="AF78" s="75">
        <v>27.4</v>
      </c>
      <c r="AG78" s="65">
        <v>32</v>
      </c>
      <c r="AH78" s="48">
        <f t="shared" si="22"/>
        <v>28.2</v>
      </c>
      <c r="AI78" s="49">
        <f t="shared" si="23"/>
        <v>0</v>
      </c>
      <c r="AK78" s="51"/>
      <c r="AZ78" s="81">
        <f t="shared" si="100"/>
        <v>0</v>
      </c>
      <c r="BA78" s="81">
        <f t="shared" si="100"/>
        <v>0</v>
      </c>
      <c r="BB78" s="81">
        <f t="shared" si="100"/>
        <v>0</v>
      </c>
      <c r="BC78" s="81">
        <f t="shared" si="100"/>
        <v>0</v>
      </c>
      <c r="BD78" s="81">
        <f t="shared" si="100"/>
        <v>0</v>
      </c>
      <c r="BE78" s="81">
        <f t="shared" si="100"/>
        <v>14</v>
      </c>
      <c r="BF78" s="81">
        <f t="shared" si="100"/>
        <v>27</v>
      </c>
      <c r="BG78" s="81">
        <f t="shared" si="100"/>
        <v>25.7</v>
      </c>
      <c r="BH78" s="81">
        <f t="shared" si="100"/>
        <v>24.1</v>
      </c>
      <c r="BI78" s="81">
        <f t="shared" si="100"/>
        <v>22.5</v>
      </c>
      <c r="BJ78" s="81">
        <f t="shared" si="100"/>
        <v>20.7</v>
      </c>
      <c r="BK78" s="81">
        <f t="shared" si="100"/>
        <v>20.399999999999999</v>
      </c>
      <c r="BL78" s="81">
        <f t="shared" si="100"/>
        <v>21.4</v>
      </c>
      <c r="BM78" s="81">
        <f t="shared" si="100"/>
        <v>52.7</v>
      </c>
      <c r="BN78" s="81">
        <f t="shared" si="100"/>
        <v>41</v>
      </c>
      <c r="BO78" s="81">
        <f t="shared" si="100"/>
        <v>51.2</v>
      </c>
      <c r="BP78" s="81">
        <f t="shared" si="100"/>
        <v>49.9</v>
      </c>
      <c r="BQ78" s="81">
        <f t="shared" si="100"/>
        <v>40.9</v>
      </c>
      <c r="BR78" s="81">
        <f t="shared" si="100"/>
        <v>0</v>
      </c>
      <c r="BS78" s="81">
        <f t="shared" si="100"/>
        <v>0</v>
      </c>
      <c r="BT78" s="81">
        <f t="shared" si="100"/>
        <v>0</v>
      </c>
      <c r="BU78" s="81">
        <f t="shared" si="100"/>
        <v>0</v>
      </c>
      <c r="BV78" s="81">
        <f t="shared" si="100"/>
        <v>0</v>
      </c>
      <c r="BW78" s="81">
        <f t="shared" si="100"/>
        <v>0</v>
      </c>
    </row>
    <row r="79" spans="1:75" ht="15.75" thickBot="1" x14ac:dyDescent="0.3">
      <c r="A79" s="83" t="s">
        <v>102</v>
      </c>
      <c r="B79" s="77">
        <v>9.5</v>
      </c>
      <c r="C79" s="77">
        <v>9.5</v>
      </c>
      <c r="D79" s="77">
        <v>9.5</v>
      </c>
      <c r="E79" s="77">
        <v>9.5</v>
      </c>
      <c r="F79" s="77">
        <v>10.1</v>
      </c>
      <c r="G79" s="77">
        <v>10.1</v>
      </c>
      <c r="H79" s="77">
        <v>5.0999999999999996</v>
      </c>
      <c r="I79" s="77">
        <v>5.9</v>
      </c>
      <c r="J79" s="77">
        <v>5.7</v>
      </c>
      <c r="K79" s="77">
        <v>0</v>
      </c>
      <c r="L79" s="77">
        <v>0</v>
      </c>
      <c r="M79" s="77">
        <v>0</v>
      </c>
      <c r="N79" s="77">
        <v>2.2999999999999998</v>
      </c>
      <c r="O79" s="77">
        <v>5.0999999999999996</v>
      </c>
      <c r="P79" s="77">
        <v>5.0999999999999996</v>
      </c>
      <c r="Q79" s="77">
        <v>5.0999999999999996</v>
      </c>
      <c r="R79" s="77">
        <v>10</v>
      </c>
      <c r="S79" s="77">
        <v>10</v>
      </c>
      <c r="T79" s="77">
        <v>10</v>
      </c>
      <c r="U79" s="77">
        <v>10</v>
      </c>
      <c r="V79" s="77">
        <v>9.9</v>
      </c>
      <c r="W79" s="77">
        <v>5.6</v>
      </c>
      <c r="X79" s="77">
        <v>7.2</v>
      </c>
      <c r="Y79" s="77">
        <v>10.3</v>
      </c>
      <c r="Z79" s="77">
        <v>10</v>
      </c>
      <c r="AA79" s="77">
        <v>10</v>
      </c>
      <c r="AB79" s="77">
        <v>10</v>
      </c>
      <c r="AC79" s="77">
        <v>10</v>
      </c>
      <c r="AD79" s="77">
        <v>10.199999999999999</v>
      </c>
      <c r="AE79" s="77">
        <v>10</v>
      </c>
      <c r="AF79" s="77">
        <v>10</v>
      </c>
      <c r="AG79" s="78">
        <v>14</v>
      </c>
      <c r="AH79" s="48">
        <f t="shared" si="22"/>
        <v>10.3</v>
      </c>
      <c r="AI79" s="49">
        <f t="shared" si="23"/>
        <v>0</v>
      </c>
      <c r="AK79" s="51"/>
      <c r="AZ79" s="81">
        <f t="shared" si="100"/>
        <v>0</v>
      </c>
      <c r="BA79" s="81">
        <f t="shared" si="100"/>
        <v>0</v>
      </c>
      <c r="BB79" s="81">
        <f t="shared" si="100"/>
        <v>0</v>
      </c>
      <c r="BC79" s="81">
        <f t="shared" si="100"/>
        <v>0</v>
      </c>
      <c r="BD79" s="81">
        <f t="shared" si="100"/>
        <v>0</v>
      </c>
      <c r="BE79" s="81">
        <f t="shared" si="100"/>
        <v>39.700000000000003</v>
      </c>
      <c r="BF79" s="81">
        <f t="shared" si="100"/>
        <v>108</v>
      </c>
      <c r="BG79" s="81">
        <f t="shared" si="100"/>
        <v>121</v>
      </c>
      <c r="BH79" s="81">
        <f t="shared" si="100"/>
        <v>126.4</v>
      </c>
      <c r="BI79" s="81">
        <f t="shared" si="100"/>
        <v>137.9</v>
      </c>
      <c r="BJ79" s="81">
        <f t="shared" si="100"/>
        <v>146</v>
      </c>
      <c r="BK79" s="81">
        <f t="shared" si="100"/>
        <v>55</v>
      </c>
      <c r="BL79" s="81">
        <f t="shared" si="100"/>
        <v>0</v>
      </c>
      <c r="BM79" s="81">
        <f t="shared" si="100"/>
        <v>68</v>
      </c>
      <c r="BN79" s="81">
        <f t="shared" si="100"/>
        <v>50.1</v>
      </c>
      <c r="BO79" s="81">
        <f t="shared" si="100"/>
        <v>61</v>
      </c>
      <c r="BP79" s="81">
        <f t="shared" si="100"/>
        <v>63</v>
      </c>
      <c r="BQ79" s="81">
        <f t="shared" si="100"/>
        <v>61</v>
      </c>
      <c r="BR79" s="81">
        <f t="shared" si="100"/>
        <v>0</v>
      </c>
      <c r="BS79" s="81">
        <f t="shared" si="100"/>
        <v>0</v>
      </c>
      <c r="BT79" s="81">
        <f t="shared" si="100"/>
        <v>0</v>
      </c>
      <c r="BU79" s="81">
        <f t="shared" si="100"/>
        <v>0</v>
      </c>
      <c r="BV79" s="81">
        <f t="shared" si="100"/>
        <v>0</v>
      </c>
      <c r="BW79" s="81">
        <f t="shared" si="100"/>
        <v>0</v>
      </c>
    </row>
    <row r="80" spans="1:75" ht="15.75" thickBot="1" x14ac:dyDescent="0.3">
      <c r="A80" s="86" t="s">
        <v>103</v>
      </c>
      <c r="B80" s="70">
        <f t="shared" ref="B80:C80" si="101">B77+B78+B79</f>
        <v>95.5</v>
      </c>
      <c r="C80" s="70">
        <f t="shared" si="101"/>
        <v>95.5</v>
      </c>
      <c r="D80" s="70">
        <f t="shared" ref="D80" si="102">D77+D78+D79</f>
        <v>95.5</v>
      </c>
      <c r="E80" s="70">
        <f t="shared" ref="E80:AF80" si="103">E77+E78+E79</f>
        <v>95.5</v>
      </c>
      <c r="F80" s="70">
        <f t="shared" si="103"/>
        <v>97.8</v>
      </c>
      <c r="G80" s="70">
        <f t="shared" si="103"/>
        <v>97.8</v>
      </c>
      <c r="H80" s="70">
        <f t="shared" si="103"/>
        <v>59.1</v>
      </c>
      <c r="I80" s="70">
        <f t="shared" si="103"/>
        <v>62</v>
      </c>
      <c r="J80" s="70">
        <f t="shared" si="103"/>
        <v>61.2</v>
      </c>
      <c r="K80" s="70">
        <f t="shared" si="103"/>
        <v>0</v>
      </c>
      <c r="L80" s="70">
        <f t="shared" si="103"/>
        <v>0</v>
      </c>
      <c r="M80" s="70">
        <f t="shared" si="103"/>
        <v>0</v>
      </c>
      <c r="N80" s="70">
        <f t="shared" si="103"/>
        <v>38.599999999999994</v>
      </c>
      <c r="O80" s="70">
        <f t="shared" si="103"/>
        <v>49.2</v>
      </c>
      <c r="P80" s="70">
        <f t="shared" si="103"/>
        <v>49.2</v>
      </c>
      <c r="Q80" s="70">
        <f t="shared" si="103"/>
        <v>49.2</v>
      </c>
      <c r="R80" s="70">
        <f t="shared" si="103"/>
        <v>97.4</v>
      </c>
      <c r="S80" s="70">
        <f t="shared" si="103"/>
        <v>97.3</v>
      </c>
      <c r="T80" s="70">
        <f t="shared" si="103"/>
        <v>97.5</v>
      </c>
      <c r="U80" s="70">
        <f t="shared" si="103"/>
        <v>97.3</v>
      </c>
      <c r="V80" s="70">
        <f t="shared" si="103"/>
        <v>96.9</v>
      </c>
      <c r="W80" s="70">
        <f t="shared" si="103"/>
        <v>61.1</v>
      </c>
      <c r="X80" s="70">
        <f t="shared" si="103"/>
        <v>86.9</v>
      </c>
      <c r="Y80" s="70">
        <f>Y77+Y78+Y79</f>
        <v>98.5</v>
      </c>
      <c r="Z80" s="70">
        <f>Z77+Z78+Z79</f>
        <v>97.4</v>
      </c>
      <c r="AA80" s="70">
        <f t="shared" si="103"/>
        <v>97.4</v>
      </c>
      <c r="AB80" s="70">
        <f t="shared" si="103"/>
        <v>97.4</v>
      </c>
      <c r="AC80" s="70">
        <f t="shared" si="103"/>
        <v>97.4</v>
      </c>
      <c r="AD80" s="70">
        <f t="shared" si="103"/>
        <v>98.2</v>
      </c>
      <c r="AE80" s="70">
        <f t="shared" ref="AE80" si="104">AE77+AE78+AE79</f>
        <v>97.5</v>
      </c>
      <c r="AF80" s="70">
        <f t="shared" si="103"/>
        <v>97.4</v>
      </c>
      <c r="AG80" s="71">
        <f>SUM(AG77:AG79)</f>
        <v>106</v>
      </c>
      <c r="AH80" s="48">
        <f t="shared" si="22"/>
        <v>98.5</v>
      </c>
      <c r="AI80" s="49">
        <f t="shared" si="23"/>
        <v>0</v>
      </c>
      <c r="AK80" s="51"/>
      <c r="AZ80" s="81">
        <f t="shared" si="100"/>
        <v>42</v>
      </c>
      <c r="BA80" s="81">
        <f t="shared" si="100"/>
        <v>42</v>
      </c>
      <c r="BB80" s="81">
        <f t="shared" si="100"/>
        <v>53.6</v>
      </c>
      <c r="BC80" s="81">
        <f t="shared" si="100"/>
        <v>51.2</v>
      </c>
      <c r="BD80" s="81">
        <f t="shared" si="100"/>
        <v>50</v>
      </c>
      <c r="BE80" s="81">
        <f t="shared" si="100"/>
        <v>47.7</v>
      </c>
      <c r="BF80" s="81">
        <f t="shared" si="100"/>
        <v>43.3</v>
      </c>
      <c r="BG80" s="81">
        <f t="shared" si="100"/>
        <v>39.200000000000003</v>
      </c>
      <c r="BH80" s="81">
        <f t="shared" si="100"/>
        <v>40</v>
      </c>
      <c r="BI80" s="81">
        <f t="shared" si="100"/>
        <v>38.6</v>
      </c>
      <c r="BJ80" s="81">
        <f t="shared" si="100"/>
        <v>37.799999999999997</v>
      </c>
      <c r="BK80" s="81">
        <f t="shared" si="100"/>
        <v>37.799999999999997</v>
      </c>
      <c r="BL80" s="81">
        <f t="shared" si="100"/>
        <v>41.7</v>
      </c>
      <c r="BM80" s="81">
        <f t="shared" si="100"/>
        <v>42.8</v>
      </c>
      <c r="BN80" s="81">
        <f t="shared" si="100"/>
        <v>43.4</v>
      </c>
      <c r="BO80" s="81">
        <f t="shared" si="100"/>
        <v>39.6</v>
      </c>
      <c r="BP80" s="81">
        <f t="shared" si="100"/>
        <v>39.4</v>
      </c>
      <c r="BQ80" s="81">
        <f t="shared" si="100"/>
        <v>39.4</v>
      </c>
      <c r="BR80" s="81">
        <f t="shared" si="100"/>
        <v>39.4</v>
      </c>
      <c r="BS80" s="81">
        <f t="shared" si="100"/>
        <v>39.4</v>
      </c>
      <c r="BT80" s="81">
        <f t="shared" si="100"/>
        <v>39.4</v>
      </c>
      <c r="BU80" s="81">
        <f t="shared" si="100"/>
        <v>50</v>
      </c>
      <c r="BV80" s="81">
        <f t="shared" si="100"/>
        <v>49.9</v>
      </c>
      <c r="BW80" s="81">
        <f t="shared" si="100"/>
        <v>42</v>
      </c>
    </row>
    <row r="81" spans="1:64" x14ac:dyDescent="0.25">
      <c r="A81" s="45" t="s">
        <v>104</v>
      </c>
      <c r="B81" s="46">
        <v>25.5</v>
      </c>
      <c r="C81" s="46">
        <v>0</v>
      </c>
      <c r="D81" s="46">
        <v>0</v>
      </c>
      <c r="E81" s="46">
        <v>0</v>
      </c>
      <c r="F81" s="46">
        <v>12.8</v>
      </c>
      <c r="G81" s="46">
        <v>15.9</v>
      </c>
      <c r="H81" s="46">
        <v>19.7</v>
      </c>
      <c r="I81" s="46">
        <v>20.8</v>
      </c>
      <c r="J81" s="46">
        <v>52.9</v>
      </c>
      <c r="K81" s="46">
        <v>59</v>
      </c>
      <c r="L81" s="46">
        <v>64.2</v>
      </c>
      <c r="M81" s="46">
        <v>63.3</v>
      </c>
      <c r="N81" s="46">
        <v>47.6</v>
      </c>
      <c r="O81" s="46">
        <v>48.8</v>
      </c>
      <c r="P81" s="46">
        <v>46.5</v>
      </c>
      <c r="Q81" s="46">
        <v>58.5</v>
      </c>
      <c r="R81" s="46">
        <v>71</v>
      </c>
      <c r="S81" s="46">
        <v>66.400000000000006</v>
      </c>
      <c r="T81" s="46">
        <v>61.4</v>
      </c>
      <c r="U81" s="46">
        <v>56.4</v>
      </c>
      <c r="V81" s="46">
        <v>64.8</v>
      </c>
      <c r="W81" s="46">
        <v>69.400000000000006</v>
      </c>
      <c r="X81" s="46">
        <v>69.8</v>
      </c>
      <c r="Y81" s="46">
        <v>49.6</v>
      </c>
      <c r="Z81" s="46">
        <v>36</v>
      </c>
      <c r="AA81" s="46">
        <v>49.5</v>
      </c>
      <c r="AB81" s="46">
        <v>50</v>
      </c>
      <c r="AC81" s="46">
        <v>53</v>
      </c>
      <c r="AD81" s="46">
        <v>49.1</v>
      </c>
      <c r="AE81" s="46">
        <v>42.9</v>
      </c>
      <c r="AF81" s="46">
        <v>29.8</v>
      </c>
      <c r="AG81" s="60"/>
      <c r="AH81" s="48">
        <f t="shared" si="22"/>
        <v>71</v>
      </c>
      <c r="AI81" s="49">
        <f t="shared" si="23"/>
        <v>0</v>
      </c>
      <c r="AK81" s="51"/>
      <c r="AY81" s="81"/>
    </row>
    <row r="82" spans="1:64" x14ac:dyDescent="0.25">
      <c r="A82" s="64" t="s">
        <v>105</v>
      </c>
      <c r="B82" s="75"/>
      <c r="C82" s="75"/>
      <c r="D82" s="75"/>
      <c r="E82" s="75"/>
      <c r="F82" s="75"/>
      <c r="G82" s="75"/>
      <c r="H82" s="75">
        <v>110</v>
      </c>
      <c r="I82" s="75">
        <v>120.2</v>
      </c>
      <c r="J82" s="75">
        <v>0</v>
      </c>
      <c r="K82" s="75">
        <v>0</v>
      </c>
      <c r="L82" s="75">
        <v>0</v>
      </c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65"/>
      <c r="AH82" s="48">
        <f t="shared" ref="AH82:AH125" si="105">MAX(B82:AF82)</f>
        <v>120.2</v>
      </c>
      <c r="AI82" s="49">
        <f t="shared" ref="AI82:AI125" si="106">MIN(B82:AF82)</f>
        <v>0</v>
      </c>
      <c r="AK82" s="51"/>
      <c r="AY82" s="81"/>
      <c r="BF82" s="81"/>
      <c r="BG82" s="81"/>
      <c r="BH82" s="81"/>
      <c r="BI82" s="81"/>
      <c r="BJ82" s="81"/>
      <c r="BK82" s="81"/>
    </row>
    <row r="83" spans="1:64" x14ac:dyDescent="0.25">
      <c r="A83" s="64" t="s">
        <v>106</v>
      </c>
      <c r="B83" s="75">
        <v>57.1</v>
      </c>
      <c r="C83" s="75">
        <v>60.6</v>
      </c>
      <c r="D83" s="75">
        <v>49.1</v>
      </c>
      <c r="E83" s="75">
        <v>46.6</v>
      </c>
      <c r="F83" s="75">
        <v>44.1</v>
      </c>
      <c r="G83" s="75">
        <v>61.5</v>
      </c>
      <c r="H83" s="75">
        <v>36.799999999999997</v>
      </c>
      <c r="I83" s="75">
        <v>35.4</v>
      </c>
      <c r="J83" s="75">
        <v>324.3</v>
      </c>
      <c r="K83" s="75">
        <v>493</v>
      </c>
      <c r="L83" s="75">
        <v>519</v>
      </c>
      <c r="M83" s="75">
        <v>506</v>
      </c>
      <c r="N83" s="75">
        <v>454</v>
      </c>
      <c r="O83" s="75">
        <v>536</v>
      </c>
      <c r="P83" s="75">
        <v>528.79999999999995</v>
      </c>
      <c r="Q83" s="75">
        <v>525.29999999999995</v>
      </c>
      <c r="R83" s="75">
        <v>411</v>
      </c>
      <c r="S83" s="75">
        <v>552.29999999999995</v>
      </c>
      <c r="T83" s="75">
        <v>563</v>
      </c>
      <c r="U83" s="75">
        <v>554.9</v>
      </c>
      <c r="V83" s="75">
        <v>477</v>
      </c>
      <c r="W83" s="75">
        <v>549</v>
      </c>
      <c r="X83" s="75">
        <v>203</v>
      </c>
      <c r="Y83" s="75">
        <v>66.7</v>
      </c>
      <c r="Z83" s="75">
        <v>45</v>
      </c>
      <c r="AA83" s="75">
        <v>60.2</v>
      </c>
      <c r="AB83" s="75">
        <v>56</v>
      </c>
      <c r="AC83" s="75">
        <v>59</v>
      </c>
      <c r="AD83" s="75">
        <v>200</v>
      </c>
      <c r="AE83" s="75">
        <v>80</v>
      </c>
      <c r="AF83" s="75">
        <v>95.4</v>
      </c>
      <c r="AG83" s="87"/>
      <c r="AH83" s="48">
        <f t="shared" si="105"/>
        <v>563</v>
      </c>
      <c r="AI83" s="49">
        <f t="shared" si="106"/>
        <v>35.4</v>
      </c>
      <c r="AK83" s="51"/>
      <c r="AY83" s="81"/>
      <c r="BF83" s="80"/>
      <c r="BG83" s="80"/>
      <c r="BH83" s="80"/>
      <c r="BI83" s="80"/>
      <c r="BJ83" s="80"/>
      <c r="BK83" s="81"/>
    </row>
    <row r="84" spans="1:64" x14ac:dyDescent="0.25">
      <c r="A84" s="64" t="s">
        <v>107</v>
      </c>
      <c r="B84" s="75"/>
      <c r="C84" s="75"/>
      <c r="D84" s="75"/>
      <c r="E84" s="88"/>
      <c r="F84" s="88"/>
      <c r="G84" s="88"/>
      <c r="H84" s="88">
        <v>13.7</v>
      </c>
      <c r="I84" s="88">
        <v>14</v>
      </c>
      <c r="J84" s="88">
        <v>28.8</v>
      </c>
      <c r="K84" s="88">
        <v>27</v>
      </c>
      <c r="L84" s="88">
        <v>25.1</v>
      </c>
      <c r="M84" s="88">
        <v>25.7</v>
      </c>
      <c r="N84" s="88">
        <v>24.1</v>
      </c>
      <c r="O84" s="88">
        <v>22.5</v>
      </c>
      <c r="P84" s="88">
        <v>20.7</v>
      </c>
      <c r="Q84" s="88">
        <v>20.399999999999999</v>
      </c>
      <c r="R84" s="88">
        <v>21.4</v>
      </c>
      <c r="S84" s="88">
        <v>52.7</v>
      </c>
      <c r="T84" s="88">
        <v>41</v>
      </c>
      <c r="U84" s="88">
        <v>51.2</v>
      </c>
      <c r="V84" s="88">
        <v>49.9</v>
      </c>
      <c r="W84" s="88">
        <v>50.2</v>
      </c>
      <c r="X84" s="88">
        <v>40.9</v>
      </c>
      <c r="Y84" s="88">
        <v>0</v>
      </c>
      <c r="Z84" s="88">
        <v>0</v>
      </c>
      <c r="AA84" s="88">
        <v>0</v>
      </c>
      <c r="AB84" s="88"/>
      <c r="AC84" s="88"/>
      <c r="AD84" s="88"/>
      <c r="AE84" s="88"/>
      <c r="AF84" s="88"/>
      <c r="AG84" s="87"/>
      <c r="AH84" s="48">
        <f t="shared" si="105"/>
        <v>52.7</v>
      </c>
      <c r="AI84" s="49">
        <f t="shared" si="106"/>
        <v>0</v>
      </c>
      <c r="AK84" s="51"/>
      <c r="AY84" s="81"/>
      <c r="BF84" s="80"/>
      <c r="BG84" s="81">
        <f t="array" ref="BG84:BL107">TRANSPOSE(AZ68:BW73)</f>
        <v>0</v>
      </c>
      <c r="BH84" s="81">
        <v>0</v>
      </c>
      <c r="BI84" s="81">
        <v>61</v>
      </c>
      <c r="BJ84" s="81">
        <v>0</v>
      </c>
      <c r="BK84" s="81">
        <v>0</v>
      </c>
      <c r="BL84" s="81">
        <v>42</v>
      </c>
    </row>
    <row r="85" spans="1:64" x14ac:dyDescent="0.25">
      <c r="A85" s="64" t="s">
        <v>108</v>
      </c>
      <c r="B85" s="46"/>
      <c r="C85" s="46"/>
      <c r="D85" s="46"/>
      <c r="E85" s="46"/>
      <c r="F85" s="46"/>
      <c r="G85" s="46"/>
      <c r="H85" s="46">
        <v>46</v>
      </c>
      <c r="I85" s="46">
        <v>39.700000000000003</v>
      </c>
      <c r="J85" s="46">
        <v>108.2</v>
      </c>
      <c r="K85" s="46">
        <v>108</v>
      </c>
      <c r="L85" s="46">
        <v>109</v>
      </c>
      <c r="M85" s="46">
        <v>121</v>
      </c>
      <c r="N85" s="46">
        <v>126.4</v>
      </c>
      <c r="O85" s="46">
        <v>137.9</v>
      </c>
      <c r="P85" s="46">
        <v>146</v>
      </c>
      <c r="Q85" s="46">
        <v>55</v>
      </c>
      <c r="R85" s="46">
        <v>0</v>
      </c>
      <c r="S85" s="46">
        <v>68</v>
      </c>
      <c r="T85" s="46">
        <v>50.1</v>
      </c>
      <c r="U85" s="46">
        <v>61</v>
      </c>
      <c r="V85" s="46">
        <v>63</v>
      </c>
      <c r="W85" s="46">
        <v>71</v>
      </c>
      <c r="X85" s="46">
        <v>61</v>
      </c>
      <c r="Y85" s="46">
        <v>0</v>
      </c>
      <c r="Z85" s="46">
        <v>0</v>
      </c>
      <c r="AA85" s="46">
        <v>0</v>
      </c>
      <c r="AB85" s="46"/>
      <c r="AC85" s="46"/>
      <c r="AD85" s="46"/>
      <c r="AE85" s="46"/>
      <c r="AF85" s="46"/>
      <c r="AG85" s="87"/>
      <c r="AH85" s="48">
        <f t="shared" si="105"/>
        <v>146</v>
      </c>
      <c r="AI85" s="49">
        <f t="shared" si="106"/>
        <v>0</v>
      </c>
      <c r="AK85" s="51"/>
      <c r="AY85" s="81"/>
      <c r="BF85" s="80"/>
      <c r="BG85" s="81">
        <v>0</v>
      </c>
      <c r="BH85" s="81">
        <v>0</v>
      </c>
      <c r="BI85" s="81">
        <v>49.1</v>
      </c>
      <c r="BJ85" s="81">
        <v>0</v>
      </c>
      <c r="BK85" s="81">
        <v>0</v>
      </c>
      <c r="BL85" s="81">
        <v>42</v>
      </c>
    </row>
    <row r="86" spans="1:64" x14ac:dyDescent="0.25">
      <c r="A86" s="64" t="s">
        <v>109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7"/>
      <c r="AH86" s="48">
        <f t="shared" si="105"/>
        <v>0</v>
      </c>
      <c r="AI86" s="49">
        <f t="shared" si="106"/>
        <v>0</v>
      </c>
      <c r="AK86" s="51"/>
      <c r="AY86" s="81"/>
      <c r="BF86" s="80"/>
      <c r="BG86" s="81">
        <v>0</v>
      </c>
      <c r="BH86" s="81">
        <v>0</v>
      </c>
      <c r="BI86" s="81">
        <v>46.6</v>
      </c>
      <c r="BJ86" s="81">
        <v>0</v>
      </c>
      <c r="BK86" s="81">
        <v>0</v>
      </c>
      <c r="BL86" s="81">
        <v>53.6</v>
      </c>
    </row>
    <row r="87" spans="1:64" ht="15.75" thickBot="1" x14ac:dyDescent="0.3">
      <c r="A87" s="64" t="s">
        <v>110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7"/>
      <c r="AH87" s="48">
        <f t="shared" si="105"/>
        <v>0</v>
      </c>
      <c r="AI87" s="49">
        <f t="shared" si="106"/>
        <v>0</v>
      </c>
      <c r="AK87" s="51"/>
      <c r="AL87" s="90" t="s">
        <v>111</v>
      </c>
      <c r="AM87" s="90"/>
      <c r="AY87" s="81"/>
      <c r="BF87" s="81"/>
      <c r="BG87" s="81">
        <v>12.8</v>
      </c>
      <c r="BH87" s="81">
        <v>0</v>
      </c>
      <c r="BI87" s="81">
        <v>44.1</v>
      </c>
      <c r="BJ87" s="81">
        <v>0</v>
      </c>
      <c r="BK87" s="81">
        <v>0</v>
      </c>
      <c r="BL87" s="81">
        <v>51.2</v>
      </c>
    </row>
    <row r="88" spans="1:64" x14ac:dyDescent="0.25">
      <c r="A88" s="64" t="s">
        <v>112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7"/>
      <c r="AH88" s="48">
        <f t="shared" si="105"/>
        <v>0</v>
      </c>
      <c r="AI88" s="49">
        <f t="shared" si="106"/>
        <v>0</v>
      </c>
      <c r="AK88" s="91"/>
      <c r="AL88" s="92"/>
      <c r="AM88" s="92"/>
      <c r="AN88" s="93"/>
      <c r="AY88" s="81"/>
      <c r="BF88" s="81"/>
      <c r="BG88" s="81">
        <v>15.9</v>
      </c>
      <c r="BH88" s="81">
        <v>0</v>
      </c>
      <c r="BI88" s="81">
        <v>61.5</v>
      </c>
      <c r="BJ88" s="81">
        <v>0</v>
      </c>
      <c r="BK88" s="81">
        <v>0</v>
      </c>
      <c r="BL88" s="81">
        <v>50</v>
      </c>
    </row>
    <row r="89" spans="1:64" x14ac:dyDescent="0.25">
      <c r="A89" s="64" t="s">
        <v>113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7"/>
      <c r="AH89" s="48">
        <f t="shared" si="105"/>
        <v>0</v>
      </c>
      <c r="AI89" s="49">
        <f t="shared" si="106"/>
        <v>0</v>
      </c>
      <c r="AK89" s="94" t="s">
        <v>114</v>
      </c>
      <c r="AL89" s="75"/>
      <c r="AM89" s="88"/>
      <c r="AN89" s="95"/>
      <c r="AY89" s="81"/>
      <c r="BF89" s="81"/>
      <c r="BG89" s="81">
        <v>20.8</v>
      </c>
      <c r="BH89" s="81">
        <v>120.2</v>
      </c>
      <c r="BI89" s="81">
        <v>35.4</v>
      </c>
      <c r="BJ89" s="81">
        <v>14</v>
      </c>
      <c r="BK89" s="81">
        <v>39.700000000000003</v>
      </c>
      <c r="BL89" s="81">
        <v>47.7</v>
      </c>
    </row>
    <row r="90" spans="1:64" x14ac:dyDescent="0.25">
      <c r="A90" s="96" t="s">
        <v>115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97"/>
      <c r="AH90" s="48">
        <f t="shared" si="105"/>
        <v>0</v>
      </c>
      <c r="AI90" s="49">
        <f t="shared" si="106"/>
        <v>0</v>
      </c>
      <c r="AK90" s="94" t="s">
        <v>116</v>
      </c>
      <c r="AL90" s="88"/>
      <c r="AM90" s="88"/>
      <c r="AN90" s="95"/>
      <c r="AY90" s="81"/>
      <c r="BF90" s="81"/>
      <c r="BG90" s="81">
        <v>59</v>
      </c>
      <c r="BH90" s="81">
        <v>0</v>
      </c>
      <c r="BI90" s="81">
        <v>493</v>
      </c>
      <c r="BJ90" s="81">
        <v>27</v>
      </c>
      <c r="BK90" s="81">
        <v>108</v>
      </c>
      <c r="BL90" s="81">
        <v>43.3</v>
      </c>
    </row>
    <row r="91" spans="1:64" ht="15.75" thickBot="1" x14ac:dyDescent="0.3">
      <c r="A91" s="96" t="s">
        <v>117</v>
      </c>
      <c r="B91" s="89">
        <v>42</v>
      </c>
      <c r="C91" s="89">
        <v>42</v>
      </c>
      <c r="D91" s="89">
        <v>42</v>
      </c>
      <c r="E91" s="89">
        <v>53.6</v>
      </c>
      <c r="F91" s="89">
        <v>51.2</v>
      </c>
      <c r="G91" s="89">
        <v>50</v>
      </c>
      <c r="H91" s="89">
        <v>49.8</v>
      </c>
      <c r="I91" s="89">
        <v>47.7</v>
      </c>
      <c r="J91" s="89">
        <v>54.6</v>
      </c>
      <c r="K91" s="89">
        <v>43.3</v>
      </c>
      <c r="L91" s="89">
        <v>41.6</v>
      </c>
      <c r="M91" s="89">
        <v>39.200000000000003</v>
      </c>
      <c r="N91" s="89">
        <v>40</v>
      </c>
      <c r="O91" s="89">
        <v>38.6</v>
      </c>
      <c r="P91" s="89">
        <v>37.799999999999997</v>
      </c>
      <c r="Q91" s="89">
        <v>37.799999999999997</v>
      </c>
      <c r="R91" s="89">
        <v>41.7</v>
      </c>
      <c r="S91" s="89">
        <v>42.8</v>
      </c>
      <c r="T91" s="89">
        <v>43.4</v>
      </c>
      <c r="U91" s="89">
        <v>39.6</v>
      </c>
      <c r="V91" s="89">
        <v>39.4</v>
      </c>
      <c r="W91" s="89">
        <v>39.4</v>
      </c>
      <c r="X91" s="89">
        <v>39.4</v>
      </c>
      <c r="Y91" s="89">
        <v>39.4</v>
      </c>
      <c r="Z91" s="89">
        <v>39.4</v>
      </c>
      <c r="AA91" s="89">
        <v>39.4</v>
      </c>
      <c r="AB91" s="89">
        <v>39.4</v>
      </c>
      <c r="AC91" s="89">
        <v>39.4</v>
      </c>
      <c r="AD91" s="89">
        <v>39.4</v>
      </c>
      <c r="AE91" s="89">
        <v>50</v>
      </c>
      <c r="AF91" s="89">
        <v>49.9</v>
      </c>
      <c r="AG91" s="97"/>
      <c r="AH91" s="48">
        <f t="shared" si="105"/>
        <v>54.6</v>
      </c>
      <c r="AI91" s="49">
        <f t="shared" si="106"/>
        <v>37.799999999999997</v>
      </c>
      <c r="AK91" s="98"/>
      <c r="AL91" s="46"/>
      <c r="AM91" s="46"/>
      <c r="AN91" s="99"/>
      <c r="AY91" s="81"/>
      <c r="BF91" s="81"/>
      <c r="BG91" s="81">
        <v>63.3</v>
      </c>
      <c r="BH91" s="81">
        <v>0</v>
      </c>
      <c r="BI91" s="81">
        <v>506</v>
      </c>
      <c r="BJ91" s="81">
        <v>25.7</v>
      </c>
      <c r="BK91" s="81">
        <v>121</v>
      </c>
      <c r="BL91" s="81">
        <v>39.200000000000003</v>
      </c>
    </row>
    <row r="92" spans="1:64" ht="15.75" thickBot="1" x14ac:dyDescent="0.3">
      <c r="A92" s="86" t="s">
        <v>118</v>
      </c>
      <c r="B92" s="70">
        <f t="shared" ref="B92:C92" si="107">SUMIF(B81:B91,"&gt;0")</f>
        <v>124.6</v>
      </c>
      <c r="C92" s="70">
        <f t="shared" si="107"/>
        <v>102.6</v>
      </c>
      <c r="D92" s="70">
        <f t="shared" ref="D92" si="108">SUMIF(D81:D91,"&gt;0")</f>
        <v>91.1</v>
      </c>
      <c r="E92" s="70">
        <f t="shared" ref="E92:AF92" si="109">SUMIF(E81:E91,"&gt;0")</f>
        <v>100.2</v>
      </c>
      <c r="F92" s="70">
        <f t="shared" si="109"/>
        <v>108.10000000000001</v>
      </c>
      <c r="G92" s="70">
        <f t="shared" si="109"/>
        <v>127.4</v>
      </c>
      <c r="H92" s="70">
        <f t="shared" si="109"/>
        <v>276</v>
      </c>
      <c r="I92" s="70">
        <f t="shared" si="109"/>
        <v>277.8</v>
      </c>
      <c r="J92" s="70">
        <f t="shared" si="109"/>
        <v>568.80000000000007</v>
      </c>
      <c r="K92" s="70">
        <f t="shared" si="109"/>
        <v>730.3</v>
      </c>
      <c r="L92" s="70">
        <f t="shared" si="109"/>
        <v>758.90000000000009</v>
      </c>
      <c r="M92" s="70">
        <f t="shared" si="109"/>
        <v>755.2</v>
      </c>
      <c r="N92" s="70">
        <f t="shared" si="109"/>
        <v>692.1</v>
      </c>
      <c r="O92" s="70">
        <f t="shared" si="109"/>
        <v>783.8</v>
      </c>
      <c r="P92" s="70">
        <f t="shared" si="109"/>
        <v>779.8</v>
      </c>
      <c r="Q92" s="70">
        <f t="shared" si="109"/>
        <v>696.99999999999989</v>
      </c>
      <c r="R92" s="70">
        <f t="shared" si="109"/>
        <v>545.1</v>
      </c>
      <c r="S92" s="70">
        <f t="shared" si="109"/>
        <v>782.19999999999993</v>
      </c>
      <c r="T92" s="70">
        <f t="shared" si="109"/>
        <v>758.9</v>
      </c>
      <c r="U92" s="70">
        <f t="shared" si="109"/>
        <v>763.1</v>
      </c>
      <c r="V92" s="70">
        <f t="shared" si="109"/>
        <v>694.09999999999991</v>
      </c>
      <c r="W92" s="70">
        <f t="shared" si="109"/>
        <v>779</v>
      </c>
      <c r="X92" s="70">
        <f t="shared" si="109"/>
        <v>414.09999999999997</v>
      </c>
      <c r="Y92" s="70">
        <f>SUMIF(Y81:Y91,"&gt;0")</f>
        <v>155.70000000000002</v>
      </c>
      <c r="Z92" s="70">
        <f>SUMIF(Z81:Z91,"&gt;0")</f>
        <v>120.4</v>
      </c>
      <c r="AA92" s="70">
        <f t="shared" si="109"/>
        <v>149.1</v>
      </c>
      <c r="AB92" s="70">
        <f t="shared" si="109"/>
        <v>145.4</v>
      </c>
      <c r="AC92" s="70">
        <f t="shared" si="109"/>
        <v>151.4</v>
      </c>
      <c r="AD92" s="70">
        <f t="shared" si="109"/>
        <v>288.5</v>
      </c>
      <c r="AE92" s="70">
        <f t="shared" ref="AE92" si="110">SUMIF(AE81:AE91,"&gt;0")</f>
        <v>172.9</v>
      </c>
      <c r="AF92" s="70">
        <f t="shared" si="109"/>
        <v>175.1</v>
      </c>
      <c r="AG92" s="100">
        <f>SUM(AG81:AG91)</f>
        <v>0</v>
      </c>
      <c r="AH92" s="48">
        <f t="shared" si="105"/>
        <v>783.8</v>
      </c>
      <c r="AI92" s="49">
        <f t="shared" si="106"/>
        <v>91.1</v>
      </c>
      <c r="AK92" s="98"/>
      <c r="AL92" s="89"/>
      <c r="AM92" s="101"/>
      <c r="AN92" s="202"/>
      <c r="AY92" s="81"/>
      <c r="BF92" s="81"/>
      <c r="BG92" s="81">
        <v>47.6</v>
      </c>
      <c r="BH92" s="81">
        <v>0</v>
      </c>
      <c r="BI92" s="81">
        <v>454</v>
      </c>
      <c r="BJ92" s="81">
        <v>24.1</v>
      </c>
      <c r="BK92" s="81">
        <v>126.4</v>
      </c>
      <c r="BL92" s="81">
        <v>40</v>
      </c>
    </row>
    <row r="93" spans="1:64" x14ac:dyDescent="0.25">
      <c r="A93" s="45" t="s">
        <v>119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105"/>
        <v>0</v>
      </c>
      <c r="AI93" s="49">
        <f t="shared" si="106"/>
        <v>0</v>
      </c>
      <c r="AK93" s="98"/>
      <c r="AL93" s="89"/>
      <c r="AM93" s="89"/>
      <c r="AN93" s="203"/>
      <c r="BF93" s="81"/>
      <c r="BG93" s="81">
        <v>48.8</v>
      </c>
      <c r="BH93" s="81">
        <v>0</v>
      </c>
      <c r="BI93" s="81">
        <v>536</v>
      </c>
      <c r="BJ93" s="81">
        <v>22.5</v>
      </c>
      <c r="BK93" s="81">
        <v>137.9</v>
      </c>
      <c r="BL93" s="81">
        <v>38.6</v>
      </c>
    </row>
    <row r="94" spans="1:64" ht="15.75" thickBot="1" x14ac:dyDescent="0.3">
      <c r="A94" s="64" t="s">
        <v>120</v>
      </c>
      <c r="B94" s="89">
        <v>0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105"/>
        <v>0</v>
      </c>
      <c r="AI94" s="49">
        <f t="shared" si="106"/>
        <v>0</v>
      </c>
      <c r="AK94" s="103"/>
      <c r="AL94" s="104"/>
      <c r="AM94" s="104"/>
      <c r="AN94" s="105"/>
      <c r="BF94" s="81"/>
      <c r="BG94" s="81">
        <v>46.5</v>
      </c>
      <c r="BH94" s="81">
        <v>0</v>
      </c>
      <c r="BI94" s="81">
        <v>528.79999999999995</v>
      </c>
      <c r="BJ94" s="81">
        <v>20.7</v>
      </c>
      <c r="BK94" s="81">
        <v>146</v>
      </c>
      <c r="BL94" s="81">
        <v>37.799999999999997</v>
      </c>
    </row>
    <row r="95" spans="1:64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0</v>
      </c>
      <c r="Y95" s="106">
        <v>0</v>
      </c>
      <c r="Z95" s="106">
        <v>0</v>
      </c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105"/>
        <v>0</v>
      </c>
      <c r="AI95" s="49">
        <f t="shared" si="106"/>
        <v>0</v>
      </c>
      <c r="BF95" s="81"/>
      <c r="BG95" s="81">
        <v>58.5</v>
      </c>
      <c r="BH95" s="81">
        <v>0</v>
      </c>
      <c r="BI95" s="81">
        <v>525.29999999999995</v>
      </c>
      <c r="BJ95" s="81">
        <v>20.399999999999999</v>
      </c>
      <c r="BK95" s="81">
        <v>55</v>
      </c>
      <c r="BL95" s="81">
        <v>37.799999999999997</v>
      </c>
    </row>
    <row r="96" spans="1:64" ht="15.75" thickBot="1" x14ac:dyDescent="0.3">
      <c r="A96" s="86" t="s">
        <v>122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>
        <v>0</v>
      </c>
      <c r="Y96" s="70"/>
      <c r="Z96" s="70"/>
      <c r="AA96" s="70"/>
      <c r="AB96" s="70"/>
      <c r="AC96" s="70"/>
      <c r="AD96" s="70"/>
      <c r="AE96" s="70"/>
      <c r="AF96" s="70"/>
      <c r="AG96" s="100">
        <f>SUM(AG93:AG95)</f>
        <v>55.4</v>
      </c>
      <c r="AH96" s="48">
        <f t="shared" si="105"/>
        <v>0</v>
      </c>
      <c r="AI96" s="49">
        <f t="shared" si="106"/>
        <v>0</v>
      </c>
      <c r="BF96" s="81"/>
      <c r="BG96" s="81">
        <v>71</v>
      </c>
      <c r="BH96" s="81">
        <v>0</v>
      </c>
      <c r="BI96" s="81">
        <v>411</v>
      </c>
      <c r="BJ96" s="81">
        <v>21.4</v>
      </c>
      <c r="BK96" s="81">
        <v>0</v>
      </c>
      <c r="BL96" s="81">
        <v>41.7</v>
      </c>
    </row>
    <row r="97" spans="1:64" ht="15.75" thickBot="1" x14ac:dyDescent="0.3">
      <c r="A97" s="86" t="s">
        <v>123</v>
      </c>
      <c r="B97" s="107">
        <f t="shared" ref="B97:C97" si="111">B58+B62+B80+B76+B92+B96</f>
        <v>1046.8899999999999</v>
      </c>
      <c r="C97" s="107">
        <f t="shared" si="111"/>
        <v>995.39</v>
      </c>
      <c r="D97" s="107">
        <f t="shared" ref="D97" si="112">D58+D62+D80+D76+D92+D96</f>
        <v>957.68999999999994</v>
      </c>
      <c r="E97" s="107">
        <f t="shared" ref="E97:AG97" si="113">E58+E62+E80+E76+E92+E96</f>
        <v>971.39</v>
      </c>
      <c r="F97" s="107">
        <f t="shared" si="113"/>
        <v>952.88999999999987</v>
      </c>
      <c r="G97" s="107">
        <f t="shared" si="113"/>
        <v>1027.79</v>
      </c>
      <c r="H97" s="107">
        <f t="shared" si="113"/>
        <v>1089.0899999999999</v>
      </c>
      <c r="I97" s="107">
        <f t="shared" si="113"/>
        <v>1146.6899999999998</v>
      </c>
      <c r="J97" s="107">
        <f t="shared" si="113"/>
        <v>1460.99</v>
      </c>
      <c r="K97" s="107">
        <f t="shared" si="113"/>
        <v>1564.4899999999998</v>
      </c>
      <c r="L97" s="107">
        <f t="shared" si="113"/>
        <v>1681.89</v>
      </c>
      <c r="M97" s="107">
        <f t="shared" si="113"/>
        <v>1679.49</v>
      </c>
      <c r="N97" s="107">
        <f t="shared" si="113"/>
        <v>1608.79</v>
      </c>
      <c r="O97" s="107">
        <f t="shared" si="113"/>
        <v>1667.99</v>
      </c>
      <c r="P97" s="107">
        <f t="shared" si="113"/>
        <v>1665.99</v>
      </c>
      <c r="Q97" s="107">
        <f t="shared" si="113"/>
        <v>1556.8899999999999</v>
      </c>
      <c r="R97" s="107">
        <f t="shared" si="113"/>
        <v>1403.8899999999999</v>
      </c>
      <c r="S97" s="107">
        <f t="shared" si="113"/>
        <v>1599.79</v>
      </c>
      <c r="T97" s="107">
        <f t="shared" si="113"/>
        <v>1586.8899999999999</v>
      </c>
      <c r="U97" s="107">
        <f t="shared" si="113"/>
        <v>1596.59</v>
      </c>
      <c r="V97" s="107">
        <f t="shared" si="113"/>
        <v>1551.79</v>
      </c>
      <c r="W97" s="107">
        <f t="shared" si="113"/>
        <v>1597.69</v>
      </c>
      <c r="X97" s="107">
        <f t="shared" si="113"/>
        <v>1457.8899999999999</v>
      </c>
      <c r="Y97" s="107">
        <f>Y58+Y62+Y80+Y76+Y92+Y96</f>
        <v>1493.7500000000002</v>
      </c>
      <c r="Z97" s="107">
        <f>Z58+Z62+Z80+Z76+Z92+Z96</f>
        <v>1616.0500000000002</v>
      </c>
      <c r="AA97" s="107">
        <f t="shared" si="113"/>
        <v>1549.49</v>
      </c>
      <c r="AB97" s="107">
        <f t="shared" si="113"/>
        <v>1496.0900000000001</v>
      </c>
      <c r="AC97" s="107">
        <f t="shared" si="113"/>
        <v>1475.39</v>
      </c>
      <c r="AD97" s="107">
        <f t="shared" si="113"/>
        <v>1353.79</v>
      </c>
      <c r="AE97" s="107">
        <f t="shared" ref="AE97" si="114">AE58+AE62+AE80+AE76+AE92+AE96</f>
        <v>1227.4900000000002</v>
      </c>
      <c r="AF97" s="107">
        <f t="shared" si="113"/>
        <v>1124.99</v>
      </c>
      <c r="AG97" s="71">
        <f t="shared" si="113"/>
        <v>2231.81</v>
      </c>
      <c r="AH97" s="48">
        <f t="shared" si="105"/>
        <v>1681.89</v>
      </c>
      <c r="AI97" s="49">
        <f t="shared" si="106"/>
        <v>952.88999999999987</v>
      </c>
      <c r="BF97" s="81"/>
      <c r="BG97" s="81">
        <v>66.400000000000006</v>
      </c>
      <c r="BH97" s="81">
        <v>0</v>
      </c>
      <c r="BI97" s="81">
        <v>552.29999999999995</v>
      </c>
      <c r="BJ97" s="81">
        <v>52.7</v>
      </c>
      <c r="BK97" s="81">
        <v>68</v>
      </c>
      <c r="BL97" s="81">
        <v>42.8</v>
      </c>
    </row>
    <row r="98" spans="1:64" ht="15.75" thickBot="1" x14ac:dyDescent="0.3">
      <c r="A98" s="108" t="s">
        <v>124</v>
      </c>
      <c r="B98" s="109">
        <v>350</v>
      </c>
      <c r="C98" s="109">
        <v>350</v>
      </c>
      <c r="D98" s="109">
        <v>350</v>
      </c>
      <c r="E98" s="109">
        <v>340</v>
      </c>
      <c r="F98" s="109">
        <v>320</v>
      </c>
      <c r="G98" s="109">
        <v>300</v>
      </c>
      <c r="H98" s="109">
        <v>290</v>
      </c>
      <c r="I98" s="109">
        <v>290</v>
      </c>
      <c r="J98" s="109">
        <v>60</v>
      </c>
      <c r="K98" s="109">
        <v>30</v>
      </c>
      <c r="L98" s="109">
        <v>30</v>
      </c>
      <c r="M98" s="109">
        <v>30</v>
      </c>
      <c r="N98" s="109">
        <v>30</v>
      </c>
      <c r="O98" s="109">
        <v>30</v>
      </c>
      <c r="P98" s="109">
        <v>30</v>
      </c>
      <c r="Q98" s="109">
        <v>30</v>
      </c>
      <c r="R98" s="109"/>
      <c r="S98" s="109">
        <v>70</v>
      </c>
      <c r="T98" s="109">
        <v>70</v>
      </c>
      <c r="U98" s="109">
        <v>70</v>
      </c>
      <c r="V98" s="109">
        <v>70</v>
      </c>
      <c r="W98" s="109">
        <v>70</v>
      </c>
      <c r="X98" s="109">
        <v>150</v>
      </c>
      <c r="Y98" s="109">
        <v>300</v>
      </c>
      <c r="Z98" s="109">
        <v>300</v>
      </c>
      <c r="AA98" s="109">
        <v>300</v>
      </c>
      <c r="AB98" s="109">
        <v>300</v>
      </c>
      <c r="AC98" s="109">
        <v>350</v>
      </c>
      <c r="AD98" s="109">
        <v>350</v>
      </c>
      <c r="AE98" s="109">
        <v>350</v>
      </c>
      <c r="AF98" s="109">
        <v>350</v>
      </c>
      <c r="AG98" s="100"/>
      <c r="AH98" s="48">
        <f t="shared" si="105"/>
        <v>350</v>
      </c>
      <c r="AI98" s="49">
        <f t="shared" si="106"/>
        <v>30</v>
      </c>
      <c r="BF98" s="81"/>
      <c r="BG98" s="81">
        <v>61.4</v>
      </c>
      <c r="BH98" s="81">
        <v>0</v>
      </c>
      <c r="BI98" s="81">
        <v>563</v>
      </c>
      <c r="BJ98" s="81">
        <v>41</v>
      </c>
      <c r="BK98" s="81">
        <v>50.1</v>
      </c>
      <c r="BL98" s="81">
        <v>43.4</v>
      </c>
    </row>
    <row r="99" spans="1:64" ht="15.75" thickBot="1" x14ac:dyDescent="0.3">
      <c r="A99" s="86" t="s">
        <v>125</v>
      </c>
      <c r="B99" s="107">
        <f t="shared" ref="B99:C99" si="115">B97+B98</f>
        <v>1396.8899999999999</v>
      </c>
      <c r="C99" s="107">
        <f t="shared" si="115"/>
        <v>1345.3899999999999</v>
      </c>
      <c r="D99" s="107">
        <f t="shared" ref="D99" si="116">D97+D98</f>
        <v>1307.69</v>
      </c>
      <c r="E99" s="107">
        <f t="shared" ref="E99:AF99" si="117">E97+E98</f>
        <v>1311.3899999999999</v>
      </c>
      <c r="F99" s="107">
        <f t="shared" si="117"/>
        <v>1272.8899999999999</v>
      </c>
      <c r="G99" s="107">
        <f t="shared" si="117"/>
        <v>1327.79</v>
      </c>
      <c r="H99" s="107">
        <f t="shared" si="117"/>
        <v>1379.09</v>
      </c>
      <c r="I99" s="107">
        <f t="shared" si="117"/>
        <v>1436.6899999999998</v>
      </c>
      <c r="J99" s="107">
        <f t="shared" si="117"/>
        <v>1520.99</v>
      </c>
      <c r="K99" s="107">
        <f t="shared" si="117"/>
        <v>1594.4899999999998</v>
      </c>
      <c r="L99" s="107">
        <f t="shared" si="117"/>
        <v>1711.89</v>
      </c>
      <c r="M99" s="107">
        <f t="shared" si="117"/>
        <v>1709.49</v>
      </c>
      <c r="N99" s="107">
        <f t="shared" si="117"/>
        <v>1638.79</v>
      </c>
      <c r="O99" s="107">
        <f t="shared" si="117"/>
        <v>1697.99</v>
      </c>
      <c r="P99" s="107">
        <f t="shared" si="117"/>
        <v>1695.99</v>
      </c>
      <c r="Q99" s="107">
        <f t="shared" si="117"/>
        <v>1586.8899999999999</v>
      </c>
      <c r="R99" s="107">
        <f t="shared" si="117"/>
        <v>1403.8899999999999</v>
      </c>
      <c r="S99" s="107">
        <f t="shared" si="117"/>
        <v>1669.79</v>
      </c>
      <c r="T99" s="107">
        <f t="shared" si="117"/>
        <v>1656.8899999999999</v>
      </c>
      <c r="U99" s="107">
        <f t="shared" si="117"/>
        <v>1666.59</v>
      </c>
      <c r="V99" s="107">
        <f t="shared" si="117"/>
        <v>1621.79</v>
      </c>
      <c r="W99" s="107">
        <f t="shared" si="117"/>
        <v>1667.69</v>
      </c>
      <c r="X99" s="107">
        <f t="shared" si="117"/>
        <v>1607.8899999999999</v>
      </c>
      <c r="Y99" s="107">
        <f>Y97+Y98</f>
        <v>1793.7500000000002</v>
      </c>
      <c r="Z99" s="107">
        <f>Z97+Z98</f>
        <v>1916.0500000000002</v>
      </c>
      <c r="AA99" s="107">
        <f t="shared" si="117"/>
        <v>1849.49</v>
      </c>
      <c r="AB99" s="107">
        <f t="shared" si="117"/>
        <v>1796.0900000000001</v>
      </c>
      <c r="AC99" s="107">
        <f t="shared" si="117"/>
        <v>1825.39</v>
      </c>
      <c r="AD99" s="107">
        <f t="shared" si="117"/>
        <v>1703.79</v>
      </c>
      <c r="AE99" s="107">
        <f t="shared" ref="AE99" si="118">AE97+AE98</f>
        <v>1577.4900000000002</v>
      </c>
      <c r="AF99" s="107">
        <f t="shared" si="117"/>
        <v>1474.99</v>
      </c>
      <c r="AG99" s="100">
        <f>AG96+AG92+AG80+AG76+AG58+AG98</f>
        <v>1693.71</v>
      </c>
      <c r="AH99" s="48">
        <f t="shared" si="105"/>
        <v>1916.0500000000002</v>
      </c>
      <c r="AI99" s="49">
        <f t="shared" si="106"/>
        <v>1272.8899999999999</v>
      </c>
      <c r="BF99" s="81"/>
      <c r="BG99" s="81">
        <v>56.4</v>
      </c>
      <c r="BH99" s="81">
        <v>0</v>
      </c>
      <c r="BI99" s="81">
        <v>554.9</v>
      </c>
      <c r="BJ99" s="81">
        <v>51.2</v>
      </c>
      <c r="BK99" s="81">
        <v>61</v>
      </c>
      <c r="BL99" s="81">
        <v>39.6</v>
      </c>
    </row>
    <row r="100" spans="1:64" ht="15.75" thickBot="1" x14ac:dyDescent="0.3">
      <c r="A100" s="86" t="s">
        <v>126</v>
      </c>
      <c r="B100" s="107">
        <f t="shared" ref="B100:C100" si="119">B99-(B107)</f>
        <v>1396.8899999999999</v>
      </c>
      <c r="C100" s="107">
        <f t="shared" si="119"/>
        <v>1345.3899999999999</v>
      </c>
      <c r="D100" s="107">
        <f t="shared" ref="D100" si="120">D99-(D107)</f>
        <v>1307.69</v>
      </c>
      <c r="E100" s="107">
        <f t="shared" ref="E100:M100" si="121">E99-(E107)</f>
        <v>1311.3899999999999</v>
      </c>
      <c r="F100" s="107">
        <f t="shared" si="121"/>
        <v>1272.8899999999999</v>
      </c>
      <c r="G100" s="107">
        <f t="shared" si="121"/>
        <v>1327.79</v>
      </c>
      <c r="H100" s="107">
        <f t="shared" si="121"/>
        <v>1379.09</v>
      </c>
      <c r="I100" s="107">
        <f t="shared" si="121"/>
        <v>1436.6899999999998</v>
      </c>
      <c r="J100" s="107">
        <f t="shared" si="121"/>
        <v>1520.99</v>
      </c>
      <c r="K100" s="107">
        <f t="shared" si="121"/>
        <v>1594.4899999999998</v>
      </c>
      <c r="L100" s="107">
        <f t="shared" si="121"/>
        <v>1711.89</v>
      </c>
      <c r="M100" s="107">
        <f t="shared" si="121"/>
        <v>1709.49</v>
      </c>
      <c r="N100" s="107">
        <f>N99-(N107)</f>
        <v>1638.79</v>
      </c>
      <c r="O100" s="107">
        <f t="shared" ref="O100:AF100" si="122">O99-(O107)</f>
        <v>1697.99</v>
      </c>
      <c r="P100" s="107">
        <f t="shared" si="122"/>
        <v>1695.99</v>
      </c>
      <c r="Q100" s="107">
        <f t="shared" si="122"/>
        <v>1586.8899999999999</v>
      </c>
      <c r="R100" s="107">
        <f t="shared" si="122"/>
        <v>1403.8899999999999</v>
      </c>
      <c r="S100" s="107">
        <f t="shared" si="122"/>
        <v>1669.79</v>
      </c>
      <c r="T100" s="107">
        <f t="shared" si="122"/>
        <v>1656.8899999999999</v>
      </c>
      <c r="U100" s="107">
        <f t="shared" si="122"/>
        <v>1666.59</v>
      </c>
      <c r="V100" s="107">
        <f t="shared" si="122"/>
        <v>1621.79</v>
      </c>
      <c r="W100" s="107">
        <f t="shared" si="122"/>
        <v>1667.69</v>
      </c>
      <c r="X100" s="107">
        <f t="shared" si="122"/>
        <v>1607.8899999999999</v>
      </c>
      <c r="Y100" s="107">
        <f t="shared" si="122"/>
        <v>1793.7500000000002</v>
      </c>
      <c r="Z100" s="107">
        <f t="shared" si="122"/>
        <v>1916.0500000000002</v>
      </c>
      <c r="AA100" s="107">
        <f t="shared" si="122"/>
        <v>1849.49</v>
      </c>
      <c r="AB100" s="107">
        <f t="shared" si="122"/>
        <v>1796.0900000000001</v>
      </c>
      <c r="AC100" s="107">
        <f t="shared" si="122"/>
        <v>1825.39</v>
      </c>
      <c r="AD100" s="107">
        <f t="shared" si="122"/>
        <v>1703.79</v>
      </c>
      <c r="AE100" s="107">
        <f t="shared" ref="AE100" si="123">AE99-(AE107)</f>
        <v>1577.4900000000002</v>
      </c>
      <c r="AF100" s="107">
        <f t="shared" si="122"/>
        <v>1474.99</v>
      </c>
      <c r="AG100" s="100"/>
      <c r="AH100" s="48">
        <f t="shared" si="105"/>
        <v>1916.0500000000002</v>
      </c>
      <c r="AI100" s="49">
        <f t="shared" si="106"/>
        <v>1272.8899999999999</v>
      </c>
      <c r="BF100" s="81"/>
      <c r="BG100" s="81">
        <v>64.8</v>
      </c>
      <c r="BH100" s="81">
        <v>0</v>
      </c>
      <c r="BI100" s="81">
        <v>477</v>
      </c>
      <c r="BJ100" s="81">
        <v>49.9</v>
      </c>
      <c r="BK100" s="81">
        <v>63</v>
      </c>
      <c r="BL100" s="81">
        <v>39.4</v>
      </c>
    </row>
    <row r="101" spans="1:64" x14ac:dyDescent="0.25">
      <c r="A101" s="45" t="s">
        <v>107</v>
      </c>
      <c r="B101" s="88">
        <f t="shared" ref="B101:C101" si="124">IF(B84&lt;0,B84*-1,0)</f>
        <v>0</v>
      </c>
      <c r="C101" s="88">
        <f t="shared" si="124"/>
        <v>0</v>
      </c>
      <c r="D101" s="88">
        <f t="shared" ref="D101" si="125">IF(D84&lt;0,D84*-1,0)</f>
        <v>0</v>
      </c>
      <c r="E101" s="88">
        <f t="shared" ref="E101:AF101" si="126">IF(E84&lt;0,E84*-1,0)</f>
        <v>0</v>
      </c>
      <c r="F101" s="88">
        <f t="shared" si="126"/>
        <v>0</v>
      </c>
      <c r="G101" s="88">
        <f t="shared" si="126"/>
        <v>0</v>
      </c>
      <c r="H101" s="88">
        <f t="shared" si="126"/>
        <v>0</v>
      </c>
      <c r="I101" s="88">
        <f t="shared" si="126"/>
        <v>0</v>
      </c>
      <c r="J101" s="88">
        <f t="shared" si="126"/>
        <v>0</v>
      </c>
      <c r="K101" s="88">
        <f t="shared" si="126"/>
        <v>0</v>
      </c>
      <c r="L101" s="88">
        <f t="shared" si="126"/>
        <v>0</v>
      </c>
      <c r="M101" s="88">
        <f t="shared" si="126"/>
        <v>0</v>
      </c>
      <c r="N101" s="88">
        <f t="shared" si="126"/>
        <v>0</v>
      </c>
      <c r="O101" s="88">
        <f t="shared" si="126"/>
        <v>0</v>
      </c>
      <c r="P101" s="88">
        <f t="shared" si="126"/>
        <v>0</v>
      </c>
      <c r="Q101" s="88">
        <f t="shared" si="126"/>
        <v>0</v>
      </c>
      <c r="R101" s="88">
        <f t="shared" si="126"/>
        <v>0</v>
      </c>
      <c r="S101" s="88">
        <f t="shared" si="126"/>
        <v>0</v>
      </c>
      <c r="T101" s="88">
        <f t="shared" si="126"/>
        <v>0</v>
      </c>
      <c r="U101" s="88">
        <f t="shared" si="126"/>
        <v>0</v>
      </c>
      <c r="V101" s="88">
        <f t="shared" si="126"/>
        <v>0</v>
      </c>
      <c r="W101" s="88">
        <f t="shared" si="126"/>
        <v>0</v>
      </c>
      <c r="X101" s="88">
        <f t="shared" si="126"/>
        <v>0</v>
      </c>
      <c r="Y101" s="88">
        <f t="shared" si="126"/>
        <v>0</v>
      </c>
      <c r="Z101" s="88">
        <f t="shared" si="126"/>
        <v>0</v>
      </c>
      <c r="AA101" s="88">
        <f t="shared" si="126"/>
        <v>0</v>
      </c>
      <c r="AB101" s="88">
        <f t="shared" si="126"/>
        <v>0</v>
      </c>
      <c r="AC101" s="88">
        <f t="shared" si="126"/>
        <v>0</v>
      </c>
      <c r="AD101" s="88">
        <f t="shared" si="126"/>
        <v>0</v>
      </c>
      <c r="AE101" s="88">
        <f t="shared" ref="AE101" si="127">IF(AE84&lt;0,AE84*-1,0)</f>
        <v>0</v>
      </c>
      <c r="AF101" s="88">
        <f t="shared" si="126"/>
        <v>0</v>
      </c>
      <c r="AG101" s="60"/>
      <c r="AH101" s="48">
        <f t="shared" si="105"/>
        <v>0</v>
      </c>
      <c r="AI101" s="49">
        <f t="shared" si="106"/>
        <v>0</v>
      </c>
      <c r="BF101" s="80"/>
      <c r="BG101" s="81">
        <v>69.8</v>
      </c>
      <c r="BH101" s="81">
        <v>0</v>
      </c>
      <c r="BI101" s="81">
        <v>203</v>
      </c>
      <c r="BJ101" s="81">
        <v>40.9</v>
      </c>
      <c r="BK101" s="81">
        <v>61</v>
      </c>
      <c r="BL101" s="81">
        <v>39.4</v>
      </c>
    </row>
    <row r="102" spans="1:64" x14ac:dyDescent="0.25">
      <c r="A102" s="64" t="s">
        <v>105</v>
      </c>
      <c r="B102" s="88">
        <f t="shared" ref="B102:C102" si="128">IF(B82&lt;0,B82*-1,0)</f>
        <v>0</v>
      </c>
      <c r="C102" s="88">
        <f t="shared" si="128"/>
        <v>0</v>
      </c>
      <c r="D102" s="88">
        <f t="shared" ref="D102" si="129">IF(D82&lt;0,D82*-1,0)</f>
        <v>0</v>
      </c>
      <c r="E102" s="88">
        <f t="shared" ref="E102:AF102" si="130">IF(E82&lt;0,E82*-1,0)</f>
        <v>0</v>
      </c>
      <c r="F102" s="88">
        <f t="shared" si="130"/>
        <v>0</v>
      </c>
      <c r="G102" s="88">
        <f t="shared" si="130"/>
        <v>0</v>
      </c>
      <c r="H102" s="88">
        <f t="shared" si="130"/>
        <v>0</v>
      </c>
      <c r="I102" s="88">
        <f t="shared" si="130"/>
        <v>0</v>
      </c>
      <c r="J102" s="88">
        <f t="shared" si="130"/>
        <v>0</v>
      </c>
      <c r="K102" s="88">
        <f t="shared" si="130"/>
        <v>0</v>
      </c>
      <c r="L102" s="88">
        <f t="shared" si="130"/>
        <v>0</v>
      </c>
      <c r="M102" s="88">
        <f t="shared" si="130"/>
        <v>0</v>
      </c>
      <c r="N102" s="88">
        <f t="shared" si="130"/>
        <v>0</v>
      </c>
      <c r="O102" s="88">
        <f t="shared" si="130"/>
        <v>0</v>
      </c>
      <c r="P102" s="88">
        <f t="shared" si="130"/>
        <v>0</v>
      </c>
      <c r="Q102" s="88">
        <f t="shared" si="130"/>
        <v>0</v>
      </c>
      <c r="R102" s="88">
        <f t="shared" si="130"/>
        <v>0</v>
      </c>
      <c r="S102" s="88">
        <f t="shared" si="130"/>
        <v>0</v>
      </c>
      <c r="T102" s="88">
        <f t="shared" si="130"/>
        <v>0</v>
      </c>
      <c r="U102" s="88">
        <f t="shared" si="130"/>
        <v>0</v>
      </c>
      <c r="V102" s="88">
        <f t="shared" si="130"/>
        <v>0</v>
      </c>
      <c r="W102" s="88">
        <f t="shared" si="130"/>
        <v>0</v>
      </c>
      <c r="X102" s="88">
        <f t="shared" si="130"/>
        <v>0</v>
      </c>
      <c r="Y102" s="88">
        <f t="shared" si="130"/>
        <v>0</v>
      </c>
      <c r="Z102" s="88">
        <f t="shared" si="130"/>
        <v>0</v>
      </c>
      <c r="AA102" s="88">
        <f t="shared" si="130"/>
        <v>0</v>
      </c>
      <c r="AB102" s="88">
        <f t="shared" si="130"/>
        <v>0</v>
      </c>
      <c r="AC102" s="88">
        <f t="shared" si="130"/>
        <v>0</v>
      </c>
      <c r="AD102" s="88">
        <f t="shared" si="130"/>
        <v>0</v>
      </c>
      <c r="AE102" s="88">
        <f t="shared" ref="AE102" si="131">IF(AE82&lt;0,AE82*-1,0)</f>
        <v>0</v>
      </c>
      <c r="AF102" s="88">
        <f t="shared" si="130"/>
        <v>0</v>
      </c>
      <c r="AG102" s="65"/>
      <c r="AH102" s="48">
        <f t="shared" si="105"/>
        <v>0</v>
      </c>
      <c r="AI102" s="49">
        <f t="shared" si="106"/>
        <v>0</v>
      </c>
      <c r="BF102" s="80"/>
      <c r="BG102" s="81">
        <v>36</v>
      </c>
      <c r="BH102" s="81">
        <v>0</v>
      </c>
      <c r="BI102" s="81">
        <v>45</v>
      </c>
      <c r="BJ102" s="81">
        <v>0</v>
      </c>
      <c r="BK102" s="81">
        <v>0</v>
      </c>
      <c r="BL102" s="81">
        <v>39.4</v>
      </c>
    </row>
    <row r="103" spans="1:64" x14ac:dyDescent="0.25">
      <c r="A103" s="96" t="s">
        <v>127</v>
      </c>
      <c r="B103" s="88">
        <f t="shared" ref="B103:C103" si="132">IF(B85&lt;0,B85*-1,0)</f>
        <v>0</v>
      </c>
      <c r="C103" s="88">
        <f t="shared" si="132"/>
        <v>0</v>
      </c>
      <c r="D103" s="88">
        <f t="shared" ref="D103" si="133">IF(D85&lt;0,D85*-1,0)</f>
        <v>0</v>
      </c>
      <c r="E103" s="88">
        <f t="shared" ref="E103:AF103" si="134">IF(E85&lt;0,E85*-1,0)</f>
        <v>0</v>
      </c>
      <c r="F103" s="88">
        <f t="shared" si="134"/>
        <v>0</v>
      </c>
      <c r="G103" s="88">
        <f t="shared" si="134"/>
        <v>0</v>
      </c>
      <c r="H103" s="88">
        <f t="shared" si="134"/>
        <v>0</v>
      </c>
      <c r="I103" s="88">
        <f t="shared" si="134"/>
        <v>0</v>
      </c>
      <c r="J103" s="88">
        <f t="shared" si="134"/>
        <v>0</v>
      </c>
      <c r="K103" s="88">
        <f t="shared" si="134"/>
        <v>0</v>
      </c>
      <c r="L103" s="88">
        <f t="shared" si="134"/>
        <v>0</v>
      </c>
      <c r="M103" s="88">
        <f t="shared" si="134"/>
        <v>0</v>
      </c>
      <c r="N103" s="88">
        <f t="shared" si="134"/>
        <v>0</v>
      </c>
      <c r="O103" s="88">
        <f t="shared" si="134"/>
        <v>0</v>
      </c>
      <c r="P103" s="88">
        <f t="shared" si="134"/>
        <v>0</v>
      </c>
      <c r="Q103" s="88">
        <f t="shared" si="134"/>
        <v>0</v>
      </c>
      <c r="R103" s="88">
        <f t="shared" si="134"/>
        <v>0</v>
      </c>
      <c r="S103" s="88">
        <f t="shared" si="134"/>
        <v>0</v>
      </c>
      <c r="T103" s="88">
        <f t="shared" si="134"/>
        <v>0</v>
      </c>
      <c r="U103" s="88">
        <f t="shared" si="134"/>
        <v>0</v>
      </c>
      <c r="V103" s="88">
        <f t="shared" si="134"/>
        <v>0</v>
      </c>
      <c r="W103" s="88">
        <f t="shared" si="134"/>
        <v>0</v>
      </c>
      <c r="X103" s="88">
        <f t="shared" si="134"/>
        <v>0</v>
      </c>
      <c r="Y103" s="88">
        <f t="shared" si="134"/>
        <v>0</v>
      </c>
      <c r="Z103" s="88">
        <f t="shared" si="134"/>
        <v>0</v>
      </c>
      <c r="AA103" s="88">
        <f t="shared" si="134"/>
        <v>0</v>
      </c>
      <c r="AB103" s="88">
        <f t="shared" si="134"/>
        <v>0</v>
      </c>
      <c r="AC103" s="88">
        <f t="shared" si="134"/>
        <v>0</v>
      </c>
      <c r="AD103" s="88">
        <f t="shared" si="134"/>
        <v>0</v>
      </c>
      <c r="AE103" s="88">
        <f t="shared" ref="AE103" si="135">IF(AE85&lt;0,AE85*-1,0)</f>
        <v>0</v>
      </c>
      <c r="AF103" s="88">
        <f t="shared" si="134"/>
        <v>0</v>
      </c>
      <c r="AG103" s="110"/>
      <c r="AH103" s="48">
        <f t="shared" si="105"/>
        <v>0</v>
      </c>
      <c r="AI103" s="49">
        <f t="shared" si="106"/>
        <v>0</v>
      </c>
      <c r="BF103" s="80"/>
      <c r="BG103" s="81">
        <v>50</v>
      </c>
      <c r="BH103" s="81">
        <v>0</v>
      </c>
      <c r="BI103" s="81">
        <v>56</v>
      </c>
      <c r="BJ103" s="81">
        <v>0</v>
      </c>
      <c r="BK103" s="81">
        <v>0</v>
      </c>
      <c r="BL103" s="81">
        <v>39.4</v>
      </c>
    </row>
    <row r="104" spans="1:64" x14ac:dyDescent="0.25">
      <c r="A104" s="96" t="s">
        <v>128</v>
      </c>
      <c r="B104" s="88">
        <f t="shared" ref="B104:C104" si="136">IF(B83&lt;0,B83*-1,0)</f>
        <v>0</v>
      </c>
      <c r="C104" s="88">
        <f t="shared" si="136"/>
        <v>0</v>
      </c>
      <c r="D104" s="88">
        <f t="shared" ref="D104" si="137">IF(D83&lt;0,D83*-1,0)</f>
        <v>0</v>
      </c>
      <c r="E104" s="88">
        <f t="shared" ref="E104:AF104" si="138">IF(E83&lt;0,E83*-1,0)</f>
        <v>0</v>
      </c>
      <c r="F104" s="88">
        <f t="shared" si="138"/>
        <v>0</v>
      </c>
      <c r="G104" s="88">
        <f t="shared" si="138"/>
        <v>0</v>
      </c>
      <c r="H104" s="88">
        <f t="shared" si="138"/>
        <v>0</v>
      </c>
      <c r="I104" s="88">
        <f t="shared" si="138"/>
        <v>0</v>
      </c>
      <c r="J104" s="88">
        <f t="shared" si="138"/>
        <v>0</v>
      </c>
      <c r="K104" s="88">
        <f t="shared" si="138"/>
        <v>0</v>
      </c>
      <c r="L104" s="88">
        <f t="shared" si="138"/>
        <v>0</v>
      </c>
      <c r="M104" s="88">
        <f t="shared" si="138"/>
        <v>0</v>
      </c>
      <c r="N104" s="88">
        <f t="shared" si="138"/>
        <v>0</v>
      </c>
      <c r="O104" s="88">
        <f t="shared" si="138"/>
        <v>0</v>
      </c>
      <c r="P104" s="88">
        <f t="shared" si="138"/>
        <v>0</v>
      </c>
      <c r="Q104" s="88">
        <f t="shared" si="138"/>
        <v>0</v>
      </c>
      <c r="R104" s="88">
        <f t="shared" si="138"/>
        <v>0</v>
      </c>
      <c r="S104" s="88">
        <f t="shared" si="138"/>
        <v>0</v>
      </c>
      <c r="T104" s="88">
        <f t="shared" si="138"/>
        <v>0</v>
      </c>
      <c r="U104" s="88">
        <f t="shared" si="138"/>
        <v>0</v>
      </c>
      <c r="V104" s="88">
        <f t="shared" si="138"/>
        <v>0</v>
      </c>
      <c r="W104" s="88">
        <f t="shared" si="138"/>
        <v>0</v>
      </c>
      <c r="X104" s="88">
        <f t="shared" si="138"/>
        <v>0</v>
      </c>
      <c r="Y104" s="88">
        <f t="shared" si="138"/>
        <v>0</v>
      </c>
      <c r="Z104" s="88">
        <f t="shared" si="138"/>
        <v>0</v>
      </c>
      <c r="AA104" s="88">
        <f t="shared" si="138"/>
        <v>0</v>
      </c>
      <c r="AB104" s="88">
        <f t="shared" si="138"/>
        <v>0</v>
      </c>
      <c r="AC104" s="88">
        <f t="shared" si="138"/>
        <v>0</v>
      </c>
      <c r="AD104" s="88">
        <f t="shared" si="138"/>
        <v>0</v>
      </c>
      <c r="AE104" s="88">
        <f t="shared" ref="AE104" si="139">IF(AE83&lt;0,AE83*-1,0)</f>
        <v>0</v>
      </c>
      <c r="AF104" s="88">
        <f t="shared" si="138"/>
        <v>0</v>
      </c>
      <c r="AG104" s="110"/>
      <c r="AH104" s="48">
        <f t="shared" si="105"/>
        <v>0</v>
      </c>
      <c r="AI104" s="49">
        <f t="shared" si="106"/>
        <v>0</v>
      </c>
      <c r="BF104" s="80"/>
      <c r="BG104" s="81">
        <v>49.1</v>
      </c>
      <c r="BH104" s="81">
        <v>0</v>
      </c>
      <c r="BI104" s="81">
        <v>200</v>
      </c>
      <c r="BJ104" s="81">
        <v>0</v>
      </c>
      <c r="BK104" s="81">
        <v>0</v>
      </c>
      <c r="BL104" s="81">
        <v>39.4</v>
      </c>
    </row>
    <row r="105" spans="1:64" x14ac:dyDescent="0.25">
      <c r="A105" s="96" t="s">
        <v>104</v>
      </c>
      <c r="B105" s="88">
        <f t="shared" ref="B105:C105" si="140">IF(B81&lt;0,B81*-1,0)</f>
        <v>0</v>
      </c>
      <c r="C105" s="88">
        <f t="shared" si="140"/>
        <v>0</v>
      </c>
      <c r="D105" s="88">
        <f t="shared" ref="D105" si="141">IF(D81&lt;0,D81*-1,0)</f>
        <v>0</v>
      </c>
      <c r="E105" s="88">
        <f t="shared" ref="E105:AF105" si="142">IF(E81&lt;0,E81*-1,0)</f>
        <v>0</v>
      </c>
      <c r="F105" s="88">
        <f t="shared" si="142"/>
        <v>0</v>
      </c>
      <c r="G105" s="88">
        <f t="shared" si="142"/>
        <v>0</v>
      </c>
      <c r="H105" s="88">
        <f t="shared" si="142"/>
        <v>0</v>
      </c>
      <c r="I105" s="88">
        <f t="shared" si="142"/>
        <v>0</v>
      </c>
      <c r="J105" s="88">
        <f t="shared" si="142"/>
        <v>0</v>
      </c>
      <c r="K105" s="88">
        <f t="shared" si="142"/>
        <v>0</v>
      </c>
      <c r="L105" s="88">
        <f t="shared" si="142"/>
        <v>0</v>
      </c>
      <c r="M105" s="88">
        <f t="shared" si="142"/>
        <v>0</v>
      </c>
      <c r="N105" s="88">
        <f t="shared" si="142"/>
        <v>0</v>
      </c>
      <c r="O105" s="88">
        <f t="shared" si="142"/>
        <v>0</v>
      </c>
      <c r="P105" s="88">
        <f t="shared" si="142"/>
        <v>0</v>
      </c>
      <c r="Q105" s="88">
        <f t="shared" si="142"/>
        <v>0</v>
      </c>
      <c r="R105" s="88">
        <f t="shared" si="142"/>
        <v>0</v>
      </c>
      <c r="S105" s="88">
        <f t="shared" si="142"/>
        <v>0</v>
      </c>
      <c r="T105" s="88">
        <f t="shared" si="142"/>
        <v>0</v>
      </c>
      <c r="U105" s="88">
        <f t="shared" si="142"/>
        <v>0</v>
      </c>
      <c r="V105" s="88">
        <f t="shared" si="142"/>
        <v>0</v>
      </c>
      <c r="W105" s="88">
        <f t="shared" si="142"/>
        <v>0</v>
      </c>
      <c r="X105" s="88">
        <f t="shared" si="142"/>
        <v>0</v>
      </c>
      <c r="Y105" s="88">
        <f t="shared" si="142"/>
        <v>0</v>
      </c>
      <c r="Z105" s="88">
        <f t="shared" si="142"/>
        <v>0</v>
      </c>
      <c r="AA105" s="88">
        <f t="shared" si="142"/>
        <v>0</v>
      </c>
      <c r="AB105" s="88">
        <f t="shared" si="142"/>
        <v>0</v>
      </c>
      <c r="AC105" s="88">
        <f t="shared" si="142"/>
        <v>0</v>
      </c>
      <c r="AD105" s="88">
        <f t="shared" si="142"/>
        <v>0</v>
      </c>
      <c r="AE105" s="88">
        <f t="shared" ref="AE105" si="143">IF(AE81&lt;0,AE81*-1,0)</f>
        <v>0</v>
      </c>
      <c r="AF105" s="88">
        <f t="shared" si="142"/>
        <v>0</v>
      </c>
      <c r="AG105" s="110"/>
      <c r="AH105" s="48">
        <f t="shared" si="105"/>
        <v>0</v>
      </c>
      <c r="AI105" s="49">
        <f t="shared" si="106"/>
        <v>0</v>
      </c>
      <c r="BF105" s="80"/>
      <c r="BG105" s="81">
        <v>42.9</v>
      </c>
      <c r="BH105" s="81">
        <v>0</v>
      </c>
      <c r="BI105" s="81">
        <v>80</v>
      </c>
      <c r="BJ105" s="81">
        <v>0</v>
      </c>
      <c r="BK105" s="81">
        <v>0</v>
      </c>
      <c r="BL105" s="81">
        <v>50</v>
      </c>
    </row>
    <row r="106" spans="1:64" ht="15.75" thickBot="1" x14ac:dyDescent="0.3">
      <c r="A106" s="96" t="s">
        <v>129</v>
      </c>
      <c r="B106" s="106">
        <v>0</v>
      </c>
      <c r="C106" s="106">
        <v>1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0</v>
      </c>
      <c r="Y106" s="106">
        <v>0</v>
      </c>
      <c r="Z106" s="106">
        <v>0</v>
      </c>
      <c r="AA106" s="106">
        <v>0</v>
      </c>
      <c r="AB106" s="106">
        <v>0</v>
      </c>
      <c r="AC106" s="106">
        <v>0</v>
      </c>
      <c r="AD106" s="106">
        <v>0</v>
      </c>
      <c r="AE106" s="106">
        <v>0</v>
      </c>
      <c r="AF106" s="106">
        <v>0</v>
      </c>
      <c r="AG106" s="97"/>
      <c r="AH106" s="48">
        <f t="shared" si="105"/>
        <v>1</v>
      </c>
      <c r="AI106" s="49">
        <f t="shared" si="106"/>
        <v>0</v>
      </c>
      <c r="BG106" s="81">
        <v>29.8</v>
      </c>
      <c r="BH106" s="81">
        <v>0</v>
      </c>
      <c r="BI106" s="81">
        <v>95.4</v>
      </c>
      <c r="BJ106" s="81">
        <v>0</v>
      </c>
      <c r="BK106" s="81">
        <v>0</v>
      </c>
      <c r="BL106" s="81">
        <v>49.9</v>
      </c>
    </row>
    <row r="107" spans="1:64" ht="15.75" thickBot="1" x14ac:dyDescent="0.3">
      <c r="A107" s="111" t="s">
        <v>130</v>
      </c>
      <c r="B107" s="70">
        <f t="shared" ref="B107" si="144">SUM(B101:B106)</f>
        <v>0</v>
      </c>
      <c r="C107" s="70">
        <v>0</v>
      </c>
      <c r="D107" s="70">
        <v>0</v>
      </c>
      <c r="E107" s="70">
        <f t="shared" ref="E107:AF107" si="145">SUM(E101:E106)</f>
        <v>0</v>
      </c>
      <c r="F107" s="70">
        <f t="shared" si="145"/>
        <v>0</v>
      </c>
      <c r="G107" s="70">
        <f t="shared" si="145"/>
        <v>0</v>
      </c>
      <c r="H107" s="70">
        <f t="shared" si="145"/>
        <v>0</v>
      </c>
      <c r="I107" s="70">
        <f t="shared" si="145"/>
        <v>0</v>
      </c>
      <c r="J107" s="70">
        <f t="shared" si="145"/>
        <v>0</v>
      </c>
      <c r="K107" s="70">
        <f t="shared" si="145"/>
        <v>0</v>
      </c>
      <c r="L107" s="70">
        <f t="shared" si="145"/>
        <v>0</v>
      </c>
      <c r="M107" s="70">
        <f t="shared" si="145"/>
        <v>0</v>
      </c>
      <c r="N107" s="70">
        <f t="shared" si="145"/>
        <v>0</v>
      </c>
      <c r="O107" s="70">
        <f t="shared" si="145"/>
        <v>0</v>
      </c>
      <c r="P107" s="70">
        <f t="shared" si="145"/>
        <v>0</v>
      </c>
      <c r="Q107" s="70">
        <f t="shared" si="145"/>
        <v>0</v>
      </c>
      <c r="R107" s="70">
        <f t="shared" si="145"/>
        <v>0</v>
      </c>
      <c r="S107" s="70">
        <f t="shared" si="145"/>
        <v>0</v>
      </c>
      <c r="T107" s="70">
        <f t="shared" si="145"/>
        <v>0</v>
      </c>
      <c r="U107" s="70">
        <f t="shared" si="145"/>
        <v>0</v>
      </c>
      <c r="V107" s="70">
        <f t="shared" si="145"/>
        <v>0</v>
      </c>
      <c r="W107" s="70">
        <f t="shared" si="145"/>
        <v>0</v>
      </c>
      <c r="X107" s="70">
        <f t="shared" si="145"/>
        <v>0</v>
      </c>
      <c r="Y107" s="70">
        <f t="shared" si="145"/>
        <v>0</v>
      </c>
      <c r="Z107" s="70">
        <f t="shared" si="145"/>
        <v>0</v>
      </c>
      <c r="AA107" s="70">
        <f t="shared" si="145"/>
        <v>0</v>
      </c>
      <c r="AB107" s="70">
        <f t="shared" si="145"/>
        <v>0</v>
      </c>
      <c r="AC107" s="70">
        <f t="shared" si="145"/>
        <v>0</v>
      </c>
      <c r="AD107" s="70">
        <f t="shared" si="145"/>
        <v>0</v>
      </c>
      <c r="AE107" s="70">
        <f t="shared" ref="AE107" si="146">SUM(AE101:AE106)</f>
        <v>0</v>
      </c>
      <c r="AF107" s="70">
        <f t="shared" si="145"/>
        <v>0</v>
      </c>
      <c r="AG107" s="100"/>
      <c r="AH107" s="48">
        <f t="shared" si="105"/>
        <v>0</v>
      </c>
      <c r="AI107" s="49">
        <f t="shared" si="106"/>
        <v>0</v>
      </c>
      <c r="AK107" s="51"/>
      <c r="BG107" s="81">
        <v>25.5</v>
      </c>
      <c r="BH107" s="81">
        <v>0</v>
      </c>
      <c r="BI107" s="81">
        <v>57.1</v>
      </c>
      <c r="BJ107" s="81">
        <v>0</v>
      </c>
      <c r="BK107" s="81">
        <v>0</v>
      </c>
      <c r="BL107" s="81">
        <v>42</v>
      </c>
    </row>
    <row r="108" spans="1:64" ht="15.75" thickBot="1" x14ac:dyDescent="0.3">
      <c r="A108" s="86" t="s">
        <v>131</v>
      </c>
      <c r="B108" s="70">
        <f t="shared" ref="B108:C108" si="147">B92-B107</f>
        <v>124.6</v>
      </c>
      <c r="C108" s="70">
        <f t="shared" si="147"/>
        <v>102.6</v>
      </c>
      <c r="D108" s="70">
        <f t="shared" ref="D108" si="148">D92-D107</f>
        <v>91.1</v>
      </c>
      <c r="E108" s="70">
        <f t="shared" ref="E108:AF108" si="149">E92-E107</f>
        <v>100.2</v>
      </c>
      <c r="F108" s="70">
        <f t="shared" si="149"/>
        <v>108.10000000000001</v>
      </c>
      <c r="G108" s="70">
        <f t="shared" si="149"/>
        <v>127.4</v>
      </c>
      <c r="H108" s="70">
        <f t="shared" si="149"/>
        <v>276</v>
      </c>
      <c r="I108" s="70">
        <f t="shared" si="149"/>
        <v>277.8</v>
      </c>
      <c r="J108" s="70">
        <f t="shared" si="149"/>
        <v>568.80000000000007</v>
      </c>
      <c r="K108" s="70">
        <f t="shared" si="149"/>
        <v>730.3</v>
      </c>
      <c r="L108" s="70">
        <f t="shared" si="149"/>
        <v>758.90000000000009</v>
      </c>
      <c r="M108" s="70">
        <f t="shared" si="149"/>
        <v>755.2</v>
      </c>
      <c r="N108" s="70">
        <f t="shared" si="149"/>
        <v>692.1</v>
      </c>
      <c r="O108" s="70">
        <f t="shared" si="149"/>
        <v>783.8</v>
      </c>
      <c r="P108" s="70">
        <f t="shared" si="149"/>
        <v>779.8</v>
      </c>
      <c r="Q108" s="70">
        <f t="shared" si="149"/>
        <v>696.99999999999989</v>
      </c>
      <c r="R108" s="70">
        <f t="shared" si="149"/>
        <v>545.1</v>
      </c>
      <c r="S108" s="70">
        <f t="shared" si="149"/>
        <v>782.19999999999993</v>
      </c>
      <c r="T108" s="70">
        <f t="shared" si="149"/>
        <v>758.9</v>
      </c>
      <c r="U108" s="70">
        <f t="shared" si="149"/>
        <v>763.1</v>
      </c>
      <c r="V108" s="70">
        <f t="shared" si="149"/>
        <v>694.09999999999991</v>
      </c>
      <c r="W108" s="70">
        <f t="shared" si="149"/>
        <v>779</v>
      </c>
      <c r="X108" s="70">
        <f t="shared" si="149"/>
        <v>414.09999999999997</v>
      </c>
      <c r="Y108" s="70">
        <f>Y92-Y107</f>
        <v>155.70000000000002</v>
      </c>
      <c r="Z108" s="70">
        <f>Z92-Z107</f>
        <v>120.4</v>
      </c>
      <c r="AA108" s="70">
        <f t="shared" si="149"/>
        <v>149.1</v>
      </c>
      <c r="AB108" s="70">
        <f t="shared" si="149"/>
        <v>145.4</v>
      </c>
      <c r="AC108" s="70">
        <f t="shared" si="149"/>
        <v>151.4</v>
      </c>
      <c r="AD108" s="70">
        <f t="shared" si="149"/>
        <v>288.5</v>
      </c>
      <c r="AE108" s="70">
        <f t="shared" ref="AE108" si="150">AE92-AE107</f>
        <v>172.9</v>
      </c>
      <c r="AF108" s="70">
        <f t="shared" si="149"/>
        <v>175.1</v>
      </c>
      <c r="AG108" s="100"/>
      <c r="AH108" s="48">
        <f t="shared" si="105"/>
        <v>783.8</v>
      </c>
      <c r="AI108" s="49">
        <f t="shared" si="106"/>
        <v>91.1</v>
      </c>
    </row>
    <row r="109" spans="1:64" x14ac:dyDescent="0.25">
      <c r="A109" s="112" t="s">
        <v>132</v>
      </c>
      <c r="B109" s="113">
        <v>50.04</v>
      </c>
      <c r="C109" s="113">
        <v>49.99</v>
      </c>
      <c r="D109" s="113">
        <v>50.04</v>
      </c>
      <c r="E109" s="113">
        <v>49.957999999999998</v>
      </c>
      <c r="F109" s="113">
        <v>49.987000000000002</v>
      </c>
      <c r="G109" s="113">
        <v>49.993000000000002</v>
      </c>
      <c r="H109" s="113">
        <v>49.945</v>
      </c>
      <c r="I109" s="113">
        <v>49.997999999999998</v>
      </c>
      <c r="J109" s="113">
        <v>49.978999999999999</v>
      </c>
      <c r="K109" s="113">
        <v>50.064999999999998</v>
      </c>
      <c r="L109" s="113">
        <v>50.058999999999997</v>
      </c>
      <c r="M109" s="113">
        <v>50.051000000000002</v>
      </c>
      <c r="N109" s="113">
        <v>50.024000000000001</v>
      </c>
      <c r="O109" s="113">
        <v>49.945999999999998</v>
      </c>
      <c r="P109" s="113">
        <v>50.027000000000001</v>
      </c>
      <c r="Q109" s="113">
        <v>49.933</v>
      </c>
      <c r="R109" s="113">
        <v>49.948999999999998</v>
      </c>
      <c r="S109" s="113">
        <v>49.951999999999998</v>
      </c>
      <c r="T109" s="113">
        <v>50.029000000000003</v>
      </c>
      <c r="U109" s="113">
        <v>49.959000000000003</v>
      </c>
      <c r="V109" s="113">
        <v>49.813000000000002</v>
      </c>
      <c r="W109" s="113">
        <v>49.945999999999998</v>
      </c>
      <c r="X109" s="113">
        <v>49.999000000000002</v>
      </c>
      <c r="Y109" s="113">
        <v>50.058999999999997</v>
      </c>
      <c r="Z109" s="113">
        <v>49.865000000000002</v>
      </c>
      <c r="AA109" s="113">
        <v>49.854999999999997</v>
      </c>
      <c r="AB109" s="113">
        <v>50.064</v>
      </c>
      <c r="AC109" s="113">
        <v>49.98</v>
      </c>
      <c r="AD109" s="113">
        <v>49.957000000000001</v>
      </c>
      <c r="AE109" s="113">
        <v>49.98</v>
      </c>
      <c r="AF109" s="113">
        <v>50</v>
      </c>
      <c r="AG109" s="114"/>
      <c r="AH109" s="48">
        <f t="shared" si="105"/>
        <v>50.064999999999998</v>
      </c>
      <c r="AI109" s="49">
        <f t="shared" si="106"/>
        <v>49.813000000000002</v>
      </c>
    </row>
    <row r="110" spans="1:64" x14ac:dyDescent="0.25">
      <c r="A110" s="115" t="s">
        <v>133</v>
      </c>
      <c r="B110" s="75">
        <v>133</v>
      </c>
      <c r="C110" s="75">
        <v>133</v>
      </c>
      <c r="D110" s="75">
        <v>133.5</v>
      </c>
      <c r="E110" s="75">
        <v>133.4</v>
      </c>
      <c r="F110" s="75">
        <v>133.1</v>
      </c>
      <c r="G110" s="75">
        <v>132.69999999999999</v>
      </c>
      <c r="H110" s="75">
        <v>132.69999999999999</v>
      </c>
      <c r="I110" s="75">
        <v>131.9</v>
      </c>
      <c r="J110" s="75">
        <v>129.4</v>
      </c>
      <c r="K110" s="75">
        <v>123.2</v>
      </c>
      <c r="L110" s="75">
        <v>121.8</v>
      </c>
      <c r="M110" s="75">
        <v>121.5</v>
      </c>
      <c r="N110" s="75">
        <v>123.9</v>
      </c>
      <c r="O110" s="75">
        <v>123.5</v>
      </c>
      <c r="P110" s="75">
        <v>123.5</v>
      </c>
      <c r="Q110" s="75">
        <v>123.5</v>
      </c>
      <c r="R110" s="75">
        <v>124.4</v>
      </c>
      <c r="S110" s="75">
        <v>122.8</v>
      </c>
      <c r="T110" s="75">
        <v>123.7</v>
      </c>
      <c r="U110" s="75">
        <v>124</v>
      </c>
      <c r="V110" s="75">
        <v>126.5</v>
      </c>
      <c r="W110" s="75">
        <v>124.9</v>
      </c>
      <c r="X110" s="75">
        <v>130.19999999999999</v>
      </c>
      <c r="Y110" s="75">
        <v>127.5</v>
      </c>
      <c r="Z110" s="75">
        <v>126.9</v>
      </c>
      <c r="AA110" s="75">
        <v>128.30000000000001</v>
      </c>
      <c r="AB110" s="75">
        <v>129</v>
      </c>
      <c r="AC110" s="75">
        <v>128.69999999999999</v>
      </c>
      <c r="AD110" s="75">
        <v>129.69999999999999</v>
      </c>
      <c r="AE110" s="75">
        <v>130.1</v>
      </c>
      <c r="AF110" s="75">
        <v>131.9</v>
      </c>
      <c r="AG110" s="116"/>
      <c r="AH110" s="48">
        <f t="shared" si="105"/>
        <v>133.5</v>
      </c>
      <c r="AI110" s="49">
        <f t="shared" si="106"/>
        <v>121.5</v>
      </c>
    </row>
    <row r="111" spans="1:64" x14ac:dyDescent="0.25">
      <c r="A111" s="115" t="s">
        <v>134</v>
      </c>
      <c r="B111" s="75">
        <v>136</v>
      </c>
      <c r="C111" s="75">
        <v>136</v>
      </c>
      <c r="D111" s="75">
        <v>136.1</v>
      </c>
      <c r="E111" s="75">
        <v>136</v>
      </c>
      <c r="F111" s="75">
        <v>135.80000000000001</v>
      </c>
      <c r="G111" s="75">
        <v>135.30000000000001</v>
      </c>
      <c r="H111" s="75">
        <v>134.69999999999999</v>
      </c>
      <c r="I111" s="75">
        <v>133.6</v>
      </c>
      <c r="J111" s="75">
        <v>130.9</v>
      </c>
      <c r="K111" s="75">
        <v>126.1</v>
      </c>
      <c r="L111" s="75">
        <v>124.8</v>
      </c>
      <c r="M111" s="75">
        <v>124.5</v>
      </c>
      <c r="N111" s="75">
        <v>126.4</v>
      </c>
      <c r="O111" s="75">
        <v>126.1</v>
      </c>
      <c r="P111" s="75">
        <v>126.8</v>
      </c>
      <c r="Q111" s="75">
        <v>126.8</v>
      </c>
      <c r="R111" s="75">
        <v>127.5</v>
      </c>
      <c r="S111" s="75">
        <v>125.8</v>
      </c>
      <c r="T111" s="75">
        <v>126.9</v>
      </c>
      <c r="U111" s="75">
        <v>126.3</v>
      </c>
      <c r="V111" s="75">
        <v>129.19999999999999</v>
      </c>
      <c r="W111" s="75">
        <v>128</v>
      </c>
      <c r="X111" s="75">
        <v>132</v>
      </c>
      <c r="Y111" s="75">
        <v>129.30000000000001</v>
      </c>
      <c r="Z111" s="75">
        <v>128.80000000000001</v>
      </c>
      <c r="AA111" s="75">
        <v>130.4</v>
      </c>
      <c r="AB111" s="75">
        <v>131.4</v>
      </c>
      <c r="AC111" s="75">
        <v>131.19999999999999</v>
      </c>
      <c r="AD111" s="75">
        <v>132.1</v>
      </c>
      <c r="AE111" s="75">
        <v>133</v>
      </c>
      <c r="AF111" s="75">
        <v>134.9</v>
      </c>
      <c r="AG111" s="116"/>
      <c r="AH111" s="48">
        <f t="shared" si="105"/>
        <v>136.1</v>
      </c>
      <c r="AI111" s="49">
        <f t="shared" si="106"/>
        <v>124.5</v>
      </c>
    </row>
    <row r="112" spans="1:64" x14ac:dyDescent="0.25">
      <c r="A112" s="115" t="s">
        <v>135</v>
      </c>
      <c r="B112" s="75">
        <v>131.1</v>
      </c>
      <c r="C112" s="75">
        <v>131.1</v>
      </c>
      <c r="D112" s="75">
        <v>132.6</v>
      </c>
      <c r="E112" s="75">
        <v>133.19999999999999</v>
      </c>
      <c r="F112" s="75">
        <v>132.6</v>
      </c>
      <c r="G112" s="75">
        <v>130.5</v>
      </c>
      <c r="H112" s="75">
        <v>132.1</v>
      </c>
      <c r="I112" s="75">
        <v>129.69999999999999</v>
      </c>
      <c r="J112" s="75">
        <v>126.4</v>
      </c>
      <c r="K112" s="75">
        <v>127.3</v>
      </c>
      <c r="L112" s="75">
        <v>124.1</v>
      </c>
      <c r="M112" s="75">
        <v>123</v>
      </c>
      <c r="N112" s="75">
        <v>126.5</v>
      </c>
      <c r="O112" s="75">
        <v>126.8</v>
      </c>
      <c r="P112" s="75">
        <v>121.4</v>
      </c>
      <c r="Q112" s="75">
        <v>121.4</v>
      </c>
      <c r="R112" s="75">
        <v>126.8</v>
      </c>
      <c r="S112" s="75">
        <v>124.8</v>
      </c>
      <c r="T112" s="75">
        <v>123.6</v>
      </c>
      <c r="U112" s="75">
        <v>124.1</v>
      </c>
      <c r="V112" s="75">
        <v>124.6</v>
      </c>
      <c r="W112" s="75">
        <v>119.1</v>
      </c>
      <c r="X112" s="75">
        <v>128.80000000000001</v>
      </c>
      <c r="Y112" s="75">
        <v>120</v>
      </c>
      <c r="Z112" s="75">
        <v>127</v>
      </c>
      <c r="AA112" s="75">
        <v>127.7</v>
      </c>
      <c r="AB112" s="75">
        <v>126.9</v>
      </c>
      <c r="AC112" s="75">
        <v>127.3</v>
      </c>
      <c r="AD112" s="75">
        <v>131</v>
      </c>
      <c r="AE112" s="75">
        <v>131.19999999999999</v>
      </c>
      <c r="AF112" s="75">
        <v>132.4</v>
      </c>
      <c r="AG112" s="116"/>
      <c r="AH112" s="48">
        <f t="shared" si="105"/>
        <v>133.19999999999999</v>
      </c>
      <c r="AI112" s="49">
        <f t="shared" si="106"/>
        <v>119.1</v>
      </c>
    </row>
    <row r="113" spans="1:35" x14ac:dyDescent="0.25">
      <c r="A113" s="117" t="s">
        <v>136</v>
      </c>
      <c r="B113" s="75">
        <v>130.80000000000001</v>
      </c>
      <c r="C113" s="75">
        <v>130.80000000000001</v>
      </c>
      <c r="D113" s="75">
        <v>132.5</v>
      </c>
      <c r="E113" s="75">
        <v>133.30000000000001</v>
      </c>
      <c r="F113" s="75">
        <v>132.80000000000001</v>
      </c>
      <c r="G113" s="75">
        <v>130.69999999999999</v>
      </c>
      <c r="H113" s="75">
        <v>132.30000000000001</v>
      </c>
      <c r="I113" s="75">
        <v>129.5</v>
      </c>
      <c r="J113" s="75">
        <v>125.3</v>
      </c>
      <c r="K113" s="75">
        <v>125.2</v>
      </c>
      <c r="L113" s="75">
        <v>121.2</v>
      </c>
      <c r="M113" s="75">
        <v>122.5</v>
      </c>
      <c r="N113" s="75">
        <v>121.7</v>
      </c>
      <c r="O113" s="75">
        <v>124.1</v>
      </c>
      <c r="P113" s="75"/>
      <c r="Q113" s="75"/>
      <c r="R113" s="75"/>
      <c r="S113" s="75"/>
      <c r="T113" s="75"/>
      <c r="U113" s="75"/>
      <c r="V113" s="75">
        <v>123</v>
      </c>
      <c r="W113" s="75">
        <v>118.2</v>
      </c>
      <c r="X113" s="75">
        <v>126.8</v>
      </c>
      <c r="Y113" s="75">
        <v>117.3</v>
      </c>
      <c r="Z113" s="75">
        <v>125.5</v>
      </c>
      <c r="AA113" s="75">
        <v>125.8</v>
      </c>
      <c r="AB113" s="75">
        <v>127.4</v>
      </c>
      <c r="AC113" s="75">
        <v>127.1</v>
      </c>
      <c r="AD113" s="75">
        <v>130.80000000000001</v>
      </c>
      <c r="AE113" s="75">
        <v>131.1</v>
      </c>
      <c r="AF113" s="75">
        <v>131.4</v>
      </c>
      <c r="AG113" s="116"/>
      <c r="AH113" s="48">
        <f t="shared" si="105"/>
        <v>133.30000000000001</v>
      </c>
      <c r="AI113" s="49">
        <f t="shared" si="106"/>
        <v>117.3</v>
      </c>
    </row>
    <row r="114" spans="1:35" x14ac:dyDescent="0.25">
      <c r="A114" s="117" t="s">
        <v>137</v>
      </c>
      <c r="B114" s="118">
        <v>137.6</v>
      </c>
      <c r="C114" s="118">
        <v>137.6</v>
      </c>
      <c r="D114" s="118">
        <v>136.9</v>
      </c>
      <c r="E114" s="118">
        <v>135.5</v>
      </c>
      <c r="F114" s="118">
        <v>136</v>
      </c>
      <c r="G114" s="118">
        <v>134.4</v>
      </c>
      <c r="H114" s="118">
        <v>132.9</v>
      </c>
      <c r="I114" s="118">
        <v>131.5</v>
      </c>
      <c r="J114" s="118">
        <v>134.6</v>
      </c>
      <c r="K114" s="118">
        <v>132</v>
      </c>
      <c r="L114" s="118"/>
      <c r="M114" s="118">
        <v>131.69999999999999</v>
      </c>
      <c r="N114" s="118">
        <v>131.19999999999999</v>
      </c>
      <c r="O114" s="118">
        <v>134.1</v>
      </c>
      <c r="P114" s="118">
        <v>131.9</v>
      </c>
      <c r="Q114" s="118">
        <v>131.9</v>
      </c>
      <c r="R114" s="118">
        <v>131.69999999999999</v>
      </c>
      <c r="S114" s="118">
        <v>128.30000000000001</v>
      </c>
      <c r="T114" s="118">
        <v>130.69999999999999</v>
      </c>
      <c r="U114" s="118">
        <v>130.80000000000001</v>
      </c>
      <c r="V114" s="118">
        <v>135.30000000000001</v>
      </c>
      <c r="W114" s="118">
        <v>132.19999999999999</v>
      </c>
      <c r="X114" s="118">
        <v>136.1</v>
      </c>
      <c r="Y114" s="118">
        <v>134.6</v>
      </c>
      <c r="Z114" s="118">
        <v>133.30000000000001</v>
      </c>
      <c r="AA114" s="118">
        <v>134.5</v>
      </c>
      <c r="AB114" s="118">
        <v>136.1</v>
      </c>
      <c r="AC114" s="118">
        <v>135.6</v>
      </c>
      <c r="AD114" s="118">
        <v>136.5</v>
      </c>
      <c r="AE114" s="118">
        <v>134.80000000000001</v>
      </c>
      <c r="AF114" s="118">
        <v>135.19999999999999</v>
      </c>
      <c r="AG114" s="119"/>
      <c r="AH114" s="48">
        <f t="shared" si="105"/>
        <v>137.6</v>
      </c>
      <c r="AI114" s="49">
        <f t="shared" si="106"/>
        <v>128.30000000000001</v>
      </c>
    </row>
    <row r="115" spans="1:35" x14ac:dyDescent="0.25">
      <c r="A115" s="115" t="s">
        <v>138</v>
      </c>
      <c r="B115" s="75">
        <v>135.1</v>
      </c>
      <c r="C115" s="75">
        <v>135.1</v>
      </c>
      <c r="D115" s="75">
        <v>134.1</v>
      </c>
      <c r="E115" s="75">
        <v>132.30000000000001</v>
      </c>
      <c r="F115" s="75">
        <v>132.1</v>
      </c>
      <c r="G115" s="75">
        <v>134.1</v>
      </c>
      <c r="H115" s="75">
        <v>133.9</v>
      </c>
      <c r="I115" s="75">
        <v>131.4</v>
      </c>
      <c r="J115" s="75">
        <v>130.1</v>
      </c>
      <c r="K115" s="75">
        <v>129.1</v>
      </c>
      <c r="L115" s="75"/>
      <c r="M115" s="75">
        <v>130.19999999999999</v>
      </c>
      <c r="N115" s="75">
        <v>129.6</v>
      </c>
      <c r="O115" s="75">
        <v>128</v>
      </c>
      <c r="P115" s="75">
        <v>128.30000000000001</v>
      </c>
      <c r="Q115" s="75">
        <v>128.30000000000001</v>
      </c>
      <c r="R115" s="75">
        <v>126.6</v>
      </c>
      <c r="S115" s="75">
        <v>130.30000000000001</v>
      </c>
      <c r="T115" s="75">
        <v>131.19999999999999</v>
      </c>
      <c r="U115" s="75">
        <v>129.1</v>
      </c>
      <c r="V115" s="75">
        <v>124.2</v>
      </c>
      <c r="W115" s="75">
        <v>123.2</v>
      </c>
      <c r="X115" s="75">
        <v>125.6</v>
      </c>
      <c r="Y115" s="75">
        <v>132.19999999999999</v>
      </c>
      <c r="Z115" s="75">
        <v>127.8</v>
      </c>
      <c r="AA115" s="75">
        <v>128.6</v>
      </c>
      <c r="AB115" s="75">
        <v>132.80000000000001</v>
      </c>
      <c r="AC115" s="75">
        <v>132.80000000000001</v>
      </c>
      <c r="AD115" s="75">
        <v>132.5</v>
      </c>
      <c r="AE115" s="75">
        <v>130.9</v>
      </c>
      <c r="AF115" s="75">
        <v>132.1</v>
      </c>
      <c r="AG115" s="116"/>
      <c r="AH115" s="48">
        <f t="shared" si="105"/>
        <v>135.1</v>
      </c>
      <c r="AI115" s="49">
        <f t="shared" si="106"/>
        <v>123.2</v>
      </c>
    </row>
    <row r="116" spans="1:35" ht="15.75" thickBot="1" x14ac:dyDescent="0.3">
      <c r="A116" s="115" t="s">
        <v>139</v>
      </c>
      <c r="B116" s="104">
        <v>68.3</v>
      </c>
      <c r="C116" s="104">
        <v>68.3</v>
      </c>
      <c r="D116" s="104">
        <v>68.3</v>
      </c>
      <c r="E116" s="104">
        <v>68.3</v>
      </c>
      <c r="F116" s="104">
        <v>68.2</v>
      </c>
      <c r="G116" s="104">
        <v>67.900000000000006</v>
      </c>
      <c r="H116" s="104">
        <v>67.7</v>
      </c>
      <c r="I116" s="104">
        <v>67.099999999999994</v>
      </c>
      <c r="J116" s="104">
        <v>65.7</v>
      </c>
      <c r="K116" s="104">
        <v>63.5</v>
      </c>
      <c r="L116" s="104"/>
      <c r="M116" s="104">
        <v>62.5</v>
      </c>
      <c r="N116" s="104">
        <v>63.7</v>
      </c>
      <c r="O116" s="104">
        <v>63.4</v>
      </c>
      <c r="P116" s="104">
        <v>63.7</v>
      </c>
      <c r="Q116" s="104">
        <v>63.7</v>
      </c>
      <c r="R116" s="104">
        <v>64.3</v>
      </c>
      <c r="S116" s="104">
        <v>63.4</v>
      </c>
      <c r="T116" s="104">
        <v>63.6</v>
      </c>
      <c r="U116" s="104">
        <v>63.7</v>
      </c>
      <c r="V116" s="104">
        <v>64.900000000000006</v>
      </c>
      <c r="W116" s="104">
        <v>64.599999999999994</v>
      </c>
      <c r="X116" s="104">
        <v>66.400000000000006</v>
      </c>
      <c r="Y116" s="104">
        <v>64.900000000000006</v>
      </c>
      <c r="Z116" s="104">
        <v>64.900000000000006</v>
      </c>
      <c r="AA116" s="104">
        <v>65.599999999999994</v>
      </c>
      <c r="AB116" s="104">
        <v>66</v>
      </c>
      <c r="AC116" s="104">
        <v>65.8</v>
      </c>
      <c r="AD116" s="104">
        <v>66.2</v>
      </c>
      <c r="AE116" s="104">
        <v>66.8</v>
      </c>
      <c r="AF116" s="104">
        <v>67.8</v>
      </c>
      <c r="AG116" s="120"/>
      <c r="AH116" s="48">
        <f t="shared" si="105"/>
        <v>68.3</v>
      </c>
      <c r="AI116" s="49">
        <f t="shared" si="106"/>
        <v>62.5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 t="s">
        <v>140</v>
      </c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105"/>
        <v>0</v>
      </c>
      <c r="AI117" s="49">
        <f t="shared" si="106"/>
        <v>0</v>
      </c>
    </row>
    <row r="118" spans="1:35" ht="15.75" thickBot="1" x14ac:dyDescent="0.3">
      <c r="A118" s="122" t="s">
        <v>141</v>
      </c>
      <c r="B118" s="123">
        <f t="shared" ref="B118:C118" si="151">SUM(B22,B28,B31:B32,B66,B68:B69,B71,B73,B119:B123,B155,B161,B167,B176,B178,B190,B197,B200:B201,B208,B210,B212,B216:B218,B220:B222,B227,B233:B234,B236:B238,B246,B251)</f>
        <v>109.44000000000001</v>
      </c>
      <c r="C118" s="123">
        <f t="shared" si="151"/>
        <v>97.24</v>
      </c>
      <c r="D118" s="123">
        <f t="shared" ref="D118" si="152">SUM(D22,D28,D31:D32,D66,D68:D69,D71,D73,D119:D123,D155,D161,D167,D176,D178,D190,D197,D200:D201,D208,D210,D212,D216:D218,D220:D222,D227,D233:D234,D236:D238,D246,D251)</f>
        <v>106.13999999999999</v>
      </c>
      <c r="E118" s="123">
        <f t="shared" ref="E118:O118" si="153">SUM(E22,E28,E31:E32,E66,E68:E69,E71,E73,E119:E123,E155,E161,E167,E176,E178,E190,E197,E200:E201,E208,E210,E212,E216:E218,E220:E222,E227,E233:E234,E236:E238,E246,E251)</f>
        <v>108.04000000000002</v>
      </c>
      <c r="F118" s="123">
        <f t="shared" si="153"/>
        <v>111.23999999999998</v>
      </c>
      <c r="G118" s="123">
        <f t="shared" si="153"/>
        <v>129.63999999999999</v>
      </c>
      <c r="H118" s="123">
        <f t="shared" si="153"/>
        <v>159.44</v>
      </c>
      <c r="I118" s="123">
        <f t="shared" si="153"/>
        <v>193.04000000000002</v>
      </c>
      <c r="J118" s="123">
        <f t="shared" si="153"/>
        <v>254.94</v>
      </c>
      <c r="K118" s="123">
        <f t="shared" si="153"/>
        <v>287.74</v>
      </c>
      <c r="L118" s="123">
        <f t="shared" si="153"/>
        <v>105.03999999999999</v>
      </c>
      <c r="M118" s="123">
        <f t="shared" si="153"/>
        <v>319.54000000000002</v>
      </c>
      <c r="N118" s="123">
        <f t="shared" si="153"/>
        <v>310.94</v>
      </c>
      <c r="O118" s="123">
        <f t="shared" si="153"/>
        <v>314.94</v>
      </c>
      <c r="P118" s="123">
        <v>42</v>
      </c>
      <c r="Q118" s="123">
        <f t="shared" ref="Q118:AF118" si="154">SUM(Q22,Q28,Q31:Q32,Q66,Q68:Q69,Q71,Q73,Q119:Q123,Q155,Q161,Q167,Q176,Q178,Q190,Q197,Q200:Q201,Q208,Q210,Q212,Q216:Q218,Q220:Q222,Q227,Q233:Q234,Q236:Q238,Q246,Q251)</f>
        <v>263.48999999999995</v>
      </c>
      <c r="R118" s="123">
        <f t="shared" si="154"/>
        <v>279.83999999999997</v>
      </c>
      <c r="S118" s="123">
        <f t="shared" si="154"/>
        <v>252.94</v>
      </c>
      <c r="T118" s="123">
        <f t="shared" si="154"/>
        <v>255.34</v>
      </c>
      <c r="U118" s="123">
        <f t="shared" si="154"/>
        <v>258.24</v>
      </c>
      <c r="V118" s="123">
        <f t="shared" si="154"/>
        <v>258.94</v>
      </c>
      <c r="W118" s="123">
        <f t="shared" si="154"/>
        <v>278.83999999999997</v>
      </c>
      <c r="X118" s="123">
        <f t="shared" si="154"/>
        <v>267.44</v>
      </c>
      <c r="Y118" s="123">
        <f t="shared" ref="Y118:Z118" si="155">SUM(Y20,Y26,Y37:Y38,Y66,Y68:Y69,Y71,Y73,Y119:Y123,Y148,Y154,Y160,Y169,Y171,Y183,Y190,Y193:Y194,Y201,Y203,Y205,Y209:Y211,Y213:Y215,Y220,Y226:Y227,Y229:Y231,Y239,Y244)</f>
        <v>311.70000000000005</v>
      </c>
      <c r="Z118" s="123">
        <f t="shared" si="155"/>
        <v>342.29999999999995</v>
      </c>
      <c r="AA118" s="123">
        <f t="shared" si="154"/>
        <v>313.64000000000004</v>
      </c>
      <c r="AB118" s="123">
        <f t="shared" si="154"/>
        <v>300.83999999999997</v>
      </c>
      <c r="AC118" s="123">
        <f t="shared" si="154"/>
        <v>294.24</v>
      </c>
      <c r="AD118" s="123">
        <f t="shared" si="154"/>
        <v>258.64000000000004</v>
      </c>
      <c r="AE118" s="123">
        <f t="shared" ref="AE118" si="156">SUM(AE22,AE28,AE31:AE32,AE66,AE68:AE69,AE71,AE73,AE119:AE123,AE155,AE161,AE167,AE176,AE178,AE190,AE197,AE200:AE201,AE208,AE210,AE212,AE216:AE218,AE220:AE222,AE227,AE233:AE234,AE236:AE238,AE246,AE251)</f>
        <v>200.83999999999997</v>
      </c>
      <c r="AF118" s="123">
        <f t="shared" si="154"/>
        <v>155.83999999999997</v>
      </c>
      <c r="AG118" s="124"/>
      <c r="AH118" s="48">
        <f t="shared" si="105"/>
        <v>342.29999999999995</v>
      </c>
      <c r="AI118" s="49">
        <f t="shared" si="106"/>
        <v>42</v>
      </c>
    </row>
    <row r="119" spans="1:35" x14ac:dyDescent="0.25">
      <c r="A119" s="125" t="s">
        <v>142</v>
      </c>
      <c r="B119" s="126">
        <v>17.5</v>
      </c>
      <c r="C119" s="126">
        <v>12.5</v>
      </c>
      <c r="D119" s="126">
        <v>17.5</v>
      </c>
      <c r="E119" s="126">
        <v>17.100000000000001</v>
      </c>
      <c r="F119" s="126">
        <v>18.3</v>
      </c>
      <c r="G119" s="126">
        <v>12.7</v>
      </c>
      <c r="H119" s="126">
        <v>13.2</v>
      </c>
      <c r="I119" s="126">
        <v>10.8</v>
      </c>
      <c r="J119" s="126">
        <v>13</v>
      </c>
      <c r="K119" s="126">
        <v>16.8</v>
      </c>
      <c r="L119" s="126"/>
      <c r="M119" s="126">
        <v>27.8</v>
      </c>
      <c r="N119" s="126">
        <v>10.1</v>
      </c>
      <c r="O119" s="126">
        <v>9.6</v>
      </c>
      <c r="P119" s="126">
        <v>10.1</v>
      </c>
      <c r="Q119" s="126">
        <v>3</v>
      </c>
      <c r="R119" s="126">
        <v>-2</v>
      </c>
      <c r="S119" s="126">
        <v>-10.9</v>
      </c>
      <c r="T119" s="126">
        <v>-8.1999999999999993</v>
      </c>
      <c r="U119" s="126">
        <v>-6.8</v>
      </c>
      <c r="V119" s="126">
        <v>7.3</v>
      </c>
      <c r="W119" s="126">
        <v>6.7</v>
      </c>
      <c r="X119" s="126">
        <v>35.299999999999997</v>
      </c>
      <c r="Y119" s="126">
        <v>25.2</v>
      </c>
      <c r="Z119" s="126">
        <v>31</v>
      </c>
      <c r="AA119" s="126">
        <v>28.6</v>
      </c>
      <c r="AB119" s="126">
        <v>29.7</v>
      </c>
      <c r="AC119" s="126">
        <v>34</v>
      </c>
      <c r="AD119" s="126">
        <v>40.4</v>
      </c>
      <c r="AE119" s="126">
        <v>47.9</v>
      </c>
      <c r="AF119" s="126">
        <v>23.7</v>
      </c>
      <c r="AG119" s="127">
        <v>75</v>
      </c>
      <c r="AH119" s="48">
        <f t="shared" si="105"/>
        <v>47.9</v>
      </c>
      <c r="AI119" s="49">
        <f t="shared" si="106"/>
        <v>-10.9</v>
      </c>
    </row>
    <row r="120" spans="1:35" x14ac:dyDescent="0.25">
      <c r="A120" s="128" t="s">
        <v>143</v>
      </c>
      <c r="B120" s="129">
        <v>30.6</v>
      </c>
      <c r="C120" s="129">
        <v>23.8</v>
      </c>
      <c r="D120" s="129">
        <v>29.9</v>
      </c>
      <c r="E120" s="129">
        <v>30.1</v>
      </c>
      <c r="F120" s="129">
        <v>29.7</v>
      </c>
      <c r="G120" s="129">
        <v>21.7</v>
      </c>
      <c r="H120" s="129">
        <v>24.1</v>
      </c>
      <c r="I120" s="129">
        <v>20.6</v>
      </c>
      <c r="J120" s="129">
        <v>14.8</v>
      </c>
      <c r="K120" s="129">
        <v>17.8</v>
      </c>
      <c r="L120" s="129"/>
      <c r="M120" s="129">
        <v>34</v>
      </c>
      <c r="N120" s="129">
        <v>9.6999999999999993</v>
      </c>
      <c r="O120" s="129">
        <v>7.8</v>
      </c>
      <c r="P120" s="129">
        <v>10.7</v>
      </c>
      <c r="Q120" s="129">
        <v>0.05</v>
      </c>
      <c r="R120" s="129">
        <v>-7.6</v>
      </c>
      <c r="S120" s="129">
        <v>-21.4</v>
      </c>
      <c r="T120" s="129">
        <v>-18.399999999999999</v>
      </c>
      <c r="U120" s="129">
        <v>-17</v>
      </c>
      <c r="V120" s="129">
        <v>3</v>
      </c>
      <c r="W120" s="129">
        <v>2.8</v>
      </c>
      <c r="X120" s="129">
        <v>51.4</v>
      </c>
      <c r="Y120" s="129">
        <v>36.200000000000003</v>
      </c>
      <c r="Z120" s="129">
        <v>44.1</v>
      </c>
      <c r="AA120" s="129">
        <v>42.3</v>
      </c>
      <c r="AB120" s="129">
        <v>44.2</v>
      </c>
      <c r="AC120" s="129">
        <v>50.2</v>
      </c>
      <c r="AD120" s="129">
        <v>57.9</v>
      </c>
      <c r="AE120" s="129">
        <v>70</v>
      </c>
      <c r="AF120" s="129">
        <v>39.299999999999997</v>
      </c>
      <c r="AG120" s="127">
        <v>240</v>
      </c>
      <c r="AH120" s="48">
        <f t="shared" si="105"/>
        <v>70</v>
      </c>
      <c r="AI120" s="49">
        <f t="shared" si="106"/>
        <v>-21.4</v>
      </c>
    </row>
    <row r="121" spans="1:35" x14ac:dyDescent="0.25">
      <c r="A121" s="128" t="s">
        <v>144</v>
      </c>
      <c r="B121" s="129">
        <v>-51</v>
      </c>
      <c r="C121" s="129">
        <v>-51.3</v>
      </c>
      <c r="D121" s="129">
        <v>-42</v>
      </c>
      <c r="E121" s="129">
        <f>-16.4-27.2</f>
        <v>-43.599999999999994</v>
      </c>
      <c r="F121" s="129">
        <f>-16-27.1</f>
        <v>-43.1</v>
      </c>
      <c r="G121" s="129">
        <f>-11.9-22.5</f>
        <v>-34.4</v>
      </c>
      <c r="H121" s="129">
        <f>-5-11.2</f>
        <v>-16.2</v>
      </c>
      <c r="I121" s="129">
        <f>-4.8+0.5</f>
        <v>-4.3</v>
      </c>
      <c r="J121" s="129">
        <f>10+6.4</f>
        <v>16.399999999999999</v>
      </c>
      <c r="K121" s="129">
        <f>8.6+8.3</f>
        <v>16.899999999999999</v>
      </c>
      <c r="L121" s="129"/>
      <c r="M121" s="129">
        <v>10.5</v>
      </c>
      <c r="N121" s="129">
        <v>24</v>
      </c>
      <c r="O121" s="129">
        <v>29</v>
      </c>
      <c r="P121" s="129">
        <v>19</v>
      </c>
      <c r="Q121" s="129">
        <v>-3.5</v>
      </c>
      <c r="R121" s="129">
        <v>24</v>
      </c>
      <c r="S121" s="129">
        <v>2.1</v>
      </c>
      <c r="T121" s="129">
        <v>1.5</v>
      </c>
      <c r="U121" s="129">
        <v>4</v>
      </c>
      <c r="V121" s="129">
        <v>-2</v>
      </c>
      <c r="W121" s="129">
        <v>10</v>
      </c>
      <c r="X121" s="129">
        <v>-14</v>
      </c>
      <c r="Y121" s="129">
        <v>-11</v>
      </c>
      <c r="Z121" s="129">
        <v>-10.1</v>
      </c>
      <c r="AA121" s="129">
        <v>-16</v>
      </c>
      <c r="AB121" s="129">
        <v>-1</v>
      </c>
      <c r="AC121" s="129">
        <v>-5</v>
      </c>
      <c r="AD121" s="129">
        <v>-10</v>
      </c>
      <c r="AE121" s="129">
        <f>-14.8-25.1</f>
        <v>-39.900000000000006</v>
      </c>
      <c r="AF121" s="129">
        <f>-14.5-24.9</f>
        <v>-39.4</v>
      </c>
      <c r="AG121" s="127">
        <v>240</v>
      </c>
      <c r="AH121" s="48">
        <f t="shared" si="105"/>
        <v>29</v>
      </c>
      <c r="AI121" s="49">
        <f t="shared" si="106"/>
        <v>-51.3</v>
      </c>
    </row>
    <row r="122" spans="1:35" ht="15.75" thickBot="1" x14ac:dyDescent="0.3">
      <c r="A122" s="128" t="s">
        <v>145</v>
      </c>
      <c r="B122" s="129">
        <v>27.7</v>
      </c>
      <c r="C122" s="129">
        <v>27.3</v>
      </c>
      <c r="D122" s="129">
        <v>27.3</v>
      </c>
      <c r="E122" s="129">
        <v>26.8</v>
      </c>
      <c r="F122" s="129">
        <v>26.6</v>
      </c>
      <c r="G122" s="129">
        <v>28.5</v>
      </c>
      <c r="H122" s="129">
        <v>21.8</v>
      </c>
      <c r="I122" s="129">
        <v>25.2</v>
      </c>
      <c r="J122" s="129">
        <v>23.7</v>
      </c>
      <c r="K122" s="129">
        <v>0.6</v>
      </c>
      <c r="L122" s="129"/>
      <c r="M122" s="129">
        <v>-0.7</v>
      </c>
      <c r="N122" s="129">
        <v>18.3</v>
      </c>
      <c r="O122" s="129">
        <v>18</v>
      </c>
      <c r="P122" s="129">
        <v>19</v>
      </c>
      <c r="Q122" s="129">
        <v>14.1</v>
      </c>
      <c r="R122" s="129">
        <v>28.6</v>
      </c>
      <c r="S122" s="129">
        <v>29.9</v>
      </c>
      <c r="T122" s="129">
        <v>32.9</v>
      </c>
      <c r="U122" s="129">
        <v>31.1</v>
      </c>
      <c r="V122" s="129">
        <v>35.700000000000003</v>
      </c>
      <c r="W122" s="129">
        <v>24.5</v>
      </c>
      <c r="X122" s="129">
        <v>41.8</v>
      </c>
      <c r="Y122" s="129">
        <v>48.4</v>
      </c>
      <c r="Z122" s="129">
        <v>47.1</v>
      </c>
      <c r="AA122" s="129">
        <v>49.8</v>
      </c>
      <c r="AB122" s="129">
        <v>40.5</v>
      </c>
      <c r="AC122" s="129">
        <v>40</v>
      </c>
      <c r="AD122" s="129">
        <v>40.200000000000003</v>
      </c>
      <c r="AE122" s="129">
        <v>33.1</v>
      </c>
      <c r="AF122" s="129">
        <v>28.6</v>
      </c>
      <c r="AG122" s="127">
        <v>60</v>
      </c>
      <c r="AH122" s="48">
        <f t="shared" si="105"/>
        <v>49.8</v>
      </c>
      <c r="AI122" s="49">
        <f t="shared" si="106"/>
        <v>-0.7</v>
      </c>
    </row>
    <row r="123" spans="1:35" x14ac:dyDescent="0.25">
      <c r="A123" s="125" t="s">
        <v>146</v>
      </c>
      <c r="B123" s="130">
        <v>-10.5</v>
      </c>
      <c r="C123" s="130">
        <v>-10.199999999999999</v>
      </c>
      <c r="D123" s="130">
        <v>-21.7</v>
      </c>
      <c r="E123" s="130">
        <v>-21.4</v>
      </c>
      <c r="F123" s="130">
        <v>-19.5</v>
      </c>
      <c r="G123" s="130">
        <v>2.4</v>
      </c>
      <c r="H123" s="130">
        <v>17.3</v>
      </c>
      <c r="I123" s="130">
        <v>41.7</v>
      </c>
      <c r="J123" s="130">
        <v>87.3</v>
      </c>
      <c r="K123" s="130">
        <v>134.4</v>
      </c>
      <c r="L123" s="130"/>
      <c r="M123" s="130">
        <v>141.6</v>
      </c>
      <c r="N123" s="130">
        <v>137.5</v>
      </c>
      <c r="O123" s="130">
        <v>142</v>
      </c>
      <c r="P123" s="130">
        <v>127.4</v>
      </c>
      <c r="Q123" s="130">
        <v>134</v>
      </c>
      <c r="R123" s="130">
        <v>121</v>
      </c>
      <c r="S123" s="130">
        <v>143.80000000000001</v>
      </c>
      <c r="T123" s="130">
        <v>140.4</v>
      </c>
      <c r="U123" s="130">
        <v>145.5</v>
      </c>
      <c r="V123" s="130">
        <v>113.5</v>
      </c>
      <c r="W123" s="130">
        <v>138.4</v>
      </c>
      <c r="X123" s="130">
        <v>55.7</v>
      </c>
      <c r="Y123" s="130">
        <v>112.4</v>
      </c>
      <c r="Z123" s="130">
        <v>129.69999999999999</v>
      </c>
      <c r="AA123" s="130">
        <v>111.9</v>
      </c>
      <c r="AB123" s="130">
        <v>90.4</v>
      </c>
      <c r="AC123" s="130">
        <v>78</v>
      </c>
      <c r="AD123" s="130">
        <v>33.1</v>
      </c>
      <c r="AE123" s="130">
        <v>-14.3</v>
      </c>
      <c r="AF123" s="130">
        <v>-0.5</v>
      </c>
      <c r="AG123" s="131">
        <v>120</v>
      </c>
      <c r="AH123" s="48">
        <f t="shared" si="105"/>
        <v>145.5</v>
      </c>
      <c r="AI123" s="49">
        <f t="shared" si="106"/>
        <v>-21.7</v>
      </c>
    </row>
    <row r="124" spans="1:35" x14ac:dyDescent="0.25">
      <c r="A124" s="128" t="s">
        <v>147</v>
      </c>
      <c r="B124" s="130">
        <v>16.2</v>
      </c>
      <c r="C124" s="130">
        <v>16.8</v>
      </c>
      <c r="D124" s="130">
        <v>10.7</v>
      </c>
      <c r="E124" s="130">
        <v>10.9</v>
      </c>
      <c r="F124" s="130">
        <v>11.8</v>
      </c>
      <c r="G124" s="130">
        <v>24</v>
      </c>
      <c r="H124" s="130">
        <v>31.1</v>
      </c>
      <c r="I124" s="130">
        <v>43</v>
      </c>
      <c r="J124" s="130">
        <v>66.400000000000006</v>
      </c>
      <c r="K124" s="130">
        <v>88.7</v>
      </c>
      <c r="L124" s="130"/>
      <c r="M124" s="130">
        <v>91.2</v>
      </c>
      <c r="N124" s="130">
        <v>90</v>
      </c>
      <c r="O124" s="130">
        <v>92</v>
      </c>
      <c r="P124" s="130">
        <v>84</v>
      </c>
      <c r="Q124" s="130">
        <v>87.5</v>
      </c>
      <c r="R124" s="130">
        <v>82</v>
      </c>
      <c r="S124" s="130">
        <v>91.2</v>
      </c>
      <c r="T124" s="130">
        <v>90.4</v>
      </c>
      <c r="U124" s="130">
        <v>92.1</v>
      </c>
      <c r="V124" s="130">
        <v>77.5</v>
      </c>
      <c r="W124" s="130">
        <v>89.2</v>
      </c>
      <c r="X124" s="130">
        <v>48.5</v>
      </c>
      <c r="Y124" s="130">
        <v>76.3</v>
      </c>
      <c r="Z124" s="130">
        <v>84.4</v>
      </c>
      <c r="AA124" s="130">
        <v>76.3</v>
      </c>
      <c r="AB124" s="130">
        <v>66.099999999999994</v>
      </c>
      <c r="AC124" s="130">
        <v>59</v>
      </c>
      <c r="AD124" s="130">
        <v>37.299999999999997</v>
      </c>
      <c r="AE124" s="130">
        <v>12.7</v>
      </c>
      <c r="AF124" s="130">
        <v>21.1</v>
      </c>
      <c r="AG124" s="131"/>
      <c r="AH124" s="48">
        <f t="shared" si="105"/>
        <v>92.1</v>
      </c>
      <c r="AI124" s="49">
        <f t="shared" si="106"/>
        <v>10.7</v>
      </c>
    </row>
    <row r="125" spans="1:35" x14ac:dyDescent="0.25">
      <c r="A125" s="128" t="s">
        <v>148</v>
      </c>
      <c r="B125" s="130">
        <v>-30.9</v>
      </c>
      <c r="C125" s="130">
        <v>-18.8</v>
      </c>
      <c r="D125" s="130">
        <v>-25.9</v>
      </c>
      <c r="E125" s="130">
        <v>-25.3</v>
      </c>
      <c r="F125" s="130">
        <v>-25.3</v>
      </c>
      <c r="G125" s="130">
        <v>-14.2</v>
      </c>
      <c r="H125" s="130">
        <v>-22.1</v>
      </c>
      <c r="I125" s="130">
        <v>-18.7</v>
      </c>
      <c r="J125" s="130">
        <v>-8.4</v>
      </c>
      <c r="K125" s="130">
        <v>7.4</v>
      </c>
      <c r="L125" s="130"/>
      <c r="M125" s="130">
        <v>5</v>
      </c>
      <c r="N125" s="130">
        <v>16.100000000000001</v>
      </c>
      <c r="O125" s="130">
        <v>22</v>
      </c>
      <c r="P125" s="130">
        <v>21</v>
      </c>
      <c r="Q125" s="130">
        <v>36</v>
      </c>
      <c r="R125" s="130">
        <v>31.4</v>
      </c>
      <c r="S125" s="130">
        <v>43.4</v>
      </c>
      <c r="T125" s="130">
        <v>36.200000000000003</v>
      </c>
      <c r="U125" s="130">
        <v>33.9</v>
      </c>
      <c r="V125" s="130">
        <v>2.1</v>
      </c>
      <c r="W125" s="130">
        <v>15.1</v>
      </c>
      <c r="X125" s="130">
        <v>-55.6</v>
      </c>
      <c r="Y125" s="130">
        <v>-33.9</v>
      </c>
      <c r="Z125" s="130">
        <v>-38</v>
      </c>
      <c r="AA125" s="130">
        <v>-36.700000000000003</v>
      </c>
      <c r="AB125" s="130">
        <v>-33.299999999999997</v>
      </c>
      <c r="AC125" s="130">
        <v>-39</v>
      </c>
      <c r="AD125" s="130">
        <v>-58</v>
      </c>
      <c r="AE125" s="130">
        <v>-64.599999999999994</v>
      </c>
      <c r="AF125" s="130">
        <v>-29.4</v>
      </c>
      <c r="AG125" s="131"/>
      <c r="AH125" s="48">
        <f t="shared" si="105"/>
        <v>43.4</v>
      </c>
      <c r="AI125" s="49">
        <f t="shared" si="106"/>
        <v>-64.599999999999994</v>
      </c>
    </row>
    <row r="126" spans="1:35" ht="15.75" thickBot="1" x14ac:dyDescent="0.3">
      <c r="A126" s="128" t="s">
        <v>149</v>
      </c>
      <c r="B126" s="130">
        <v>7</v>
      </c>
      <c r="C126" s="130">
        <v>8.9</v>
      </c>
      <c r="D126" s="130">
        <v>0</v>
      </c>
      <c r="E126" s="130">
        <v>1.1000000000000001</v>
      </c>
      <c r="F126" s="130">
        <v>3.8</v>
      </c>
      <c r="G126" s="130">
        <v>14.4</v>
      </c>
      <c r="H126" s="130">
        <v>23.8</v>
      </c>
      <c r="I126" s="130">
        <v>36.700000000000003</v>
      </c>
      <c r="J126" s="130">
        <v>59.3</v>
      </c>
      <c r="K126" s="130">
        <v>91.6</v>
      </c>
      <c r="L126" s="130"/>
      <c r="M126" s="130">
        <v>100</v>
      </c>
      <c r="N126" s="130">
        <v>101</v>
      </c>
      <c r="O126" s="130">
        <v>104</v>
      </c>
      <c r="P126" s="130">
        <v>90</v>
      </c>
      <c r="Q126" s="130">
        <v>100</v>
      </c>
      <c r="R126" s="130">
        <v>95.4</v>
      </c>
      <c r="S126" s="130">
        <v>99</v>
      </c>
      <c r="T126" s="130">
        <v>98.6</v>
      </c>
      <c r="U126" s="130">
        <v>99.5</v>
      </c>
      <c r="V126" s="130">
        <v>76.099999999999994</v>
      </c>
      <c r="W126" s="130">
        <v>92.2</v>
      </c>
      <c r="X126" s="130">
        <v>29.5</v>
      </c>
      <c r="Y126" s="130">
        <v>59.3</v>
      </c>
      <c r="Z126" s="130">
        <v>62.6</v>
      </c>
      <c r="AA126" s="130">
        <v>58.9</v>
      </c>
      <c r="AB126" s="130">
        <v>49</v>
      </c>
      <c r="AC126" s="130">
        <v>41</v>
      </c>
      <c r="AD126" s="130">
        <v>28</v>
      </c>
      <c r="AE126" s="130">
        <v>3.4</v>
      </c>
      <c r="AF126" s="130">
        <v>14.3</v>
      </c>
      <c r="AG126" s="127"/>
      <c r="AH126" s="48">
        <f>MAX(B126:AF126)</f>
        <v>104</v>
      </c>
      <c r="AI126" s="49">
        <f>MIN(B126:AF126)</f>
        <v>0</v>
      </c>
    </row>
    <row r="127" spans="1:35" x14ac:dyDescent="0.25">
      <c r="A127" s="125" t="s">
        <v>305</v>
      </c>
      <c r="B127" s="130">
        <v>-71</v>
      </c>
      <c r="C127" s="130">
        <v>-61</v>
      </c>
      <c r="D127" s="130">
        <v>-62.4</v>
      </c>
      <c r="E127" s="130">
        <v>-58.6</v>
      </c>
      <c r="F127" s="130">
        <v>-60.9</v>
      </c>
      <c r="G127" s="130">
        <v>-69.2</v>
      </c>
      <c r="H127" s="130">
        <v>-29.8</v>
      </c>
      <c r="I127" s="130">
        <v>-39.6</v>
      </c>
      <c r="J127" s="130">
        <v>-0.6</v>
      </c>
      <c r="K127" s="130">
        <v>29.3</v>
      </c>
      <c r="L127" s="130"/>
      <c r="M127" s="130">
        <v>18.3</v>
      </c>
      <c r="N127" s="130">
        <v>29.2</v>
      </c>
      <c r="O127" s="130">
        <v>41</v>
      </c>
      <c r="P127" s="130">
        <v>29</v>
      </c>
      <c r="Q127" s="130">
        <v>35.200000000000003</v>
      </c>
      <c r="R127" s="130">
        <v>31</v>
      </c>
      <c r="S127" s="130">
        <v>42.2</v>
      </c>
      <c r="T127" s="130">
        <v>38.700000000000003</v>
      </c>
      <c r="U127" s="130">
        <v>43.3</v>
      </c>
      <c r="V127" s="130">
        <v>27.2</v>
      </c>
      <c r="W127" s="130">
        <v>38.799999999999997</v>
      </c>
      <c r="X127" s="130">
        <v>-55.9</v>
      </c>
      <c r="Y127" s="130">
        <v>-157.80000000000001</v>
      </c>
      <c r="Z127" s="130">
        <v>-189</v>
      </c>
      <c r="AA127" s="130">
        <v>-171.6</v>
      </c>
      <c r="AB127" s="130">
        <v>-168</v>
      </c>
      <c r="AC127" s="130">
        <v>-163</v>
      </c>
      <c r="AD127" s="130">
        <v>-53</v>
      </c>
      <c r="AE127" s="130">
        <v>-145</v>
      </c>
      <c r="AF127" s="130">
        <v>-138</v>
      </c>
      <c r="AG127" s="127"/>
      <c r="AH127" s="48">
        <f>MAX(B127:AF127)</f>
        <v>43.3</v>
      </c>
      <c r="AI127" s="49">
        <f>MIN(B127:AF127)</f>
        <v>-189</v>
      </c>
    </row>
    <row r="128" spans="1:35" x14ac:dyDescent="0.25">
      <c r="A128" s="128" t="s">
        <v>151</v>
      </c>
      <c r="B128" s="118">
        <v>-20.3</v>
      </c>
      <c r="C128" s="118">
        <v>-18.7</v>
      </c>
      <c r="D128" s="118">
        <v>-14.5</v>
      </c>
      <c r="E128" s="118">
        <v>-12.5</v>
      </c>
      <c r="F128" s="118">
        <v>-9.9</v>
      </c>
      <c r="G128" s="118">
        <v>-11.9</v>
      </c>
      <c r="H128" s="118">
        <v>-21.1</v>
      </c>
      <c r="I128" s="118">
        <v>-24.8</v>
      </c>
      <c r="J128" s="118">
        <v>-30.1</v>
      </c>
      <c r="K128" s="118">
        <v>-36</v>
      </c>
      <c r="L128" s="118"/>
      <c r="M128" s="118">
        <v>-49.7</v>
      </c>
      <c r="N128" s="118">
        <v>-32.4</v>
      </c>
      <c r="O128" s="118">
        <v>-41</v>
      </c>
      <c r="P128" s="118">
        <v>-43</v>
      </c>
      <c r="Q128" s="118">
        <v>-41.9</v>
      </c>
      <c r="R128" s="118">
        <v>-43</v>
      </c>
      <c r="S128" s="118">
        <v>-43.6</v>
      </c>
      <c r="T128" s="118">
        <v>-40.700000000000003</v>
      </c>
      <c r="U128" s="118">
        <v>-40.799999999999997</v>
      </c>
      <c r="V128" s="118">
        <v>-43.1</v>
      </c>
      <c r="W128" s="118">
        <v>-51.5</v>
      </c>
      <c r="X128" s="118">
        <v>-58</v>
      </c>
      <c r="Y128" s="118">
        <v>-68.2</v>
      </c>
      <c r="Z128" s="118">
        <v>-64.7</v>
      </c>
      <c r="AA128" s="118">
        <v>-53.5</v>
      </c>
      <c r="AB128" s="118">
        <v>-46.7</v>
      </c>
      <c r="AC128" s="118">
        <v>-46.2</v>
      </c>
      <c r="AD128" s="118">
        <v>-41</v>
      </c>
      <c r="AE128" s="118">
        <v>-33</v>
      </c>
      <c r="AF128" s="118">
        <v>-26.1</v>
      </c>
      <c r="AG128" s="127"/>
      <c r="AH128" s="48">
        <f>MAX(B128:AF128)</f>
        <v>-9.9</v>
      </c>
      <c r="AI128" s="49">
        <f>MIN(B128:AF128)</f>
        <v>-68.2</v>
      </c>
    </row>
    <row r="129" spans="1:37" x14ac:dyDescent="0.25">
      <c r="A129" s="128" t="s">
        <v>306</v>
      </c>
      <c r="B129" s="118">
        <v>62.2</v>
      </c>
      <c r="C129" s="118">
        <v>57.9</v>
      </c>
      <c r="D129" s="118">
        <v>55.3</v>
      </c>
      <c r="E129" s="118">
        <v>54.6</v>
      </c>
      <c r="F129" s="118">
        <v>54.7</v>
      </c>
      <c r="G129" s="118">
        <v>61.3</v>
      </c>
      <c r="H129" s="118">
        <v>2.6</v>
      </c>
      <c r="I129" s="118">
        <v>3.3</v>
      </c>
      <c r="J129" s="118">
        <v>89</v>
      </c>
      <c r="K129" s="118">
        <v>108.7</v>
      </c>
      <c r="L129" s="118"/>
      <c r="M129" s="118">
        <v>121.9</v>
      </c>
      <c r="N129" s="118">
        <v>80</v>
      </c>
      <c r="O129" s="118">
        <v>113</v>
      </c>
      <c r="P129" s="118">
        <v>121</v>
      </c>
      <c r="Q129" s="118">
        <v>118.8</v>
      </c>
      <c r="R129" s="118">
        <v>57</v>
      </c>
      <c r="S129" s="118">
        <v>114.4</v>
      </c>
      <c r="T129" s="118">
        <v>123.3</v>
      </c>
      <c r="U129" s="118">
        <v>115.6</v>
      </c>
      <c r="V129" s="118">
        <v>117.7</v>
      </c>
      <c r="W129" s="118">
        <v>122.9</v>
      </c>
      <c r="X129" s="118">
        <v>105.9</v>
      </c>
      <c r="Y129" s="118">
        <v>114.3</v>
      </c>
      <c r="Z129" s="118">
        <v>111.8</v>
      </c>
      <c r="AA129" s="118">
        <v>107.6</v>
      </c>
      <c r="AB129" s="118">
        <v>111</v>
      </c>
      <c r="AC129" s="118">
        <v>114</v>
      </c>
      <c r="AD129" s="118">
        <v>91</v>
      </c>
      <c r="AE129" s="118">
        <v>75.3</v>
      </c>
      <c r="AF129" s="118">
        <v>66.3</v>
      </c>
      <c r="AG129" s="127"/>
      <c r="AH129" s="48">
        <f>MAX(B129:AF129)</f>
        <v>123.3</v>
      </c>
      <c r="AI129" s="49">
        <f>MIN(B129:AF129)</f>
        <v>2.6</v>
      </c>
    </row>
    <row r="130" spans="1:37" ht="15.75" thickBot="1" x14ac:dyDescent="0.3">
      <c r="A130" s="128" t="s">
        <v>153</v>
      </c>
      <c r="B130" s="118">
        <v>77.2</v>
      </c>
      <c r="C130" s="118">
        <v>72.400000000000006</v>
      </c>
      <c r="D130" s="118">
        <v>70.2</v>
      </c>
      <c r="E130" s="118">
        <v>68.099999999999994</v>
      </c>
      <c r="F130" s="118">
        <v>69.599999999999994</v>
      </c>
      <c r="G130" s="118">
        <v>74.7</v>
      </c>
      <c r="H130" s="118">
        <v>16.100000000000001</v>
      </c>
      <c r="I130" s="118">
        <v>16.2</v>
      </c>
      <c r="J130" s="118">
        <v>99.3</v>
      </c>
      <c r="K130" s="118">
        <v>111.5</v>
      </c>
      <c r="L130" s="118"/>
      <c r="M130" s="118">
        <v>123</v>
      </c>
      <c r="N130" s="118">
        <v>107</v>
      </c>
      <c r="O130" s="118">
        <v>116</v>
      </c>
      <c r="P130" s="118">
        <v>124</v>
      </c>
      <c r="Q130" s="118">
        <v>124</v>
      </c>
      <c r="R130" s="118">
        <v>61</v>
      </c>
      <c r="S130" s="118">
        <v>118</v>
      </c>
      <c r="T130" s="118">
        <v>121.1</v>
      </c>
      <c r="U130" s="118">
        <v>121</v>
      </c>
      <c r="V130" s="118">
        <v>122.3</v>
      </c>
      <c r="W130" s="118">
        <v>128.6</v>
      </c>
      <c r="X130" s="118">
        <v>119.1</v>
      </c>
      <c r="Y130" s="118">
        <v>128.19999999999999</v>
      </c>
      <c r="Z130" s="118">
        <v>123.6</v>
      </c>
      <c r="AA130" s="118">
        <v>118.2</v>
      </c>
      <c r="AB130" s="118">
        <v>122</v>
      </c>
      <c r="AC130" s="118">
        <v>122</v>
      </c>
      <c r="AD130" s="118">
        <v>103</v>
      </c>
      <c r="AE130" s="118">
        <v>91.3</v>
      </c>
      <c r="AF130" s="118">
        <v>81.3</v>
      </c>
      <c r="AG130" s="127"/>
      <c r="AH130" s="48">
        <f>MAX(B130:AF130)</f>
        <v>128.6</v>
      </c>
      <c r="AI130" s="49">
        <f>MIN(B130:AF130)</f>
        <v>16.100000000000001</v>
      </c>
    </row>
    <row r="131" spans="1:37" x14ac:dyDescent="0.25">
      <c r="A131" s="132" t="s">
        <v>154</v>
      </c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4"/>
      <c r="AG131" s="44"/>
      <c r="AH131" s="48"/>
      <c r="AI131" s="49"/>
    </row>
    <row r="132" spans="1:37" x14ac:dyDescent="0.25">
      <c r="A132" s="135" t="s">
        <v>155</v>
      </c>
      <c r="B132" s="136">
        <v>1982.69</v>
      </c>
      <c r="C132" s="136">
        <v>1982.69</v>
      </c>
      <c r="D132" s="136">
        <v>1982.86</v>
      </c>
      <c r="E132" s="136">
        <v>1983.03</v>
      </c>
      <c r="F132" s="136">
        <v>1983.2</v>
      </c>
      <c r="G132" s="136">
        <v>1983.19</v>
      </c>
      <c r="H132" s="136"/>
      <c r="I132" s="136">
        <v>1983.3</v>
      </c>
      <c r="J132" s="136"/>
      <c r="K132" s="136">
        <v>1983.32</v>
      </c>
      <c r="L132" s="136"/>
      <c r="M132" s="136">
        <v>1983.52</v>
      </c>
      <c r="N132" s="136">
        <v>1983.66</v>
      </c>
      <c r="O132" s="136">
        <v>1983.85</v>
      </c>
      <c r="P132" s="136">
        <v>1984.08</v>
      </c>
      <c r="Q132" s="136">
        <v>1984.3</v>
      </c>
      <c r="R132" s="136">
        <v>1984.5</v>
      </c>
      <c r="S132" s="136">
        <v>1984.72</v>
      </c>
      <c r="T132" s="136">
        <v>1984.92</v>
      </c>
      <c r="U132" s="136">
        <v>1985.1</v>
      </c>
      <c r="V132" s="136">
        <v>1985.3</v>
      </c>
      <c r="W132" s="136"/>
      <c r="X132" s="136">
        <v>1985.38</v>
      </c>
      <c r="Y132" s="136"/>
      <c r="Z132" s="136">
        <v>1984.69</v>
      </c>
      <c r="AA132" s="136"/>
      <c r="AB132" s="136">
        <v>1983.48</v>
      </c>
      <c r="AC132" s="136"/>
      <c r="AD132" s="136">
        <v>1982.55</v>
      </c>
      <c r="AE132" s="136">
        <v>1982.55</v>
      </c>
      <c r="AF132" s="137">
        <v>1982.53</v>
      </c>
      <c r="AG132" s="138"/>
      <c r="AH132" s="48"/>
      <c r="AI132" s="49"/>
    </row>
    <row r="133" spans="1:37" x14ac:dyDescent="0.25">
      <c r="A133" s="135" t="s">
        <v>156</v>
      </c>
      <c r="B133" s="139">
        <v>519.41</v>
      </c>
      <c r="C133" s="139">
        <v>519.41</v>
      </c>
      <c r="D133" s="139">
        <v>519.78</v>
      </c>
      <c r="E133" s="139">
        <v>520.04</v>
      </c>
      <c r="F133" s="139">
        <v>520.25</v>
      </c>
      <c r="G133" s="139">
        <v>520.5</v>
      </c>
      <c r="H133" s="139"/>
      <c r="I133" s="139">
        <v>520.71</v>
      </c>
      <c r="J133" s="139"/>
      <c r="K133" s="139">
        <v>520.71</v>
      </c>
      <c r="L133" s="139"/>
      <c r="M133" s="139">
        <v>520.52</v>
      </c>
      <c r="N133" s="139">
        <v>520.34</v>
      </c>
      <c r="O133" s="139">
        <v>520.1</v>
      </c>
      <c r="P133" s="139">
        <v>519.86</v>
      </c>
      <c r="Q133" s="139">
        <v>519.74</v>
      </c>
      <c r="R133" s="139">
        <v>519.74</v>
      </c>
      <c r="S133" s="139">
        <v>519.91999999999996</v>
      </c>
      <c r="T133" s="139">
        <v>520.20000000000005</v>
      </c>
      <c r="U133" s="139">
        <v>520.44000000000005</v>
      </c>
      <c r="V133" s="139">
        <v>520.63</v>
      </c>
      <c r="W133" s="139"/>
      <c r="X133" s="139">
        <v>520.79999999999995</v>
      </c>
      <c r="Y133" s="139"/>
      <c r="Z133" s="139">
        <v>520.53</v>
      </c>
      <c r="AA133" s="139"/>
      <c r="AB133" s="139">
        <v>520.17999999999995</v>
      </c>
      <c r="AC133" s="139"/>
      <c r="AD133" s="139">
        <v>519.83000000000004</v>
      </c>
      <c r="AE133" s="139">
        <v>519.1</v>
      </c>
      <c r="AF133" s="140">
        <v>518.62</v>
      </c>
      <c r="AG133" s="138"/>
      <c r="AH133" s="48"/>
      <c r="AI133" s="49"/>
    </row>
    <row r="134" spans="1:37" x14ac:dyDescent="0.25">
      <c r="A134" s="135" t="s">
        <v>158</v>
      </c>
      <c r="B134" s="139">
        <v>621.32000000000005</v>
      </c>
      <c r="C134" s="139">
        <v>621.32000000000005</v>
      </c>
      <c r="D134" s="139">
        <v>621.91999999999996</v>
      </c>
      <c r="E134" s="139">
        <v>622.16999999999996</v>
      </c>
      <c r="F134" s="139">
        <v>622.41</v>
      </c>
      <c r="G134" s="139">
        <v>623.02</v>
      </c>
      <c r="H134" s="139"/>
      <c r="I134" s="139">
        <v>623.1</v>
      </c>
      <c r="J134" s="139"/>
      <c r="K134" s="139">
        <v>623.22</v>
      </c>
      <c r="L134" s="139"/>
      <c r="M134" s="139">
        <v>622.99</v>
      </c>
      <c r="N134" s="139">
        <v>622.76</v>
      </c>
      <c r="O134" s="139">
        <v>622.4</v>
      </c>
      <c r="P134" s="139">
        <v>621.96</v>
      </c>
      <c r="Q134" s="139">
        <v>621.79999999999995</v>
      </c>
      <c r="R134" s="139">
        <v>621.91999999999996</v>
      </c>
      <c r="S134" s="139">
        <v>622.1</v>
      </c>
      <c r="T134" s="139">
        <v>622.4</v>
      </c>
      <c r="U134" s="139">
        <v>622.65</v>
      </c>
      <c r="V134" s="139">
        <v>622.78</v>
      </c>
      <c r="W134" s="139"/>
      <c r="X134" s="139">
        <v>622.91</v>
      </c>
      <c r="Y134" s="139"/>
      <c r="Z134" s="139">
        <v>622.65</v>
      </c>
      <c r="AA134" s="139"/>
      <c r="AB134" s="139">
        <v>622.05999999999995</v>
      </c>
      <c r="AC134" s="139"/>
      <c r="AD134" s="139">
        <v>621.62</v>
      </c>
      <c r="AE134" s="139">
        <v>621.66</v>
      </c>
      <c r="AF134" s="140">
        <v>621.74</v>
      </c>
      <c r="AG134" s="138"/>
      <c r="AH134" s="48"/>
      <c r="AI134" s="49"/>
    </row>
    <row r="135" spans="1:37" x14ac:dyDescent="0.25">
      <c r="A135" s="135" t="s">
        <v>159</v>
      </c>
      <c r="B135" s="139">
        <v>334.07</v>
      </c>
      <c r="C135" s="139">
        <v>334.07</v>
      </c>
      <c r="D135" s="139">
        <v>334.77</v>
      </c>
      <c r="E135" s="139">
        <v>335.13</v>
      </c>
      <c r="F135" s="139">
        <v>335.31</v>
      </c>
      <c r="G135" s="139">
        <v>335.42</v>
      </c>
      <c r="H135" s="139"/>
      <c r="I135" s="139">
        <v>335.38</v>
      </c>
      <c r="J135" s="139"/>
      <c r="K135" s="139">
        <v>335.37</v>
      </c>
      <c r="L135" s="139"/>
      <c r="M135" s="139">
        <v>335.17</v>
      </c>
      <c r="N135" s="139">
        <v>334.63</v>
      </c>
      <c r="O135" s="139">
        <v>334.54</v>
      </c>
      <c r="P135" s="139">
        <v>334.6</v>
      </c>
      <c r="Q135" s="139">
        <v>334.6</v>
      </c>
      <c r="R135" s="139">
        <v>334.64</v>
      </c>
      <c r="S135" s="139">
        <v>335.07</v>
      </c>
      <c r="T135" s="139">
        <v>335.6</v>
      </c>
      <c r="U135" s="139">
        <v>335.94</v>
      </c>
      <c r="V135" s="139">
        <v>336.14</v>
      </c>
      <c r="W135" s="139"/>
      <c r="X135" s="139">
        <v>335.92</v>
      </c>
      <c r="Y135" s="139"/>
      <c r="Z135" s="139">
        <v>335.81</v>
      </c>
      <c r="AA135" s="139"/>
      <c r="AB135" s="139">
        <v>335.39</v>
      </c>
      <c r="AC135" s="139"/>
      <c r="AD135" s="139">
        <v>334.97</v>
      </c>
      <c r="AE135" s="139">
        <v>334.53</v>
      </c>
      <c r="AF135" s="140">
        <v>334.1</v>
      </c>
      <c r="AG135" s="138"/>
      <c r="AH135" s="48"/>
      <c r="AI135" s="49"/>
    </row>
    <row r="136" spans="1:37" x14ac:dyDescent="0.25">
      <c r="A136" s="135" t="s">
        <v>160</v>
      </c>
      <c r="B136" s="139">
        <v>881.6</v>
      </c>
      <c r="C136" s="139">
        <v>881.6</v>
      </c>
      <c r="D136" s="139">
        <v>883</v>
      </c>
      <c r="E136" s="139">
        <v>883</v>
      </c>
      <c r="F136" s="139">
        <v>883.1</v>
      </c>
      <c r="G136" s="139">
        <v>884</v>
      </c>
      <c r="H136" s="139"/>
      <c r="I136" s="139">
        <v>884.7</v>
      </c>
      <c r="J136" s="139"/>
      <c r="K136" s="139">
        <v>885.1</v>
      </c>
      <c r="L136" s="139"/>
      <c r="M136" s="139">
        <v>885</v>
      </c>
      <c r="N136" s="139">
        <v>885</v>
      </c>
      <c r="O136" s="139">
        <v>885</v>
      </c>
      <c r="P136" s="139">
        <v>885</v>
      </c>
      <c r="Q136" s="139">
        <v>885</v>
      </c>
      <c r="R136" s="139">
        <v>885</v>
      </c>
      <c r="S136" s="139">
        <v>884.9</v>
      </c>
      <c r="T136" s="139">
        <v>884.6</v>
      </c>
      <c r="U136" s="139">
        <v>884.5</v>
      </c>
      <c r="V136" s="139">
        <v>884.4</v>
      </c>
      <c r="W136" s="139"/>
      <c r="X136" s="139">
        <v>884.1</v>
      </c>
      <c r="Y136" s="139"/>
      <c r="Z136" s="139">
        <v>882.7</v>
      </c>
      <c r="AA136" s="139"/>
      <c r="AB136" s="139">
        <v>881.9</v>
      </c>
      <c r="AC136" s="139"/>
      <c r="AD136" s="139">
        <v>881.7</v>
      </c>
      <c r="AE136" s="139">
        <v>881.6</v>
      </c>
      <c r="AF136" s="140">
        <v>881.5</v>
      </c>
      <c r="AG136" s="138"/>
      <c r="AH136" s="48"/>
      <c r="AI136" s="49"/>
    </row>
    <row r="137" spans="1:37" ht="15.75" thickBot="1" x14ac:dyDescent="0.3">
      <c r="A137" s="135" t="s">
        <v>161</v>
      </c>
      <c r="B137" s="141">
        <v>1519.36</v>
      </c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>
        <v>1519.14</v>
      </c>
      <c r="T137" s="141"/>
      <c r="U137" s="141"/>
      <c r="V137" s="141"/>
      <c r="W137" s="141"/>
      <c r="X137" s="141"/>
      <c r="Y137" s="141"/>
      <c r="Z137" s="141">
        <v>1519.03</v>
      </c>
      <c r="AA137" s="141"/>
      <c r="AB137" s="141">
        <v>1519</v>
      </c>
      <c r="AC137" s="141"/>
      <c r="AD137" s="141">
        <v>1518.98</v>
      </c>
      <c r="AE137" s="141">
        <v>1518.96</v>
      </c>
      <c r="AF137" s="142">
        <v>1518.93</v>
      </c>
      <c r="AG137" s="138"/>
      <c r="AH137" s="48"/>
      <c r="AI137" s="49"/>
    </row>
    <row r="138" spans="1:37" ht="15.75" thickBot="1" x14ac:dyDescent="0.3">
      <c r="A138" s="143" t="s">
        <v>162</v>
      </c>
      <c r="B138" s="144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157">SUM(B139:B243)</f>
        <v>0</v>
      </c>
      <c r="C244" s="160">
        <f t="shared" si="157"/>
        <v>0</v>
      </c>
      <c r="D244" s="160">
        <f t="shared" si="157"/>
        <v>0</v>
      </c>
      <c r="E244" s="160">
        <f t="shared" si="157"/>
        <v>0</v>
      </c>
      <c r="F244" s="160">
        <f t="shared" si="157"/>
        <v>0</v>
      </c>
      <c r="G244" s="160">
        <f t="shared" si="157"/>
        <v>0</v>
      </c>
      <c r="H244" s="160">
        <f t="shared" si="157"/>
        <v>0</v>
      </c>
      <c r="I244" s="160">
        <f t="shared" si="157"/>
        <v>0</v>
      </c>
      <c r="J244" s="160">
        <f t="shared" si="157"/>
        <v>0</v>
      </c>
      <c r="K244" s="160">
        <f t="shared" si="157"/>
        <v>0</v>
      </c>
      <c r="L244" s="160">
        <f t="shared" si="157"/>
        <v>0</v>
      </c>
      <c r="M244" s="160">
        <f t="shared" si="157"/>
        <v>0</v>
      </c>
      <c r="N244" s="160">
        <f t="shared" si="157"/>
        <v>0</v>
      </c>
      <c r="O244" s="160">
        <f t="shared" si="157"/>
        <v>0</v>
      </c>
      <c r="P244" s="160">
        <f t="shared" si="157"/>
        <v>0</v>
      </c>
      <c r="Q244" s="160">
        <f t="shared" si="157"/>
        <v>0</v>
      </c>
      <c r="R244" s="160">
        <f t="shared" si="157"/>
        <v>0</v>
      </c>
      <c r="S244" s="160">
        <f t="shared" si="157"/>
        <v>0</v>
      </c>
      <c r="T244" s="160">
        <f t="shared" si="157"/>
        <v>0</v>
      </c>
      <c r="U244" s="160">
        <f t="shared" si="157"/>
        <v>0</v>
      </c>
      <c r="V244" s="160">
        <f t="shared" si="157"/>
        <v>0</v>
      </c>
      <c r="W244" s="160">
        <f t="shared" si="157"/>
        <v>0</v>
      </c>
      <c r="X244" s="160">
        <f t="shared" si="157"/>
        <v>0</v>
      </c>
      <c r="Y244" s="160">
        <f t="shared" si="157"/>
        <v>0</v>
      </c>
      <c r="Z244" s="160">
        <f t="shared" si="157"/>
        <v>0</v>
      </c>
      <c r="AA244" s="160">
        <f t="shared" si="157"/>
        <v>0</v>
      </c>
      <c r="AB244" s="160">
        <f t="shared" si="157"/>
        <v>0</v>
      </c>
      <c r="AC244" s="160">
        <f t="shared" si="157"/>
        <v>0</v>
      </c>
      <c r="AD244" s="160">
        <f t="shared" si="157"/>
        <v>0</v>
      </c>
      <c r="AE244" s="160">
        <f t="shared" si="157"/>
        <v>0</v>
      </c>
      <c r="AF244" s="161">
        <f t="shared" si="157"/>
        <v>0</v>
      </c>
      <c r="AG244" s="162">
        <f t="shared" si="157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158">AF246</f>
        <v>0.3</v>
      </c>
      <c r="C246" s="165">
        <v>0.3</v>
      </c>
      <c r="D246" s="165">
        <f t="shared" ref="D246:S251" si="159">C246</f>
        <v>0.3</v>
      </c>
      <c r="E246" s="165">
        <f t="shared" si="159"/>
        <v>0.3</v>
      </c>
      <c r="F246" s="165">
        <f t="shared" si="159"/>
        <v>0.3</v>
      </c>
      <c r="G246" s="165">
        <f t="shared" si="159"/>
        <v>0.3</v>
      </c>
      <c r="H246" s="165">
        <f t="shared" si="159"/>
        <v>0.3</v>
      </c>
      <c r="I246" s="165">
        <f t="shared" si="159"/>
        <v>0.3</v>
      </c>
      <c r="J246" s="165">
        <f t="shared" si="159"/>
        <v>0.3</v>
      </c>
      <c r="K246" s="165">
        <f t="shared" si="159"/>
        <v>0.3</v>
      </c>
      <c r="L246" s="165">
        <f t="shared" si="159"/>
        <v>0.3</v>
      </c>
      <c r="M246" s="165">
        <f t="shared" si="159"/>
        <v>0.3</v>
      </c>
      <c r="N246" s="165">
        <f t="shared" si="159"/>
        <v>0.3</v>
      </c>
      <c r="O246" s="165">
        <f t="shared" si="159"/>
        <v>0.3</v>
      </c>
      <c r="P246" s="165">
        <f t="shared" si="159"/>
        <v>0.3</v>
      </c>
      <c r="Q246" s="165">
        <f t="shared" si="159"/>
        <v>0.3</v>
      </c>
      <c r="R246" s="165">
        <f t="shared" si="159"/>
        <v>0.3</v>
      </c>
      <c r="S246" s="165">
        <f t="shared" si="159"/>
        <v>0.3</v>
      </c>
      <c r="T246" s="165">
        <f t="shared" ref="T246:AF251" si="160">S246</f>
        <v>0.3</v>
      </c>
      <c r="U246" s="165">
        <f t="shared" si="160"/>
        <v>0.3</v>
      </c>
      <c r="V246" s="165">
        <f t="shared" si="160"/>
        <v>0.3</v>
      </c>
      <c r="W246" s="165">
        <f t="shared" si="160"/>
        <v>0.3</v>
      </c>
      <c r="X246" s="165">
        <f t="shared" si="160"/>
        <v>0.3</v>
      </c>
      <c r="Y246" s="165">
        <f t="shared" si="160"/>
        <v>0.3</v>
      </c>
      <c r="Z246" s="165">
        <f t="shared" si="160"/>
        <v>0.3</v>
      </c>
      <c r="AA246" s="165">
        <f t="shared" si="160"/>
        <v>0.3</v>
      </c>
      <c r="AB246" s="165">
        <f t="shared" si="160"/>
        <v>0.3</v>
      </c>
      <c r="AC246" s="165">
        <f t="shared" si="160"/>
        <v>0.3</v>
      </c>
      <c r="AD246" s="165">
        <f t="shared" si="160"/>
        <v>0.3</v>
      </c>
      <c r="AE246" s="165">
        <f t="shared" si="160"/>
        <v>0.3</v>
      </c>
      <c r="AF246" s="165">
        <f t="shared" si="160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158"/>
        <v>0.4</v>
      </c>
      <c r="C247" s="151">
        <v>0.4</v>
      </c>
      <c r="D247" s="151">
        <f t="shared" si="159"/>
        <v>0.4</v>
      </c>
      <c r="E247" s="151">
        <f t="shared" si="159"/>
        <v>0.4</v>
      </c>
      <c r="F247" s="151">
        <f t="shared" si="159"/>
        <v>0.4</v>
      </c>
      <c r="G247" s="151">
        <f t="shared" si="159"/>
        <v>0.4</v>
      </c>
      <c r="H247" s="151">
        <f t="shared" si="159"/>
        <v>0.4</v>
      </c>
      <c r="I247" s="151">
        <f t="shared" si="159"/>
        <v>0.4</v>
      </c>
      <c r="J247" s="151">
        <f t="shared" si="159"/>
        <v>0.4</v>
      </c>
      <c r="K247" s="151">
        <f t="shared" si="159"/>
        <v>0.4</v>
      </c>
      <c r="L247" s="151">
        <f t="shared" si="159"/>
        <v>0.4</v>
      </c>
      <c r="M247" s="151">
        <f t="shared" si="159"/>
        <v>0.4</v>
      </c>
      <c r="N247" s="151">
        <f t="shared" si="159"/>
        <v>0.4</v>
      </c>
      <c r="O247" s="151">
        <f t="shared" si="159"/>
        <v>0.4</v>
      </c>
      <c r="P247" s="151">
        <f t="shared" si="159"/>
        <v>0.4</v>
      </c>
      <c r="Q247" s="151">
        <f t="shared" si="159"/>
        <v>0.4</v>
      </c>
      <c r="R247" s="151">
        <f t="shared" si="159"/>
        <v>0.4</v>
      </c>
      <c r="S247" s="151">
        <f t="shared" si="159"/>
        <v>0.4</v>
      </c>
      <c r="T247" s="151">
        <f t="shared" si="160"/>
        <v>0.4</v>
      </c>
      <c r="U247" s="151">
        <f t="shared" si="160"/>
        <v>0.4</v>
      </c>
      <c r="V247" s="151">
        <f t="shared" si="160"/>
        <v>0.4</v>
      </c>
      <c r="W247" s="151">
        <f t="shared" si="160"/>
        <v>0.4</v>
      </c>
      <c r="X247" s="151">
        <f t="shared" si="160"/>
        <v>0.4</v>
      </c>
      <c r="Y247" s="151">
        <f t="shared" si="160"/>
        <v>0.4</v>
      </c>
      <c r="Z247" s="151">
        <f t="shared" si="160"/>
        <v>0.4</v>
      </c>
      <c r="AA247" s="151">
        <f t="shared" si="160"/>
        <v>0.4</v>
      </c>
      <c r="AB247" s="151">
        <f t="shared" si="160"/>
        <v>0.4</v>
      </c>
      <c r="AC247" s="151">
        <f t="shared" si="160"/>
        <v>0.4</v>
      </c>
      <c r="AD247" s="151">
        <f t="shared" si="160"/>
        <v>0.4</v>
      </c>
      <c r="AE247" s="151">
        <f t="shared" si="160"/>
        <v>0.4</v>
      </c>
      <c r="AF247" s="151">
        <f t="shared" si="160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158"/>
        <v>1.5</v>
      </c>
      <c r="C248" s="151">
        <v>1.5</v>
      </c>
      <c r="D248" s="151">
        <f t="shared" si="159"/>
        <v>1.5</v>
      </c>
      <c r="E248" s="151">
        <f t="shared" si="159"/>
        <v>1.5</v>
      </c>
      <c r="F248" s="151">
        <f t="shared" si="159"/>
        <v>1.5</v>
      </c>
      <c r="G248" s="151">
        <f t="shared" si="159"/>
        <v>1.5</v>
      </c>
      <c r="H248" s="151">
        <f t="shared" si="159"/>
        <v>1.5</v>
      </c>
      <c r="I248" s="151">
        <f t="shared" si="159"/>
        <v>1.5</v>
      </c>
      <c r="J248" s="151">
        <f t="shared" si="159"/>
        <v>1.5</v>
      </c>
      <c r="K248" s="151">
        <f t="shared" si="159"/>
        <v>1.5</v>
      </c>
      <c r="L248" s="151">
        <f t="shared" si="159"/>
        <v>1.5</v>
      </c>
      <c r="M248" s="151">
        <f t="shared" si="159"/>
        <v>1.5</v>
      </c>
      <c r="N248" s="151">
        <f t="shared" si="159"/>
        <v>1.5</v>
      </c>
      <c r="O248" s="151">
        <f t="shared" si="159"/>
        <v>1.5</v>
      </c>
      <c r="P248" s="151">
        <f t="shared" si="159"/>
        <v>1.5</v>
      </c>
      <c r="Q248" s="151">
        <f t="shared" si="159"/>
        <v>1.5</v>
      </c>
      <c r="R248" s="151">
        <f t="shared" si="159"/>
        <v>1.5</v>
      </c>
      <c r="S248" s="151">
        <f t="shared" si="159"/>
        <v>1.5</v>
      </c>
      <c r="T248" s="151">
        <f t="shared" si="160"/>
        <v>1.5</v>
      </c>
      <c r="U248" s="151">
        <f t="shared" si="160"/>
        <v>1.5</v>
      </c>
      <c r="V248" s="151">
        <f t="shared" si="160"/>
        <v>1.5</v>
      </c>
      <c r="W248" s="151">
        <f t="shared" si="160"/>
        <v>1.5</v>
      </c>
      <c r="X248" s="151">
        <f t="shared" si="160"/>
        <v>1.5</v>
      </c>
      <c r="Y248" s="151">
        <f t="shared" si="160"/>
        <v>1.5</v>
      </c>
      <c r="Z248" s="151">
        <f t="shared" si="160"/>
        <v>1.5</v>
      </c>
      <c r="AA248" s="151">
        <f t="shared" si="160"/>
        <v>1.5</v>
      </c>
      <c r="AB248" s="151">
        <f t="shared" si="160"/>
        <v>1.5</v>
      </c>
      <c r="AC248" s="151">
        <f t="shared" si="160"/>
        <v>1.5</v>
      </c>
      <c r="AD248" s="151">
        <f t="shared" si="160"/>
        <v>1.5</v>
      </c>
      <c r="AE248" s="151">
        <f t="shared" si="160"/>
        <v>1.5</v>
      </c>
      <c r="AF248" s="151">
        <f t="shared" si="160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158"/>
        <v>0.3</v>
      </c>
      <c r="C249" s="151">
        <v>0.3</v>
      </c>
      <c r="D249" s="151">
        <f t="shared" si="159"/>
        <v>0.3</v>
      </c>
      <c r="E249" s="151">
        <f t="shared" si="159"/>
        <v>0.3</v>
      </c>
      <c r="F249" s="151">
        <f t="shared" si="159"/>
        <v>0.3</v>
      </c>
      <c r="G249" s="151">
        <f t="shared" si="159"/>
        <v>0.3</v>
      </c>
      <c r="H249" s="151">
        <f t="shared" si="159"/>
        <v>0.3</v>
      </c>
      <c r="I249" s="151">
        <f t="shared" si="159"/>
        <v>0.3</v>
      </c>
      <c r="J249" s="151">
        <f t="shared" si="159"/>
        <v>0.3</v>
      </c>
      <c r="K249" s="151">
        <f t="shared" si="159"/>
        <v>0.3</v>
      </c>
      <c r="L249" s="151">
        <f t="shared" si="159"/>
        <v>0.3</v>
      </c>
      <c r="M249" s="151">
        <f t="shared" si="159"/>
        <v>0.3</v>
      </c>
      <c r="N249" s="151">
        <f t="shared" si="159"/>
        <v>0.3</v>
      </c>
      <c r="O249" s="151">
        <f t="shared" si="159"/>
        <v>0.3</v>
      </c>
      <c r="P249" s="151">
        <f t="shared" si="159"/>
        <v>0.3</v>
      </c>
      <c r="Q249" s="151">
        <f t="shared" si="159"/>
        <v>0.3</v>
      </c>
      <c r="R249" s="151">
        <f t="shared" si="159"/>
        <v>0.3</v>
      </c>
      <c r="S249" s="151">
        <f t="shared" si="159"/>
        <v>0.3</v>
      </c>
      <c r="T249" s="151">
        <f t="shared" si="160"/>
        <v>0.3</v>
      </c>
      <c r="U249" s="151">
        <f t="shared" si="160"/>
        <v>0.3</v>
      </c>
      <c r="V249" s="151">
        <f t="shared" si="160"/>
        <v>0.3</v>
      </c>
      <c r="W249" s="151">
        <f t="shared" si="160"/>
        <v>0.3</v>
      </c>
      <c r="X249" s="151">
        <f t="shared" si="160"/>
        <v>0.3</v>
      </c>
      <c r="Y249" s="151">
        <f t="shared" si="160"/>
        <v>0.3</v>
      </c>
      <c r="Z249" s="151">
        <f t="shared" si="160"/>
        <v>0.3</v>
      </c>
      <c r="AA249" s="151">
        <f t="shared" si="160"/>
        <v>0.3</v>
      </c>
      <c r="AB249" s="151">
        <f t="shared" si="160"/>
        <v>0.3</v>
      </c>
      <c r="AC249" s="151">
        <f t="shared" si="160"/>
        <v>0.3</v>
      </c>
      <c r="AD249" s="151">
        <f t="shared" si="160"/>
        <v>0.3</v>
      </c>
      <c r="AE249" s="151">
        <f t="shared" si="160"/>
        <v>0.3</v>
      </c>
      <c r="AF249" s="151">
        <f t="shared" si="160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158"/>
        <v>0.4</v>
      </c>
      <c r="C250" s="151">
        <v>0.4</v>
      </c>
      <c r="D250" s="151">
        <f t="shared" si="159"/>
        <v>0.4</v>
      </c>
      <c r="E250" s="151">
        <f t="shared" si="159"/>
        <v>0.4</v>
      </c>
      <c r="F250" s="151">
        <f t="shared" si="159"/>
        <v>0.4</v>
      </c>
      <c r="G250" s="151">
        <f t="shared" si="159"/>
        <v>0.4</v>
      </c>
      <c r="H250" s="151">
        <f t="shared" si="159"/>
        <v>0.4</v>
      </c>
      <c r="I250" s="151">
        <f t="shared" si="159"/>
        <v>0.4</v>
      </c>
      <c r="J250" s="151">
        <f t="shared" si="159"/>
        <v>0.4</v>
      </c>
      <c r="K250" s="151">
        <f t="shared" si="159"/>
        <v>0.4</v>
      </c>
      <c r="L250" s="151">
        <f t="shared" si="159"/>
        <v>0.4</v>
      </c>
      <c r="M250" s="151">
        <f t="shared" si="159"/>
        <v>0.4</v>
      </c>
      <c r="N250" s="151">
        <f t="shared" si="159"/>
        <v>0.4</v>
      </c>
      <c r="O250" s="151">
        <f t="shared" si="159"/>
        <v>0.4</v>
      </c>
      <c r="P250" s="151">
        <f t="shared" si="159"/>
        <v>0.4</v>
      </c>
      <c r="Q250" s="151">
        <f t="shared" si="159"/>
        <v>0.4</v>
      </c>
      <c r="R250" s="151">
        <f t="shared" si="159"/>
        <v>0.4</v>
      </c>
      <c r="S250" s="151">
        <f t="shared" si="159"/>
        <v>0.4</v>
      </c>
      <c r="T250" s="151">
        <f t="shared" si="160"/>
        <v>0.4</v>
      </c>
      <c r="U250" s="151">
        <f t="shared" si="160"/>
        <v>0.4</v>
      </c>
      <c r="V250" s="151">
        <f t="shared" si="160"/>
        <v>0.4</v>
      </c>
      <c r="W250" s="151">
        <f t="shared" si="160"/>
        <v>0.4</v>
      </c>
      <c r="X250" s="151">
        <f t="shared" si="160"/>
        <v>0.4</v>
      </c>
      <c r="Y250" s="151">
        <f t="shared" si="160"/>
        <v>0.4</v>
      </c>
      <c r="Z250" s="151">
        <f t="shared" si="160"/>
        <v>0.4</v>
      </c>
      <c r="AA250" s="151">
        <f t="shared" si="160"/>
        <v>0.4</v>
      </c>
      <c r="AB250" s="151">
        <f t="shared" si="160"/>
        <v>0.4</v>
      </c>
      <c r="AC250" s="151">
        <f t="shared" si="160"/>
        <v>0.4</v>
      </c>
      <c r="AD250" s="151">
        <f t="shared" si="160"/>
        <v>0.4</v>
      </c>
      <c r="AE250" s="151">
        <f t="shared" si="160"/>
        <v>0.4</v>
      </c>
      <c r="AF250" s="151">
        <f t="shared" si="160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158"/>
        <v>0.64</v>
      </c>
      <c r="C251" s="156">
        <v>0.64</v>
      </c>
      <c r="D251" s="156">
        <f t="shared" si="159"/>
        <v>0.64</v>
      </c>
      <c r="E251" s="156">
        <f t="shared" si="159"/>
        <v>0.64</v>
      </c>
      <c r="F251" s="156">
        <f t="shared" si="159"/>
        <v>0.64</v>
      </c>
      <c r="G251" s="156">
        <f t="shared" si="159"/>
        <v>0.64</v>
      </c>
      <c r="H251" s="156">
        <f t="shared" si="159"/>
        <v>0.64</v>
      </c>
      <c r="I251" s="156">
        <f t="shared" si="159"/>
        <v>0.64</v>
      </c>
      <c r="J251" s="156">
        <f t="shared" si="159"/>
        <v>0.64</v>
      </c>
      <c r="K251" s="156">
        <f t="shared" si="159"/>
        <v>0.64</v>
      </c>
      <c r="L251" s="156">
        <f t="shared" si="159"/>
        <v>0.64</v>
      </c>
      <c r="M251" s="156">
        <f t="shared" si="159"/>
        <v>0.64</v>
      </c>
      <c r="N251" s="156">
        <f t="shared" si="159"/>
        <v>0.64</v>
      </c>
      <c r="O251" s="156">
        <f t="shared" si="159"/>
        <v>0.64</v>
      </c>
      <c r="P251" s="156">
        <f t="shared" si="159"/>
        <v>0.64</v>
      </c>
      <c r="Q251" s="156">
        <f t="shared" si="159"/>
        <v>0.64</v>
      </c>
      <c r="R251" s="156">
        <f t="shared" si="159"/>
        <v>0.64</v>
      </c>
      <c r="S251" s="156">
        <f t="shared" si="159"/>
        <v>0.64</v>
      </c>
      <c r="T251" s="156">
        <f t="shared" si="160"/>
        <v>0.64</v>
      </c>
      <c r="U251" s="156">
        <f t="shared" si="160"/>
        <v>0.64</v>
      </c>
      <c r="V251" s="156">
        <f t="shared" si="160"/>
        <v>0.64</v>
      </c>
      <c r="W251" s="156">
        <f t="shared" si="160"/>
        <v>0.64</v>
      </c>
      <c r="X251" s="156">
        <f t="shared" si="160"/>
        <v>0.64</v>
      </c>
      <c r="Y251" s="156">
        <f t="shared" si="160"/>
        <v>0.64</v>
      </c>
      <c r="Z251" s="156">
        <f t="shared" si="160"/>
        <v>0.64</v>
      </c>
      <c r="AA251" s="156">
        <f t="shared" si="160"/>
        <v>0.64</v>
      </c>
      <c r="AB251" s="156">
        <f t="shared" si="160"/>
        <v>0.64</v>
      </c>
      <c r="AC251" s="156">
        <f t="shared" si="160"/>
        <v>0.64</v>
      </c>
      <c r="AD251" s="156">
        <f t="shared" si="160"/>
        <v>0.64</v>
      </c>
      <c r="AE251" s="156">
        <f t="shared" si="160"/>
        <v>0.64</v>
      </c>
      <c r="AF251" s="156">
        <f t="shared" si="160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161">SUM(B246:B251)</f>
        <v>3.54</v>
      </c>
      <c r="C252" s="160">
        <f t="shared" si="161"/>
        <v>3.54</v>
      </c>
      <c r="D252" s="160">
        <f t="shared" si="161"/>
        <v>3.54</v>
      </c>
      <c r="E252" s="160">
        <f t="shared" si="161"/>
        <v>3.54</v>
      </c>
      <c r="F252" s="160">
        <f t="shared" si="161"/>
        <v>3.54</v>
      </c>
      <c r="G252" s="160">
        <f t="shared" si="161"/>
        <v>3.54</v>
      </c>
      <c r="H252" s="160">
        <f t="shared" si="161"/>
        <v>3.54</v>
      </c>
      <c r="I252" s="160">
        <f t="shared" si="161"/>
        <v>3.54</v>
      </c>
      <c r="J252" s="160">
        <f t="shared" si="161"/>
        <v>3.54</v>
      </c>
      <c r="K252" s="160">
        <f t="shared" si="161"/>
        <v>3.54</v>
      </c>
      <c r="L252" s="160">
        <f t="shared" si="161"/>
        <v>3.54</v>
      </c>
      <c r="M252" s="160">
        <f t="shared" si="161"/>
        <v>3.54</v>
      </c>
      <c r="N252" s="160">
        <f t="shared" si="161"/>
        <v>3.54</v>
      </c>
      <c r="O252" s="160">
        <f t="shared" si="161"/>
        <v>3.54</v>
      </c>
      <c r="P252" s="160">
        <f t="shared" si="161"/>
        <v>3.54</v>
      </c>
      <c r="Q252" s="160">
        <f t="shared" si="161"/>
        <v>3.54</v>
      </c>
      <c r="R252" s="160">
        <f t="shared" si="161"/>
        <v>3.54</v>
      </c>
      <c r="S252" s="160">
        <f t="shared" si="161"/>
        <v>3.54</v>
      </c>
      <c r="T252" s="160">
        <f t="shared" si="161"/>
        <v>3.54</v>
      </c>
      <c r="U252" s="160">
        <f t="shared" si="161"/>
        <v>3.54</v>
      </c>
      <c r="V252" s="160">
        <f t="shared" si="161"/>
        <v>3.54</v>
      </c>
      <c r="W252" s="160">
        <f t="shared" si="161"/>
        <v>3.54</v>
      </c>
      <c r="X252" s="160">
        <f t="shared" si="161"/>
        <v>3.54</v>
      </c>
      <c r="Y252" s="160">
        <f t="shared" si="161"/>
        <v>3.54</v>
      </c>
      <c r="Z252" s="160">
        <f t="shared" si="161"/>
        <v>3.54</v>
      </c>
      <c r="AA252" s="160">
        <f t="shared" si="161"/>
        <v>3.54</v>
      </c>
      <c r="AB252" s="160">
        <f t="shared" si="161"/>
        <v>3.54</v>
      </c>
      <c r="AC252" s="160">
        <f t="shared" si="161"/>
        <v>3.54</v>
      </c>
      <c r="AD252" s="160">
        <f t="shared" si="161"/>
        <v>3.54</v>
      </c>
      <c r="AE252" s="160">
        <f t="shared" si="161"/>
        <v>3.54</v>
      </c>
      <c r="AF252" s="160">
        <f t="shared" si="161"/>
        <v>3.54</v>
      </c>
      <c r="AG252" s="170">
        <f t="shared" si="161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1711.89</v>
      </c>
      <c r="C256" s="173">
        <f>INDEX(G9:N9,1,MATCH(MAX(G99:N99),G99:N99,0))</f>
        <v>0.3125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2080/10/22)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1191" priority="90">
      <formula>$AH11=0</formula>
    </cfRule>
  </conditionalFormatting>
  <conditionalFormatting sqref="A132:A253">
    <cfRule type="expression" dxfId="1190" priority="91">
      <formula>$AH132=0</formula>
    </cfRule>
  </conditionalFormatting>
  <conditionalFormatting sqref="B8">
    <cfRule type="expression" dxfId="1189" priority="149">
      <formula>AND(C$9&gt;=14/24,C$9&lt;20/24)</formula>
    </cfRule>
    <cfRule type="expression" dxfId="1188" priority="150">
      <formula>AND(C$9&gt;=8/24,C$9&lt;14/24)</formula>
    </cfRule>
    <cfRule type="expression" dxfId="1187" priority="151">
      <formula>C$9&lt;8/24</formula>
    </cfRule>
    <cfRule type="expression" dxfId="1186" priority="152">
      <formula>C$9&gt;=20/24</formula>
    </cfRule>
  </conditionalFormatting>
  <conditionalFormatting sqref="B9:AF52 B59:D74 E68:E74 E69:AF74 B77:AF99 B101:AF117 B119:AF137 B244:AF244 B246:B252">
    <cfRule type="expression" dxfId="1185" priority="41">
      <formula>B$9&gt;=20/24</formula>
    </cfRule>
    <cfRule type="expression" dxfId="1184" priority="42">
      <formula>AND(B$9&gt;=14/24,B$9&lt;20/24)</formula>
    </cfRule>
    <cfRule type="expression" dxfId="1183" priority="43">
      <formula>AND(B$9&gt;=8/24,B$9&lt;14/24)</formula>
    </cfRule>
    <cfRule type="expression" dxfId="1182" priority="44">
      <formula>B$9&lt;8/24</formula>
    </cfRule>
  </conditionalFormatting>
  <conditionalFormatting sqref="B53:AF57">
    <cfRule type="expression" dxfId="1181" priority="53">
      <formula>B$9&lt;8/24</formula>
    </cfRule>
  </conditionalFormatting>
  <conditionalFormatting sqref="D246:AF252">
    <cfRule type="expression" dxfId="1180" priority="136">
      <formula>AND(D$9&gt;=8/24,D$9&lt;14/24)</formula>
    </cfRule>
    <cfRule type="expression" dxfId="1179" priority="137">
      <formula>D$9&lt;8/24</formula>
    </cfRule>
    <cfRule type="expression" dxfId="1178" priority="135">
      <formula>AND(D$9&gt;=14/24,D$9&lt;20/24)</formula>
    </cfRule>
    <cfRule type="expression" dxfId="1177" priority="134">
      <formula>D$9&gt;=20/24</formula>
    </cfRule>
  </conditionalFormatting>
  <conditionalFormatting sqref="E63:I67 J64:J67 K67">
    <cfRule type="expression" dxfId="1176" priority="57">
      <formula>E$9&lt;8/24</formula>
    </cfRule>
    <cfRule type="expression" dxfId="1175" priority="54">
      <formula>E$9&gt;=20/24</formula>
    </cfRule>
    <cfRule type="expression" dxfId="1174" priority="55">
      <formula>AND(E$9&gt;=14/24,E$9&lt;20/24)</formula>
    </cfRule>
    <cfRule type="expression" dxfId="1173" priority="56">
      <formula>AND(E$9&gt;=8/24,E$9&lt;14/24)</formula>
    </cfRule>
  </conditionalFormatting>
  <conditionalFormatting sqref="E68:K68">
    <cfRule type="expression" dxfId="1172" priority="49">
      <formula>E$9&gt;=20/24</formula>
    </cfRule>
    <cfRule type="expression" dxfId="1171" priority="50">
      <formula>AND(E$9&gt;=14/24,E$9&lt;20/24)</formula>
    </cfRule>
    <cfRule type="expression" dxfId="1170" priority="51">
      <formula>AND(E$9&gt;=8/24,E$9&lt;14/24)</formula>
    </cfRule>
    <cfRule type="expression" dxfId="1169" priority="52">
      <formula>E$9&lt;8/24</formula>
    </cfRule>
  </conditionalFormatting>
  <conditionalFormatting sqref="E11:AF56 B11:D80 AF57:AF79 E57:AE80 AG62 AF80:AG80">
    <cfRule type="expression" dxfId="1168" priority="40">
      <formula>B11&gt;$AG11</formula>
    </cfRule>
  </conditionalFormatting>
  <conditionalFormatting sqref="E53:AF55 B53:D57">
    <cfRule type="expression" dxfId="1167" priority="39">
      <formula>AND(B$9&gt;=8/24,B$9&lt;14/24)</formula>
    </cfRule>
    <cfRule type="expression" dxfId="1166" priority="38">
      <formula>AND(B$9&gt;=14/24,B$9&lt;20/24)</formula>
    </cfRule>
    <cfRule type="expression" dxfId="1165" priority="37">
      <formula>B$9&gt;=20/24</formula>
    </cfRule>
  </conditionalFormatting>
  <conditionalFormatting sqref="E56:AF57">
    <cfRule type="expression" dxfId="1164" priority="48">
      <formula>AND(E$9&gt;=8/24,E$9&lt;14/24)</formula>
    </cfRule>
    <cfRule type="expression" dxfId="1163" priority="47">
      <formula>AND(E$9&gt;=14/24,E$9&lt;20/24)</formula>
    </cfRule>
    <cfRule type="expression" dxfId="1162" priority="46">
      <formula>E$9&gt;=20/24</formula>
    </cfRule>
  </conditionalFormatting>
  <conditionalFormatting sqref="E59:AF62">
    <cfRule type="expression" dxfId="1161" priority="69">
      <formula>AND(E$9&gt;=14/24,E$9&lt;20/24)</formula>
    </cfRule>
    <cfRule type="expression" dxfId="1160" priority="70">
      <formula>AND(E$9&gt;=8/24,E$9&lt;14/24)</formula>
    </cfRule>
    <cfRule type="expression" dxfId="1159" priority="71">
      <formula>E$9&lt;8/24</formula>
    </cfRule>
    <cfRule type="expression" dxfId="1158" priority="68">
      <formula>E$9&gt;=20/24</formula>
    </cfRule>
  </conditionalFormatting>
  <conditionalFormatting sqref="F63:P65">
    <cfRule type="expression" dxfId="1157" priority="85">
      <formula>F$9&lt;8/24</formula>
    </cfRule>
    <cfRule type="expression" dxfId="1156" priority="84">
      <formula>AND(F$9&gt;=8/24,F$9&lt;14/24)</formula>
    </cfRule>
    <cfRule type="expression" dxfId="1155" priority="83">
      <formula>AND(F$9&gt;=14/24,F$9&lt;20/24)</formula>
    </cfRule>
    <cfRule type="expression" dxfId="1154" priority="82">
      <formula>F$9&gt;=20/24</formula>
    </cfRule>
  </conditionalFormatting>
  <conditionalFormatting sqref="L68:V68">
    <cfRule type="expression" dxfId="1153" priority="80">
      <formula>AND(L$9&gt;=8/24,L$9&lt;14/24)</formula>
    </cfRule>
    <cfRule type="expression" dxfId="1152" priority="81">
      <formula>L$9&lt;8/24</formula>
    </cfRule>
    <cfRule type="expression" dxfId="1151" priority="78">
      <formula>L$9&gt;=20/24</formula>
    </cfRule>
    <cfRule type="expression" dxfId="1150" priority="79">
      <formula>AND(L$9&gt;=14/24,L$9&lt;20/24)</formula>
    </cfRule>
  </conditionalFormatting>
  <conditionalFormatting sqref="M8 S8 AB8">
    <cfRule type="expression" dxfId="1149" priority="143">
      <formula>N$9&lt;8/24</formula>
    </cfRule>
    <cfRule type="expression" dxfId="1148" priority="142">
      <formula>AND(N$9&gt;=8/24,N$9&lt;14/24)</formula>
    </cfRule>
    <cfRule type="expression" dxfId="1147" priority="141">
      <formula>AND(N$9&gt;=14/24,N$9&lt;20/24)</formula>
    </cfRule>
  </conditionalFormatting>
  <conditionalFormatting sqref="M63:V67">
    <cfRule type="expression" dxfId="1146" priority="86">
      <formula>M$9&gt;=20/24</formula>
    </cfRule>
    <cfRule type="expression" dxfId="1145" priority="87">
      <formula>AND(M$9&gt;=14/24,M$9&lt;20/24)</formula>
    </cfRule>
    <cfRule type="expression" dxfId="1144" priority="88">
      <formula>AND(M$9&gt;=8/24,M$9&lt;14/24)</formula>
    </cfRule>
    <cfRule type="expression" dxfId="1143" priority="89">
      <formula>M$9&lt;8/24</formula>
    </cfRule>
  </conditionalFormatting>
  <conditionalFormatting sqref="O3:P3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142" priority="140">
      <formula>N$9&gt;=20/24</formula>
    </cfRule>
  </conditionalFormatting>
  <conditionalFormatting sqref="S8">
    <cfRule type="expression" dxfId="1141" priority="130">
      <formula>U$9&lt;8/24</formula>
    </cfRule>
    <cfRule type="expression" dxfId="1140" priority="129">
      <formula>AND(U$9&gt;=8/24,U$9&lt;14/24)</formula>
    </cfRule>
    <cfRule type="expression" dxfId="1139" priority="128">
      <formula>AND(U$9&gt;=14/24,U$9&lt;20/24)</formula>
    </cfRule>
    <cfRule type="expression" dxfId="1138" priority="127">
      <formula>U$9&gt;=20/24</formula>
    </cfRule>
  </conditionalFormatting>
  <conditionalFormatting sqref="T63:AF68">
    <cfRule type="expression" dxfId="1137" priority="75">
      <formula>T$9&lt;8/24</formula>
    </cfRule>
    <cfRule type="expression" dxfId="1136" priority="74">
      <formula>AND(T$9&gt;=8/24,T$9&lt;14/24)</formula>
    </cfRule>
    <cfRule type="expression" dxfId="1135" priority="73">
      <formula>AND(T$9&gt;=14/24,T$9&lt;20/24)</formula>
    </cfRule>
    <cfRule type="expression" dxfId="1134" priority="72">
      <formula>T$9&gt;=20/24</formula>
    </cfRule>
  </conditionalFormatting>
  <conditionalFormatting sqref="V3 AB3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133" priority="124">
      <formula>AND(AD$9&gt;=14/24,AD$9&lt;20/24)</formula>
    </cfRule>
    <cfRule type="expression" dxfId="1132" priority="123">
      <formula>AD$9&gt;=20/24</formula>
    </cfRule>
    <cfRule type="expression" dxfId="1131" priority="126">
      <formula>AD$9&lt;8/24</formula>
    </cfRule>
    <cfRule type="expression" dxfId="1130" priority="125">
      <formula>AND(AD$9&gt;=8/24,AD$9&lt;14/24)</formula>
    </cfRule>
  </conditionalFormatting>
  <conditionalFormatting sqref="AG58">
    <cfRule type="expression" dxfId="1129" priority="118">
      <formula>AG58&gt;$AG58</formula>
    </cfRule>
  </conditionalFormatting>
  <conditionalFormatting sqref="AG62">
    <cfRule type="expression" dxfId="1128" priority="101">
      <formula>AG$9&gt;=20/24</formula>
    </cfRule>
    <cfRule type="expression" dxfId="1127" priority="102">
      <formula>AND(AG$9&gt;=14/24,AG$9&lt;20/24)</formula>
    </cfRule>
    <cfRule type="expression" dxfId="1126" priority="103">
      <formula>AND(AG$9&gt;=8/24,AG$9&lt;14/24)</formula>
    </cfRule>
    <cfRule type="expression" dxfId="1125" priority="104">
      <formula>AG$9&lt;8/24</formula>
    </cfRule>
  </conditionalFormatting>
  <conditionalFormatting sqref="AG75:AG76">
    <cfRule type="expression" dxfId="1124" priority="96">
      <formula>AG75&gt;$AG75</formula>
    </cfRule>
  </conditionalFormatting>
  <conditionalFormatting sqref="AG80">
    <cfRule type="expression" dxfId="1123" priority="100">
      <formula>AG$9&lt;8/24</formula>
    </cfRule>
    <cfRule type="expression" dxfId="1122" priority="97">
      <formula>AG$9&gt;=20/24</formula>
    </cfRule>
    <cfRule type="expression" dxfId="1121" priority="98">
      <formula>AND(AG$9&gt;=14/24,AG$9&lt;20/24)</formula>
    </cfRule>
    <cfRule type="expression" dxfId="1120" priority="99">
      <formula>AND(AG$9&gt;=8/24,AG$9&lt;14/24)</formula>
    </cfRule>
  </conditionalFormatting>
  <conditionalFormatting sqref="AG97">
    <cfRule type="expression" dxfId="1119" priority="122">
      <formula>AG$9&lt;8/24</formula>
    </cfRule>
    <cfRule type="expression" dxfId="1118" priority="121">
      <formula>AND(AG$9&gt;=8/24,AG$9&lt;14/24)</formula>
    </cfRule>
    <cfRule type="expression" dxfId="1117" priority="119">
      <formula>AG$9&gt;=20/24</formula>
    </cfRule>
    <cfRule type="expression" dxfId="1116" priority="120">
      <formula>AND(AG$9&gt;=14/24,AG$9&lt;20/24)</formula>
    </cfRule>
  </conditionalFormatting>
  <conditionalFormatting sqref="AL4:AL6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115" priority="147">
      <formula>AJ$9&lt;8/24</formula>
    </cfRule>
    <cfRule type="expression" dxfId="1114" priority="145">
      <formula>AND(AJ$9&gt;=14/24,AJ$9&lt;20/24)</formula>
    </cfRule>
    <cfRule type="expression" dxfId="1113" priority="144">
      <formula>AJ$9&gt;=20/24</formula>
    </cfRule>
    <cfRule type="expression" dxfId="1112" priority="146">
      <formula>AND(AJ$9&gt;=8/24,AJ$9&lt;14/24)</formula>
    </cfRule>
  </conditionalFormatting>
  <conditionalFormatting sqref="AL88:AN88 AL94:AN94">
    <cfRule type="expression" dxfId="1111" priority="113">
      <formula>AND(AL$9&gt;=8/24,AL$9&lt;14/24)</formula>
    </cfRule>
    <cfRule type="expression" dxfId="1110" priority="111">
      <formula>AL$9&gt;=20/24</formula>
    </cfRule>
    <cfRule type="expression" dxfId="1109" priority="112">
      <formula>AND(AL$9&gt;=14/24,AL$9&lt;20/24)</formula>
    </cfRule>
    <cfRule type="expression" dxfId="1108" priority="114">
      <formula>AL$9&lt;8/24</formula>
    </cfRule>
  </conditionalFormatting>
  <conditionalFormatting sqref="AM15:AM21 AN16:AR21">
    <cfRule type="expression" dxfId="1107" priority="15">
      <formula>AND(AX$9&gt;=8/24,AX$9&lt;14/24)</formula>
    </cfRule>
    <cfRule type="expression" dxfId="1106" priority="16">
      <formula>AX$9&lt;8/24</formula>
    </cfRule>
    <cfRule type="expression" dxfId="1105" priority="14">
      <formula>AND(AX$9&gt;=14/24,AX$9&lt;20/24)</formula>
    </cfRule>
    <cfRule type="expression" dxfId="1104" priority="13">
      <formula>AX$9&gt;=20/24</formula>
    </cfRule>
  </conditionalFormatting>
  <conditionalFormatting sqref="AN89:AN92">
    <cfRule type="expression" dxfId="1103" priority="107">
      <formula>AN$9&gt;=20/24</formula>
    </cfRule>
    <cfRule type="expression" dxfId="1102" priority="108">
      <formula>AND(AN$9&gt;=14/24,AN$9&lt;20/24)</formula>
    </cfRule>
    <cfRule type="expression" dxfId="1101" priority="109">
      <formula>AND(AN$9&gt;=8/24,AN$9&lt;14/24)</formula>
    </cfRule>
    <cfRule type="expression" dxfId="1100" priority="110">
      <formula>AN$9&lt;8/24</formula>
    </cfRule>
  </conditionalFormatting>
  <conditionalFormatting sqref="AN15:AR15">
    <cfRule type="expression" dxfId="1099" priority="2">
      <formula>AND(U$9&gt;=14/24,U$9&lt;20/24)</formula>
    </cfRule>
    <cfRule type="expression" dxfId="1098" priority="3">
      <formula>AND(U$9&gt;=8/24,U$9&lt;14/24)</formula>
    </cfRule>
    <cfRule type="expression" dxfId="1097" priority="4">
      <formula>U$9&lt;8/24</formula>
    </cfRule>
    <cfRule type="expression" dxfId="1096" priority="1">
      <formula>U$9&gt;=20/24</formula>
    </cfRule>
  </conditionalFormatting>
  <conditionalFormatting sqref="AS15">
    <cfRule type="expression" dxfId="1095" priority="12">
      <formula>AA$9&lt;8/24</formula>
    </cfRule>
    <cfRule type="expression" dxfId="1094" priority="9">
      <formula>AA$9&gt;=20/24</formula>
    </cfRule>
    <cfRule type="expression" dxfId="1093" priority="10">
      <formula>AND(AA$9&gt;=14/24,AA$9&lt;20/24)</formula>
    </cfRule>
    <cfRule type="expression" dxfId="1092" priority="11">
      <formula>AND(AA$9&gt;=8/24,AA$9&lt;14/24)</formula>
    </cfRule>
  </conditionalFormatting>
  <conditionalFormatting sqref="AS16:AS21">
    <cfRule type="expression" dxfId="1091" priority="17">
      <formula>BE$9&gt;=20/24</formula>
    </cfRule>
    <cfRule type="expression" dxfId="1090" priority="18">
      <formula>AND(BE$9&gt;=14/24,BE$9&lt;20/24)</formula>
    </cfRule>
    <cfRule type="expression" dxfId="1089" priority="20">
      <formula>BE$9&lt;8/24</formula>
    </cfRule>
    <cfRule type="expression" dxfId="1088" priority="19">
      <formula>AND(BE$9&gt;=8/24,BE$9&lt;14/24)</formula>
    </cfRule>
  </conditionalFormatting>
  <conditionalFormatting sqref="AT15 AX15:BJ15">
    <cfRule type="expression" dxfId="1087" priority="22">
      <formula>AND(AC$9&gt;=14/24,AC$9&lt;20/24)</formula>
    </cfRule>
    <cfRule type="expression" dxfId="1086" priority="23">
      <formula>AND(AC$9&gt;=8/24,AC$9&lt;14/24)</formula>
    </cfRule>
    <cfRule type="expression" dxfId="1085" priority="24">
      <formula>AC$9&lt;8/24</formula>
    </cfRule>
    <cfRule type="expression" dxfId="1084" priority="21">
      <formula>AC$9&gt;=20/24</formula>
    </cfRule>
  </conditionalFormatting>
  <conditionalFormatting sqref="AT16:AT21">
    <cfRule type="expression" dxfId="1083" priority="25">
      <formula>BG$9&gt;=20/24</formula>
    </cfRule>
    <cfRule type="expression" dxfId="1082" priority="26">
      <formula>AND(BG$9&gt;=14/24,BG$9&lt;20/24)</formula>
    </cfRule>
    <cfRule type="expression" dxfId="1081" priority="27">
      <formula>AND(BG$9&gt;=8/24,BG$9&lt;14/24)</formula>
    </cfRule>
    <cfRule type="expression" dxfId="1080" priority="28">
      <formula>BG$9&lt;8/24</formula>
    </cfRule>
  </conditionalFormatting>
  <conditionalFormatting sqref="AU15:AV15">
    <cfRule type="expression" dxfId="1079" priority="32">
      <formula>AE$9&lt;8/24</formula>
    </cfRule>
    <cfRule type="expression" dxfId="1078" priority="31">
      <formula>AND(AE$9&gt;=8/24,AE$9&lt;14/24)</formula>
    </cfRule>
    <cfRule type="expression" dxfId="1077" priority="30">
      <formula>AND(AE$9&gt;=14/24,AE$9&lt;20/24)</formula>
    </cfRule>
    <cfRule type="expression" dxfId="1076" priority="29">
      <formula>AE$9&gt;=20/24</formula>
    </cfRule>
  </conditionalFormatting>
  <conditionalFormatting sqref="AU16:BJ21">
    <cfRule type="expression" dxfId="1075" priority="33">
      <formula>BI$9&gt;=20/24</formula>
    </cfRule>
    <cfRule type="expression" dxfId="1074" priority="34">
      <formula>AND(BI$9&gt;=14/24,BI$9&lt;20/24)</formula>
    </cfRule>
    <cfRule type="expression" dxfId="1073" priority="35">
      <formula>AND(BI$9&gt;=8/24,BI$9&lt;14/24)</formula>
    </cfRule>
    <cfRule type="expression" dxfId="1072" priority="36">
      <formula>BI$9&lt;8/24</formula>
    </cfRule>
  </conditionalFormatting>
  <conditionalFormatting sqref="AW15">
    <cfRule type="expression" dxfId="1071" priority="5">
      <formula>B$9&gt;=20/24</formula>
    </cfRule>
    <cfRule type="expression" dxfId="1070" priority="6">
      <formula>AND(B$9&gt;=14/24,B$9&lt;20/24)</formula>
    </cfRule>
    <cfRule type="expression" dxfId="1069" priority="8">
      <formula>B$9&lt;8/24</formula>
    </cfRule>
    <cfRule type="expression" dxfId="1068" priority="7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2E225-CE6B-4710-87FD-67A67F2EB6AC}">
  <sheetPr codeName="Sheet27"/>
  <dimension ref="A1:CJ294"/>
  <sheetViews>
    <sheetView zoomScale="106" workbookViewId="0">
      <pane xSplit="1" ySplit="10" topLeftCell="B82" activePane="bottomRight" state="frozen"/>
      <selection activeCell="Z63" sqref="Z63"/>
      <selection pane="topRight" activeCell="Z63" sqref="Z63"/>
      <selection pane="bottomLeft" activeCell="Z63" sqref="Z63"/>
      <selection pane="bottomRight" activeCell="J66" sqref="J66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7.85546875" style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2080/10/23</v>
      </c>
      <c r="C4" s="214"/>
      <c r="D4" s="214"/>
      <c r="E4" s="215" t="str">
        <f ca="1">"2080/"&amp;"10/"&amp;INT(MID(CELL("filename",G6),FIND("]",CELL("filename",G6))+1,200))</f>
        <v>2080/10/23</v>
      </c>
      <c r="F4" s="215"/>
      <c r="G4" s="215"/>
      <c r="H4" s="215" t="str">
        <f ca="1">TEXT(E4,"dddd")</f>
        <v>Wednesday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240.9</v>
      </c>
      <c r="C5" s="30">
        <f t="shared" ref="C5:AE5" si="0">D92</f>
        <v>163.60000000000002</v>
      </c>
      <c r="D5" s="30">
        <f t="shared" si="0"/>
        <v>142.69999999999999</v>
      </c>
      <c r="E5" s="30">
        <f t="shared" si="0"/>
        <v>159.30000000000001</v>
      </c>
      <c r="F5" s="30">
        <f t="shared" si="0"/>
        <v>162.60000000000002</v>
      </c>
      <c r="G5" s="30">
        <f t="shared" si="0"/>
        <v>253.39999999999998</v>
      </c>
      <c r="H5" s="30">
        <f t="shared" si="0"/>
        <v>416</v>
      </c>
      <c r="I5" s="30">
        <f t="shared" si="0"/>
        <v>737.5</v>
      </c>
      <c r="J5" s="30">
        <f t="shared" si="0"/>
        <v>787.1</v>
      </c>
      <c r="K5" s="30">
        <f t="shared" si="0"/>
        <v>805.90000000000009</v>
      </c>
      <c r="L5" s="30">
        <f t="shared" si="0"/>
        <v>807.4</v>
      </c>
      <c r="M5" s="30">
        <f t="shared" si="0"/>
        <v>809.6</v>
      </c>
      <c r="N5" s="30">
        <f t="shared" si="0"/>
        <v>842.7</v>
      </c>
      <c r="O5" s="30">
        <f t="shared" si="0"/>
        <v>810</v>
      </c>
      <c r="P5" s="30">
        <f t="shared" si="0"/>
        <v>774.5</v>
      </c>
      <c r="Q5" s="30">
        <f t="shared" si="0"/>
        <v>816.7</v>
      </c>
      <c r="R5" s="30">
        <f t="shared" si="0"/>
        <v>826.69999999999993</v>
      </c>
      <c r="S5" s="30">
        <f t="shared" si="0"/>
        <v>874.3</v>
      </c>
      <c r="T5" s="30">
        <f t="shared" si="0"/>
        <v>854.8</v>
      </c>
      <c r="U5" s="30">
        <f t="shared" si="0"/>
        <v>789.3</v>
      </c>
      <c r="V5" s="30">
        <f t="shared" si="0"/>
        <v>749.5</v>
      </c>
      <c r="W5" s="30">
        <f t="shared" si="0"/>
        <v>693.2</v>
      </c>
      <c r="X5" s="30">
        <f t="shared" si="0"/>
        <v>153.1</v>
      </c>
      <c r="Y5" s="30">
        <f t="shared" si="0"/>
        <v>178.29999999999998</v>
      </c>
      <c r="Z5" s="30">
        <f t="shared" si="0"/>
        <v>152.30000000000001</v>
      </c>
      <c r="AA5" s="30">
        <f t="shared" si="0"/>
        <v>154</v>
      </c>
      <c r="AB5" s="30">
        <f t="shared" si="0"/>
        <v>147</v>
      </c>
      <c r="AC5" s="30">
        <f t="shared" si="0"/>
        <v>152</v>
      </c>
      <c r="AD5" s="30">
        <f t="shared" si="0"/>
        <v>267</v>
      </c>
      <c r="AE5" s="30">
        <f t="shared" si="0"/>
        <v>223</v>
      </c>
      <c r="AF5" s="30">
        <f>B92</f>
        <v>184.10000000000002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1729MW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Load=1369</v>
      </c>
      <c r="B7" s="35">
        <f>B100</f>
        <v>1435.0900000000001</v>
      </c>
      <c r="C7" s="35">
        <f t="shared" ref="C7:AF7" si="1">C100</f>
        <v>1369.0900000000001</v>
      </c>
      <c r="D7" s="35">
        <f t="shared" si="1"/>
        <v>1393.3899999999999</v>
      </c>
      <c r="E7" s="35">
        <f t="shared" si="1"/>
        <v>1374.49</v>
      </c>
      <c r="F7" s="35">
        <f t="shared" si="1"/>
        <v>1373.39</v>
      </c>
      <c r="G7" s="35">
        <f t="shared" si="1"/>
        <v>1404.8899999999999</v>
      </c>
      <c r="H7" s="35">
        <f t="shared" si="1"/>
        <v>1411.79</v>
      </c>
      <c r="I7" s="35">
        <f t="shared" si="1"/>
        <v>1424.39</v>
      </c>
      <c r="J7" s="35">
        <f t="shared" si="1"/>
        <v>1541.89</v>
      </c>
      <c r="K7" s="35">
        <f t="shared" si="1"/>
        <v>1609.79</v>
      </c>
      <c r="L7" s="35">
        <f t="shared" si="1"/>
        <v>1698.2900000000002</v>
      </c>
      <c r="M7" s="35">
        <f t="shared" si="1"/>
        <v>1724.0900000000001</v>
      </c>
      <c r="N7" s="35">
        <f t="shared" si="1"/>
        <v>1729.2900000000002</v>
      </c>
      <c r="O7" s="35">
        <f t="shared" si="1"/>
        <v>1756.6900000000003</v>
      </c>
      <c r="P7" s="35">
        <f t="shared" si="1"/>
        <v>1700.29</v>
      </c>
      <c r="Q7" s="35">
        <f t="shared" si="1"/>
        <v>1664.79</v>
      </c>
      <c r="R7" s="35">
        <f t="shared" si="1"/>
        <v>1686.69</v>
      </c>
      <c r="S7" s="35">
        <f t="shared" si="1"/>
        <v>1680.3899999999999</v>
      </c>
      <c r="T7" s="35">
        <f t="shared" si="1"/>
        <v>1695.06</v>
      </c>
      <c r="U7" s="35">
        <f t="shared" si="1"/>
        <v>1675.56</v>
      </c>
      <c r="V7" s="35">
        <f t="shared" si="1"/>
        <v>1610.06</v>
      </c>
      <c r="W7" s="35">
        <f t="shared" si="1"/>
        <v>1496.3899999999999</v>
      </c>
      <c r="X7" s="35">
        <f t="shared" si="1"/>
        <v>1474.49</v>
      </c>
      <c r="Y7" s="35">
        <f t="shared" si="1"/>
        <v>1433.9499999999998</v>
      </c>
      <c r="Z7" s="35">
        <f t="shared" si="1"/>
        <v>1856.45</v>
      </c>
      <c r="AA7" s="35">
        <f t="shared" si="1"/>
        <v>1822.6299999999999</v>
      </c>
      <c r="AB7" s="35">
        <f t="shared" si="1"/>
        <v>1767.99</v>
      </c>
      <c r="AC7" s="35">
        <f t="shared" si="1"/>
        <v>1692.1899999999998</v>
      </c>
      <c r="AD7" s="35">
        <f t="shared" si="1"/>
        <v>1735.3899999999999</v>
      </c>
      <c r="AE7" s="35">
        <f t="shared" si="1"/>
        <v>1576.8899999999999</v>
      </c>
      <c r="AF7" s="35">
        <f t="shared" si="1"/>
        <v>1463.8899999999999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1856.45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1856.45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18.899999999999999</v>
      </c>
      <c r="C11" s="46">
        <v>18.899999999999999</v>
      </c>
      <c r="D11" s="46">
        <v>18.899999999999999</v>
      </c>
      <c r="E11" s="46">
        <v>18.899999999999999</v>
      </c>
      <c r="F11" s="46">
        <v>18.899999999999999</v>
      </c>
      <c r="G11" s="46">
        <v>18.899999999999999</v>
      </c>
      <c r="H11" s="46">
        <v>18.899999999999999</v>
      </c>
      <c r="I11" s="46">
        <v>18.899999999999999</v>
      </c>
      <c r="J11" s="46">
        <v>18.899999999999999</v>
      </c>
      <c r="K11" s="46">
        <v>18.899999999999999</v>
      </c>
      <c r="L11" s="46">
        <v>18.899999999999999</v>
      </c>
      <c r="M11" s="46">
        <v>21.9</v>
      </c>
      <c r="N11" s="46">
        <v>21.9</v>
      </c>
      <c r="O11" s="46">
        <v>21.9</v>
      </c>
      <c r="P11" s="46">
        <v>21.9</v>
      </c>
      <c r="Q11" s="46">
        <v>21.9</v>
      </c>
      <c r="R11" s="46">
        <v>21.9</v>
      </c>
      <c r="S11" s="46">
        <v>24.8</v>
      </c>
      <c r="T11" s="46">
        <v>24.8</v>
      </c>
      <c r="U11" s="46">
        <v>24.8</v>
      </c>
      <c r="V11" s="46">
        <v>24.8</v>
      </c>
      <c r="W11" s="46">
        <v>23.8</v>
      </c>
      <c r="X11" s="46">
        <v>23.9</v>
      </c>
      <c r="Y11" s="46">
        <v>21.9</v>
      </c>
      <c r="Z11" s="46">
        <v>21.9</v>
      </c>
      <c r="AA11" s="46">
        <v>21.9</v>
      </c>
      <c r="AB11" s="46">
        <v>24.8</v>
      </c>
      <c r="AC11" s="46">
        <v>24.8</v>
      </c>
      <c r="AD11" s="46">
        <v>24.8</v>
      </c>
      <c r="AE11" s="46">
        <v>24.8</v>
      </c>
      <c r="AF11" s="46">
        <v>24.8</v>
      </c>
      <c r="AG11" s="47">
        <v>86</v>
      </c>
      <c r="AH11" s="48">
        <f t="shared" ref="AH11:AH16" si="2">MAX(B11:AF11)</f>
        <v>24.8</v>
      </c>
      <c r="AI11" s="49">
        <f t="shared" ref="AI11:AI16" si="3">MIN(B11:AF11)</f>
        <v>18.899999999999999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12</v>
      </c>
      <c r="C12" s="46">
        <v>12</v>
      </c>
      <c r="D12" s="46">
        <v>12</v>
      </c>
      <c r="E12" s="46">
        <v>12</v>
      </c>
      <c r="F12" s="46">
        <v>12</v>
      </c>
      <c r="G12" s="46">
        <v>12</v>
      </c>
      <c r="H12" s="46">
        <v>12</v>
      </c>
      <c r="I12" s="46">
        <v>12</v>
      </c>
      <c r="J12" s="46">
        <v>12</v>
      </c>
      <c r="K12" s="46">
        <v>12</v>
      </c>
      <c r="L12" s="46">
        <v>12</v>
      </c>
      <c r="M12" s="46">
        <v>12</v>
      </c>
      <c r="N12" s="46">
        <v>12</v>
      </c>
      <c r="O12" s="46">
        <v>12</v>
      </c>
      <c r="P12" s="46">
        <v>12</v>
      </c>
      <c r="Q12" s="46">
        <v>12</v>
      </c>
      <c r="R12" s="46">
        <v>12</v>
      </c>
      <c r="S12" s="46">
        <v>10</v>
      </c>
      <c r="T12" s="46">
        <v>10</v>
      </c>
      <c r="U12" s="46">
        <v>10</v>
      </c>
      <c r="V12" s="46">
        <v>10</v>
      </c>
      <c r="W12" s="46">
        <v>10</v>
      </c>
      <c r="X12" s="46">
        <v>10</v>
      </c>
      <c r="Y12" s="46">
        <v>10</v>
      </c>
      <c r="Z12" s="46">
        <v>10</v>
      </c>
      <c r="AA12" s="46">
        <v>10</v>
      </c>
      <c r="AB12" s="46">
        <v>10</v>
      </c>
      <c r="AC12" s="46">
        <v>10</v>
      </c>
      <c r="AD12" s="46">
        <v>10</v>
      </c>
      <c r="AE12" s="46">
        <v>10</v>
      </c>
      <c r="AF12" s="46">
        <v>10</v>
      </c>
      <c r="AG12" s="50">
        <v>54</v>
      </c>
      <c r="AH12" s="48">
        <f t="shared" si="2"/>
        <v>12</v>
      </c>
      <c r="AI12" s="49">
        <f t="shared" si="3"/>
        <v>10</v>
      </c>
      <c r="AK12" s="51"/>
      <c r="AL12" s="52" t="str">
        <f ca="1">MID(CELL("filename",C7),FIND("]",CELL("filename",C7))+1,600)</f>
        <v>23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15</v>
      </c>
      <c r="C13" s="46">
        <v>15</v>
      </c>
      <c r="D13" s="46">
        <v>15</v>
      </c>
      <c r="E13" s="46">
        <v>15</v>
      </c>
      <c r="F13" s="46">
        <v>15</v>
      </c>
      <c r="G13" s="46">
        <v>15</v>
      </c>
      <c r="H13" s="46">
        <v>15</v>
      </c>
      <c r="I13" s="46">
        <v>15</v>
      </c>
      <c r="J13" s="46">
        <v>15</v>
      </c>
      <c r="K13" s="46">
        <v>15</v>
      </c>
      <c r="L13" s="46">
        <v>15</v>
      </c>
      <c r="M13" s="46">
        <v>15</v>
      </c>
      <c r="N13" s="46">
        <v>15</v>
      </c>
      <c r="O13" s="46">
        <v>15</v>
      </c>
      <c r="P13" s="46">
        <v>15</v>
      </c>
      <c r="Q13" s="46">
        <v>15</v>
      </c>
      <c r="R13" s="46">
        <v>15</v>
      </c>
      <c r="S13" s="46">
        <v>15</v>
      </c>
      <c r="T13" s="46">
        <v>15</v>
      </c>
      <c r="U13" s="46">
        <v>15</v>
      </c>
      <c r="V13" s="46">
        <v>15</v>
      </c>
      <c r="W13" s="46">
        <v>15</v>
      </c>
      <c r="X13" s="46">
        <v>15</v>
      </c>
      <c r="Y13" s="46">
        <v>15</v>
      </c>
      <c r="Z13" s="46">
        <v>15</v>
      </c>
      <c r="AA13" s="46">
        <v>15</v>
      </c>
      <c r="AB13" s="46">
        <v>15</v>
      </c>
      <c r="AC13" s="46">
        <v>15</v>
      </c>
      <c r="AD13" s="46">
        <v>15</v>
      </c>
      <c r="AE13" s="46">
        <v>15</v>
      </c>
      <c r="AF13" s="46">
        <v>15</v>
      </c>
      <c r="AG13" s="50">
        <v>54</v>
      </c>
      <c r="AH13" s="48">
        <f t="shared" si="2"/>
        <v>15</v>
      </c>
      <c r="AI13" s="49">
        <f t="shared" si="3"/>
        <v>15</v>
      </c>
      <c r="AK13" s="51"/>
      <c r="AL13" s="52" t="str">
        <f ca="1">"Daily Load Curve(Excluding of Export) of Nepal ("&amp;A4&amp;" "&amp;B4&amp;")"</f>
        <v>Daily Load Curve(Excluding of Export) of Nepal (Nepali Date: 2080/10/23)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14</v>
      </c>
      <c r="C14" s="46">
        <v>14</v>
      </c>
      <c r="D14" s="46">
        <v>14</v>
      </c>
      <c r="E14" s="46">
        <v>14</v>
      </c>
      <c r="F14" s="46">
        <v>14</v>
      </c>
      <c r="G14" s="46">
        <v>14</v>
      </c>
      <c r="H14" s="46">
        <v>14</v>
      </c>
      <c r="I14" s="46">
        <v>14</v>
      </c>
      <c r="J14" s="46">
        <v>14</v>
      </c>
      <c r="K14" s="46">
        <v>14</v>
      </c>
      <c r="L14" s="46">
        <v>14</v>
      </c>
      <c r="M14" s="46">
        <v>14</v>
      </c>
      <c r="N14" s="46">
        <v>14</v>
      </c>
      <c r="O14" s="46">
        <v>14</v>
      </c>
      <c r="P14" s="46">
        <v>14</v>
      </c>
      <c r="Q14" s="46">
        <v>14</v>
      </c>
      <c r="R14" s="46">
        <v>14</v>
      </c>
      <c r="S14" s="46">
        <v>13.3</v>
      </c>
      <c r="T14" s="46">
        <v>13.3</v>
      </c>
      <c r="U14" s="46">
        <v>13.3</v>
      </c>
      <c r="V14" s="46">
        <v>13.3</v>
      </c>
      <c r="W14" s="46">
        <v>13.3</v>
      </c>
      <c r="X14" s="46">
        <v>13.3</v>
      </c>
      <c r="Y14" s="46">
        <v>13.3</v>
      </c>
      <c r="Z14" s="46">
        <v>13.3</v>
      </c>
      <c r="AA14" s="46">
        <v>13.3</v>
      </c>
      <c r="AB14" s="46">
        <v>13.3</v>
      </c>
      <c r="AC14" s="46">
        <v>13.3</v>
      </c>
      <c r="AD14" s="46">
        <v>13.3</v>
      </c>
      <c r="AE14" s="46">
        <v>13.3</v>
      </c>
      <c r="AF14" s="46">
        <v>13.3</v>
      </c>
      <c r="AG14" s="47">
        <v>52.4</v>
      </c>
      <c r="AH14" s="48">
        <f t="shared" si="2"/>
        <v>14</v>
      </c>
      <c r="AI14" s="49">
        <f t="shared" si="3"/>
        <v>13.3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42.1</v>
      </c>
      <c r="C15" s="46">
        <v>42.1</v>
      </c>
      <c r="D15" s="46">
        <v>42.1</v>
      </c>
      <c r="E15" s="46">
        <v>42.1</v>
      </c>
      <c r="F15" s="46">
        <v>42.1</v>
      </c>
      <c r="G15" s="46">
        <v>42.1</v>
      </c>
      <c r="H15" s="46">
        <v>42.1</v>
      </c>
      <c r="I15" s="46">
        <v>42.1</v>
      </c>
      <c r="J15" s="46">
        <v>42.1</v>
      </c>
      <c r="K15" s="46">
        <v>42.1</v>
      </c>
      <c r="L15" s="46">
        <v>42.1</v>
      </c>
      <c r="M15" s="46">
        <v>42.1</v>
      </c>
      <c r="N15" s="46">
        <v>42.1</v>
      </c>
      <c r="O15" s="46">
        <v>42.1</v>
      </c>
      <c r="P15" s="46">
        <v>42.1</v>
      </c>
      <c r="Q15" s="46">
        <v>42.1</v>
      </c>
      <c r="R15" s="46">
        <v>42.1</v>
      </c>
      <c r="S15" s="46">
        <v>31.1</v>
      </c>
      <c r="T15" s="46">
        <v>31.1</v>
      </c>
      <c r="U15" s="46">
        <v>31.1</v>
      </c>
      <c r="V15" s="46">
        <v>31.1</v>
      </c>
      <c r="W15" s="46">
        <v>31.1</v>
      </c>
      <c r="X15" s="53">
        <v>31.1</v>
      </c>
      <c r="Y15" s="53">
        <v>31.1</v>
      </c>
      <c r="Z15" s="53">
        <v>31.1</v>
      </c>
      <c r="AA15" s="53">
        <v>31.1</v>
      </c>
      <c r="AB15" s="53">
        <v>31.1</v>
      </c>
      <c r="AC15" s="53">
        <v>31.1</v>
      </c>
      <c r="AD15" s="53">
        <v>31.1</v>
      </c>
      <c r="AE15" s="53">
        <v>31.1</v>
      </c>
      <c r="AF15" s="53">
        <v>31.1</v>
      </c>
      <c r="AG15" s="50">
        <v>50</v>
      </c>
      <c r="AH15" s="48">
        <f t="shared" si="2"/>
        <v>42.1</v>
      </c>
      <c r="AI15" s="49">
        <f t="shared" si="3"/>
        <v>31.1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15.1</v>
      </c>
      <c r="C16" s="46">
        <v>15.1</v>
      </c>
      <c r="D16" s="46">
        <v>15.1</v>
      </c>
      <c r="E16" s="46">
        <v>15.1</v>
      </c>
      <c r="F16" s="46">
        <v>15.1</v>
      </c>
      <c r="G16" s="46">
        <v>15.1</v>
      </c>
      <c r="H16" s="46">
        <v>15.1</v>
      </c>
      <c r="I16" s="46">
        <v>15.1</v>
      </c>
      <c r="J16" s="46">
        <v>15.1</v>
      </c>
      <c r="K16" s="46">
        <v>15.1</v>
      </c>
      <c r="L16" s="46">
        <v>15.1</v>
      </c>
      <c r="M16" s="46">
        <v>15.1</v>
      </c>
      <c r="N16" s="46">
        <v>15.1</v>
      </c>
      <c r="O16" s="46">
        <v>15.1</v>
      </c>
      <c r="P16" s="46">
        <v>15.1</v>
      </c>
      <c r="Q16" s="46">
        <v>15.1</v>
      </c>
      <c r="R16" s="46">
        <v>15.1</v>
      </c>
      <c r="S16" s="46">
        <v>15</v>
      </c>
      <c r="T16" s="46">
        <v>15</v>
      </c>
      <c r="U16" s="46">
        <v>15</v>
      </c>
      <c r="V16" s="46">
        <v>15</v>
      </c>
      <c r="W16" s="46">
        <v>15</v>
      </c>
      <c r="X16" s="46">
        <v>15</v>
      </c>
      <c r="Y16" s="46">
        <v>15</v>
      </c>
      <c r="Z16" s="46">
        <v>15</v>
      </c>
      <c r="AA16" s="46">
        <v>15</v>
      </c>
      <c r="AB16" s="46">
        <v>15</v>
      </c>
      <c r="AC16" s="46">
        <v>15</v>
      </c>
      <c r="AD16" s="46">
        <v>15</v>
      </c>
      <c r="AE16" s="46">
        <v>15</v>
      </c>
      <c r="AF16" s="46">
        <v>15</v>
      </c>
      <c r="AG16" s="50">
        <v>45</v>
      </c>
      <c r="AH16" s="48">
        <f t="shared" si="2"/>
        <v>15.1</v>
      </c>
      <c r="AI16" s="49">
        <f t="shared" si="3"/>
        <v>15</v>
      </c>
      <c r="AK16" s="51"/>
      <c r="AL16" s="54" t="s">
        <v>7</v>
      </c>
      <c r="AM16" s="59">
        <f>B58</f>
        <v>516.15000000000009</v>
      </c>
      <c r="AN16" s="59">
        <f t="shared" ref="AN16:AR16" si="4">C58</f>
        <v>516.15000000000009</v>
      </c>
      <c r="AO16" s="59">
        <f t="shared" si="4"/>
        <v>516.15000000000009</v>
      </c>
      <c r="AP16" s="59">
        <f t="shared" si="4"/>
        <v>516.15000000000009</v>
      </c>
      <c r="AQ16" s="59">
        <f t="shared" si="4"/>
        <v>516.15000000000009</v>
      </c>
      <c r="AR16" s="59">
        <f t="shared" si="4"/>
        <v>516.15000000000009</v>
      </c>
      <c r="AS16" s="59">
        <f>I58</f>
        <v>516.15000000000009</v>
      </c>
      <c r="AT16" s="59">
        <f>K58</f>
        <v>516.15000000000009</v>
      </c>
      <c r="AU16" s="59">
        <f t="shared" ref="AU16:BD16" si="5">M58</f>
        <v>519.15000000000009</v>
      </c>
      <c r="AV16" s="59">
        <f t="shared" si="5"/>
        <v>519.15000000000009</v>
      </c>
      <c r="AW16" s="59">
        <f t="shared" si="5"/>
        <v>519.15000000000009</v>
      </c>
      <c r="AX16" s="59">
        <f t="shared" si="5"/>
        <v>519.15000000000009</v>
      </c>
      <c r="AY16" s="59">
        <f t="shared" si="5"/>
        <v>519.15000000000009</v>
      </c>
      <c r="AZ16" s="59">
        <f t="shared" si="5"/>
        <v>519.15000000000009</v>
      </c>
      <c r="BA16" s="59">
        <f t="shared" si="5"/>
        <v>486.34999999999997</v>
      </c>
      <c r="BB16" s="59">
        <f t="shared" si="5"/>
        <v>486.34999999999997</v>
      </c>
      <c r="BC16" s="59">
        <f t="shared" si="5"/>
        <v>486.34999999999997</v>
      </c>
      <c r="BD16" s="59">
        <f t="shared" si="5"/>
        <v>486.34999999999997</v>
      </c>
      <c r="BE16" s="197">
        <f>X58</f>
        <v>485.45</v>
      </c>
      <c r="BF16" s="197">
        <f>Z58</f>
        <v>483.45</v>
      </c>
      <c r="BG16" s="197">
        <f>AB58</f>
        <v>486.34999999999997</v>
      </c>
      <c r="BH16" s="197">
        <f>AD58</f>
        <v>486.34999999999997</v>
      </c>
      <c r="BI16" s="197">
        <f t="shared" ref="BI16:BJ16" si="6">AE58</f>
        <v>486.34999999999997</v>
      </c>
      <c r="BJ16" s="197">
        <f t="shared" si="6"/>
        <v>486.34999999999997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16.399999999999999</v>
      </c>
      <c r="C17" s="46">
        <v>16.399999999999999</v>
      </c>
      <c r="D17" s="46">
        <v>16.399999999999999</v>
      </c>
      <c r="E17" s="46">
        <v>16.399999999999999</v>
      </c>
      <c r="F17" s="46">
        <v>16.399999999999999</v>
      </c>
      <c r="G17" s="46">
        <v>16.399999999999999</v>
      </c>
      <c r="H17" s="46">
        <v>16.399999999999999</v>
      </c>
      <c r="I17" s="46">
        <v>16.399999999999999</v>
      </c>
      <c r="J17" s="46">
        <v>16.399999999999999</v>
      </c>
      <c r="K17" s="46">
        <v>16.399999999999999</v>
      </c>
      <c r="L17" s="46">
        <v>16.399999999999999</v>
      </c>
      <c r="M17" s="46">
        <v>16.399999999999999</v>
      </c>
      <c r="N17" s="46">
        <v>16.399999999999999</v>
      </c>
      <c r="O17" s="46">
        <v>16.399999999999999</v>
      </c>
      <c r="P17" s="46">
        <v>16.399999999999999</v>
      </c>
      <c r="Q17" s="46">
        <v>16.399999999999999</v>
      </c>
      <c r="R17" s="46">
        <v>16.399999999999999</v>
      </c>
      <c r="S17" s="46">
        <v>16.399999999999999</v>
      </c>
      <c r="T17" s="46">
        <v>16.399999999999999</v>
      </c>
      <c r="U17" s="46">
        <v>16.399999999999999</v>
      </c>
      <c r="V17" s="46">
        <v>16.399999999999999</v>
      </c>
      <c r="W17" s="46">
        <v>16.399999999999999</v>
      </c>
      <c r="X17" s="46">
        <v>16.399999999999999</v>
      </c>
      <c r="Y17" s="46">
        <v>16.399999999999999</v>
      </c>
      <c r="Z17" s="46">
        <v>16.399999999999999</v>
      </c>
      <c r="AA17" s="46">
        <v>16.399999999999999</v>
      </c>
      <c r="AB17" s="46">
        <v>16.399999999999999</v>
      </c>
      <c r="AC17" s="46">
        <v>16.399999999999999</v>
      </c>
      <c r="AD17" s="46">
        <v>16.399999999999999</v>
      </c>
      <c r="AE17" s="46">
        <v>16.399999999999999</v>
      </c>
      <c r="AF17" s="46">
        <v>16.399999999999999</v>
      </c>
      <c r="AG17" s="50">
        <v>44</v>
      </c>
      <c r="AH17" s="48">
        <f>MAX(B17:AG17)</f>
        <v>44</v>
      </c>
      <c r="AI17" s="49">
        <f>MIN(B17:AG17)</f>
        <v>16.399999999999999</v>
      </c>
      <c r="AK17" s="51"/>
      <c r="AL17" s="54" t="s">
        <v>27</v>
      </c>
      <c r="AM17" s="59">
        <f>B62</f>
        <v>102.2</v>
      </c>
      <c r="AN17" s="59">
        <f t="shared" ref="AN17:AR17" si="7">C62</f>
        <v>64</v>
      </c>
      <c r="AO17" s="59">
        <f t="shared" si="7"/>
        <v>104.4</v>
      </c>
      <c r="AP17" s="59">
        <f t="shared" si="7"/>
        <v>104.4</v>
      </c>
      <c r="AQ17" s="59">
        <f t="shared" si="7"/>
        <v>104.4</v>
      </c>
      <c r="AR17" s="59">
        <f t="shared" si="7"/>
        <v>104.4</v>
      </c>
      <c r="AS17" s="59">
        <f>I62</f>
        <v>49</v>
      </c>
      <c r="AT17" s="59">
        <f>K62</f>
        <v>34</v>
      </c>
      <c r="AU17" s="59">
        <f t="shared" ref="AU17:BD17" si="8">M62</f>
        <v>35.5</v>
      </c>
      <c r="AV17" s="59">
        <f t="shared" si="8"/>
        <v>35.5</v>
      </c>
      <c r="AW17" s="59">
        <f t="shared" si="8"/>
        <v>35.200000000000003</v>
      </c>
      <c r="AX17" s="59">
        <f t="shared" si="8"/>
        <v>35.400000000000006</v>
      </c>
      <c r="AY17" s="59">
        <f t="shared" si="8"/>
        <v>35.400000000000006</v>
      </c>
      <c r="AZ17" s="59">
        <f t="shared" si="8"/>
        <v>35.400000000000006</v>
      </c>
      <c r="BA17" s="59">
        <f t="shared" si="8"/>
        <v>32.299999999999997</v>
      </c>
      <c r="BB17" s="59">
        <f t="shared" si="8"/>
        <v>32.299999999999997</v>
      </c>
      <c r="BC17" s="59">
        <f t="shared" si="8"/>
        <v>32.299999999999997</v>
      </c>
      <c r="BD17" s="59">
        <f t="shared" si="8"/>
        <v>32.299999999999997</v>
      </c>
      <c r="BE17" s="197">
        <f>X62</f>
        <v>67.900000000000006</v>
      </c>
      <c r="BF17" s="197">
        <f>Z62</f>
        <v>417.8</v>
      </c>
      <c r="BG17" s="197">
        <f>AB62</f>
        <v>418.3</v>
      </c>
      <c r="BH17" s="197">
        <f>AD62</f>
        <v>418.3</v>
      </c>
      <c r="BI17" s="197">
        <f t="shared" ref="BI17:BJ17" si="9">AE62</f>
        <v>106.8</v>
      </c>
      <c r="BJ17" s="197">
        <f t="shared" si="9"/>
        <v>106.8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10.5</v>
      </c>
      <c r="C18" s="46">
        <v>10.5</v>
      </c>
      <c r="D18" s="46">
        <v>10.5</v>
      </c>
      <c r="E18" s="46">
        <v>10.5</v>
      </c>
      <c r="F18" s="46">
        <v>10.5</v>
      </c>
      <c r="G18" s="46">
        <v>10.5</v>
      </c>
      <c r="H18" s="46">
        <v>10.5</v>
      </c>
      <c r="I18" s="46">
        <v>10.5</v>
      </c>
      <c r="J18" s="46">
        <v>10.5</v>
      </c>
      <c r="K18" s="46">
        <v>10.5</v>
      </c>
      <c r="L18" s="46">
        <v>10.5</v>
      </c>
      <c r="M18" s="46">
        <v>10.5</v>
      </c>
      <c r="N18" s="46">
        <v>10.5</v>
      </c>
      <c r="O18" s="46">
        <v>10.5</v>
      </c>
      <c r="P18" s="46">
        <v>10.5</v>
      </c>
      <c r="Q18" s="46">
        <v>10.5</v>
      </c>
      <c r="R18" s="46">
        <v>10.5</v>
      </c>
      <c r="S18" s="46">
        <v>9</v>
      </c>
      <c r="T18" s="46">
        <v>9</v>
      </c>
      <c r="U18" s="46">
        <v>9</v>
      </c>
      <c r="V18" s="46">
        <v>9</v>
      </c>
      <c r="W18" s="46">
        <v>9</v>
      </c>
      <c r="X18" s="46">
        <v>9</v>
      </c>
      <c r="Y18" s="46">
        <v>9</v>
      </c>
      <c r="Z18" s="46">
        <v>9</v>
      </c>
      <c r="AA18" s="46">
        <v>9</v>
      </c>
      <c r="AB18" s="46">
        <v>9</v>
      </c>
      <c r="AC18" s="46">
        <v>9</v>
      </c>
      <c r="AD18" s="46">
        <v>9</v>
      </c>
      <c r="AE18" s="46">
        <v>9</v>
      </c>
      <c r="AF18" s="46">
        <v>9</v>
      </c>
      <c r="AG18" s="50">
        <v>42</v>
      </c>
      <c r="AH18" s="48">
        <f t="shared" ref="AH18:AH81" si="10">MAX(B18:AF18)</f>
        <v>10.5</v>
      </c>
      <c r="AI18" s="49">
        <f t="shared" ref="AI18:AI81" si="11">MIN(B18:AF18)</f>
        <v>9</v>
      </c>
      <c r="AK18" s="51"/>
      <c r="AL18" s="54" t="s">
        <v>29</v>
      </c>
      <c r="AM18" s="59">
        <f>B76</f>
        <v>184.34</v>
      </c>
      <c r="AN18" s="59">
        <f t="shared" ref="AN18:AR18" si="12">C76</f>
        <v>149.54</v>
      </c>
      <c r="AO18" s="59">
        <f t="shared" si="12"/>
        <v>162.94</v>
      </c>
      <c r="AP18" s="59">
        <f t="shared" si="12"/>
        <v>162.94</v>
      </c>
      <c r="AQ18" s="59">
        <f t="shared" si="12"/>
        <v>145.24</v>
      </c>
      <c r="AR18" s="59">
        <f t="shared" si="12"/>
        <v>173.44</v>
      </c>
      <c r="AS18" s="59">
        <f>I76</f>
        <v>144.94</v>
      </c>
      <c r="AT18" s="59">
        <f>K76</f>
        <v>161.94</v>
      </c>
      <c r="AU18" s="59">
        <f t="shared" ref="AU18:BD18" si="13">M76</f>
        <v>233.34</v>
      </c>
      <c r="AV18" s="59">
        <f t="shared" si="13"/>
        <v>236.34</v>
      </c>
      <c r="AW18" s="59">
        <f t="shared" si="13"/>
        <v>230.54000000000002</v>
      </c>
      <c r="AX18" s="59">
        <f t="shared" si="13"/>
        <v>226.64</v>
      </c>
      <c r="AY18" s="59">
        <f t="shared" si="13"/>
        <v>226.64</v>
      </c>
      <c r="AZ18" s="59">
        <f t="shared" si="13"/>
        <v>191.33999999999997</v>
      </c>
      <c r="BA18" s="59">
        <f t="shared" si="13"/>
        <v>206.24000000000004</v>
      </c>
      <c r="BB18" s="59">
        <f t="shared" si="13"/>
        <v>175.6</v>
      </c>
      <c r="BC18" s="59">
        <f t="shared" si="13"/>
        <v>175.6</v>
      </c>
      <c r="BD18" s="59">
        <f t="shared" si="13"/>
        <v>175.6</v>
      </c>
      <c r="BE18" s="197">
        <f>X76</f>
        <v>152.13999999999996</v>
      </c>
      <c r="BF18" s="197">
        <f>Z76</f>
        <v>382.2</v>
      </c>
      <c r="BG18" s="197">
        <f>AB76</f>
        <v>315.33999999999997</v>
      </c>
      <c r="BH18" s="197">
        <f>AD76</f>
        <v>284.74</v>
      </c>
      <c r="BI18" s="197">
        <f t="shared" ref="BI18:BJ18" si="14">AE76</f>
        <v>321.74</v>
      </c>
      <c r="BJ18" s="197">
        <f t="shared" si="14"/>
        <v>251.73999999999998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16.3</v>
      </c>
      <c r="C19" s="46">
        <v>16.3</v>
      </c>
      <c r="D19" s="46">
        <v>16.3</v>
      </c>
      <c r="E19" s="46">
        <v>16.3</v>
      </c>
      <c r="F19" s="46">
        <v>16.3</v>
      </c>
      <c r="G19" s="46">
        <v>16.3</v>
      </c>
      <c r="H19" s="46">
        <v>16.3</v>
      </c>
      <c r="I19" s="46">
        <v>16.3</v>
      </c>
      <c r="J19" s="46">
        <v>16.3</v>
      </c>
      <c r="K19" s="46">
        <v>16.3</v>
      </c>
      <c r="L19" s="46">
        <v>16.3</v>
      </c>
      <c r="M19" s="46">
        <v>16.3</v>
      </c>
      <c r="N19" s="46">
        <v>16.3</v>
      </c>
      <c r="O19" s="46">
        <v>16.3</v>
      </c>
      <c r="P19" s="46">
        <v>16.3</v>
      </c>
      <c r="Q19" s="46">
        <v>16.3</v>
      </c>
      <c r="R19" s="46">
        <v>16.3</v>
      </c>
      <c r="S19" s="46">
        <v>14.4</v>
      </c>
      <c r="T19" s="46">
        <v>14.4</v>
      </c>
      <c r="U19" s="46">
        <v>14.4</v>
      </c>
      <c r="V19" s="46">
        <v>14.4</v>
      </c>
      <c r="W19" s="46">
        <v>14.4</v>
      </c>
      <c r="X19" s="46">
        <v>14.4</v>
      </c>
      <c r="Y19" s="46">
        <v>14.4</v>
      </c>
      <c r="Z19" s="46">
        <v>14.4</v>
      </c>
      <c r="AA19" s="46">
        <v>14.4</v>
      </c>
      <c r="AB19" s="46">
        <v>14.4</v>
      </c>
      <c r="AC19" s="46">
        <v>14.4</v>
      </c>
      <c r="AD19" s="46">
        <v>14.4</v>
      </c>
      <c r="AE19" s="46">
        <v>14.4</v>
      </c>
      <c r="AF19" s="46">
        <v>14.4</v>
      </c>
      <c r="AG19" s="50">
        <v>38.46</v>
      </c>
      <c r="AH19" s="48">
        <f t="shared" si="10"/>
        <v>16.3</v>
      </c>
      <c r="AI19" s="49">
        <f t="shared" si="11"/>
        <v>14.4</v>
      </c>
      <c r="AK19" s="51"/>
      <c r="AL19" s="54" t="s">
        <v>31</v>
      </c>
      <c r="AM19" s="59">
        <f>B92</f>
        <v>184.10000000000002</v>
      </c>
      <c r="AN19" s="59">
        <f t="shared" ref="AN19:AR19" si="15">C92</f>
        <v>240.9</v>
      </c>
      <c r="AO19" s="59">
        <f t="shared" si="15"/>
        <v>163.60000000000002</v>
      </c>
      <c r="AP19" s="59">
        <f t="shared" si="15"/>
        <v>142.69999999999999</v>
      </c>
      <c r="AQ19" s="59">
        <f t="shared" si="15"/>
        <v>159.30000000000001</v>
      </c>
      <c r="AR19" s="59">
        <f t="shared" si="15"/>
        <v>162.60000000000002</v>
      </c>
      <c r="AS19" s="59">
        <f>I92</f>
        <v>416</v>
      </c>
      <c r="AT19" s="59">
        <f>K92</f>
        <v>787.1</v>
      </c>
      <c r="AU19" s="59">
        <f t="shared" ref="AU19:BD19" si="16">M92</f>
        <v>807.4</v>
      </c>
      <c r="AV19" s="59">
        <f t="shared" si="16"/>
        <v>809.6</v>
      </c>
      <c r="AW19" s="59">
        <f t="shared" si="16"/>
        <v>842.7</v>
      </c>
      <c r="AX19" s="59">
        <f t="shared" si="16"/>
        <v>810</v>
      </c>
      <c r="AY19" s="59">
        <f t="shared" si="16"/>
        <v>774.5</v>
      </c>
      <c r="AZ19" s="59">
        <f t="shared" si="16"/>
        <v>816.7</v>
      </c>
      <c r="BA19" s="59">
        <f t="shared" si="16"/>
        <v>826.69999999999993</v>
      </c>
      <c r="BB19" s="59">
        <f t="shared" si="16"/>
        <v>874.3</v>
      </c>
      <c r="BC19" s="59">
        <f t="shared" si="16"/>
        <v>854.8</v>
      </c>
      <c r="BD19" s="59">
        <f t="shared" si="16"/>
        <v>789.3</v>
      </c>
      <c r="BE19" s="197">
        <f>X92</f>
        <v>693.2</v>
      </c>
      <c r="BF19" s="197">
        <f>Z92</f>
        <v>178.29999999999998</v>
      </c>
      <c r="BG19" s="197">
        <f>AB92</f>
        <v>154</v>
      </c>
      <c r="BH19" s="197">
        <f>AD92</f>
        <v>152</v>
      </c>
      <c r="BI19" s="197">
        <f t="shared" ref="BI19:BJ19" si="17">AE92</f>
        <v>267</v>
      </c>
      <c r="BJ19" s="197">
        <f t="shared" si="17"/>
        <v>223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7.8</v>
      </c>
      <c r="C20" s="46">
        <v>7.8</v>
      </c>
      <c r="D20" s="46">
        <v>7.8</v>
      </c>
      <c r="E20" s="46">
        <v>7.8</v>
      </c>
      <c r="F20" s="46">
        <v>7.8</v>
      </c>
      <c r="G20" s="46">
        <v>7.8</v>
      </c>
      <c r="H20" s="46">
        <v>7.8</v>
      </c>
      <c r="I20" s="46">
        <v>7.8</v>
      </c>
      <c r="J20" s="46">
        <v>7.8</v>
      </c>
      <c r="K20" s="46">
        <v>7.8</v>
      </c>
      <c r="L20" s="46">
        <v>7.8</v>
      </c>
      <c r="M20" s="46">
        <v>7.8</v>
      </c>
      <c r="N20" s="46">
        <v>7.8</v>
      </c>
      <c r="O20" s="46">
        <v>7.8</v>
      </c>
      <c r="P20" s="46">
        <v>7.8</v>
      </c>
      <c r="Q20" s="46">
        <v>7.8</v>
      </c>
      <c r="R20" s="46">
        <v>7.8</v>
      </c>
      <c r="S20" s="46">
        <v>7.8</v>
      </c>
      <c r="T20" s="46">
        <v>7.8</v>
      </c>
      <c r="U20" s="46">
        <v>7.8</v>
      </c>
      <c r="V20" s="46">
        <v>7.8</v>
      </c>
      <c r="W20" s="46">
        <v>7.8</v>
      </c>
      <c r="X20" s="46">
        <v>7.8</v>
      </c>
      <c r="Y20" s="46">
        <v>7.8</v>
      </c>
      <c r="Z20" s="46">
        <v>7.8</v>
      </c>
      <c r="AA20" s="46">
        <v>7.8</v>
      </c>
      <c r="AB20" s="46">
        <v>7.8</v>
      </c>
      <c r="AC20" s="46">
        <v>7.8</v>
      </c>
      <c r="AD20" s="46">
        <v>7.8</v>
      </c>
      <c r="AE20" s="46">
        <v>7.8</v>
      </c>
      <c r="AF20" s="46">
        <v>7.8</v>
      </c>
      <c r="AG20" s="50">
        <v>38.46</v>
      </c>
      <c r="AH20" s="48">
        <f t="shared" si="10"/>
        <v>7.8</v>
      </c>
      <c r="AI20" s="49">
        <f t="shared" si="11"/>
        <v>7.8</v>
      </c>
      <c r="AK20" s="51"/>
      <c r="AL20" s="54" t="s">
        <v>33</v>
      </c>
      <c r="AM20" s="59">
        <f>B80</f>
        <v>98.3</v>
      </c>
      <c r="AN20" s="59">
        <f t="shared" ref="AN20:AR20" si="18">C80</f>
        <v>49.5</v>
      </c>
      <c r="AO20" s="59">
        <f t="shared" si="18"/>
        <v>98.3</v>
      </c>
      <c r="AP20" s="59">
        <f t="shared" si="18"/>
        <v>98.3</v>
      </c>
      <c r="AQ20" s="59">
        <f t="shared" si="18"/>
        <v>98.3</v>
      </c>
      <c r="AR20" s="59">
        <f t="shared" si="18"/>
        <v>98.3</v>
      </c>
      <c r="AS20" s="59">
        <f>I80</f>
        <v>98.3</v>
      </c>
      <c r="AT20" s="59">
        <f>K80</f>
        <v>60.6</v>
      </c>
      <c r="AU20" s="59">
        <f t="shared" ref="AU20:BD20" si="19">M80</f>
        <v>78.7</v>
      </c>
      <c r="AV20" s="59">
        <f t="shared" si="19"/>
        <v>78.7</v>
      </c>
      <c r="AW20" s="59">
        <f t="shared" si="19"/>
        <v>79.099999999999994</v>
      </c>
      <c r="AX20" s="59">
        <f t="shared" si="19"/>
        <v>79.099999999999994</v>
      </c>
      <c r="AY20" s="59">
        <f t="shared" si="19"/>
        <v>79.099999999999994</v>
      </c>
      <c r="AZ20" s="59">
        <f t="shared" si="19"/>
        <v>89.1</v>
      </c>
      <c r="BA20" s="59">
        <f t="shared" si="19"/>
        <v>98.8</v>
      </c>
      <c r="BB20" s="59">
        <f t="shared" si="19"/>
        <v>96.509999999999991</v>
      </c>
      <c r="BC20" s="59">
        <f t="shared" si="19"/>
        <v>96.509999999999991</v>
      </c>
      <c r="BD20" s="59">
        <f t="shared" si="19"/>
        <v>96.509999999999991</v>
      </c>
      <c r="BE20" s="197">
        <f>X80</f>
        <v>75.8</v>
      </c>
      <c r="BF20" s="197">
        <f>Z80</f>
        <v>94.7</v>
      </c>
      <c r="BG20" s="197">
        <f>AB80</f>
        <v>94</v>
      </c>
      <c r="BH20" s="197">
        <f>AD80</f>
        <v>94</v>
      </c>
      <c r="BI20" s="197">
        <f t="shared" ref="BI20:BJ20" si="20">AE80</f>
        <v>95</v>
      </c>
      <c r="BJ20" s="197">
        <f t="shared" si="20"/>
        <v>96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11</v>
      </c>
      <c r="C21" s="46">
        <v>11</v>
      </c>
      <c r="D21" s="46">
        <v>11</v>
      </c>
      <c r="E21" s="46">
        <v>11</v>
      </c>
      <c r="F21" s="46">
        <v>11</v>
      </c>
      <c r="G21" s="46">
        <v>11</v>
      </c>
      <c r="H21" s="46">
        <v>11</v>
      </c>
      <c r="I21" s="46">
        <v>11</v>
      </c>
      <c r="J21" s="46">
        <v>11</v>
      </c>
      <c r="K21" s="46">
        <v>11</v>
      </c>
      <c r="L21" s="46">
        <v>11</v>
      </c>
      <c r="M21" s="46">
        <v>11</v>
      </c>
      <c r="N21" s="46">
        <v>11</v>
      </c>
      <c r="O21" s="46">
        <v>11</v>
      </c>
      <c r="P21" s="46">
        <v>11</v>
      </c>
      <c r="Q21" s="46">
        <v>11</v>
      </c>
      <c r="R21" s="46">
        <v>11</v>
      </c>
      <c r="S21" s="46">
        <v>11</v>
      </c>
      <c r="T21" s="46">
        <v>11</v>
      </c>
      <c r="U21" s="46">
        <v>11</v>
      </c>
      <c r="V21" s="46">
        <v>11</v>
      </c>
      <c r="W21" s="46">
        <v>11</v>
      </c>
      <c r="X21" s="46">
        <v>11</v>
      </c>
      <c r="Y21" s="46">
        <v>11</v>
      </c>
      <c r="Z21" s="46">
        <v>11</v>
      </c>
      <c r="AA21" s="46">
        <v>11</v>
      </c>
      <c r="AB21" s="46">
        <v>11</v>
      </c>
      <c r="AC21" s="46">
        <v>11</v>
      </c>
      <c r="AD21" s="46">
        <v>11</v>
      </c>
      <c r="AE21" s="46">
        <v>11</v>
      </c>
      <c r="AF21" s="46">
        <v>11</v>
      </c>
      <c r="AG21" s="50">
        <v>36</v>
      </c>
      <c r="AH21" s="48">
        <f t="shared" si="10"/>
        <v>11</v>
      </c>
      <c r="AI21" s="49">
        <f t="shared" si="11"/>
        <v>11</v>
      </c>
      <c r="AK21" s="51"/>
      <c r="AL21" s="54" t="s">
        <v>35</v>
      </c>
      <c r="AM21" s="59">
        <f>B98</f>
        <v>350</v>
      </c>
      <c r="AN21" s="59">
        <f t="shared" ref="AN21:AR21" si="21">C98</f>
        <v>350</v>
      </c>
      <c r="AO21" s="59">
        <f t="shared" si="21"/>
        <v>350</v>
      </c>
      <c r="AP21" s="59">
        <f t="shared" si="21"/>
        <v>350</v>
      </c>
      <c r="AQ21" s="59">
        <f t="shared" si="21"/>
        <v>350</v>
      </c>
      <c r="AR21" s="59">
        <f t="shared" si="21"/>
        <v>350</v>
      </c>
      <c r="AS21" s="59">
        <f>I98</f>
        <v>200</v>
      </c>
      <c r="AT21" s="59">
        <f>K98</f>
        <v>50</v>
      </c>
      <c r="AU21" s="59">
        <f t="shared" ref="AU21:BD21" si="22">M98</f>
        <v>50</v>
      </c>
      <c r="AV21" s="59">
        <f t="shared" si="22"/>
        <v>50</v>
      </c>
      <c r="AW21" s="59">
        <f t="shared" si="22"/>
        <v>50</v>
      </c>
      <c r="AX21" s="59">
        <f t="shared" si="22"/>
        <v>30</v>
      </c>
      <c r="AY21" s="59">
        <f t="shared" si="22"/>
        <v>30</v>
      </c>
      <c r="AZ21" s="59">
        <f t="shared" si="22"/>
        <v>35</v>
      </c>
      <c r="BA21" s="59">
        <f t="shared" si="22"/>
        <v>30</v>
      </c>
      <c r="BB21" s="59">
        <f t="shared" si="22"/>
        <v>30</v>
      </c>
      <c r="BC21" s="59">
        <f t="shared" si="22"/>
        <v>30</v>
      </c>
      <c r="BD21" s="59">
        <f t="shared" si="22"/>
        <v>30</v>
      </c>
      <c r="BE21" s="197">
        <f>X98</f>
        <v>0</v>
      </c>
      <c r="BF21" s="197">
        <f>Z98</f>
        <v>300</v>
      </c>
      <c r="BG21" s="197">
        <f>AB98</f>
        <v>300</v>
      </c>
      <c r="BH21" s="197">
        <f>AD98</f>
        <v>300</v>
      </c>
      <c r="BI21" s="197">
        <f t="shared" ref="BI21:BJ21" si="23">AE98</f>
        <v>300</v>
      </c>
      <c r="BJ21" s="197">
        <f t="shared" si="23"/>
        <v>300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15.4</v>
      </c>
      <c r="C22" s="46">
        <v>15.4</v>
      </c>
      <c r="D22" s="46">
        <v>15.4</v>
      </c>
      <c r="E22" s="46">
        <v>15.4</v>
      </c>
      <c r="F22" s="46">
        <v>15.4</v>
      </c>
      <c r="G22" s="46">
        <v>15.4</v>
      </c>
      <c r="H22" s="46">
        <v>15.4</v>
      </c>
      <c r="I22" s="46">
        <v>15.4</v>
      </c>
      <c r="J22" s="46">
        <v>15.4</v>
      </c>
      <c r="K22" s="46">
        <v>15.4</v>
      </c>
      <c r="L22" s="46">
        <v>15.4</v>
      </c>
      <c r="M22" s="46">
        <v>15.4</v>
      </c>
      <c r="N22" s="46">
        <v>15.4</v>
      </c>
      <c r="O22" s="46">
        <v>15.4</v>
      </c>
      <c r="P22" s="46">
        <v>15.4</v>
      </c>
      <c r="Q22" s="46">
        <v>15.4</v>
      </c>
      <c r="R22" s="46">
        <v>15.4</v>
      </c>
      <c r="S22" s="46">
        <v>8.8000000000000007</v>
      </c>
      <c r="T22" s="46">
        <v>8.8000000000000007</v>
      </c>
      <c r="U22" s="46">
        <v>8.8000000000000007</v>
      </c>
      <c r="V22" s="46">
        <v>8.8000000000000007</v>
      </c>
      <c r="W22" s="46">
        <v>8.8000000000000007</v>
      </c>
      <c r="X22" s="46">
        <v>8.8000000000000007</v>
      </c>
      <c r="Y22" s="46">
        <v>8.8000000000000007</v>
      </c>
      <c r="Z22" s="46">
        <v>8.8000000000000007</v>
      </c>
      <c r="AA22" s="46">
        <v>8.8000000000000007</v>
      </c>
      <c r="AB22" s="46">
        <v>8.8000000000000007</v>
      </c>
      <c r="AC22" s="46">
        <v>8.8000000000000007</v>
      </c>
      <c r="AD22" s="46">
        <v>8.8000000000000007</v>
      </c>
      <c r="AE22" s="46">
        <v>8.8000000000000007</v>
      </c>
      <c r="AF22" s="46">
        <v>8.8000000000000007</v>
      </c>
      <c r="AG22" s="60">
        <v>30</v>
      </c>
      <c r="AH22" s="48">
        <f t="shared" si="10"/>
        <v>15.4</v>
      </c>
      <c r="AI22" s="49">
        <f t="shared" si="11"/>
        <v>8.8000000000000007</v>
      </c>
      <c r="AK22" s="51"/>
      <c r="AL22" s="61" t="s">
        <v>37</v>
      </c>
      <c r="AM22" s="62">
        <f>SUM(AM16:AM21)</f>
        <v>1435.0900000000001</v>
      </c>
      <c r="AN22" s="62">
        <f t="shared" ref="AN22:BJ22" si="24">SUM(AN16:AN21)</f>
        <v>1370.0900000000001</v>
      </c>
      <c r="AO22" s="62">
        <f t="shared" si="24"/>
        <v>1395.39</v>
      </c>
      <c r="AP22" s="62">
        <f t="shared" si="24"/>
        <v>1374.49</v>
      </c>
      <c r="AQ22" s="62">
        <f t="shared" si="24"/>
        <v>1373.39</v>
      </c>
      <c r="AR22" s="62">
        <f t="shared" si="24"/>
        <v>1404.89</v>
      </c>
      <c r="AS22" s="62">
        <f t="shared" si="24"/>
        <v>1424.39</v>
      </c>
      <c r="AT22" s="62">
        <f t="shared" si="24"/>
        <v>1609.79</v>
      </c>
      <c r="AU22" s="62">
        <f t="shared" si="24"/>
        <v>1724.0900000000001</v>
      </c>
      <c r="AV22" s="62">
        <f t="shared" si="24"/>
        <v>1729.2900000000002</v>
      </c>
      <c r="AW22" s="62">
        <f t="shared" si="24"/>
        <v>1756.69</v>
      </c>
      <c r="AX22" s="62">
        <f t="shared" si="24"/>
        <v>1700.29</v>
      </c>
      <c r="AY22" s="62">
        <f t="shared" si="24"/>
        <v>1664.79</v>
      </c>
      <c r="AZ22" s="62">
        <f t="shared" si="24"/>
        <v>1686.69</v>
      </c>
      <c r="BA22" s="62">
        <f t="shared" si="24"/>
        <v>1680.3899999999999</v>
      </c>
      <c r="BB22" s="62">
        <f t="shared" si="24"/>
        <v>1695.06</v>
      </c>
      <c r="BC22" s="62">
        <f t="shared" si="24"/>
        <v>1675.56</v>
      </c>
      <c r="BD22" s="62">
        <f t="shared" si="24"/>
        <v>1610.06</v>
      </c>
      <c r="BE22" s="62">
        <f t="shared" si="24"/>
        <v>1474.49</v>
      </c>
      <c r="BF22" s="62">
        <f t="shared" si="24"/>
        <v>1856.45</v>
      </c>
      <c r="BG22" s="62">
        <f t="shared" si="24"/>
        <v>1767.99</v>
      </c>
      <c r="BH22" s="62">
        <f t="shared" si="24"/>
        <v>1735.3899999999999</v>
      </c>
      <c r="BI22" s="62">
        <f t="shared" si="24"/>
        <v>1576.8899999999999</v>
      </c>
      <c r="BJ22" s="62">
        <f t="shared" si="24"/>
        <v>1463.8899999999999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9</v>
      </c>
      <c r="C23" s="46">
        <v>9</v>
      </c>
      <c r="D23" s="46">
        <v>9</v>
      </c>
      <c r="E23" s="46">
        <v>9</v>
      </c>
      <c r="F23" s="46">
        <v>9</v>
      </c>
      <c r="G23" s="46">
        <v>9</v>
      </c>
      <c r="H23" s="46">
        <v>9</v>
      </c>
      <c r="I23" s="46">
        <v>9</v>
      </c>
      <c r="J23" s="46">
        <v>9</v>
      </c>
      <c r="K23" s="46">
        <v>9</v>
      </c>
      <c r="L23" s="46">
        <v>9</v>
      </c>
      <c r="M23" s="46">
        <v>9</v>
      </c>
      <c r="N23" s="46">
        <v>9</v>
      </c>
      <c r="O23" s="46">
        <v>9</v>
      </c>
      <c r="P23" s="46">
        <v>9</v>
      </c>
      <c r="Q23" s="46">
        <v>9</v>
      </c>
      <c r="R23" s="46">
        <v>9</v>
      </c>
      <c r="S23" s="46">
        <v>4.5</v>
      </c>
      <c r="T23" s="46">
        <v>4.5</v>
      </c>
      <c r="U23" s="46">
        <v>4.5</v>
      </c>
      <c r="V23" s="46">
        <v>4.5</v>
      </c>
      <c r="W23" s="46">
        <v>4.5</v>
      </c>
      <c r="X23" s="46">
        <v>4.5</v>
      </c>
      <c r="Y23" s="46">
        <v>4.5</v>
      </c>
      <c r="Z23" s="46">
        <v>4.5</v>
      </c>
      <c r="AA23" s="46">
        <v>4.5</v>
      </c>
      <c r="AB23" s="46">
        <v>4.5</v>
      </c>
      <c r="AC23" s="46">
        <v>4.5</v>
      </c>
      <c r="AD23" s="46">
        <v>4.5</v>
      </c>
      <c r="AE23" s="46">
        <v>4.5</v>
      </c>
      <c r="AF23" s="46">
        <v>4.5</v>
      </c>
      <c r="AG23" s="50">
        <v>24.2</v>
      </c>
      <c r="AH23" s="48">
        <f t="shared" si="10"/>
        <v>9</v>
      </c>
      <c r="AI23" s="49">
        <f t="shared" si="11"/>
        <v>4.5</v>
      </c>
      <c r="AK23" s="51"/>
      <c r="AL23" s="61" t="s">
        <v>39</v>
      </c>
      <c r="AM23" s="62">
        <f>B107*-1</f>
        <v>0</v>
      </c>
      <c r="AN23" s="62">
        <f t="shared" ref="AN23:AR23" si="25">C107*-1</f>
        <v>-1</v>
      </c>
      <c r="AO23" s="62">
        <f t="shared" si="25"/>
        <v>-2</v>
      </c>
      <c r="AP23" s="62">
        <f t="shared" si="25"/>
        <v>0</v>
      </c>
      <c r="AQ23" s="62">
        <f t="shared" si="25"/>
        <v>0</v>
      </c>
      <c r="AR23" s="62">
        <f t="shared" si="25"/>
        <v>0</v>
      </c>
      <c r="AS23" s="62">
        <f>I107*-1</f>
        <v>0</v>
      </c>
      <c r="AT23" s="62">
        <f>K107*-1</f>
        <v>0</v>
      </c>
      <c r="AU23" s="62">
        <f t="shared" ref="AU23:BD23" si="26">M107*-1</f>
        <v>0</v>
      </c>
      <c r="AV23" s="62">
        <f t="shared" si="26"/>
        <v>0</v>
      </c>
      <c r="AW23" s="62">
        <f t="shared" si="26"/>
        <v>0</v>
      </c>
      <c r="AX23" s="62">
        <f t="shared" si="26"/>
        <v>0</v>
      </c>
      <c r="AY23" s="62">
        <f t="shared" si="26"/>
        <v>0</v>
      </c>
      <c r="AZ23" s="62">
        <f t="shared" si="26"/>
        <v>0</v>
      </c>
      <c r="BA23" s="62">
        <f t="shared" si="26"/>
        <v>0</v>
      </c>
      <c r="BB23" s="62">
        <f t="shared" si="26"/>
        <v>0</v>
      </c>
      <c r="BC23" s="62">
        <f t="shared" si="26"/>
        <v>0</v>
      </c>
      <c r="BD23" s="62">
        <f t="shared" si="26"/>
        <v>0</v>
      </c>
      <c r="BE23" s="62">
        <f>X107*-1</f>
        <v>0</v>
      </c>
      <c r="BF23" s="62">
        <f>Z107*-1</f>
        <v>0</v>
      </c>
      <c r="BG23" s="62">
        <f>AB107*-1</f>
        <v>0</v>
      </c>
      <c r="BH23" s="62">
        <f>AD107*-1</f>
        <v>0</v>
      </c>
      <c r="BI23" s="62">
        <f t="shared" ref="BI23:BJ23" si="27">AE107*-1</f>
        <v>0</v>
      </c>
      <c r="BJ23" s="62">
        <f t="shared" si="27"/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6.9</v>
      </c>
      <c r="C24" s="46">
        <v>6.9</v>
      </c>
      <c r="D24" s="46">
        <v>6.9</v>
      </c>
      <c r="E24" s="46">
        <v>6.9</v>
      </c>
      <c r="F24" s="46">
        <v>6.9</v>
      </c>
      <c r="G24" s="46">
        <v>6.9</v>
      </c>
      <c r="H24" s="46">
        <v>6.9</v>
      </c>
      <c r="I24" s="46">
        <v>6.9</v>
      </c>
      <c r="J24" s="46">
        <v>6.9</v>
      </c>
      <c r="K24" s="46">
        <v>6.9</v>
      </c>
      <c r="L24" s="46">
        <v>6.9</v>
      </c>
      <c r="M24" s="46">
        <v>6.9</v>
      </c>
      <c r="N24" s="46">
        <v>6.9</v>
      </c>
      <c r="O24" s="46">
        <v>6.9</v>
      </c>
      <c r="P24" s="46">
        <v>6.9</v>
      </c>
      <c r="Q24" s="46">
        <v>6.9</v>
      </c>
      <c r="R24" s="46">
        <v>6.9</v>
      </c>
      <c r="S24" s="46">
        <v>6.5</v>
      </c>
      <c r="T24" s="46">
        <v>6.5</v>
      </c>
      <c r="U24" s="46">
        <v>6.5</v>
      </c>
      <c r="V24" s="46">
        <v>6.5</v>
      </c>
      <c r="W24" s="46">
        <v>6.5</v>
      </c>
      <c r="X24" s="46">
        <v>6.5</v>
      </c>
      <c r="Y24" s="46">
        <v>6.5</v>
      </c>
      <c r="Z24" s="46">
        <v>6.5</v>
      </c>
      <c r="AA24" s="46">
        <v>6.5</v>
      </c>
      <c r="AB24" s="46">
        <v>6.5</v>
      </c>
      <c r="AC24" s="46">
        <v>6.5</v>
      </c>
      <c r="AD24" s="46">
        <v>6.5</v>
      </c>
      <c r="AE24" s="46">
        <v>6.5</v>
      </c>
      <c r="AF24" s="46">
        <v>6.5</v>
      </c>
      <c r="AG24" s="50">
        <v>28</v>
      </c>
      <c r="AH24" s="48">
        <f t="shared" si="10"/>
        <v>6.9</v>
      </c>
      <c r="AI24" s="49">
        <f t="shared" si="11"/>
        <v>6.5</v>
      </c>
      <c r="AK24" s="51"/>
      <c r="AL24" s="61" t="s">
        <v>41</v>
      </c>
      <c r="AM24" s="62">
        <f>AM22+AM23</f>
        <v>1435.0900000000001</v>
      </c>
      <c r="AN24" s="62">
        <f t="shared" ref="AN24:BJ24" si="28">AN22+AN23</f>
        <v>1369.0900000000001</v>
      </c>
      <c r="AO24" s="62">
        <f t="shared" si="28"/>
        <v>1393.39</v>
      </c>
      <c r="AP24" s="62">
        <f t="shared" si="28"/>
        <v>1374.49</v>
      </c>
      <c r="AQ24" s="62">
        <f t="shared" si="28"/>
        <v>1373.39</v>
      </c>
      <c r="AR24" s="62">
        <f t="shared" si="28"/>
        <v>1404.89</v>
      </c>
      <c r="AS24" s="62">
        <f t="shared" si="28"/>
        <v>1424.39</v>
      </c>
      <c r="AT24" s="62">
        <f t="shared" si="28"/>
        <v>1609.79</v>
      </c>
      <c r="AU24" s="62">
        <f t="shared" si="28"/>
        <v>1724.0900000000001</v>
      </c>
      <c r="AV24" s="62">
        <f t="shared" si="28"/>
        <v>1729.2900000000002</v>
      </c>
      <c r="AW24" s="62">
        <f t="shared" si="28"/>
        <v>1756.69</v>
      </c>
      <c r="AX24" s="62">
        <f t="shared" si="28"/>
        <v>1700.29</v>
      </c>
      <c r="AY24" s="62">
        <f t="shared" si="28"/>
        <v>1664.79</v>
      </c>
      <c r="AZ24" s="62">
        <f t="shared" si="28"/>
        <v>1686.69</v>
      </c>
      <c r="BA24" s="62">
        <f t="shared" si="28"/>
        <v>1680.3899999999999</v>
      </c>
      <c r="BB24" s="62">
        <f t="shared" si="28"/>
        <v>1695.06</v>
      </c>
      <c r="BC24" s="62">
        <f t="shared" si="28"/>
        <v>1675.56</v>
      </c>
      <c r="BD24" s="62">
        <f t="shared" si="28"/>
        <v>1610.06</v>
      </c>
      <c r="BE24" s="62">
        <f t="shared" si="28"/>
        <v>1474.49</v>
      </c>
      <c r="BF24" s="62">
        <f t="shared" si="28"/>
        <v>1856.45</v>
      </c>
      <c r="BG24" s="62">
        <f t="shared" si="28"/>
        <v>1767.99</v>
      </c>
      <c r="BH24" s="62">
        <f t="shared" si="28"/>
        <v>1735.3899999999999</v>
      </c>
      <c r="BI24" s="62">
        <f t="shared" si="28"/>
        <v>1576.8899999999999</v>
      </c>
      <c r="BJ24" s="62">
        <f t="shared" si="28"/>
        <v>1463.8899999999999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9.3000000000000007</v>
      </c>
      <c r="C25" s="46">
        <v>9.3000000000000007</v>
      </c>
      <c r="D25" s="46">
        <v>9.3000000000000007</v>
      </c>
      <c r="E25" s="46">
        <v>9.3000000000000007</v>
      </c>
      <c r="F25" s="46">
        <v>9.3000000000000007</v>
      </c>
      <c r="G25" s="46">
        <v>9.3000000000000007</v>
      </c>
      <c r="H25" s="46">
        <v>9.3000000000000007</v>
      </c>
      <c r="I25" s="46">
        <v>9.3000000000000007</v>
      </c>
      <c r="J25" s="46">
        <v>9.3000000000000007</v>
      </c>
      <c r="K25" s="46">
        <v>9.3000000000000007</v>
      </c>
      <c r="L25" s="46">
        <v>9.3000000000000007</v>
      </c>
      <c r="M25" s="46">
        <v>9.3000000000000007</v>
      </c>
      <c r="N25" s="46">
        <v>9.3000000000000007</v>
      </c>
      <c r="O25" s="46">
        <v>9.3000000000000007</v>
      </c>
      <c r="P25" s="46">
        <v>9.3000000000000007</v>
      </c>
      <c r="Q25" s="46">
        <v>9.3000000000000007</v>
      </c>
      <c r="R25" s="46">
        <v>9.3000000000000007</v>
      </c>
      <c r="S25" s="46">
        <v>8</v>
      </c>
      <c r="T25" s="46">
        <v>8</v>
      </c>
      <c r="U25" s="46">
        <v>8</v>
      </c>
      <c r="V25" s="46">
        <v>8</v>
      </c>
      <c r="W25" s="46">
        <v>8</v>
      </c>
      <c r="X25" s="46">
        <v>8</v>
      </c>
      <c r="Y25" s="46">
        <v>8</v>
      </c>
      <c r="Z25" s="46">
        <v>8</v>
      </c>
      <c r="AA25" s="46">
        <v>8</v>
      </c>
      <c r="AB25" s="46">
        <v>8</v>
      </c>
      <c r="AC25" s="46">
        <v>8</v>
      </c>
      <c r="AD25" s="46">
        <v>8</v>
      </c>
      <c r="AE25" s="46">
        <v>8</v>
      </c>
      <c r="AF25" s="46">
        <v>8</v>
      </c>
      <c r="AG25" s="60">
        <v>30</v>
      </c>
      <c r="AH25" s="48">
        <f t="shared" si="10"/>
        <v>9.3000000000000007</v>
      </c>
      <c r="AI25" s="49">
        <f t="shared" si="11"/>
        <v>8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11.4</v>
      </c>
      <c r="C26" s="46">
        <v>11.4</v>
      </c>
      <c r="D26" s="46">
        <v>11.4</v>
      </c>
      <c r="E26" s="46">
        <v>11.4</v>
      </c>
      <c r="F26" s="46">
        <v>11.4</v>
      </c>
      <c r="G26" s="46">
        <v>11.4</v>
      </c>
      <c r="H26" s="46">
        <v>11.4</v>
      </c>
      <c r="I26" s="46">
        <v>11.4</v>
      </c>
      <c r="J26" s="46">
        <v>11.4</v>
      </c>
      <c r="K26" s="46">
        <v>11.4</v>
      </c>
      <c r="L26" s="46">
        <v>11.4</v>
      </c>
      <c r="M26" s="46">
        <v>11.4</v>
      </c>
      <c r="N26" s="46">
        <v>11.4</v>
      </c>
      <c r="O26" s="46">
        <v>11.4</v>
      </c>
      <c r="P26" s="46">
        <v>11.4</v>
      </c>
      <c r="Q26" s="46">
        <v>11.4</v>
      </c>
      <c r="R26" s="46">
        <v>11.4</v>
      </c>
      <c r="S26" s="46">
        <v>9.4</v>
      </c>
      <c r="T26" s="46">
        <v>9.4</v>
      </c>
      <c r="U26" s="46">
        <v>9.4</v>
      </c>
      <c r="V26" s="46">
        <v>9.4</v>
      </c>
      <c r="W26" s="46">
        <v>9.4</v>
      </c>
      <c r="X26" s="46">
        <v>9.4</v>
      </c>
      <c r="Y26" s="46">
        <v>9.4</v>
      </c>
      <c r="Z26" s="46">
        <v>9.4</v>
      </c>
      <c r="AA26" s="46">
        <v>9.4</v>
      </c>
      <c r="AB26" s="46">
        <v>9.4</v>
      </c>
      <c r="AC26" s="46">
        <v>9.4</v>
      </c>
      <c r="AD26" s="46">
        <v>9.4</v>
      </c>
      <c r="AE26" s="46">
        <v>9.4</v>
      </c>
      <c r="AF26" s="46">
        <v>9.4</v>
      </c>
      <c r="AG26" s="50">
        <v>25</v>
      </c>
      <c r="AH26" s="48">
        <f t="shared" si="10"/>
        <v>11.4</v>
      </c>
      <c r="AI26" s="49">
        <f t="shared" si="11"/>
        <v>9.4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5</v>
      </c>
      <c r="N27" s="46">
        <v>5</v>
      </c>
      <c r="O27" s="46">
        <v>5</v>
      </c>
      <c r="P27" s="46">
        <v>5</v>
      </c>
      <c r="Q27" s="46">
        <v>5</v>
      </c>
      <c r="R27" s="46">
        <v>5</v>
      </c>
      <c r="S27" s="46">
        <v>5</v>
      </c>
      <c r="T27" s="46">
        <v>5</v>
      </c>
      <c r="U27" s="46">
        <v>5</v>
      </c>
      <c r="V27" s="46">
        <v>5</v>
      </c>
      <c r="W27" s="46">
        <v>5</v>
      </c>
      <c r="X27" s="46">
        <v>5</v>
      </c>
      <c r="Y27" s="46">
        <v>5</v>
      </c>
      <c r="Z27" s="46">
        <v>5</v>
      </c>
      <c r="AA27" s="46">
        <v>5</v>
      </c>
      <c r="AB27" s="46">
        <v>5</v>
      </c>
      <c r="AC27" s="46">
        <v>5</v>
      </c>
      <c r="AD27" s="46">
        <v>5</v>
      </c>
      <c r="AE27" s="46">
        <v>5</v>
      </c>
      <c r="AF27" s="46">
        <v>5</v>
      </c>
      <c r="AG27" s="50">
        <v>25</v>
      </c>
      <c r="AH27" s="48">
        <f t="shared" si="10"/>
        <v>5</v>
      </c>
      <c r="AI27" s="49">
        <f t="shared" si="11"/>
        <v>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10</v>
      </c>
      <c r="C28" s="46">
        <v>10</v>
      </c>
      <c r="D28" s="46">
        <v>10</v>
      </c>
      <c r="E28" s="46">
        <v>10</v>
      </c>
      <c r="F28" s="46">
        <v>10</v>
      </c>
      <c r="G28" s="46">
        <v>10</v>
      </c>
      <c r="H28" s="46">
        <v>10</v>
      </c>
      <c r="I28" s="46">
        <v>10</v>
      </c>
      <c r="J28" s="46">
        <v>10</v>
      </c>
      <c r="K28" s="46">
        <v>10</v>
      </c>
      <c r="L28" s="46">
        <v>10</v>
      </c>
      <c r="M28" s="46">
        <v>10</v>
      </c>
      <c r="N28" s="46">
        <v>10</v>
      </c>
      <c r="O28" s="46">
        <v>10</v>
      </c>
      <c r="P28" s="46">
        <v>10</v>
      </c>
      <c r="Q28" s="46">
        <v>10</v>
      </c>
      <c r="R28" s="46">
        <v>10</v>
      </c>
      <c r="S28" s="46">
        <v>10</v>
      </c>
      <c r="T28" s="46">
        <v>10</v>
      </c>
      <c r="U28" s="46">
        <v>10</v>
      </c>
      <c r="V28" s="46">
        <v>10</v>
      </c>
      <c r="W28" s="46">
        <v>10</v>
      </c>
      <c r="X28" s="46">
        <v>10</v>
      </c>
      <c r="Y28" s="46">
        <v>10</v>
      </c>
      <c r="Z28" s="46">
        <v>10</v>
      </c>
      <c r="AA28" s="46">
        <v>10</v>
      </c>
      <c r="AB28" s="46">
        <v>10</v>
      </c>
      <c r="AC28" s="46">
        <v>10</v>
      </c>
      <c r="AD28" s="46">
        <v>10</v>
      </c>
      <c r="AE28" s="46">
        <v>10</v>
      </c>
      <c r="AF28" s="46">
        <v>10</v>
      </c>
      <c r="AG28" s="50">
        <v>25</v>
      </c>
      <c r="AH28" s="48">
        <f t="shared" si="10"/>
        <v>10</v>
      </c>
      <c r="AI28" s="49">
        <f t="shared" si="11"/>
        <v>10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10.199999999999999</v>
      </c>
      <c r="C29" s="46">
        <v>10.199999999999999</v>
      </c>
      <c r="D29" s="46">
        <v>10.199999999999999</v>
      </c>
      <c r="E29" s="46">
        <v>10.199999999999999</v>
      </c>
      <c r="F29" s="46">
        <v>10.199999999999999</v>
      </c>
      <c r="G29" s="46">
        <v>10.199999999999999</v>
      </c>
      <c r="H29" s="46">
        <v>10.199999999999999</v>
      </c>
      <c r="I29" s="46">
        <v>10.199999999999999</v>
      </c>
      <c r="J29" s="46">
        <v>10.199999999999999</v>
      </c>
      <c r="K29" s="46">
        <v>10.199999999999999</v>
      </c>
      <c r="L29" s="46">
        <v>10.199999999999999</v>
      </c>
      <c r="M29" s="46">
        <v>10.199999999999999</v>
      </c>
      <c r="N29" s="46">
        <v>10.199999999999999</v>
      </c>
      <c r="O29" s="46">
        <v>10.199999999999999</v>
      </c>
      <c r="P29" s="46">
        <v>10.199999999999999</v>
      </c>
      <c r="Q29" s="46">
        <v>10.199999999999999</v>
      </c>
      <c r="R29" s="46">
        <v>10.199999999999999</v>
      </c>
      <c r="S29" s="46">
        <v>8.9</v>
      </c>
      <c r="T29" s="46">
        <v>8.9</v>
      </c>
      <c r="U29" s="46">
        <v>8.9</v>
      </c>
      <c r="V29" s="46">
        <v>8.9</v>
      </c>
      <c r="W29" s="46">
        <v>8.9</v>
      </c>
      <c r="X29" s="46">
        <v>8.9</v>
      </c>
      <c r="Y29" s="46">
        <v>8.9</v>
      </c>
      <c r="Z29" s="46">
        <v>8.9</v>
      </c>
      <c r="AA29" s="46">
        <v>8.9</v>
      </c>
      <c r="AB29" s="46">
        <v>8.9</v>
      </c>
      <c r="AC29" s="46">
        <v>8.9</v>
      </c>
      <c r="AD29" s="46">
        <v>8.9</v>
      </c>
      <c r="AE29" s="46">
        <v>8.9</v>
      </c>
      <c r="AF29" s="46">
        <v>8.9</v>
      </c>
      <c r="AG29" s="50">
        <v>25</v>
      </c>
      <c r="AH29" s="48">
        <f t="shared" si="10"/>
        <v>10.199999999999999</v>
      </c>
      <c r="AI29" s="49">
        <f t="shared" si="11"/>
        <v>8.9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5</v>
      </c>
      <c r="C30" s="46">
        <v>5</v>
      </c>
      <c r="D30" s="46">
        <v>5</v>
      </c>
      <c r="E30" s="46">
        <v>5</v>
      </c>
      <c r="F30" s="46">
        <v>5</v>
      </c>
      <c r="G30" s="46">
        <v>5</v>
      </c>
      <c r="H30" s="46">
        <v>5</v>
      </c>
      <c r="I30" s="46">
        <v>5</v>
      </c>
      <c r="J30" s="46">
        <v>5</v>
      </c>
      <c r="K30" s="46">
        <v>5</v>
      </c>
      <c r="L30" s="46">
        <v>5</v>
      </c>
      <c r="M30" s="46">
        <v>5</v>
      </c>
      <c r="N30" s="46">
        <v>5</v>
      </c>
      <c r="O30" s="46">
        <v>5</v>
      </c>
      <c r="P30" s="46">
        <v>5</v>
      </c>
      <c r="Q30" s="46">
        <v>5</v>
      </c>
      <c r="R30" s="46">
        <v>5</v>
      </c>
      <c r="S30" s="46">
        <v>5.6</v>
      </c>
      <c r="T30" s="46">
        <v>5.6</v>
      </c>
      <c r="U30" s="46">
        <v>5.6</v>
      </c>
      <c r="V30" s="46">
        <v>5.6</v>
      </c>
      <c r="W30" s="46">
        <v>5.6</v>
      </c>
      <c r="X30" s="46">
        <v>5.6</v>
      </c>
      <c r="Y30" s="46">
        <v>5.6</v>
      </c>
      <c r="Z30" s="46">
        <v>5.6</v>
      </c>
      <c r="AA30" s="46">
        <v>5.6</v>
      </c>
      <c r="AB30" s="46">
        <v>5.6</v>
      </c>
      <c r="AC30" s="46">
        <v>5.6</v>
      </c>
      <c r="AD30" s="46">
        <v>5.6</v>
      </c>
      <c r="AE30" s="46">
        <v>5.6</v>
      </c>
      <c r="AF30" s="46">
        <v>5.6</v>
      </c>
      <c r="AG30" s="50">
        <v>23.5</v>
      </c>
      <c r="AH30" s="48">
        <f t="shared" si="10"/>
        <v>5.6</v>
      </c>
      <c r="AI30" s="49">
        <f t="shared" si="11"/>
        <v>5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>
        <v>3</v>
      </c>
      <c r="V31" s="46">
        <v>3</v>
      </c>
      <c r="W31" s="46">
        <v>3</v>
      </c>
      <c r="X31" s="46">
        <v>3</v>
      </c>
      <c r="Y31" s="46">
        <v>3</v>
      </c>
      <c r="Z31" s="46">
        <v>3</v>
      </c>
      <c r="AA31" s="46">
        <v>3</v>
      </c>
      <c r="AB31" s="46">
        <v>3</v>
      </c>
      <c r="AC31" s="46">
        <v>3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10"/>
        <v>3</v>
      </c>
      <c r="AI31" s="49">
        <f t="shared" si="11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5.5</v>
      </c>
      <c r="Q32" s="46">
        <v>5.5</v>
      </c>
      <c r="R32" s="46">
        <v>5.5</v>
      </c>
      <c r="S32" s="46">
        <v>5.5</v>
      </c>
      <c r="T32" s="46">
        <v>5.5</v>
      </c>
      <c r="U32" s="46">
        <v>5.5</v>
      </c>
      <c r="V32" s="46">
        <v>5.5</v>
      </c>
      <c r="W32" s="46">
        <v>5.5</v>
      </c>
      <c r="X32" s="46">
        <v>5.5</v>
      </c>
      <c r="Y32" s="46">
        <v>5.5</v>
      </c>
      <c r="Z32" s="46">
        <v>5.5</v>
      </c>
      <c r="AA32" s="46">
        <v>5.5</v>
      </c>
      <c r="AB32" s="46">
        <v>5.5</v>
      </c>
      <c r="AC32" s="46">
        <v>5.5</v>
      </c>
      <c r="AD32" s="46">
        <v>5.5</v>
      </c>
      <c r="AE32" s="46">
        <v>5.5</v>
      </c>
      <c r="AF32" s="46">
        <v>5.5</v>
      </c>
      <c r="AG32" s="50">
        <v>22.1</v>
      </c>
      <c r="AH32" s="48">
        <f t="shared" si="10"/>
        <v>5.5</v>
      </c>
      <c r="AI32" s="49">
        <f t="shared" si="11"/>
        <v>5.5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5</v>
      </c>
      <c r="C33" s="46">
        <v>5</v>
      </c>
      <c r="D33" s="46">
        <v>5</v>
      </c>
      <c r="E33" s="46">
        <v>5</v>
      </c>
      <c r="F33" s="46">
        <v>5</v>
      </c>
      <c r="G33" s="46">
        <v>5</v>
      </c>
      <c r="H33" s="46">
        <v>5</v>
      </c>
      <c r="I33" s="46">
        <v>5</v>
      </c>
      <c r="J33" s="46">
        <v>5</v>
      </c>
      <c r="K33" s="46">
        <v>5</v>
      </c>
      <c r="L33" s="46">
        <v>5</v>
      </c>
      <c r="M33" s="46">
        <v>5</v>
      </c>
      <c r="N33" s="46">
        <v>5</v>
      </c>
      <c r="O33" s="46">
        <v>5</v>
      </c>
      <c r="P33" s="46">
        <v>5</v>
      </c>
      <c r="Q33" s="46">
        <v>5</v>
      </c>
      <c r="R33" s="46">
        <v>5</v>
      </c>
      <c r="S33" s="46">
        <v>5</v>
      </c>
      <c r="T33" s="46">
        <v>5</v>
      </c>
      <c r="U33" s="46">
        <v>5</v>
      </c>
      <c r="V33" s="46">
        <v>5</v>
      </c>
      <c r="W33" s="46">
        <v>5</v>
      </c>
      <c r="X33" s="46">
        <v>5</v>
      </c>
      <c r="Y33" s="46">
        <v>5</v>
      </c>
      <c r="Z33" s="46">
        <v>5</v>
      </c>
      <c r="AA33" s="46">
        <v>5</v>
      </c>
      <c r="AB33" s="46">
        <v>5</v>
      </c>
      <c r="AC33" s="46">
        <v>5</v>
      </c>
      <c r="AD33" s="46">
        <v>5</v>
      </c>
      <c r="AE33" s="46">
        <v>5</v>
      </c>
      <c r="AF33" s="46">
        <v>5</v>
      </c>
      <c r="AG33" s="50">
        <v>22</v>
      </c>
      <c r="AH33" s="48">
        <f t="shared" si="10"/>
        <v>5</v>
      </c>
      <c r="AI33" s="49">
        <f t="shared" si="11"/>
        <v>5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9</v>
      </c>
      <c r="C34" s="46">
        <v>9</v>
      </c>
      <c r="D34" s="46">
        <v>9</v>
      </c>
      <c r="E34" s="46">
        <v>9</v>
      </c>
      <c r="F34" s="46">
        <v>9</v>
      </c>
      <c r="G34" s="46">
        <v>9</v>
      </c>
      <c r="H34" s="46">
        <v>9</v>
      </c>
      <c r="I34" s="46">
        <v>9</v>
      </c>
      <c r="J34" s="46">
        <v>9</v>
      </c>
      <c r="K34" s="46">
        <v>9</v>
      </c>
      <c r="L34" s="46">
        <v>9</v>
      </c>
      <c r="M34" s="46">
        <v>9</v>
      </c>
      <c r="N34" s="46">
        <v>9</v>
      </c>
      <c r="O34" s="46">
        <v>9</v>
      </c>
      <c r="P34" s="46">
        <v>9</v>
      </c>
      <c r="Q34" s="46">
        <v>9</v>
      </c>
      <c r="R34" s="46">
        <v>9</v>
      </c>
      <c r="S34" s="46">
        <v>6</v>
      </c>
      <c r="T34" s="46">
        <v>6</v>
      </c>
      <c r="U34" s="46">
        <v>6</v>
      </c>
      <c r="V34" s="46">
        <v>6</v>
      </c>
      <c r="W34" s="46">
        <v>6</v>
      </c>
      <c r="X34" s="46">
        <v>6</v>
      </c>
      <c r="Y34" s="46">
        <v>6</v>
      </c>
      <c r="Z34" s="46">
        <v>6</v>
      </c>
      <c r="AA34" s="46">
        <v>6</v>
      </c>
      <c r="AB34" s="46">
        <v>6</v>
      </c>
      <c r="AC34" s="46">
        <v>6</v>
      </c>
      <c r="AD34" s="46">
        <v>6</v>
      </c>
      <c r="AE34" s="46">
        <v>6</v>
      </c>
      <c r="AF34" s="46">
        <v>6</v>
      </c>
      <c r="AG34" s="50">
        <v>22</v>
      </c>
      <c r="AH34" s="48">
        <f t="shared" si="10"/>
        <v>9</v>
      </c>
      <c r="AI34" s="49">
        <f t="shared" si="11"/>
        <v>6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10"/>
        <v>4</v>
      </c>
      <c r="AI35" s="49">
        <f t="shared" si="11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>
        <v>4</v>
      </c>
      <c r="V36" s="46">
        <v>4</v>
      </c>
      <c r="W36" s="46">
        <v>4</v>
      </c>
      <c r="X36" s="46">
        <v>4</v>
      </c>
      <c r="Y36" s="46">
        <v>4</v>
      </c>
      <c r="Z36" s="46">
        <v>4</v>
      </c>
      <c r="AA36" s="46">
        <v>4</v>
      </c>
      <c r="AB36" s="46">
        <v>4</v>
      </c>
      <c r="AC36" s="46">
        <v>4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10"/>
        <v>4</v>
      </c>
      <c r="AI36" s="49">
        <f t="shared" si="11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>
        <v>5.7</v>
      </c>
      <c r="V37" s="46">
        <v>5.7</v>
      </c>
      <c r="W37" s="46">
        <v>5.7</v>
      </c>
      <c r="X37" s="46">
        <v>5.7</v>
      </c>
      <c r="Y37" s="46">
        <v>5.7</v>
      </c>
      <c r="Z37" s="46">
        <v>5.7</v>
      </c>
      <c r="AA37" s="46">
        <v>5.7</v>
      </c>
      <c r="AB37" s="46">
        <v>5.7</v>
      </c>
      <c r="AC37" s="46">
        <v>5.7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10"/>
        <v>5.7</v>
      </c>
      <c r="AI37" s="49">
        <f t="shared" si="11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7.2</v>
      </c>
      <c r="Q38" s="46">
        <v>7.2</v>
      </c>
      <c r="R38" s="46">
        <v>7.2</v>
      </c>
      <c r="S38" s="46">
        <v>7.2</v>
      </c>
      <c r="T38" s="46">
        <v>7.2</v>
      </c>
      <c r="U38" s="46">
        <v>7.2</v>
      </c>
      <c r="V38" s="46">
        <v>7.2</v>
      </c>
      <c r="W38" s="46">
        <v>7.2</v>
      </c>
      <c r="X38" s="46">
        <v>7.2</v>
      </c>
      <c r="Y38" s="46">
        <v>7.2</v>
      </c>
      <c r="Z38" s="46">
        <v>7.2</v>
      </c>
      <c r="AA38" s="46">
        <v>7.2</v>
      </c>
      <c r="AB38" s="46">
        <v>7.2</v>
      </c>
      <c r="AC38" s="46">
        <v>7.2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10"/>
        <v>7.2</v>
      </c>
      <c r="AI38" s="49">
        <f t="shared" si="11"/>
        <v>7.2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10"/>
        <v>0</v>
      </c>
      <c r="AI39" s="49">
        <f t="shared" si="11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8</v>
      </c>
      <c r="C40" s="46">
        <v>8</v>
      </c>
      <c r="D40" s="46">
        <v>8</v>
      </c>
      <c r="E40" s="46">
        <v>8</v>
      </c>
      <c r="F40" s="46">
        <v>8</v>
      </c>
      <c r="G40" s="46">
        <v>8</v>
      </c>
      <c r="H40" s="46">
        <v>8</v>
      </c>
      <c r="I40" s="46">
        <v>8</v>
      </c>
      <c r="J40" s="46">
        <v>8</v>
      </c>
      <c r="K40" s="46">
        <v>8</v>
      </c>
      <c r="L40" s="46">
        <v>8</v>
      </c>
      <c r="M40" s="46">
        <v>8</v>
      </c>
      <c r="N40" s="46">
        <v>8</v>
      </c>
      <c r="O40" s="46">
        <v>8</v>
      </c>
      <c r="P40" s="46">
        <v>8</v>
      </c>
      <c r="Q40" s="46">
        <v>8</v>
      </c>
      <c r="R40" s="46">
        <v>8</v>
      </c>
      <c r="S40" s="46">
        <v>8</v>
      </c>
      <c r="T40" s="46">
        <v>8</v>
      </c>
      <c r="U40" s="46">
        <v>8</v>
      </c>
      <c r="V40" s="46">
        <v>8</v>
      </c>
      <c r="W40" s="46">
        <v>8</v>
      </c>
      <c r="X40" s="46">
        <v>8</v>
      </c>
      <c r="Y40" s="46">
        <v>8</v>
      </c>
      <c r="Z40" s="46">
        <v>8</v>
      </c>
      <c r="AA40" s="46">
        <v>8</v>
      </c>
      <c r="AB40" s="46">
        <v>8</v>
      </c>
      <c r="AC40" s="46">
        <v>0</v>
      </c>
      <c r="AD40" s="46">
        <v>8</v>
      </c>
      <c r="AE40" s="46">
        <v>8</v>
      </c>
      <c r="AF40" s="46">
        <v>8</v>
      </c>
      <c r="AG40" s="50">
        <v>14.9</v>
      </c>
      <c r="AH40" s="48">
        <f t="shared" si="10"/>
        <v>8</v>
      </c>
      <c r="AI40" s="49">
        <f t="shared" si="11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10"/>
        <v>4</v>
      </c>
      <c r="AI41" s="49">
        <f t="shared" si="11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>
        <v>1.8</v>
      </c>
      <c r="V42" s="46">
        <v>1.8</v>
      </c>
      <c r="W42" s="46">
        <v>1.8</v>
      </c>
      <c r="X42" s="46">
        <v>1.8</v>
      </c>
      <c r="Y42" s="46">
        <v>1.8</v>
      </c>
      <c r="Z42" s="46">
        <v>1.8</v>
      </c>
      <c r="AA42" s="46">
        <v>1.8</v>
      </c>
      <c r="AB42" s="46">
        <v>1.8</v>
      </c>
      <c r="AC42" s="46">
        <v>1.8</v>
      </c>
      <c r="AD42" s="46">
        <v>1.8</v>
      </c>
      <c r="AE42" s="46">
        <v>1.8</v>
      </c>
      <c r="AF42" s="46">
        <v>1.8</v>
      </c>
      <c r="AG42" s="50">
        <v>13.6</v>
      </c>
      <c r="AH42" s="48">
        <f t="shared" si="10"/>
        <v>1.8</v>
      </c>
      <c r="AI42" s="49">
        <f t="shared" si="11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>
        <v>3.8</v>
      </c>
      <c r="V43" s="46">
        <v>3.8</v>
      </c>
      <c r="W43" s="46">
        <v>3.8</v>
      </c>
      <c r="X43" s="46">
        <v>3.8</v>
      </c>
      <c r="Y43" s="46">
        <v>3.8</v>
      </c>
      <c r="Z43" s="46">
        <v>3.8</v>
      </c>
      <c r="AA43" s="46">
        <v>3.8</v>
      </c>
      <c r="AB43" s="46">
        <v>3.8</v>
      </c>
      <c r="AC43" s="46">
        <v>3.8</v>
      </c>
      <c r="AD43" s="46">
        <v>3.8</v>
      </c>
      <c r="AE43" s="46">
        <v>3.8</v>
      </c>
      <c r="AF43" s="46">
        <v>3.8</v>
      </c>
      <c r="AG43" s="50">
        <v>13</v>
      </c>
      <c r="AH43" s="48">
        <f t="shared" si="10"/>
        <v>3.8</v>
      </c>
      <c r="AI43" s="49">
        <f t="shared" si="11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6.4</v>
      </c>
      <c r="C44" s="46">
        <v>6.4</v>
      </c>
      <c r="D44" s="46">
        <v>6.4</v>
      </c>
      <c r="E44" s="46">
        <v>6.4</v>
      </c>
      <c r="F44" s="46">
        <v>6.4</v>
      </c>
      <c r="G44" s="46">
        <v>6.4</v>
      </c>
      <c r="H44" s="46">
        <v>6.4</v>
      </c>
      <c r="I44" s="46">
        <v>6.4</v>
      </c>
      <c r="J44" s="46">
        <v>6.4</v>
      </c>
      <c r="K44" s="46">
        <v>6.4</v>
      </c>
      <c r="L44" s="46">
        <v>6.4</v>
      </c>
      <c r="M44" s="46">
        <v>6.4</v>
      </c>
      <c r="N44" s="46">
        <v>6.4</v>
      </c>
      <c r="O44" s="46">
        <v>6.4</v>
      </c>
      <c r="P44" s="46">
        <v>6.4</v>
      </c>
      <c r="Q44" s="46">
        <v>6.4</v>
      </c>
      <c r="R44" s="46">
        <v>6.4</v>
      </c>
      <c r="S44" s="46">
        <v>6.4</v>
      </c>
      <c r="T44" s="46">
        <v>6.4</v>
      </c>
      <c r="U44" s="46">
        <v>6.4</v>
      </c>
      <c r="V44" s="46">
        <v>6.4</v>
      </c>
      <c r="W44" s="46">
        <v>6.4</v>
      </c>
      <c r="X44" s="46">
        <v>6.4</v>
      </c>
      <c r="Y44" s="46">
        <v>6.4</v>
      </c>
      <c r="Z44" s="46">
        <v>6.4</v>
      </c>
      <c r="AA44" s="46">
        <v>6.4</v>
      </c>
      <c r="AB44" s="46">
        <v>6.4</v>
      </c>
      <c r="AC44" s="46">
        <v>6.4</v>
      </c>
      <c r="AD44" s="46">
        <v>6.4</v>
      </c>
      <c r="AE44" s="46">
        <v>6.4</v>
      </c>
      <c r="AF44" s="46">
        <v>6.4</v>
      </c>
      <c r="AG44" s="50">
        <v>12</v>
      </c>
      <c r="AH44" s="48">
        <f t="shared" si="10"/>
        <v>6.4</v>
      </c>
      <c r="AI44" s="49">
        <f t="shared" si="11"/>
        <v>6.4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>
        <v>9</v>
      </c>
      <c r="V45" s="46">
        <v>9</v>
      </c>
      <c r="W45" s="46">
        <v>9</v>
      </c>
      <c r="X45" s="46">
        <v>9</v>
      </c>
      <c r="Y45" s="46">
        <v>9</v>
      </c>
      <c r="Z45" s="46">
        <v>9</v>
      </c>
      <c r="AA45" s="46">
        <v>9</v>
      </c>
      <c r="AB45" s="46">
        <v>9</v>
      </c>
      <c r="AC45" s="46">
        <v>9</v>
      </c>
      <c r="AD45" s="46">
        <v>9</v>
      </c>
      <c r="AE45" s="46">
        <v>9</v>
      </c>
      <c r="AF45" s="46">
        <v>9</v>
      </c>
      <c r="AG45" s="50">
        <v>12</v>
      </c>
      <c r="AH45" s="48">
        <f t="shared" si="10"/>
        <v>9</v>
      </c>
      <c r="AI45" s="49">
        <f t="shared" si="11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10"/>
        <v>3</v>
      </c>
      <c r="AI46" s="49">
        <f t="shared" si="11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>
        <v>3.5</v>
      </c>
      <c r="V47" s="46">
        <v>3.5</v>
      </c>
      <c r="W47" s="46">
        <v>3.5</v>
      </c>
      <c r="X47" s="46">
        <v>3.5</v>
      </c>
      <c r="Y47" s="46">
        <v>3.5</v>
      </c>
      <c r="Z47" s="46">
        <v>3.5</v>
      </c>
      <c r="AA47" s="46">
        <v>3.5</v>
      </c>
      <c r="AB47" s="46">
        <v>3.5</v>
      </c>
      <c r="AC47" s="46">
        <v>3.5</v>
      </c>
      <c r="AD47" s="46">
        <v>3.5</v>
      </c>
      <c r="AE47" s="46">
        <v>3.5</v>
      </c>
      <c r="AF47" s="46">
        <v>3.5</v>
      </c>
      <c r="AG47" s="63">
        <v>22</v>
      </c>
      <c r="AH47" s="48">
        <f t="shared" si="10"/>
        <v>3.5</v>
      </c>
      <c r="AI47" s="49">
        <f t="shared" si="11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>
        <v>5</v>
      </c>
      <c r="V48" s="46">
        <v>5</v>
      </c>
      <c r="W48" s="46">
        <v>5</v>
      </c>
      <c r="X48" s="46">
        <v>5</v>
      </c>
      <c r="Y48" s="46">
        <v>5</v>
      </c>
      <c r="Z48" s="46">
        <v>5</v>
      </c>
      <c r="AA48" s="46">
        <v>5</v>
      </c>
      <c r="AB48" s="46">
        <v>5</v>
      </c>
      <c r="AC48" s="46">
        <v>5</v>
      </c>
      <c r="AD48" s="46">
        <v>5</v>
      </c>
      <c r="AE48" s="46">
        <v>5</v>
      </c>
      <c r="AF48" s="46">
        <v>5</v>
      </c>
      <c r="AG48" s="60">
        <v>11.88</v>
      </c>
      <c r="AH48" s="48">
        <f t="shared" si="10"/>
        <v>5</v>
      </c>
      <c r="AI48" s="49">
        <f t="shared" si="11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5">
        <v>11</v>
      </c>
      <c r="AH49" s="48">
        <f t="shared" si="10"/>
        <v>3</v>
      </c>
      <c r="AI49" s="49">
        <f t="shared" si="11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4" t="s">
        <v>67</v>
      </c>
      <c r="B50" s="46">
        <v>2.4500000000000002</v>
      </c>
      <c r="C50" s="46">
        <v>2.4500000000000002</v>
      </c>
      <c r="D50" s="46">
        <v>2.4500000000000002</v>
      </c>
      <c r="E50" s="46">
        <v>2.4500000000000002</v>
      </c>
      <c r="F50" s="46">
        <v>2.4500000000000002</v>
      </c>
      <c r="G50" s="46">
        <v>2.4500000000000002</v>
      </c>
      <c r="H50" s="46">
        <v>2.4500000000000002</v>
      </c>
      <c r="I50" s="46">
        <v>2.4500000000000002</v>
      </c>
      <c r="J50" s="46">
        <v>2.4500000000000002</v>
      </c>
      <c r="K50" s="46">
        <v>2.4500000000000002</v>
      </c>
      <c r="L50" s="46">
        <v>2.4500000000000002</v>
      </c>
      <c r="M50" s="46">
        <v>2.4500000000000002</v>
      </c>
      <c r="N50" s="46">
        <v>2.4500000000000002</v>
      </c>
      <c r="O50" s="46">
        <v>2.4500000000000002</v>
      </c>
      <c r="P50" s="46">
        <v>2.4500000000000002</v>
      </c>
      <c r="Q50" s="46">
        <v>2.4500000000000002</v>
      </c>
      <c r="R50" s="46">
        <v>2.4500000000000002</v>
      </c>
      <c r="S50" s="46">
        <v>2.4500000000000002</v>
      </c>
      <c r="T50" s="46">
        <v>2.4500000000000002</v>
      </c>
      <c r="U50" s="46">
        <v>2.4500000000000002</v>
      </c>
      <c r="V50" s="46">
        <v>2.4500000000000002</v>
      </c>
      <c r="W50" s="46">
        <v>2.4500000000000002</v>
      </c>
      <c r="X50" s="46">
        <v>2.4500000000000002</v>
      </c>
      <c r="Y50" s="46">
        <v>2.4500000000000002</v>
      </c>
      <c r="Z50" s="46">
        <v>2.4500000000000002</v>
      </c>
      <c r="AA50" s="46">
        <v>2.4500000000000002</v>
      </c>
      <c r="AB50" s="46">
        <v>2.4500000000000002</v>
      </c>
      <c r="AC50" s="46">
        <v>2.4500000000000002</v>
      </c>
      <c r="AD50" s="46">
        <v>2.4500000000000002</v>
      </c>
      <c r="AE50" s="46">
        <v>2.4500000000000002</v>
      </c>
      <c r="AF50" s="46">
        <v>2.4500000000000002</v>
      </c>
      <c r="AG50" s="65">
        <v>11</v>
      </c>
      <c r="AH50" s="48">
        <f t="shared" si="10"/>
        <v>2.4500000000000002</v>
      </c>
      <c r="AI50" s="49">
        <f t="shared" si="11"/>
        <v>2.4500000000000002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65">
        <v>11</v>
      </c>
      <c r="AH51" s="48">
        <f t="shared" si="10"/>
        <v>3</v>
      </c>
      <c r="AI51" s="49">
        <f t="shared" si="11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5">
        <v>10</v>
      </c>
      <c r="AH52" s="48">
        <f t="shared" si="10"/>
        <v>4</v>
      </c>
      <c r="AI52" s="49">
        <f t="shared" si="11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>
        <v>4.5</v>
      </c>
      <c r="V53" s="46">
        <v>4.5</v>
      </c>
      <c r="W53" s="46">
        <v>4.5</v>
      </c>
      <c r="X53" s="46">
        <v>4.5</v>
      </c>
      <c r="Y53" s="46">
        <v>4.5</v>
      </c>
      <c r="Z53" s="46">
        <v>4.5</v>
      </c>
      <c r="AA53" s="46">
        <v>4.5</v>
      </c>
      <c r="AB53" s="46">
        <v>4.5</v>
      </c>
      <c r="AC53" s="46">
        <v>4.5</v>
      </c>
      <c r="AD53" s="46">
        <v>4.5</v>
      </c>
      <c r="AE53" s="46">
        <v>4.5</v>
      </c>
      <c r="AF53" s="46">
        <v>4.5</v>
      </c>
      <c r="AG53" s="65">
        <v>10</v>
      </c>
      <c r="AH53" s="48">
        <f t="shared" si="10"/>
        <v>4.5</v>
      </c>
      <c r="AI53" s="49">
        <f t="shared" si="11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5">
        <v>10</v>
      </c>
      <c r="AH54" s="48">
        <f t="shared" si="10"/>
        <v>0</v>
      </c>
      <c r="AI54" s="49">
        <f t="shared" si="11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5">
        <v>10</v>
      </c>
      <c r="AH55" s="48">
        <f t="shared" si="10"/>
        <v>0</v>
      </c>
      <c r="AI55" s="49">
        <f t="shared" si="11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>
        <v>150</v>
      </c>
      <c r="W56" s="67">
        <v>150</v>
      </c>
      <c r="X56" s="67">
        <v>150</v>
      </c>
      <c r="Y56" s="67">
        <v>150</v>
      </c>
      <c r="Z56" s="67">
        <v>150</v>
      </c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10"/>
        <v>150</v>
      </c>
      <c r="AI56" s="49">
        <f t="shared" si="11"/>
        <v>150</v>
      </c>
      <c r="AK56" s="51"/>
    </row>
    <row r="57" spans="1:88" ht="15.75" thickBot="1" x14ac:dyDescent="0.3">
      <c r="A57" s="68" t="s">
        <v>74</v>
      </c>
      <c r="B57" s="53">
        <f>12+19</f>
        <v>31</v>
      </c>
      <c r="C57" s="53">
        <f>12+19.1</f>
        <v>31.1</v>
      </c>
      <c r="D57" s="53">
        <f>11.1+17.9</f>
        <v>29</v>
      </c>
      <c r="E57" s="53">
        <v>32</v>
      </c>
      <c r="F57" s="53">
        <v>31.4</v>
      </c>
      <c r="G57" s="53">
        <v>31.6</v>
      </c>
      <c r="H57" s="53">
        <v>31.6</v>
      </c>
      <c r="I57" s="53">
        <v>34.1</v>
      </c>
      <c r="J57" s="53">
        <v>34.1</v>
      </c>
      <c r="K57" s="53">
        <v>33.4</v>
      </c>
      <c r="L57" s="53">
        <v>33.4</v>
      </c>
      <c r="M57" s="53">
        <v>33.4</v>
      </c>
      <c r="N57" s="53">
        <v>33.4</v>
      </c>
      <c r="O57" s="53">
        <v>33.4</v>
      </c>
      <c r="P57" s="53">
        <v>33.4</v>
      </c>
      <c r="Q57" s="53">
        <v>33.4</v>
      </c>
      <c r="R57" s="53">
        <v>33.4</v>
      </c>
      <c r="S57" s="53"/>
      <c r="T57" s="53">
        <v>30.6</v>
      </c>
      <c r="U57" s="53">
        <v>32.1</v>
      </c>
      <c r="V57" s="53">
        <v>32.1</v>
      </c>
      <c r="W57" s="53">
        <v>24.5</v>
      </c>
      <c r="X57" s="53">
        <v>32.200000000000003</v>
      </c>
      <c r="Y57" s="53">
        <v>19.7</v>
      </c>
      <c r="Z57" s="67">
        <v>19.7</v>
      </c>
      <c r="AA57" s="67">
        <v>22.6</v>
      </c>
      <c r="AB57" s="67">
        <v>22.6</v>
      </c>
      <c r="AC57" s="67">
        <v>22.6</v>
      </c>
      <c r="AD57" s="67">
        <v>22.6</v>
      </c>
      <c r="AE57" s="67">
        <v>22.6</v>
      </c>
      <c r="AF57" s="67">
        <v>22.6</v>
      </c>
      <c r="AG57" s="65">
        <v>240</v>
      </c>
      <c r="AH57" s="48">
        <f t="shared" si="10"/>
        <v>34.1</v>
      </c>
      <c r="AI57" s="49">
        <f t="shared" si="11"/>
        <v>19.7</v>
      </c>
      <c r="AK57" s="51"/>
    </row>
    <row r="58" spans="1:88" ht="15.75" thickBot="1" x14ac:dyDescent="0.3">
      <c r="A58" s="69" t="s">
        <v>75</v>
      </c>
      <c r="B58" s="70">
        <f t="shared" ref="B58:D58" si="29">SUM(B11:B56)</f>
        <v>516.15000000000009</v>
      </c>
      <c r="C58" s="70">
        <f t="shared" si="29"/>
        <v>516.15000000000009</v>
      </c>
      <c r="D58" s="70">
        <f t="shared" si="29"/>
        <v>516.15000000000009</v>
      </c>
      <c r="E58" s="70">
        <f t="shared" ref="E58:AB58" si="30">SUM(E11:E56)</f>
        <v>516.15000000000009</v>
      </c>
      <c r="F58" s="70">
        <f t="shared" si="30"/>
        <v>516.15000000000009</v>
      </c>
      <c r="G58" s="70">
        <f t="shared" si="30"/>
        <v>516.15000000000009</v>
      </c>
      <c r="H58" s="70">
        <f t="shared" si="30"/>
        <v>516.15000000000009</v>
      </c>
      <c r="I58" s="70">
        <f t="shared" si="30"/>
        <v>516.15000000000009</v>
      </c>
      <c r="J58" s="70">
        <f t="shared" si="30"/>
        <v>516.15000000000009</v>
      </c>
      <c r="K58" s="70">
        <f t="shared" si="30"/>
        <v>516.15000000000009</v>
      </c>
      <c r="L58" s="70">
        <f t="shared" si="30"/>
        <v>516.15000000000009</v>
      </c>
      <c r="M58" s="70">
        <f t="shared" si="30"/>
        <v>519.15000000000009</v>
      </c>
      <c r="N58" s="70">
        <f t="shared" si="30"/>
        <v>519.15000000000009</v>
      </c>
      <c r="O58" s="70">
        <f t="shared" si="30"/>
        <v>519.15000000000009</v>
      </c>
      <c r="P58" s="70">
        <f t="shared" si="30"/>
        <v>519.15000000000009</v>
      </c>
      <c r="Q58" s="70">
        <f t="shared" ref="Q58" si="31">SUM(Q11:Q56)</f>
        <v>519.15000000000009</v>
      </c>
      <c r="R58" s="70">
        <f t="shared" si="30"/>
        <v>519.15000000000009</v>
      </c>
      <c r="S58" s="70">
        <f t="shared" si="30"/>
        <v>486.34999999999997</v>
      </c>
      <c r="T58" s="70">
        <f t="shared" si="30"/>
        <v>486.34999999999997</v>
      </c>
      <c r="U58" s="70">
        <f t="shared" si="30"/>
        <v>486.34999999999997</v>
      </c>
      <c r="V58" s="70">
        <f t="shared" si="30"/>
        <v>486.34999999999997</v>
      </c>
      <c r="W58" s="70">
        <f t="shared" si="30"/>
        <v>485.34999999999997</v>
      </c>
      <c r="X58" s="70">
        <f t="shared" si="30"/>
        <v>485.45</v>
      </c>
      <c r="Y58" s="70">
        <f t="shared" si="30"/>
        <v>483.45</v>
      </c>
      <c r="Z58" s="70">
        <v>483.45</v>
      </c>
      <c r="AA58" s="70">
        <f t="shared" si="30"/>
        <v>483.45</v>
      </c>
      <c r="AB58" s="70">
        <f t="shared" si="30"/>
        <v>486.34999999999997</v>
      </c>
      <c r="AC58" s="70">
        <f t="shared" ref="AC58:AD58" si="32">SUM(AC11:AC56)</f>
        <v>478.34999999999997</v>
      </c>
      <c r="AD58" s="70">
        <f t="shared" si="32"/>
        <v>486.34999999999997</v>
      </c>
      <c r="AE58" s="70">
        <f t="shared" ref="AE58:AF58" si="33">SUM(AE11:AE56)</f>
        <v>486.34999999999997</v>
      </c>
      <c r="AF58" s="70">
        <f t="shared" si="33"/>
        <v>486.34999999999997</v>
      </c>
      <c r="AG58" s="71">
        <f>SUM(AG14:AG56)</f>
        <v>1042.4000000000001</v>
      </c>
      <c r="AH58" s="48">
        <f t="shared" si="10"/>
        <v>519.15000000000009</v>
      </c>
      <c r="AI58" s="49">
        <f t="shared" si="11"/>
        <v>478.34999999999997</v>
      </c>
      <c r="AK58" s="51"/>
    </row>
    <row r="59" spans="1:88" x14ac:dyDescent="0.25">
      <c r="A59" s="72" t="s">
        <v>76</v>
      </c>
      <c r="B59" s="46">
        <v>68.2</v>
      </c>
      <c r="C59" s="46">
        <v>30</v>
      </c>
      <c r="D59" s="46">
        <v>70.400000000000006</v>
      </c>
      <c r="E59" s="46">
        <v>70.400000000000006</v>
      </c>
      <c r="F59" s="46">
        <v>70.400000000000006</v>
      </c>
      <c r="G59" s="46">
        <v>70.400000000000006</v>
      </c>
      <c r="H59" s="46">
        <v>15</v>
      </c>
      <c r="I59" s="46">
        <v>15</v>
      </c>
      <c r="J59" s="46">
        <v>0</v>
      </c>
      <c r="K59" s="46">
        <v>0</v>
      </c>
      <c r="L59" s="46">
        <v>0</v>
      </c>
      <c r="M59" s="46">
        <v>0</v>
      </c>
      <c r="N59" s="46">
        <v>0</v>
      </c>
      <c r="O59" s="73">
        <v>0</v>
      </c>
      <c r="P59" s="73">
        <v>0</v>
      </c>
      <c r="Q59" s="73">
        <v>0</v>
      </c>
      <c r="R59" s="73">
        <v>0</v>
      </c>
      <c r="S59" s="73">
        <v>0</v>
      </c>
      <c r="T59" s="73">
        <v>0</v>
      </c>
      <c r="U59" s="73">
        <v>0</v>
      </c>
      <c r="V59" s="73">
        <v>0</v>
      </c>
      <c r="W59" s="46">
        <v>0</v>
      </c>
      <c r="X59" s="46">
        <v>35</v>
      </c>
      <c r="Y59" s="46">
        <v>300</v>
      </c>
      <c r="Z59" s="46">
        <v>381</v>
      </c>
      <c r="AA59" s="46">
        <v>381</v>
      </c>
      <c r="AB59" s="46">
        <v>381.5</v>
      </c>
      <c r="AC59" s="46">
        <v>370</v>
      </c>
      <c r="AD59" s="46">
        <v>381.5</v>
      </c>
      <c r="AE59" s="46">
        <v>70</v>
      </c>
      <c r="AF59" s="46">
        <v>70</v>
      </c>
      <c r="AG59" s="60">
        <v>456</v>
      </c>
      <c r="AH59" s="48">
        <f t="shared" si="10"/>
        <v>381.5</v>
      </c>
      <c r="AI59" s="49">
        <f t="shared" si="11"/>
        <v>0</v>
      </c>
      <c r="AK59" s="51"/>
    </row>
    <row r="60" spans="1:88" x14ac:dyDescent="0.25">
      <c r="A60" s="74" t="s">
        <v>77</v>
      </c>
      <c r="B60" s="75">
        <v>21.3</v>
      </c>
      <c r="C60" s="75">
        <v>21.3</v>
      </c>
      <c r="D60" s="75">
        <v>21.3</v>
      </c>
      <c r="E60" s="75">
        <v>21.3</v>
      </c>
      <c r="F60" s="75">
        <v>21.3</v>
      </c>
      <c r="G60" s="75">
        <v>21.3</v>
      </c>
      <c r="H60" s="75">
        <v>21.3</v>
      </c>
      <c r="I60" s="75">
        <v>21.3</v>
      </c>
      <c r="J60" s="75">
        <v>21.3</v>
      </c>
      <c r="K60" s="75">
        <v>21.3</v>
      </c>
      <c r="L60" s="75">
        <v>21.3</v>
      </c>
      <c r="M60" s="75">
        <v>21.6</v>
      </c>
      <c r="N60" s="75">
        <v>21.6</v>
      </c>
      <c r="O60" s="75">
        <v>21.4</v>
      </c>
      <c r="P60" s="75">
        <v>21.6</v>
      </c>
      <c r="Q60" s="75">
        <v>21.6</v>
      </c>
      <c r="R60" s="75">
        <v>21.6</v>
      </c>
      <c r="S60" s="75">
        <v>22</v>
      </c>
      <c r="T60" s="75">
        <v>22</v>
      </c>
      <c r="U60" s="75">
        <v>22</v>
      </c>
      <c r="V60" s="75">
        <v>22</v>
      </c>
      <c r="W60" s="75">
        <v>22</v>
      </c>
      <c r="X60" s="75">
        <v>22</v>
      </c>
      <c r="Y60" s="75">
        <v>22</v>
      </c>
      <c r="Z60" s="75">
        <v>21.5</v>
      </c>
      <c r="AA60" s="75">
        <v>21.5</v>
      </c>
      <c r="AB60" s="75">
        <v>21.5</v>
      </c>
      <c r="AC60" s="75">
        <v>21.5</v>
      </c>
      <c r="AD60" s="75">
        <v>21.5</v>
      </c>
      <c r="AE60" s="75">
        <v>21.5</v>
      </c>
      <c r="AF60" s="75">
        <v>21.5</v>
      </c>
      <c r="AG60" s="65">
        <v>60</v>
      </c>
      <c r="AH60" s="48">
        <f t="shared" si="10"/>
        <v>22</v>
      </c>
      <c r="AI60" s="49">
        <f t="shared" si="11"/>
        <v>21.3</v>
      </c>
      <c r="AK60" s="51"/>
    </row>
    <row r="61" spans="1:88" ht="15.75" thickBot="1" x14ac:dyDescent="0.3">
      <c r="A61" s="76" t="s">
        <v>78</v>
      </c>
      <c r="B61" s="77">
        <v>12.7</v>
      </c>
      <c r="C61" s="77">
        <v>12.7</v>
      </c>
      <c r="D61" s="77">
        <v>12.7</v>
      </c>
      <c r="E61" s="77">
        <v>12.7</v>
      </c>
      <c r="F61" s="77">
        <v>12.7</v>
      </c>
      <c r="G61" s="77">
        <v>12.7</v>
      </c>
      <c r="H61" s="77">
        <v>12.7</v>
      </c>
      <c r="I61" s="77">
        <v>12.7</v>
      </c>
      <c r="J61" s="77">
        <v>12.7</v>
      </c>
      <c r="K61" s="77">
        <v>12.7</v>
      </c>
      <c r="L61" s="77">
        <v>12.7</v>
      </c>
      <c r="M61" s="77">
        <v>13.9</v>
      </c>
      <c r="N61" s="77">
        <v>13.9</v>
      </c>
      <c r="O61" s="77">
        <v>13.8</v>
      </c>
      <c r="P61" s="77">
        <v>13.8</v>
      </c>
      <c r="Q61" s="77">
        <v>13.8</v>
      </c>
      <c r="R61" s="77">
        <v>13.8</v>
      </c>
      <c r="S61" s="77">
        <v>10.3</v>
      </c>
      <c r="T61" s="77">
        <v>10.3</v>
      </c>
      <c r="U61" s="77">
        <v>10.3</v>
      </c>
      <c r="V61" s="77">
        <v>10.3</v>
      </c>
      <c r="W61" s="77">
        <v>10.6</v>
      </c>
      <c r="X61" s="77">
        <v>10.9</v>
      </c>
      <c r="Y61" s="77">
        <v>15.3</v>
      </c>
      <c r="Z61" s="77">
        <v>15.3</v>
      </c>
      <c r="AA61" s="77">
        <v>15.3</v>
      </c>
      <c r="AB61" s="77">
        <v>15.3</v>
      </c>
      <c r="AC61" s="77">
        <v>0</v>
      </c>
      <c r="AD61" s="77">
        <v>15.3</v>
      </c>
      <c r="AE61" s="77">
        <v>15.3</v>
      </c>
      <c r="AF61" s="77">
        <v>15.3</v>
      </c>
      <c r="AG61" s="78">
        <v>22.1</v>
      </c>
      <c r="AH61" s="48">
        <f t="shared" si="10"/>
        <v>15.3</v>
      </c>
      <c r="AI61" s="49">
        <f t="shared" si="11"/>
        <v>0</v>
      </c>
      <c r="AK61" s="51"/>
    </row>
    <row r="62" spans="1:88" ht="15.75" thickBot="1" x14ac:dyDescent="0.3">
      <c r="A62" s="79" t="s">
        <v>79</v>
      </c>
      <c r="B62" s="70">
        <f t="shared" ref="B62:D62" si="34">SUM(B59:B61)</f>
        <v>102.2</v>
      </c>
      <c r="C62" s="70">
        <f t="shared" si="34"/>
        <v>64</v>
      </c>
      <c r="D62" s="70">
        <f t="shared" si="34"/>
        <v>104.4</v>
      </c>
      <c r="E62" s="70">
        <f t="shared" ref="E62:AG62" si="35">SUM(E59:E61)</f>
        <v>104.4</v>
      </c>
      <c r="F62" s="70">
        <f t="shared" si="35"/>
        <v>104.4</v>
      </c>
      <c r="G62" s="70">
        <f t="shared" si="35"/>
        <v>104.4</v>
      </c>
      <c r="H62" s="70">
        <f t="shared" si="35"/>
        <v>49</v>
      </c>
      <c r="I62" s="70">
        <f t="shared" si="35"/>
        <v>49</v>
      </c>
      <c r="J62" s="70">
        <f t="shared" si="35"/>
        <v>34</v>
      </c>
      <c r="K62" s="70">
        <f t="shared" si="35"/>
        <v>34</v>
      </c>
      <c r="L62" s="70">
        <f t="shared" si="35"/>
        <v>34</v>
      </c>
      <c r="M62" s="70">
        <f t="shared" si="35"/>
        <v>35.5</v>
      </c>
      <c r="N62" s="70">
        <f t="shared" si="35"/>
        <v>35.5</v>
      </c>
      <c r="O62" s="70">
        <f t="shared" si="35"/>
        <v>35.200000000000003</v>
      </c>
      <c r="P62" s="70">
        <f t="shared" si="35"/>
        <v>35.400000000000006</v>
      </c>
      <c r="Q62" s="70">
        <f t="shared" ref="Q62" si="36">SUM(Q59:Q61)</f>
        <v>35.400000000000006</v>
      </c>
      <c r="R62" s="70">
        <f t="shared" si="35"/>
        <v>35.400000000000006</v>
      </c>
      <c r="S62" s="70">
        <f t="shared" si="35"/>
        <v>32.299999999999997</v>
      </c>
      <c r="T62" s="70">
        <f t="shared" si="35"/>
        <v>32.299999999999997</v>
      </c>
      <c r="U62" s="70">
        <f t="shared" si="35"/>
        <v>32.299999999999997</v>
      </c>
      <c r="V62" s="70">
        <f t="shared" si="35"/>
        <v>32.299999999999997</v>
      </c>
      <c r="W62" s="70">
        <f t="shared" si="35"/>
        <v>32.6</v>
      </c>
      <c r="X62" s="70">
        <f t="shared" si="35"/>
        <v>67.900000000000006</v>
      </c>
      <c r="Y62" s="70">
        <f t="shared" si="35"/>
        <v>337.3</v>
      </c>
      <c r="Z62" s="70">
        <v>417.8</v>
      </c>
      <c r="AA62" s="70">
        <f t="shared" si="35"/>
        <v>417.8</v>
      </c>
      <c r="AB62" s="70">
        <f t="shared" si="35"/>
        <v>418.3</v>
      </c>
      <c r="AC62" s="70">
        <f t="shared" ref="AC62:AD62" si="37">SUM(AC59:AC61)</f>
        <v>391.5</v>
      </c>
      <c r="AD62" s="70">
        <f t="shared" si="37"/>
        <v>418.3</v>
      </c>
      <c r="AE62" s="70">
        <f t="shared" ref="AE62:AF62" si="38">SUM(AE59:AE61)</f>
        <v>106.8</v>
      </c>
      <c r="AF62" s="70">
        <f t="shared" si="38"/>
        <v>106.8</v>
      </c>
      <c r="AG62" s="71">
        <f t="shared" si="35"/>
        <v>538.1</v>
      </c>
      <c r="AH62" s="48">
        <f t="shared" si="10"/>
        <v>418.3</v>
      </c>
      <c r="AI62" s="49">
        <f t="shared" si="11"/>
        <v>32.299999999999997</v>
      </c>
      <c r="AK62" s="51"/>
    </row>
    <row r="63" spans="1:88" x14ac:dyDescent="0.25">
      <c r="A63" s="45" t="s">
        <v>80</v>
      </c>
      <c r="B63" s="46">
        <v>40.5</v>
      </c>
      <c r="C63" s="46">
        <v>30.5</v>
      </c>
      <c r="D63" s="46">
        <v>30.1</v>
      </c>
      <c r="E63" s="46">
        <v>30.1</v>
      </c>
      <c r="F63" s="46">
        <v>30.1</v>
      </c>
      <c r="G63" s="46">
        <v>40.700000000000003</v>
      </c>
      <c r="H63" s="46">
        <v>27</v>
      </c>
      <c r="I63" s="46">
        <v>27</v>
      </c>
      <c r="J63" s="46">
        <v>27</v>
      </c>
      <c r="K63" s="46">
        <v>32</v>
      </c>
      <c r="L63" s="46">
        <v>61.8</v>
      </c>
      <c r="M63" s="46">
        <v>61.8</v>
      </c>
      <c r="N63" s="46">
        <v>61.8</v>
      </c>
      <c r="O63" s="46">
        <v>60.8</v>
      </c>
      <c r="P63" s="46">
        <v>60.8</v>
      </c>
      <c r="Q63" s="46">
        <v>60.8</v>
      </c>
      <c r="R63" s="46">
        <v>30</v>
      </c>
      <c r="S63" s="46">
        <v>40.6</v>
      </c>
      <c r="T63" s="46">
        <v>40.299999999999997</v>
      </c>
      <c r="U63" s="46">
        <v>40.299999999999997</v>
      </c>
      <c r="V63" s="46">
        <v>40.299999999999997</v>
      </c>
      <c r="W63" s="46">
        <v>31</v>
      </c>
      <c r="X63" s="46">
        <v>30.4</v>
      </c>
      <c r="Y63" s="46">
        <v>143.80000000000001</v>
      </c>
      <c r="Z63" s="46">
        <v>142.30000000000001</v>
      </c>
      <c r="AA63" s="46">
        <v>141.5</v>
      </c>
      <c r="AB63" s="46">
        <v>109</v>
      </c>
      <c r="AC63" s="46">
        <v>109</v>
      </c>
      <c r="AD63" s="46">
        <v>109</v>
      </c>
      <c r="AE63" s="46">
        <v>130</v>
      </c>
      <c r="AF63" s="46">
        <v>100</v>
      </c>
      <c r="AG63" s="60">
        <v>144</v>
      </c>
      <c r="AH63" s="48">
        <f t="shared" si="10"/>
        <v>143.80000000000001</v>
      </c>
      <c r="AI63" s="49">
        <f t="shared" si="11"/>
        <v>27</v>
      </c>
      <c r="AK63" s="51"/>
    </row>
    <row r="64" spans="1:88" x14ac:dyDescent="0.25">
      <c r="A64" s="64" t="s">
        <v>81</v>
      </c>
      <c r="B64" s="46">
        <v>33.9</v>
      </c>
      <c r="C64" s="46">
        <v>25</v>
      </c>
      <c r="D64" s="46">
        <v>34.9</v>
      </c>
      <c r="E64" s="46">
        <v>34.9</v>
      </c>
      <c r="F64" s="46">
        <v>24.6</v>
      </c>
      <c r="G64" s="46">
        <v>34.299999999999997</v>
      </c>
      <c r="H64" s="46">
        <v>25.5</v>
      </c>
      <c r="I64" s="46">
        <v>25.5</v>
      </c>
      <c r="J64" s="46">
        <v>25.5</v>
      </c>
      <c r="K64" s="46">
        <v>25.5</v>
      </c>
      <c r="L64" s="46">
        <v>34.6</v>
      </c>
      <c r="M64" s="46">
        <v>34.6</v>
      </c>
      <c r="N64" s="46">
        <v>34.6</v>
      </c>
      <c r="O64" s="75">
        <v>33.799999999999997</v>
      </c>
      <c r="P64" s="75">
        <v>31.3</v>
      </c>
      <c r="Q64" s="75">
        <v>31.3</v>
      </c>
      <c r="R64" s="75">
        <v>27</v>
      </c>
      <c r="S64" s="75">
        <v>30.8</v>
      </c>
      <c r="T64" s="75">
        <v>25.5</v>
      </c>
      <c r="U64" s="75">
        <v>25.5</v>
      </c>
      <c r="V64" s="75">
        <v>25.5</v>
      </c>
      <c r="W64" s="46">
        <v>25.1</v>
      </c>
      <c r="X64" s="46">
        <v>25.2</v>
      </c>
      <c r="Y64" s="46">
        <v>66.400000000000006</v>
      </c>
      <c r="Z64" s="46">
        <v>68</v>
      </c>
      <c r="AA64" s="46">
        <v>67.3</v>
      </c>
      <c r="AB64" s="46">
        <v>66.599999999999994</v>
      </c>
      <c r="AC64" s="46">
        <v>66.599999999999994</v>
      </c>
      <c r="AD64" s="46">
        <v>49</v>
      </c>
      <c r="AE64" s="46">
        <v>66</v>
      </c>
      <c r="AF64" s="46">
        <v>26</v>
      </c>
      <c r="AG64" s="65">
        <v>70</v>
      </c>
      <c r="AH64" s="48">
        <f t="shared" si="10"/>
        <v>68</v>
      </c>
      <c r="AI64" s="49">
        <f t="shared" si="11"/>
        <v>24.6</v>
      </c>
      <c r="AK64" s="51"/>
    </row>
    <row r="65" spans="1:75" x14ac:dyDescent="0.25">
      <c r="A65" s="64" t="s">
        <v>82</v>
      </c>
      <c r="B65" s="46">
        <v>31.9</v>
      </c>
      <c r="C65" s="46">
        <v>16</v>
      </c>
      <c r="D65" s="46">
        <v>23</v>
      </c>
      <c r="E65" s="46">
        <v>23</v>
      </c>
      <c r="F65" s="46">
        <v>15.6</v>
      </c>
      <c r="G65" s="46">
        <v>21.9</v>
      </c>
      <c r="H65" s="46">
        <v>15.9</v>
      </c>
      <c r="I65" s="46">
        <v>15.9</v>
      </c>
      <c r="J65" s="46">
        <v>15.9</v>
      </c>
      <c r="K65" s="46">
        <v>15.9</v>
      </c>
      <c r="L65" s="46">
        <v>46.6</v>
      </c>
      <c r="M65" s="46">
        <v>46.6</v>
      </c>
      <c r="N65" s="46">
        <v>46.6</v>
      </c>
      <c r="O65" s="75">
        <v>40.6</v>
      </c>
      <c r="P65" s="75">
        <v>32.200000000000003</v>
      </c>
      <c r="Q65" s="75">
        <v>32.200000000000003</v>
      </c>
      <c r="R65" s="75">
        <v>32</v>
      </c>
      <c r="S65" s="75">
        <v>32.4</v>
      </c>
      <c r="T65" s="75">
        <v>23</v>
      </c>
      <c r="U65" s="75">
        <v>23</v>
      </c>
      <c r="V65" s="75">
        <v>23</v>
      </c>
      <c r="W65" s="46">
        <v>16.7</v>
      </c>
      <c r="X65" s="46">
        <v>16.899999999999999</v>
      </c>
      <c r="Y65" s="46">
        <v>69</v>
      </c>
      <c r="Z65" s="46">
        <v>69</v>
      </c>
      <c r="AA65" s="46">
        <v>69</v>
      </c>
      <c r="AB65" s="46">
        <v>42</v>
      </c>
      <c r="AC65" s="46">
        <v>42</v>
      </c>
      <c r="AD65" s="46">
        <v>42</v>
      </c>
      <c r="AE65" s="46">
        <v>46</v>
      </c>
      <c r="AF65" s="46">
        <v>46</v>
      </c>
      <c r="AG65" s="65">
        <v>69</v>
      </c>
      <c r="AH65" s="48">
        <f t="shared" si="10"/>
        <v>69</v>
      </c>
      <c r="AI65" s="49">
        <f t="shared" si="11"/>
        <v>15.6</v>
      </c>
      <c r="AK65" s="51"/>
    </row>
    <row r="66" spans="1:75" x14ac:dyDescent="0.25">
      <c r="A66" s="64" t="s">
        <v>83</v>
      </c>
      <c r="B66" s="46">
        <v>40.6</v>
      </c>
      <c r="C66" s="46">
        <v>40.6</v>
      </c>
      <c r="D66" s="46">
        <v>39.5</v>
      </c>
      <c r="E66" s="46">
        <v>39.5</v>
      </c>
      <c r="F66" s="46">
        <v>39.5</v>
      </c>
      <c r="G66" s="46">
        <v>41.1</v>
      </c>
      <c r="H66" s="46">
        <v>41.1</v>
      </c>
      <c r="I66" s="46">
        <v>41.1</v>
      </c>
      <c r="J66" s="46">
        <v>41.1</v>
      </c>
      <c r="K66" s="46">
        <v>41.1</v>
      </c>
      <c r="L66" s="46">
        <v>41.1</v>
      </c>
      <c r="M66" s="46">
        <v>41.1</v>
      </c>
      <c r="N66" s="46">
        <v>41.1</v>
      </c>
      <c r="O66" s="75">
        <v>39.299999999999997</v>
      </c>
      <c r="P66" s="75">
        <v>39.6</v>
      </c>
      <c r="Q66" s="75">
        <v>39.6</v>
      </c>
      <c r="R66" s="75">
        <v>39.6</v>
      </c>
      <c r="S66" s="75">
        <v>40.299999999999997</v>
      </c>
      <c r="T66" s="75">
        <v>40.299999999999997</v>
      </c>
      <c r="U66" s="75">
        <v>40.299999999999997</v>
      </c>
      <c r="V66" s="75">
        <v>40.299999999999997</v>
      </c>
      <c r="W66" s="46">
        <v>37.299999999999997</v>
      </c>
      <c r="X66" s="46">
        <v>37.299999999999997</v>
      </c>
      <c r="Y66" s="46">
        <v>37.6</v>
      </c>
      <c r="Z66" s="46">
        <v>37.6</v>
      </c>
      <c r="AA66" s="46">
        <v>37.299999999999997</v>
      </c>
      <c r="AB66" s="46">
        <v>37.299999999999997</v>
      </c>
      <c r="AC66" s="46">
        <v>37.299999999999997</v>
      </c>
      <c r="AD66" s="46">
        <v>37.299999999999997</v>
      </c>
      <c r="AE66" s="46">
        <v>37.299999999999997</v>
      </c>
      <c r="AF66" s="46">
        <v>37.299999999999997</v>
      </c>
      <c r="AG66" s="65">
        <v>60</v>
      </c>
      <c r="AH66" s="48">
        <f t="shared" si="10"/>
        <v>41.1</v>
      </c>
      <c r="AI66" s="49">
        <f t="shared" si="11"/>
        <v>37.299999999999997</v>
      </c>
      <c r="AK66" s="51"/>
    </row>
    <row r="67" spans="1:75" x14ac:dyDescent="0.25">
      <c r="A67" s="64" t="s">
        <v>84</v>
      </c>
      <c r="B67" s="46">
        <v>0</v>
      </c>
      <c r="C67" s="46">
        <v>0</v>
      </c>
      <c r="D67" s="46">
        <v>0</v>
      </c>
      <c r="E67" s="46">
        <v>0</v>
      </c>
      <c r="F67" s="46">
        <v>0</v>
      </c>
      <c r="G67" s="46">
        <v>0</v>
      </c>
      <c r="H67" s="46">
        <v>0</v>
      </c>
      <c r="I67" s="46">
        <v>0</v>
      </c>
      <c r="J67" s="46">
        <v>10</v>
      </c>
      <c r="K67" s="46">
        <v>10</v>
      </c>
      <c r="L67" s="46">
        <v>10</v>
      </c>
      <c r="M67" s="46">
        <v>10</v>
      </c>
      <c r="N67" s="46">
        <v>10</v>
      </c>
      <c r="O67" s="75">
        <v>10.3</v>
      </c>
      <c r="P67" s="75">
        <v>10.199999999999999</v>
      </c>
      <c r="Q67" s="75">
        <v>10.199999999999999</v>
      </c>
      <c r="R67" s="75">
        <v>10.199999999999999</v>
      </c>
      <c r="S67" s="75">
        <v>15</v>
      </c>
      <c r="T67" s="75">
        <v>10.199999999999999</v>
      </c>
      <c r="U67" s="75">
        <v>10.199999999999999</v>
      </c>
      <c r="V67" s="75">
        <v>10.199999999999999</v>
      </c>
      <c r="W67" s="46">
        <v>10.5</v>
      </c>
      <c r="X67" s="46">
        <v>10.5</v>
      </c>
      <c r="Y67" s="46">
        <v>30</v>
      </c>
      <c r="Z67" s="46">
        <v>28.9</v>
      </c>
      <c r="AA67" s="46">
        <v>28</v>
      </c>
      <c r="AB67" s="46">
        <v>28</v>
      </c>
      <c r="AC67" s="46">
        <v>28</v>
      </c>
      <c r="AD67" s="46">
        <v>15</v>
      </c>
      <c r="AE67" s="46">
        <v>10</v>
      </c>
      <c r="AF67" s="46">
        <v>10</v>
      </c>
      <c r="AG67" s="65">
        <v>30</v>
      </c>
      <c r="AH67" s="48">
        <f t="shared" si="10"/>
        <v>30</v>
      </c>
      <c r="AI67" s="49">
        <f t="shared" si="11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</row>
    <row r="68" spans="1:75" x14ac:dyDescent="0.25">
      <c r="A68" s="64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1.8</v>
      </c>
      <c r="K68" s="46">
        <v>2</v>
      </c>
      <c r="L68" s="46">
        <v>3.3</v>
      </c>
      <c r="M68" s="46">
        <v>5</v>
      </c>
      <c r="N68" s="46">
        <v>8</v>
      </c>
      <c r="O68" s="75">
        <v>11.5</v>
      </c>
      <c r="P68" s="75">
        <v>17.2</v>
      </c>
      <c r="Q68" s="75">
        <v>17.2</v>
      </c>
      <c r="R68" s="75">
        <v>17.2</v>
      </c>
      <c r="S68" s="75">
        <v>15.8</v>
      </c>
      <c r="T68" s="75">
        <v>4.96</v>
      </c>
      <c r="U68" s="75">
        <v>4.96</v>
      </c>
      <c r="V68" s="75">
        <v>4.96</v>
      </c>
      <c r="W68" s="46">
        <v>0.6</v>
      </c>
      <c r="X68" s="46">
        <v>0.6</v>
      </c>
      <c r="Y68" s="46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5">
        <v>25</v>
      </c>
      <c r="AH68" s="48">
        <f t="shared" si="10"/>
        <v>17.2</v>
      </c>
      <c r="AI68" s="49">
        <f t="shared" si="11"/>
        <v>0</v>
      </c>
      <c r="AK68" s="51"/>
      <c r="AY68" s="1" t="s">
        <v>86</v>
      </c>
      <c r="AZ68" s="81">
        <f>ROUND(C81,0)</f>
        <v>36</v>
      </c>
      <c r="BA68" s="80">
        <f t="shared" ref="BA68:BD72" si="39">D81</f>
        <v>34.9</v>
      </c>
      <c r="BB68" s="80">
        <f t="shared" si="39"/>
        <v>30.9</v>
      </c>
      <c r="BC68" s="80">
        <f t="shared" si="39"/>
        <v>28.9</v>
      </c>
      <c r="BD68" s="80">
        <f t="shared" si="39"/>
        <v>29.4</v>
      </c>
      <c r="BE68" s="81">
        <f>I81</f>
        <v>31.7</v>
      </c>
      <c r="BF68" s="81">
        <f>K81</f>
        <v>53.4</v>
      </c>
      <c r="BG68" s="81">
        <f t="shared" ref="BG68:BP72" si="40">M81</f>
        <v>57.1</v>
      </c>
      <c r="BH68" s="81">
        <f t="shared" si="40"/>
        <v>62.6</v>
      </c>
      <c r="BI68" s="81">
        <f t="shared" si="40"/>
        <v>63.1</v>
      </c>
      <c r="BJ68" s="81">
        <f t="shared" si="40"/>
        <v>61.1</v>
      </c>
      <c r="BK68" s="81">
        <f t="shared" si="40"/>
        <v>68.5</v>
      </c>
      <c r="BL68" s="81">
        <f t="shared" si="40"/>
        <v>66</v>
      </c>
      <c r="BM68" s="81">
        <f t="shared" si="40"/>
        <v>68</v>
      </c>
      <c r="BN68" s="81">
        <f t="shared" si="40"/>
        <v>66.5</v>
      </c>
      <c r="BO68" s="81">
        <f t="shared" si="40"/>
        <v>66</v>
      </c>
      <c r="BP68" s="81">
        <f t="shared" si="40"/>
        <v>61.5</v>
      </c>
      <c r="BQ68" s="81">
        <f>X81</f>
        <v>68.2</v>
      </c>
      <c r="BR68" s="81">
        <f>Z81</f>
        <v>55.4</v>
      </c>
      <c r="BS68" s="80">
        <f>AB81</f>
        <v>40</v>
      </c>
      <c r="BT68" s="80">
        <f>AD81</f>
        <v>49</v>
      </c>
      <c r="BU68" s="80">
        <f>AE81</f>
        <v>45</v>
      </c>
      <c r="BV68" s="80">
        <f>AF81</f>
        <v>34</v>
      </c>
      <c r="BW68" s="80">
        <f>B81</f>
        <v>40.1</v>
      </c>
    </row>
    <row r="69" spans="1:75" x14ac:dyDescent="0.25">
      <c r="A69" s="64" t="s">
        <v>87</v>
      </c>
      <c r="B69" s="75">
        <v>15</v>
      </c>
      <c r="C69" s="75">
        <v>15</v>
      </c>
      <c r="D69" s="75">
        <v>15</v>
      </c>
      <c r="E69" s="75">
        <v>15</v>
      </c>
      <c r="F69" s="75">
        <v>15</v>
      </c>
      <c r="G69" s="75">
        <v>15</v>
      </c>
      <c r="H69" s="75">
        <v>15</v>
      </c>
      <c r="I69" s="75">
        <v>15</v>
      </c>
      <c r="J69" s="75">
        <v>15</v>
      </c>
      <c r="K69" s="75">
        <v>15</v>
      </c>
      <c r="L69" s="75">
        <v>15</v>
      </c>
      <c r="M69" s="75">
        <v>15</v>
      </c>
      <c r="N69" s="75">
        <v>15</v>
      </c>
      <c r="O69" s="75">
        <v>15</v>
      </c>
      <c r="P69" s="75">
        <v>15</v>
      </c>
      <c r="Q69" s="75">
        <v>15</v>
      </c>
      <c r="R69" s="75">
        <v>15</v>
      </c>
      <c r="S69" s="75">
        <v>11</v>
      </c>
      <c r="T69" s="75">
        <v>11</v>
      </c>
      <c r="U69" s="75">
        <v>11</v>
      </c>
      <c r="V69" s="75">
        <v>11</v>
      </c>
      <c r="W69" s="75">
        <v>11</v>
      </c>
      <c r="X69" s="75">
        <v>11</v>
      </c>
      <c r="Y69" s="75">
        <v>11</v>
      </c>
      <c r="Z69" s="75">
        <v>11</v>
      </c>
      <c r="AA69" s="75">
        <v>11</v>
      </c>
      <c r="AB69" s="75">
        <v>11</v>
      </c>
      <c r="AC69" s="75">
        <v>0</v>
      </c>
      <c r="AD69" s="75">
        <v>11</v>
      </c>
      <c r="AE69" s="75">
        <v>11</v>
      </c>
      <c r="AF69" s="75">
        <v>11</v>
      </c>
      <c r="AG69" s="65">
        <v>24</v>
      </c>
      <c r="AH69" s="48">
        <f t="shared" si="10"/>
        <v>15</v>
      </c>
      <c r="AI69" s="49">
        <f t="shared" si="11"/>
        <v>0</v>
      </c>
      <c r="AK69" s="51"/>
      <c r="AY69" s="1" t="s">
        <v>88</v>
      </c>
      <c r="AZ69" s="81">
        <f>ROUND(C82,0)</f>
        <v>0</v>
      </c>
      <c r="BA69" s="80">
        <f t="shared" si="39"/>
        <v>0</v>
      </c>
      <c r="BB69" s="80">
        <f t="shared" si="39"/>
        <v>0</v>
      </c>
      <c r="BC69" s="80">
        <f t="shared" si="39"/>
        <v>0</v>
      </c>
      <c r="BD69" s="80">
        <f t="shared" si="39"/>
        <v>0</v>
      </c>
      <c r="BE69" s="81">
        <f t="shared" ref="BE69:BE72" si="41">I82</f>
        <v>170</v>
      </c>
      <c r="BF69" s="81">
        <f t="shared" ref="BF69:BF72" si="42">K82</f>
        <v>0</v>
      </c>
      <c r="BG69" s="81">
        <f t="shared" si="40"/>
        <v>0</v>
      </c>
      <c r="BH69" s="81">
        <f t="shared" si="40"/>
        <v>0</v>
      </c>
      <c r="BI69" s="81">
        <f t="shared" si="40"/>
        <v>0</v>
      </c>
      <c r="BJ69" s="81">
        <f t="shared" si="40"/>
        <v>0</v>
      </c>
      <c r="BK69" s="81">
        <f t="shared" si="40"/>
        <v>0</v>
      </c>
      <c r="BL69" s="81">
        <f t="shared" si="40"/>
        <v>0</v>
      </c>
      <c r="BM69" s="81">
        <f t="shared" si="40"/>
        <v>0</v>
      </c>
      <c r="BN69" s="81">
        <f t="shared" si="40"/>
        <v>0</v>
      </c>
      <c r="BO69" s="81">
        <f t="shared" si="40"/>
        <v>0</v>
      </c>
      <c r="BP69" s="81">
        <f t="shared" si="40"/>
        <v>0</v>
      </c>
      <c r="BQ69" s="81">
        <f t="shared" ref="BQ69:BQ72" si="43">X82</f>
        <v>0</v>
      </c>
      <c r="BR69" s="81">
        <f t="shared" ref="BR69:BR72" si="44">Z82</f>
        <v>0</v>
      </c>
      <c r="BS69" s="80">
        <f t="shared" ref="BS69:BS72" si="45">AB82</f>
        <v>0</v>
      </c>
      <c r="BT69" s="80">
        <f t="shared" ref="BT69:BV72" si="46">AD82</f>
        <v>0</v>
      </c>
      <c r="BU69" s="80">
        <f t="shared" si="46"/>
        <v>0</v>
      </c>
      <c r="BV69" s="80">
        <f t="shared" si="46"/>
        <v>0</v>
      </c>
      <c r="BW69" s="80">
        <f t="shared" ref="BW69:BW72" si="47">B82</f>
        <v>0</v>
      </c>
    </row>
    <row r="70" spans="1:75" x14ac:dyDescent="0.25">
      <c r="A70" s="64" t="s">
        <v>89</v>
      </c>
      <c r="B70" s="75">
        <v>0</v>
      </c>
      <c r="C70" s="75">
        <v>0</v>
      </c>
      <c r="D70" s="75">
        <v>0</v>
      </c>
      <c r="E70" s="75">
        <v>0</v>
      </c>
      <c r="F70" s="75">
        <v>0</v>
      </c>
      <c r="G70" s="75">
        <v>0</v>
      </c>
      <c r="H70" s="75">
        <v>0</v>
      </c>
      <c r="I70" s="75">
        <v>0</v>
      </c>
      <c r="J70" s="75">
        <v>0</v>
      </c>
      <c r="K70" s="75">
        <v>0</v>
      </c>
      <c r="L70" s="75">
        <v>0</v>
      </c>
      <c r="M70" s="75">
        <v>0</v>
      </c>
      <c r="N70" s="75">
        <v>0</v>
      </c>
      <c r="O70" s="75">
        <v>0</v>
      </c>
      <c r="P70" s="75">
        <v>0</v>
      </c>
      <c r="Q70" s="75">
        <v>0</v>
      </c>
      <c r="R70" s="75">
        <v>0</v>
      </c>
      <c r="S70" s="75">
        <v>0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5">
        <v>0</v>
      </c>
      <c r="Z70" s="75">
        <v>0</v>
      </c>
      <c r="AA70" s="75">
        <v>0</v>
      </c>
      <c r="AB70" s="75">
        <v>0</v>
      </c>
      <c r="AC70" s="75">
        <v>0</v>
      </c>
      <c r="AD70" s="75">
        <v>0</v>
      </c>
      <c r="AE70" s="75">
        <v>0</v>
      </c>
      <c r="AF70" s="75">
        <v>0</v>
      </c>
      <c r="AG70" s="65">
        <v>15</v>
      </c>
      <c r="AH70" s="48">
        <f t="shared" si="10"/>
        <v>0</v>
      </c>
      <c r="AI70" s="49">
        <f t="shared" si="11"/>
        <v>0</v>
      </c>
      <c r="AK70" s="51"/>
      <c r="AL70" s="82"/>
      <c r="AO70" s="82"/>
      <c r="AY70" s="1" t="s">
        <v>90</v>
      </c>
      <c r="AZ70" s="81">
        <f>ROUND(C83,0)</f>
        <v>31</v>
      </c>
      <c r="BA70" s="80">
        <f t="shared" si="39"/>
        <v>78.900000000000006</v>
      </c>
      <c r="BB70" s="80">
        <f t="shared" si="39"/>
        <v>52.4</v>
      </c>
      <c r="BC70" s="80">
        <f t="shared" si="39"/>
        <v>71</v>
      </c>
      <c r="BD70" s="80">
        <f t="shared" si="39"/>
        <v>75.400000000000006</v>
      </c>
      <c r="BE70" s="81">
        <f t="shared" si="41"/>
        <v>42</v>
      </c>
      <c r="BF70" s="81">
        <f t="shared" si="42"/>
        <v>520</v>
      </c>
      <c r="BG70" s="81">
        <f t="shared" si="40"/>
        <v>540.79999999999995</v>
      </c>
      <c r="BH70" s="81">
        <f t="shared" si="40"/>
        <v>527</v>
      </c>
      <c r="BI70" s="81">
        <f t="shared" si="40"/>
        <v>548.79999999999995</v>
      </c>
      <c r="BJ70" s="81">
        <f t="shared" si="40"/>
        <v>529.79999999999995</v>
      </c>
      <c r="BK70" s="81">
        <f t="shared" si="40"/>
        <v>536</v>
      </c>
      <c r="BL70" s="81">
        <f t="shared" si="40"/>
        <v>562</v>
      </c>
      <c r="BM70" s="81">
        <f t="shared" si="40"/>
        <v>553</v>
      </c>
      <c r="BN70" s="81">
        <f t="shared" si="40"/>
        <v>589</v>
      </c>
      <c r="BO70" s="81">
        <f t="shared" si="40"/>
        <v>571</v>
      </c>
      <c r="BP70" s="81">
        <f t="shared" si="40"/>
        <v>531.5</v>
      </c>
      <c r="BQ70" s="81">
        <f t="shared" si="43"/>
        <v>468</v>
      </c>
      <c r="BR70" s="81">
        <f t="shared" si="44"/>
        <v>74.3</v>
      </c>
      <c r="BS70" s="80">
        <f t="shared" si="45"/>
        <v>66</v>
      </c>
      <c r="BT70" s="80">
        <f t="shared" si="46"/>
        <v>51</v>
      </c>
      <c r="BU70" s="80">
        <f t="shared" si="46"/>
        <v>169</v>
      </c>
      <c r="BV70" s="80">
        <f t="shared" si="46"/>
        <v>139</v>
      </c>
      <c r="BW70" s="80">
        <f t="shared" si="47"/>
        <v>94.3</v>
      </c>
    </row>
    <row r="71" spans="1:75" s="82" customFormat="1" x14ac:dyDescent="0.25">
      <c r="A71" s="64" t="s">
        <v>91</v>
      </c>
      <c r="B71" s="75">
        <v>9.1</v>
      </c>
      <c r="C71" s="75">
        <v>9.1</v>
      </c>
      <c r="D71" s="75">
        <v>9.1</v>
      </c>
      <c r="E71" s="75">
        <v>9.1</v>
      </c>
      <c r="F71" s="75">
        <v>9.1</v>
      </c>
      <c r="G71" s="75">
        <v>9.1</v>
      </c>
      <c r="H71" s="75">
        <v>9.1</v>
      </c>
      <c r="I71" s="75">
        <v>9.1</v>
      </c>
      <c r="J71" s="75">
        <v>9.1</v>
      </c>
      <c r="K71" s="75">
        <v>9.1</v>
      </c>
      <c r="L71" s="75">
        <v>7.9</v>
      </c>
      <c r="M71" s="75">
        <v>7.9</v>
      </c>
      <c r="N71" s="75">
        <v>7.9</v>
      </c>
      <c r="O71" s="75">
        <v>7.9</v>
      </c>
      <c r="P71" s="75">
        <v>9</v>
      </c>
      <c r="Q71" s="75">
        <v>9</v>
      </c>
      <c r="R71" s="75">
        <v>9</v>
      </c>
      <c r="S71" s="75">
        <v>9</v>
      </c>
      <c r="T71" s="75">
        <v>9</v>
      </c>
      <c r="U71" s="75">
        <v>9</v>
      </c>
      <c r="V71" s="75">
        <v>9</v>
      </c>
      <c r="W71" s="75">
        <v>9.6999999999999993</v>
      </c>
      <c r="X71" s="75">
        <v>9.6999999999999993</v>
      </c>
      <c r="Y71" s="75">
        <v>9.5</v>
      </c>
      <c r="Z71" s="75">
        <v>9.1999999999999993</v>
      </c>
      <c r="AA71" s="75">
        <v>9.1999999999999993</v>
      </c>
      <c r="AB71" s="75">
        <v>9.1999999999999993</v>
      </c>
      <c r="AC71" s="75">
        <v>9.1999999999999993</v>
      </c>
      <c r="AD71" s="75">
        <v>9.1999999999999993</v>
      </c>
      <c r="AE71" s="75">
        <v>9.1999999999999993</v>
      </c>
      <c r="AF71" s="75">
        <v>9.1999999999999993</v>
      </c>
      <c r="AG71" s="65">
        <v>14.1</v>
      </c>
      <c r="AH71" s="48">
        <f t="shared" si="10"/>
        <v>9.6999999999999993</v>
      </c>
      <c r="AI71" s="49">
        <f t="shared" si="11"/>
        <v>7.9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39</v>
      </c>
      <c r="BA71" s="80">
        <f t="shared" si="39"/>
        <v>0</v>
      </c>
      <c r="BB71" s="80">
        <f t="shared" si="39"/>
        <v>10.7</v>
      </c>
      <c r="BC71" s="80">
        <f t="shared" si="39"/>
        <v>10.7</v>
      </c>
      <c r="BD71" s="80">
        <f t="shared" si="39"/>
        <v>10.3</v>
      </c>
      <c r="BE71" s="81">
        <f t="shared" si="41"/>
        <v>34</v>
      </c>
      <c r="BF71" s="81">
        <f t="shared" si="42"/>
        <v>49.7</v>
      </c>
      <c r="BG71" s="81">
        <f t="shared" si="40"/>
        <v>52.4</v>
      </c>
      <c r="BH71" s="81">
        <f t="shared" si="40"/>
        <v>48</v>
      </c>
      <c r="BI71" s="81">
        <f t="shared" si="40"/>
        <v>51.7</v>
      </c>
      <c r="BJ71" s="81">
        <f t="shared" si="40"/>
        <v>47.5</v>
      </c>
      <c r="BK71" s="81">
        <f t="shared" si="40"/>
        <v>50</v>
      </c>
      <c r="BL71" s="81">
        <f t="shared" si="40"/>
        <v>44</v>
      </c>
      <c r="BM71" s="81">
        <f t="shared" si="40"/>
        <v>48.6</v>
      </c>
      <c r="BN71" s="81">
        <f t="shared" si="40"/>
        <v>47.3</v>
      </c>
      <c r="BO71" s="81">
        <f t="shared" si="40"/>
        <v>51</v>
      </c>
      <c r="BP71" s="81">
        <f t="shared" si="40"/>
        <v>53.9</v>
      </c>
      <c r="BQ71" s="81">
        <f t="shared" si="43"/>
        <v>36.299999999999997</v>
      </c>
      <c r="BR71" s="81">
        <f t="shared" si="44"/>
        <v>0</v>
      </c>
      <c r="BS71" s="80">
        <f t="shared" si="45"/>
        <v>0</v>
      </c>
      <c r="BT71" s="80">
        <f t="shared" si="46"/>
        <v>0</v>
      </c>
      <c r="BU71" s="80">
        <f t="shared" si="46"/>
        <v>0</v>
      </c>
      <c r="BV71" s="80">
        <f t="shared" si="46"/>
        <v>0</v>
      </c>
      <c r="BW71" s="80">
        <f t="shared" si="47"/>
        <v>0</v>
      </c>
    </row>
    <row r="72" spans="1:75" x14ac:dyDescent="0.25">
      <c r="A72" s="83" t="s">
        <v>93</v>
      </c>
      <c r="B72" s="75">
        <v>5.8</v>
      </c>
      <c r="C72" s="75">
        <v>5.8</v>
      </c>
      <c r="D72" s="75">
        <v>5.8</v>
      </c>
      <c r="E72" s="75">
        <v>5.8</v>
      </c>
      <c r="F72" s="75">
        <v>5.8</v>
      </c>
      <c r="G72" s="75">
        <v>5.8</v>
      </c>
      <c r="H72" s="75">
        <v>5.8</v>
      </c>
      <c r="I72" s="75">
        <v>5.8</v>
      </c>
      <c r="J72" s="75">
        <v>5.8</v>
      </c>
      <c r="K72" s="75">
        <v>5.8</v>
      </c>
      <c r="L72" s="75">
        <v>5.8</v>
      </c>
      <c r="M72" s="75">
        <v>5.8</v>
      </c>
      <c r="N72" s="75">
        <v>5.8</v>
      </c>
      <c r="O72" s="75">
        <v>5.8</v>
      </c>
      <c r="P72" s="75">
        <v>5.8</v>
      </c>
      <c r="Q72" s="75">
        <v>5.8</v>
      </c>
      <c r="R72" s="75">
        <v>5.8</v>
      </c>
      <c r="S72" s="75">
        <v>5.8</v>
      </c>
      <c r="T72" s="75">
        <v>5.8</v>
      </c>
      <c r="U72" s="75">
        <v>5.8</v>
      </c>
      <c r="V72" s="75">
        <v>5.8</v>
      </c>
      <c r="W72" s="75">
        <v>5</v>
      </c>
      <c r="X72" s="75">
        <v>5</v>
      </c>
      <c r="Y72" s="75">
        <v>5</v>
      </c>
      <c r="Z72" s="75">
        <v>6.7</v>
      </c>
      <c r="AA72" s="75">
        <v>6.7</v>
      </c>
      <c r="AB72" s="75">
        <v>6.7</v>
      </c>
      <c r="AC72" s="75">
        <v>6.7</v>
      </c>
      <c r="AD72" s="75">
        <v>6.7</v>
      </c>
      <c r="AE72" s="75">
        <v>6.7</v>
      </c>
      <c r="AF72" s="75">
        <v>6.7</v>
      </c>
      <c r="AG72" s="65">
        <v>14</v>
      </c>
      <c r="AH72" s="48">
        <f t="shared" si="10"/>
        <v>6.7</v>
      </c>
      <c r="AI72" s="49">
        <f t="shared" si="11"/>
        <v>5</v>
      </c>
      <c r="AK72" s="51"/>
      <c r="AY72" s="1" t="s">
        <v>94</v>
      </c>
      <c r="AZ72" s="81">
        <f>ROUND(C85,0)</f>
        <v>85</v>
      </c>
      <c r="BA72" s="80">
        <f t="shared" si="39"/>
        <v>0</v>
      </c>
      <c r="BB72" s="80">
        <f t="shared" si="39"/>
        <v>0</v>
      </c>
      <c r="BC72" s="80">
        <f t="shared" si="39"/>
        <v>0</v>
      </c>
      <c r="BD72" s="80">
        <f t="shared" si="39"/>
        <v>0</v>
      </c>
      <c r="BE72" s="81">
        <f t="shared" si="41"/>
        <v>93</v>
      </c>
      <c r="BF72" s="81">
        <f t="shared" si="42"/>
        <v>112</v>
      </c>
      <c r="BG72" s="81">
        <f t="shared" si="40"/>
        <v>111.9</v>
      </c>
      <c r="BH72" s="81">
        <f t="shared" si="40"/>
        <v>125</v>
      </c>
      <c r="BI72" s="81">
        <f t="shared" si="40"/>
        <v>134</v>
      </c>
      <c r="BJ72" s="81">
        <f t="shared" si="40"/>
        <v>123.1</v>
      </c>
      <c r="BK72" s="81">
        <f t="shared" si="40"/>
        <v>74</v>
      </c>
      <c r="BL72" s="81">
        <f t="shared" si="40"/>
        <v>99</v>
      </c>
      <c r="BM72" s="81">
        <f t="shared" si="40"/>
        <v>110.8</v>
      </c>
      <c r="BN72" s="81">
        <f t="shared" si="40"/>
        <v>125.3</v>
      </c>
      <c r="BO72" s="81">
        <f t="shared" si="40"/>
        <v>120</v>
      </c>
      <c r="BP72" s="81">
        <f t="shared" si="40"/>
        <v>95.4</v>
      </c>
      <c r="BQ72" s="81">
        <f t="shared" si="43"/>
        <v>84</v>
      </c>
      <c r="BR72" s="81">
        <f t="shared" si="44"/>
        <v>0</v>
      </c>
      <c r="BS72" s="80">
        <f t="shared" si="45"/>
        <v>0</v>
      </c>
      <c r="BT72" s="80">
        <f t="shared" si="46"/>
        <v>0</v>
      </c>
      <c r="BU72" s="80">
        <f t="shared" si="46"/>
        <v>0</v>
      </c>
      <c r="BV72" s="80">
        <f t="shared" si="46"/>
        <v>0</v>
      </c>
      <c r="BW72" s="80">
        <f t="shared" si="47"/>
        <v>0</v>
      </c>
    </row>
    <row r="73" spans="1:75" x14ac:dyDescent="0.25">
      <c r="A73" s="64" t="s">
        <v>95</v>
      </c>
      <c r="B73" s="75">
        <v>0</v>
      </c>
      <c r="C73" s="75">
        <v>0</v>
      </c>
      <c r="D73" s="75">
        <v>0</v>
      </c>
      <c r="E73" s="75">
        <v>0</v>
      </c>
      <c r="F73" s="75">
        <v>0</v>
      </c>
      <c r="G73" s="75">
        <v>0</v>
      </c>
      <c r="H73" s="75">
        <v>0</v>
      </c>
      <c r="I73" s="75">
        <v>0</v>
      </c>
      <c r="J73" s="75">
        <v>0</v>
      </c>
      <c r="K73" s="75">
        <v>0</v>
      </c>
      <c r="L73" s="75">
        <v>0</v>
      </c>
      <c r="M73" s="75">
        <v>0</v>
      </c>
      <c r="N73" s="75">
        <v>0</v>
      </c>
      <c r="O73" s="75">
        <v>0</v>
      </c>
      <c r="P73" s="75">
        <v>0</v>
      </c>
      <c r="Q73" s="75">
        <v>0</v>
      </c>
      <c r="R73" s="75">
        <v>0</v>
      </c>
      <c r="S73" s="75">
        <v>0</v>
      </c>
      <c r="T73" s="75">
        <v>0</v>
      </c>
      <c r="U73" s="75">
        <v>0</v>
      </c>
      <c r="V73" s="75">
        <v>0</v>
      </c>
      <c r="W73" s="75">
        <v>0</v>
      </c>
      <c r="X73" s="75">
        <v>0</v>
      </c>
      <c r="Y73" s="75">
        <v>0</v>
      </c>
      <c r="Z73" s="75">
        <v>0</v>
      </c>
      <c r="AA73" s="75">
        <v>0</v>
      </c>
      <c r="AB73" s="75">
        <v>0</v>
      </c>
      <c r="AC73" s="75">
        <v>0</v>
      </c>
      <c r="AD73" s="75">
        <v>0</v>
      </c>
      <c r="AE73" s="75">
        <v>0</v>
      </c>
      <c r="AF73" s="75">
        <v>0</v>
      </c>
      <c r="AG73" s="65">
        <v>10.050000000000001</v>
      </c>
      <c r="AH73" s="48">
        <f t="shared" si="10"/>
        <v>0</v>
      </c>
      <c r="AI73" s="49">
        <f t="shared" si="11"/>
        <v>0</v>
      </c>
      <c r="AK73" s="51"/>
      <c r="AY73" s="1" t="s">
        <v>96</v>
      </c>
      <c r="AZ73" s="81">
        <f>ROUND(C91,0)</f>
        <v>50</v>
      </c>
      <c r="BA73" s="81">
        <f>D91</f>
        <v>49.8</v>
      </c>
      <c r="BB73" s="81">
        <f>E91</f>
        <v>48.7</v>
      </c>
      <c r="BC73" s="81">
        <f>F91</f>
        <v>48.7</v>
      </c>
      <c r="BD73" s="81">
        <f>G91</f>
        <v>47.5</v>
      </c>
      <c r="BE73" s="81">
        <f>I91</f>
        <v>45.3</v>
      </c>
      <c r="BF73" s="81">
        <f>K91</f>
        <v>52</v>
      </c>
      <c r="BG73" s="81">
        <f t="shared" ref="BG73:BP73" si="48">M91</f>
        <v>45.2</v>
      </c>
      <c r="BH73" s="81">
        <f t="shared" si="48"/>
        <v>47</v>
      </c>
      <c r="BI73" s="81">
        <f t="shared" si="48"/>
        <v>45.1</v>
      </c>
      <c r="BJ73" s="81">
        <f t="shared" si="48"/>
        <v>48.5</v>
      </c>
      <c r="BK73" s="81">
        <f t="shared" si="48"/>
        <v>46</v>
      </c>
      <c r="BL73" s="81">
        <f t="shared" si="48"/>
        <v>45.7</v>
      </c>
      <c r="BM73" s="81">
        <f t="shared" si="48"/>
        <v>46.3</v>
      </c>
      <c r="BN73" s="81">
        <f t="shared" si="48"/>
        <v>46.2</v>
      </c>
      <c r="BO73" s="81">
        <f t="shared" si="48"/>
        <v>46.8</v>
      </c>
      <c r="BP73" s="81">
        <f t="shared" si="48"/>
        <v>47</v>
      </c>
      <c r="BQ73" s="81">
        <f>X91</f>
        <v>36.700000000000003</v>
      </c>
      <c r="BR73" s="81">
        <f>Z91</f>
        <v>48.6</v>
      </c>
      <c r="BS73" s="81">
        <f>AB91</f>
        <v>48</v>
      </c>
      <c r="BT73" s="81">
        <f>AD91</f>
        <v>52</v>
      </c>
      <c r="BU73" s="81">
        <f>AE91</f>
        <v>53</v>
      </c>
      <c r="BV73" s="81">
        <f>AF91</f>
        <v>50</v>
      </c>
      <c r="BW73" s="81">
        <f>B91</f>
        <v>49.7</v>
      </c>
    </row>
    <row r="74" spans="1:75" x14ac:dyDescent="0.25">
      <c r="A74" s="64" t="s">
        <v>97</v>
      </c>
      <c r="B74" s="75">
        <v>4</v>
      </c>
      <c r="C74" s="75">
        <v>4</v>
      </c>
      <c r="D74" s="75">
        <v>2</v>
      </c>
      <c r="E74" s="75">
        <v>2</v>
      </c>
      <c r="F74" s="75">
        <v>2</v>
      </c>
      <c r="G74" s="75">
        <v>2</v>
      </c>
      <c r="H74" s="75">
        <v>2</v>
      </c>
      <c r="I74" s="75">
        <v>2</v>
      </c>
      <c r="J74" s="75">
        <v>2</v>
      </c>
      <c r="K74" s="75">
        <v>2</v>
      </c>
      <c r="L74" s="75">
        <v>2</v>
      </c>
      <c r="M74" s="75">
        <v>2</v>
      </c>
      <c r="N74" s="75">
        <v>2</v>
      </c>
      <c r="O74" s="75">
        <v>2</v>
      </c>
      <c r="P74" s="75">
        <v>2</v>
      </c>
      <c r="Q74" s="75">
        <v>2</v>
      </c>
      <c r="R74" s="75">
        <v>2</v>
      </c>
      <c r="S74" s="75">
        <v>2</v>
      </c>
      <c r="T74" s="75">
        <v>2</v>
      </c>
      <c r="U74" s="75">
        <v>2</v>
      </c>
      <c r="V74" s="75">
        <v>2</v>
      </c>
      <c r="W74" s="75">
        <v>2</v>
      </c>
      <c r="X74" s="75">
        <v>2</v>
      </c>
      <c r="Y74" s="75">
        <v>2</v>
      </c>
      <c r="Z74" s="75">
        <v>2</v>
      </c>
      <c r="AA74" s="75">
        <v>2</v>
      </c>
      <c r="AB74" s="75">
        <v>2</v>
      </c>
      <c r="AC74" s="75">
        <v>2</v>
      </c>
      <c r="AD74" s="75">
        <v>2</v>
      </c>
      <c r="AE74" s="75">
        <v>2</v>
      </c>
      <c r="AF74" s="75">
        <v>2</v>
      </c>
      <c r="AG74" s="65">
        <v>6.2</v>
      </c>
      <c r="AH74" s="48">
        <f t="shared" si="10"/>
        <v>4</v>
      </c>
      <c r="AI74" s="49">
        <f t="shared" si="11"/>
        <v>2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</row>
    <row r="75" spans="1:75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>
        <v>3.54</v>
      </c>
      <c r="W75" s="84">
        <v>3.54</v>
      </c>
      <c r="X75" s="84">
        <v>3.54</v>
      </c>
      <c r="Y75" s="84">
        <v>3.5</v>
      </c>
      <c r="Z75" s="84">
        <v>3.5</v>
      </c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10"/>
        <v>3.54</v>
      </c>
      <c r="AI75" s="49">
        <f t="shared" si="11"/>
        <v>3.5</v>
      </c>
      <c r="AK75" s="51"/>
      <c r="AZ75" s="81">
        <f>VALUE(AZ68)</f>
        <v>36</v>
      </c>
      <c r="BA75" s="81">
        <f t="shared" ref="BA75:BW75" si="49">VALUE(BA68)</f>
        <v>34.9</v>
      </c>
      <c r="BB75" s="81">
        <f t="shared" si="49"/>
        <v>30.9</v>
      </c>
      <c r="BC75" s="81">
        <f t="shared" si="49"/>
        <v>28.9</v>
      </c>
      <c r="BD75" s="81">
        <f t="shared" si="49"/>
        <v>29.4</v>
      </c>
      <c r="BE75" s="81">
        <f t="shared" si="49"/>
        <v>31.7</v>
      </c>
      <c r="BF75" s="81">
        <f t="shared" si="49"/>
        <v>53.4</v>
      </c>
      <c r="BG75" s="81">
        <f t="shared" si="49"/>
        <v>57.1</v>
      </c>
      <c r="BH75" s="81">
        <f t="shared" si="49"/>
        <v>62.6</v>
      </c>
      <c r="BI75" s="81">
        <f t="shared" si="49"/>
        <v>63.1</v>
      </c>
      <c r="BJ75" s="81">
        <f t="shared" si="49"/>
        <v>61.1</v>
      </c>
      <c r="BK75" s="81">
        <f t="shared" si="49"/>
        <v>68.5</v>
      </c>
      <c r="BL75" s="81">
        <f t="shared" si="49"/>
        <v>66</v>
      </c>
      <c r="BM75" s="81">
        <f t="shared" si="49"/>
        <v>68</v>
      </c>
      <c r="BN75" s="81">
        <f t="shared" si="49"/>
        <v>66.5</v>
      </c>
      <c r="BO75" s="81">
        <f t="shared" si="49"/>
        <v>66</v>
      </c>
      <c r="BP75" s="81">
        <f t="shared" si="49"/>
        <v>61.5</v>
      </c>
      <c r="BQ75" s="81">
        <f t="shared" si="49"/>
        <v>68.2</v>
      </c>
      <c r="BR75" s="81">
        <f t="shared" si="49"/>
        <v>55.4</v>
      </c>
      <c r="BS75" s="81">
        <f t="shared" si="49"/>
        <v>40</v>
      </c>
      <c r="BT75" s="81">
        <f t="shared" si="49"/>
        <v>49</v>
      </c>
      <c r="BU75" s="81">
        <f t="shared" si="49"/>
        <v>45</v>
      </c>
      <c r="BV75" s="81">
        <f t="shared" si="49"/>
        <v>34</v>
      </c>
      <c r="BW75" s="81">
        <f t="shared" si="49"/>
        <v>40.1</v>
      </c>
    </row>
    <row r="76" spans="1:75" ht="15.75" thickBot="1" x14ac:dyDescent="0.3">
      <c r="A76" s="86" t="s">
        <v>99</v>
      </c>
      <c r="B76" s="70">
        <f t="shared" ref="B76:D76" si="50">SUM(B63:B75)</f>
        <v>184.34</v>
      </c>
      <c r="C76" s="70">
        <f t="shared" si="50"/>
        <v>149.54</v>
      </c>
      <c r="D76" s="70">
        <f t="shared" si="50"/>
        <v>162.94</v>
      </c>
      <c r="E76" s="70">
        <f t="shared" ref="E76:AG76" si="51">SUM(E63:E75)</f>
        <v>162.94</v>
      </c>
      <c r="F76" s="70">
        <f t="shared" si="51"/>
        <v>145.24</v>
      </c>
      <c r="G76" s="70">
        <f t="shared" si="51"/>
        <v>173.44</v>
      </c>
      <c r="H76" s="70">
        <f t="shared" si="51"/>
        <v>144.94</v>
      </c>
      <c r="I76" s="70">
        <f t="shared" si="51"/>
        <v>144.94</v>
      </c>
      <c r="J76" s="70">
        <f t="shared" si="51"/>
        <v>156.74</v>
      </c>
      <c r="K76" s="70">
        <f t="shared" si="51"/>
        <v>161.94</v>
      </c>
      <c r="L76" s="70">
        <f t="shared" si="51"/>
        <v>231.64000000000001</v>
      </c>
      <c r="M76" s="70">
        <f t="shared" si="51"/>
        <v>233.34</v>
      </c>
      <c r="N76" s="70">
        <f t="shared" si="51"/>
        <v>236.34</v>
      </c>
      <c r="O76" s="70">
        <f t="shared" si="51"/>
        <v>230.54000000000002</v>
      </c>
      <c r="P76" s="70">
        <f t="shared" si="51"/>
        <v>226.64</v>
      </c>
      <c r="Q76" s="70">
        <f t="shared" si="51"/>
        <v>226.64</v>
      </c>
      <c r="R76" s="70">
        <f t="shared" si="51"/>
        <v>191.33999999999997</v>
      </c>
      <c r="S76" s="70">
        <f t="shared" si="51"/>
        <v>206.24000000000004</v>
      </c>
      <c r="T76" s="70">
        <f t="shared" si="51"/>
        <v>175.6</v>
      </c>
      <c r="U76" s="70">
        <f t="shared" si="51"/>
        <v>175.6</v>
      </c>
      <c r="V76" s="70">
        <f t="shared" si="51"/>
        <v>175.6</v>
      </c>
      <c r="W76" s="70">
        <f t="shared" si="51"/>
        <v>152.43999999999997</v>
      </c>
      <c r="X76" s="70">
        <f t="shared" si="51"/>
        <v>152.13999999999996</v>
      </c>
      <c r="Y76" s="70">
        <f>SUM(Y63:Y75)</f>
        <v>377.80000000000007</v>
      </c>
      <c r="Z76" s="70">
        <v>382.2</v>
      </c>
      <c r="AA76" s="70">
        <f t="shared" si="51"/>
        <v>375.54</v>
      </c>
      <c r="AB76" s="70">
        <f t="shared" si="51"/>
        <v>315.33999999999997</v>
      </c>
      <c r="AC76" s="70">
        <f t="shared" ref="AC76:AD76" si="52">SUM(AC63:AC75)</f>
        <v>304.33999999999997</v>
      </c>
      <c r="AD76" s="70">
        <f t="shared" si="52"/>
        <v>284.74</v>
      </c>
      <c r="AE76" s="70">
        <f t="shared" ref="AE76:AF76" si="53">SUM(AE63:AE75)</f>
        <v>321.74</v>
      </c>
      <c r="AF76" s="70">
        <f t="shared" si="53"/>
        <v>251.73999999999998</v>
      </c>
      <c r="AG76" s="71">
        <f t="shared" si="51"/>
        <v>489.91</v>
      </c>
      <c r="AH76" s="48">
        <f t="shared" si="10"/>
        <v>382.2</v>
      </c>
      <c r="AI76" s="49">
        <f t="shared" si="11"/>
        <v>144.94</v>
      </c>
      <c r="AK76" s="51"/>
      <c r="AZ76" s="81">
        <f t="shared" ref="AZ76:BW80" si="54">VALUE(AZ69)</f>
        <v>0</v>
      </c>
      <c r="BA76" s="81">
        <f t="shared" si="54"/>
        <v>0</v>
      </c>
      <c r="BB76" s="81">
        <f t="shared" si="54"/>
        <v>0</v>
      </c>
      <c r="BC76" s="81">
        <f t="shared" si="54"/>
        <v>0</v>
      </c>
      <c r="BD76" s="81">
        <f t="shared" si="54"/>
        <v>0</v>
      </c>
      <c r="BE76" s="81">
        <f t="shared" si="54"/>
        <v>170</v>
      </c>
      <c r="BF76" s="81">
        <f t="shared" si="54"/>
        <v>0</v>
      </c>
      <c r="BG76" s="81">
        <f t="shared" si="54"/>
        <v>0</v>
      </c>
      <c r="BH76" s="81">
        <f t="shared" si="54"/>
        <v>0</v>
      </c>
      <c r="BI76" s="81">
        <f t="shared" si="54"/>
        <v>0</v>
      </c>
      <c r="BJ76" s="81">
        <f t="shared" si="54"/>
        <v>0</v>
      </c>
      <c r="BK76" s="81">
        <f t="shared" si="54"/>
        <v>0</v>
      </c>
      <c r="BL76" s="81">
        <f t="shared" si="54"/>
        <v>0</v>
      </c>
      <c r="BM76" s="81">
        <f t="shared" si="54"/>
        <v>0</v>
      </c>
      <c r="BN76" s="81">
        <f t="shared" si="54"/>
        <v>0</v>
      </c>
      <c r="BO76" s="81">
        <f t="shared" si="54"/>
        <v>0</v>
      </c>
      <c r="BP76" s="81">
        <f t="shared" si="54"/>
        <v>0</v>
      </c>
      <c r="BQ76" s="81">
        <f t="shared" si="54"/>
        <v>0</v>
      </c>
      <c r="BR76" s="81">
        <f t="shared" si="54"/>
        <v>0</v>
      </c>
      <c r="BS76" s="81">
        <f t="shared" si="54"/>
        <v>0</v>
      </c>
      <c r="BT76" s="81">
        <f t="shared" si="54"/>
        <v>0</v>
      </c>
      <c r="BU76" s="81">
        <f t="shared" si="54"/>
        <v>0</v>
      </c>
      <c r="BV76" s="81">
        <f t="shared" si="54"/>
        <v>0</v>
      </c>
      <c r="BW76" s="81">
        <f t="shared" si="54"/>
        <v>0</v>
      </c>
    </row>
    <row r="77" spans="1:75" x14ac:dyDescent="0.25">
      <c r="A77" s="45" t="s">
        <v>100</v>
      </c>
      <c r="B77" s="46">
        <v>60</v>
      </c>
      <c r="C77" s="46">
        <v>30</v>
      </c>
      <c r="D77" s="46">
        <v>60</v>
      </c>
      <c r="E77" s="46">
        <v>60</v>
      </c>
      <c r="F77" s="46">
        <v>60</v>
      </c>
      <c r="G77" s="46">
        <v>60</v>
      </c>
      <c r="H77" s="46">
        <v>60</v>
      </c>
      <c r="I77" s="46">
        <v>60</v>
      </c>
      <c r="J77" s="46">
        <v>20</v>
      </c>
      <c r="K77" s="46">
        <v>40</v>
      </c>
      <c r="L77" s="46">
        <v>40</v>
      </c>
      <c r="M77" s="46">
        <v>50</v>
      </c>
      <c r="N77" s="46">
        <v>50</v>
      </c>
      <c r="O77" s="46">
        <v>50</v>
      </c>
      <c r="P77" s="46">
        <v>50</v>
      </c>
      <c r="Q77" s="46">
        <v>50</v>
      </c>
      <c r="R77" s="46">
        <v>60</v>
      </c>
      <c r="S77" s="46">
        <v>60</v>
      </c>
      <c r="T77" s="46">
        <v>58.5</v>
      </c>
      <c r="U77" s="46">
        <v>58.5</v>
      </c>
      <c r="V77" s="46">
        <v>58.5</v>
      </c>
      <c r="W77" s="46">
        <v>46.9</v>
      </c>
      <c r="X77" s="46">
        <v>46.8</v>
      </c>
      <c r="Y77" s="46">
        <v>46</v>
      </c>
      <c r="Z77" s="46">
        <v>58</v>
      </c>
      <c r="AA77" s="46">
        <v>56.9</v>
      </c>
      <c r="AB77" s="46">
        <v>57</v>
      </c>
      <c r="AC77" s="46">
        <v>35</v>
      </c>
      <c r="AD77" s="46">
        <v>57</v>
      </c>
      <c r="AE77" s="46">
        <v>58</v>
      </c>
      <c r="AF77" s="46">
        <v>59</v>
      </c>
      <c r="AG77" s="60">
        <v>60</v>
      </c>
      <c r="AH77" s="48">
        <f t="shared" si="10"/>
        <v>60</v>
      </c>
      <c r="AI77" s="49">
        <f t="shared" si="11"/>
        <v>20</v>
      </c>
      <c r="AK77" s="51"/>
      <c r="AZ77" s="81">
        <f t="shared" si="54"/>
        <v>31</v>
      </c>
      <c r="BA77" s="81">
        <f t="shared" si="54"/>
        <v>78.900000000000006</v>
      </c>
      <c r="BB77" s="81">
        <f t="shared" si="54"/>
        <v>52.4</v>
      </c>
      <c r="BC77" s="81">
        <f t="shared" si="54"/>
        <v>71</v>
      </c>
      <c r="BD77" s="81">
        <f t="shared" si="54"/>
        <v>75.400000000000006</v>
      </c>
      <c r="BE77" s="81">
        <f t="shared" si="54"/>
        <v>42</v>
      </c>
      <c r="BF77" s="81">
        <f t="shared" si="54"/>
        <v>520</v>
      </c>
      <c r="BG77" s="81">
        <f t="shared" si="54"/>
        <v>540.79999999999995</v>
      </c>
      <c r="BH77" s="81">
        <f t="shared" si="54"/>
        <v>527</v>
      </c>
      <c r="BI77" s="81">
        <f t="shared" si="54"/>
        <v>548.79999999999995</v>
      </c>
      <c r="BJ77" s="81">
        <f t="shared" si="54"/>
        <v>529.79999999999995</v>
      </c>
      <c r="BK77" s="81">
        <f t="shared" si="54"/>
        <v>536</v>
      </c>
      <c r="BL77" s="81">
        <f t="shared" si="54"/>
        <v>562</v>
      </c>
      <c r="BM77" s="81">
        <f t="shared" si="54"/>
        <v>553</v>
      </c>
      <c r="BN77" s="81">
        <f t="shared" si="54"/>
        <v>589</v>
      </c>
      <c r="BO77" s="81">
        <f t="shared" si="54"/>
        <v>571</v>
      </c>
      <c r="BP77" s="81">
        <f t="shared" si="54"/>
        <v>531.5</v>
      </c>
      <c r="BQ77" s="81">
        <f t="shared" si="54"/>
        <v>468</v>
      </c>
      <c r="BR77" s="81">
        <f t="shared" si="54"/>
        <v>74.3</v>
      </c>
      <c r="BS77" s="81">
        <f t="shared" si="54"/>
        <v>66</v>
      </c>
      <c r="BT77" s="81">
        <f t="shared" si="54"/>
        <v>51</v>
      </c>
      <c r="BU77" s="81">
        <f t="shared" si="54"/>
        <v>169</v>
      </c>
      <c r="BV77" s="81">
        <f t="shared" si="54"/>
        <v>139</v>
      </c>
      <c r="BW77" s="81">
        <f t="shared" si="54"/>
        <v>94.3</v>
      </c>
    </row>
    <row r="78" spans="1:75" x14ac:dyDescent="0.25">
      <c r="A78" s="64" t="s">
        <v>101</v>
      </c>
      <c r="B78" s="75">
        <v>28.3</v>
      </c>
      <c r="C78" s="75">
        <v>14.8</v>
      </c>
      <c r="D78" s="75">
        <v>28.3</v>
      </c>
      <c r="E78" s="75">
        <v>28.3</v>
      </c>
      <c r="F78" s="75">
        <v>28.3</v>
      </c>
      <c r="G78" s="75">
        <v>28.3</v>
      </c>
      <c r="H78" s="75">
        <v>28.3</v>
      </c>
      <c r="I78" s="75">
        <v>28.3</v>
      </c>
      <c r="J78" s="75">
        <v>20.2</v>
      </c>
      <c r="K78" s="75">
        <v>15.1</v>
      </c>
      <c r="L78" s="75">
        <v>15.1</v>
      </c>
      <c r="M78" s="75">
        <v>21</v>
      </c>
      <c r="N78" s="75">
        <v>21</v>
      </c>
      <c r="O78" s="75">
        <v>21.3</v>
      </c>
      <c r="P78" s="75">
        <v>21.3</v>
      </c>
      <c r="Q78" s="75">
        <v>21.3</v>
      </c>
      <c r="R78" s="75">
        <v>21.3</v>
      </c>
      <c r="S78" s="75">
        <v>28.5</v>
      </c>
      <c r="T78" s="75">
        <v>27.8</v>
      </c>
      <c r="U78" s="75">
        <v>27.8</v>
      </c>
      <c r="V78" s="75">
        <v>27.8</v>
      </c>
      <c r="W78" s="75">
        <v>21.7</v>
      </c>
      <c r="X78" s="75">
        <v>21.5</v>
      </c>
      <c r="Y78" s="75">
        <v>26.5</v>
      </c>
      <c r="Z78" s="75">
        <v>26.9</v>
      </c>
      <c r="AA78" s="75">
        <v>26.9</v>
      </c>
      <c r="AB78" s="75">
        <v>27</v>
      </c>
      <c r="AC78" s="75">
        <v>27</v>
      </c>
      <c r="AD78" s="75">
        <v>27</v>
      </c>
      <c r="AE78" s="75">
        <v>27</v>
      </c>
      <c r="AF78" s="75">
        <v>27</v>
      </c>
      <c r="AG78" s="65">
        <v>32</v>
      </c>
      <c r="AH78" s="48">
        <f t="shared" si="10"/>
        <v>28.5</v>
      </c>
      <c r="AI78" s="49">
        <f t="shared" si="11"/>
        <v>14.8</v>
      </c>
      <c r="AK78" s="51"/>
      <c r="AZ78" s="81">
        <f t="shared" si="54"/>
        <v>39</v>
      </c>
      <c r="BA78" s="81">
        <f t="shared" si="54"/>
        <v>0</v>
      </c>
      <c r="BB78" s="81">
        <f t="shared" si="54"/>
        <v>10.7</v>
      </c>
      <c r="BC78" s="81">
        <f t="shared" si="54"/>
        <v>10.7</v>
      </c>
      <c r="BD78" s="81">
        <f t="shared" si="54"/>
        <v>10.3</v>
      </c>
      <c r="BE78" s="81">
        <f t="shared" si="54"/>
        <v>34</v>
      </c>
      <c r="BF78" s="81">
        <f t="shared" si="54"/>
        <v>49.7</v>
      </c>
      <c r="BG78" s="81">
        <f t="shared" si="54"/>
        <v>52.4</v>
      </c>
      <c r="BH78" s="81">
        <f t="shared" si="54"/>
        <v>48</v>
      </c>
      <c r="BI78" s="81">
        <f t="shared" si="54"/>
        <v>51.7</v>
      </c>
      <c r="BJ78" s="81">
        <f t="shared" si="54"/>
        <v>47.5</v>
      </c>
      <c r="BK78" s="81">
        <f t="shared" si="54"/>
        <v>50</v>
      </c>
      <c r="BL78" s="81">
        <f t="shared" si="54"/>
        <v>44</v>
      </c>
      <c r="BM78" s="81">
        <f t="shared" si="54"/>
        <v>48.6</v>
      </c>
      <c r="BN78" s="81">
        <f t="shared" si="54"/>
        <v>47.3</v>
      </c>
      <c r="BO78" s="81">
        <f t="shared" si="54"/>
        <v>51</v>
      </c>
      <c r="BP78" s="81">
        <f t="shared" si="54"/>
        <v>53.9</v>
      </c>
      <c r="BQ78" s="81">
        <f t="shared" si="54"/>
        <v>36.299999999999997</v>
      </c>
      <c r="BR78" s="81">
        <f t="shared" si="54"/>
        <v>0</v>
      </c>
      <c r="BS78" s="81">
        <f t="shared" si="54"/>
        <v>0</v>
      </c>
      <c r="BT78" s="81">
        <f t="shared" si="54"/>
        <v>0</v>
      </c>
      <c r="BU78" s="81">
        <f t="shared" si="54"/>
        <v>0</v>
      </c>
      <c r="BV78" s="81">
        <f t="shared" si="54"/>
        <v>0</v>
      </c>
      <c r="BW78" s="81">
        <f t="shared" si="54"/>
        <v>0</v>
      </c>
    </row>
    <row r="79" spans="1:75" ht="15.75" thickBot="1" x14ac:dyDescent="0.3">
      <c r="A79" s="83" t="s">
        <v>102</v>
      </c>
      <c r="B79" s="77">
        <v>10</v>
      </c>
      <c r="C79" s="77">
        <v>4.7</v>
      </c>
      <c r="D79" s="77">
        <v>10</v>
      </c>
      <c r="E79" s="77">
        <v>10</v>
      </c>
      <c r="F79" s="77">
        <v>10</v>
      </c>
      <c r="G79" s="77">
        <v>10</v>
      </c>
      <c r="H79" s="77">
        <v>10</v>
      </c>
      <c r="I79" s="77">
        <v>10</v>
      </c>
      <c r="J79" s="77">
        <v>7.3</v>
      </c>
      <c r="K79" s="77">
        <v>5.5</v>
      </c>
      <c r="L79" s="77">
        <v>5.5</v>
      </c>
      <c r="M79" s="77">
        <v>7.7</v>
      </c>
      <c r="N79" s="77">
        <v>7.7</v>
      </c>
      <c r="O79" s="77">
        <v>7.8</v>
      </c>
      <c r="P79" s="77">
        <v>7.8</v>
      </c>
      <c r="Q79" s="77">
        <v>7.8</v>
      </c>
      <c r="R79" s="77">
        <v>7.8</v>
      </c>
      <c r="S79" s="77">
        <v>10.3</v>
      </c>
      <c r="T79" s="77">
        <v>10.210000000000001</v>
      </c>
      <c r="U79" s="77">
        <v>10.210000000000001</v>
      </c>
      <c r="V79" s="77">
        <v>10.210000000000001</v>
      </c>
      <c r="W79" s="77">
        <v>7.9</v>
      </c>
      <c r="X79" s="77">
        <v>7.5</v>
      </c>
      <c r="Y79" s="77">
        <v>9.8000000000000007</v>
      </c>
      <c r="Z79" s="77">
        <v>9.8000000000000007</v>
      </c>
      <c r="AA79" s="77">
        <v>9.74</v>
      </c>
      <c r="AB79" s="77">
        <v>10</v>
      </c>
      <c r="AC79" s="77">
        <v>10</v>
      </c>
      <c r="AD79" s="77">
        <v>10</v>
      </c>
      <c r="AE79" s="77">
        <v>10</v>
      </c>
      <c r="AF79" s="77">
        <v>10</v>
      </c>
      <c r="AG79" s="78">
        <v>14</v>
      </c>
      <c r="AH79" s="48">
        <f t="shared" si="10"/>
        <v>10.3</v>
      </c>
      <c r="AI79" s="49">
        <f t="shared" si="11"/>
        <v>4.7</v>
      </c>
      <c r="AK79" s="51"/>
      <c r="AZ79" s="81">
        <f t="shared" si="54"/>
        <v>85</v>
      </c>
      <c r="BA79" s="81">
        <f t="shared" si="54"/>
        <v>0</v>
      </c>
      <c r="BB79" s="81">
        <f t="shared" si="54"/>
        <v>0</v>
      </c>
      <c r="BC79" s="81">
        <f t="shared" si="54"/>
        <v>0</v>
      </c>
      <c r="BD79" s="81">
        <f t="shared" si="54"/>
        <v>0</v>
      </c>
      <c r="BE79" s="81">
        <f t="shared" si="54"/>
        <v>93</v>
      </c>
      <c r="BF79" s="81">
        <f t="shared" si="54"/>
        <v>112</v>
      </c>
      <c r="BG79" s="81">
        <f t="shared" si="54"/>
        <v>111.9</v>
      </c>
      <c r="BH79" s="81">
        <f t="shared" si="54"/>
        <v>125</v>
      </c>
      <c r="BI79" s="81">
        <f t="shared" si="54"/>
        <v>134</v>
      </c>
      <c r="BJ79" s="81">
        <f t="shared" si="54"/>
        <v>123.1</v>
      </c>
      <c r="BK79" s="81">
        <f t="shared" si="54"/>
        <v>74</v>
      </c>
      <c r="BL79" s="81">
        <f t="shared" si="54"/>
        <v>99</v>
      </c>
      <c r="BM79" s="81">
        <f t="shared" si="54"/>
        <v>110.8</v>
      </c>
      <c r="BN79" s="81">
        <f t="shared" si="54"/>
        <v>125.3</v>
      </c>
      <c r="BO79" s="81">
        <f t="shared" si="54"/>
        <v>120</v>
      </c>
      <c r="BP79" s="81">
        <f t="shared" si="54"/>
        <v>95.4</v>
      </c>
      <c r="BQ79" s="81">
        <f t="shared" si="54"/>
        <v>84</v>
      </c>
      <c r="BR79" s="81">
        <f t="shared" si="54"/>
        <v>0</v>
      </c>
      <c r="BS79" s="81">
        <f t="shared" si="54"/>
        <v>0</v>
      </c>
      <c r="BT79" s="81">
        <f t="shared" si="54"/>
        <v>0</v>
      </c>
      <c r="BU79" s="81">
        <f t="shared" si="54"/>
        <v>0</v>
      </c>
      <c r="BV79" s="81">
        <f t="shared" si="54"/>
        <v>0</v>
      </c>
      <c r="BW79" s="81">
        <f t="shared" si="54"/>
        <v>0</v>
      </c>
    </row>
    <row r="80" spans="1:75" ht="15.75" thickBot="1" x14ac:dyDescent="0.3">
      <c r="A80" s="86" t="s">
        <v>103</v>
      </c>
      <c r="B80" s="70">
        <f t="shared" ref="B80:D80" si="55">B77+B78+B79</f>
        <v>98.3</v>
      </c>
      <c r="C80" s="70">
        <f t="shared" si="55"/>
        <v>49.5</v>
      </c>
      <c r="D80" s="70">
        <f t="shared" si="55"/>
        <v>98.3</v>
      </c>
      <c r="E80" s="70">
        <f t="shared" ref="E80:AB80" si="56">E77+E78+E79</f>
        <v>98.3</v>
      </c>
      <c r="F80" s="70">
        <f t="shared" si="56"/>
        <v>98.3</v>
      </c>
      <c r="G80" s="70">
        <f t="shared" si="56"/>
        <v>98.3</v>
      </c>
      <c r="H80" s="70">
        <f t="shared" si="56"/>
        <v>98.3</v>
      </c>
      <c r="I80" s="70">
        <f t="shared" si="56"/>
        <v>98.3</v>
      </c>
      <c r="J80" s="70">
        <f t="shared" si="56"/>
        <v>47.5</v>
      </c>
      <c r="K80" s="70">
        <f t="shared" si="56"/>
        <v>60.6</v>
      </c>
      <c r="L80" s="70">
        <f t="shared" si="56"/>
        <v>60.6</v>
      </c>
      <c r="M80" s="70">
        <f t="shared" si="56"/>
        <v>78.7</v>
      </c>
      <c r="N80" s="70">
        <f t="shared" si="56"/>
        <v>78.7</v>
      </c>
      <c r="O80" s="70">
        <f t="shared" si="56"/>
        <v>79.099999999999994</v>
      </c>
      <c r="P80" s="70">
        <f t="shared" si="56"/>
        <v>79.099999999999994</v>
      </c>
      <c r="Q80" s="70">
        <f t="shared" si="56"/>
        <v>79.099999999999994</v>
      </c>
      <c r="R80" s="70">
        <f t="shared" si="56"/>
        <v>89.1</v>
      </c>
      <c r="S80" s="70">
        <f t="shared" si="56"/>
        <v>98.8</v>
      </c>
      <c r="T80" s="70">
        <f t="shared" si="56"/>
        <v>96.509999999999991</v>
      </c>
      <c r="U80" s="70">
        <f t="shared" si="56"/>
        <v>96.509999999999991</v>
      </c>
      <c r="V80" s="70">
        <f t="shared" si="56"/>
        <v>96.509999999999991</v>
      </c>
      <c r="W80" s="70">
        <f t="shared" si="56"/>
        <v>76.5</v>
      </c>
      <c r="X80" s="70">
        <f t="shared" si="56"/>
        <v>75.8</v>
      </c>
      <c r="Y80" s="70">
        <f>Y77+Y78+Y79</f>
        <v>82.3</v>
      </c>
      <c r="Z80" s="70">
        <v>94.7</v>
      </c>
      <c r="AA80" s="70">
        <f t="shared" si="56"/>
        <v>93.539999999999992</v>
      </c>
      <c r="AB80" s="70">
        <f t="shared" si="56"/>
        <v>94</v>
      </c>
      <c r="AC80" s="70">
        <f t="shared" ref="AC80:AD80" si="57">AC77+AC78+AC79</f>
        <v>72</v>
      </c>
      <c r="AD80" s="70">
        <f t="shared" si="57"/>
        <v>94</v>
      </c>
      <c r="AE80" s="70">
        <f t="shared" ref="AE80:AF80" si="58">AE77+AE78+AE79</f>
        <v>95</v>
      </c>
      <c r="AF80" s="70">
        <f t="shared" si="58"/>
        <v>96</v>
      </c>
      <c r="AG80" s="71">
        <f>SUM(AG77:AG79)</f>
        <v>106</v>
      </c>
      <c r="AH80" s="48">
        <f t="shared" si="10"/>
        <v>98.8</v>
      </c>
      <c r="AI80" s="49">
        <f t="shared" si="11"/>
        <v>47.5</v>
      </c>
      <c r="AK80" s="51"/>
      <c r="AZ80" s="81">
        <f t="shared" si="54"/>
        <v>50</v>
      </c>
      <c r="BA80" s="81">
        <f t="shared" si="54"/>
        <v>49.8</v>
      </c>
      <c r="BB80" s="81">
        <f t="shared" si="54"/>
        <v>48.7</v>
      </c>
      <c r="BC80" s="81">
        <f t="shared" si="54"/>
        <v>48.7</v>
      </c>
      <c r="BD80" s="81">
        <f t="shared" si="54"/>
        <v>47.5</v>
      </c>
      <c r="BE80" s="81">
        <f t="shared" si="54"/>
        <v>45.3</v>
      </c>
      <c r="BF80" s="81">
        <f t="shared" si="54"/>
        <v>52</v>
      </c>
      <c r="BG80" s="81">
        <f t="shared" si="54"/>
        <v>45.2</v>
      </c>
      <c r="BH80" s="81">
        <f t="shared" si="54"/>
        <v>47</v>
      </c>
      <c r="BI80" s="81">
        <f t="shared" si="54"/>
        <v>45.1</v>
      </c>
      <c r="BJ80" s="81">
        <f t="shared" si="54"/>
        <v>48.5</v>
      </c>
      <c r="BK80" s="81">
        <f t="shared" si="54"/>
        <v>46</v>
      </c>
      <c r="BL80" s="81">
        <f t="shared" si="54"/>
        <v>45.7</v>
      </c>
      <c r="BM80" s="81">
        <f t="shared" si="54"/>
        <v>46.3</v>
      </c>
      <c r="BN80" s="81">
        <f t="shared" si="54"/>
        <v>46.2</v>
      </c>
      <c r="BO80" s="81">
        <f t="shared" si="54"/>
        <v>46.8</v>
      </c>
      <c r="BP80" s="81">
        <f t="shared" si="54"/>
        <v>47</v>
      </c>
      <c r="BQ80" s="81">
        <f t="shared" si="54"/>
        <v>36.700000000000003</v>
      </c>
      <c r="BR80" s="81">
        <f t="shared" si="54"/>
        <v>48.6</v>
      </c>
      <c r="BS80" s="81">
        <f t="shared" si="54"/>
        <v>48</v>
      </c>
      <c r="BT80" s="81">
        <f t="shared" si="54"/>
        <v>52</v>
      </c>
      <c r="BU80" s="81">
        <f t="shared" si="54"/>
        <v>53</v>
      </c>
      <c r="BV80" s="81">
        <f t="shared" si="54"/>
        <v>50</v>
      </c>
      <c r="BW80" s="81">
        <f t="shared" si="54"/>
        <v>49.7</v>
      </c>
    </row>
    <row r="81" spans="1:64" x14ac:dyDescent="0.25">
      <c r="A81" s="45" t="s">
        <v>104</v>
      </c>
      <c r="B81" s="46">
        <v>40.1</v>
      </c>
      <c r="C81" s="46">
        <v>36</v>
      </c>
      <c r="D81" s="46">
        <v>34.9</v>
      </c>
      <c r="E81" s="46">
        <v>30.9</v>
      </c>
      <c r="F81" s="46">
        <v>28.9</v>
      </c>
      <c r="G81" s="46">
        <v>29.4</v>
      </c>
      <c r="H81" s="46">
        <v>30</v>
      </c>
      <c r="I81" s="46">
        <v>31.7</v>
      </c>
      <c r="J81" s="46">
        <v>52.5</v>
      </c>
      <c r="K81" s="46">
        <v>53.4</v>
      </c>
      <c r="L81" s="46">
        <v>51.7</v>
      </c>
      <c r="M81" s="46">
        <v>57.1</v>
      </c>
      <c r="N81" s="46">
        <v>62.6</v>
      </c>
      <c r="O81" s="46">
        <v>63.1</v>
      </c>
      <c r="P81" s="46">
        <v>61.1</v>
      </c>
      <c r="Q81" s="46">
        <v>68.5</v>
      </c>
      <c r="R81" s="46">
        <v>66</v>
      </c>
      <c r="S81" s="46">
        <v>68</v>
      </c>
      <c r="T81" s="46">
        <v>66.5</v>
      </c>
      <c r="U81" s="46">
        <v>66</v>
      </c>
      <c r="V81" s="46">
        <v>61.5</v>
      </c>
      <c r="W81" s="46">
        <v>62</v>
      </c>
      <c r="X81" s="46">
        <v>68.2</v>
      </c>
      <c r="Y81" s="46">
        <v>52</v>
      </c>
      <c r="Z81" s="46">
        <v>55.4</v>
      </c>
      <c r="AA81" s="46">
        <v>60.3</v>
      </c>
      <c r="AB81" s="46">
        <v>40</v>
      </c>
      <c r="AC81" s="46">
        <v>40</v>
      </c>
      <c r="AD81" s="46">
        <v>49</v>
      </c>
      <c r="AE81" s="46">
        <v>45</v>
      </c>
      <c r="AF81" s="46">
        <v>34</v>
      </c>
      <c r="AG81" s="60"/>
      <c r="AH81" s="48">
        <f t="shared" si="10"/>
        <v>68.5</v>
      </c>
      <c r="AI81" s="49">
        <f t="shared" si="11"/>
        <v>28.9</v>
      </c>
      <c r="AK81" s="51"/>
      <c r="AY81" s="81"/>
    </row>
    <row r="82" spans="1:64" x14ac:dyDescent="0.25">
      <c r="A82" s="64" t="s">
        <v>105</v>
      </c>
      <c r="B82" s="75"/>
      <c r="C82" s="75"/>
      <c r="D82" s="75"/>
      <c r="E82" s="75"/>
      <c r="F82" s="75"/>
      <c r="G82" s="75"/>
      <c r="H82" s="75">
        <v>136</v>
      </c>
      <c r="I82" s="75">
        <v>170</v>
      </c>
      <c r="J82" s="75">
        <v>0</v>
      </c>
      <c r="K82" s="75">
        <v>0</v>
      </c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>
        <v>0</v>
      </c>
      <c r="AA82" s="75"/>
      <c r="AB82" s="75"/>
      <c r="AC82" s="75"/>
      <c r="AD82" s="75"/>
      <c r="AE82" s="75"/>
      <c r="AF82" s="75"/>
      <c r="AG82" s="65"/>
      <c r="AH82" s="48">
        <f t="shared" ref="AH82:AH125" si="59">MAX(B82:AF82)</f>
        <v>170</v>
      </c>
      <c r="AI82" s="49">
        <f t="shared" ref="AI82:AI125" si="60">MIN(B82:AF82)</f>
        <v>0</v>
      </c>
      <c r="AK82" s="51"/>
      <c r="AY82" s="81"/>
      <c r="BF82" s="81"/>
      <c r="BG82" s="81"/>
      <c r="BH82" s="81"/>
      <c r="BI82" s="81"/>
      <c r="BJ82" s="81"/>
      <c r="BK82" s="81"/>
    </row>
    <row r="83" spans="1:64" x14ac:dyDescent="0.25">
      <c r="A83" s="64" t="s">
        <v>106</v>
      </c>
      <c r="B83" s="75">
        <v>94.3</v>
      </c>
      <c r="C83" s="75">
        <v>31</v>
      </c>
      <c r="D83" s="75">
        <v>78.900000000000006</v>
      </c>
      <c r="E83" s="75">
        <v>52.4</v>
      </c>
      <c r="F83" s="75">
        <v>71</v>
      </c>
      <c r="G83" s="75">
        <v>75.400000000000006</v>
      </c>
      <c r="H83" s="75">
        <v>30</v>
      </c>
      <c r="I83" s="75">
        <v>42</v>
      </c>
      <c r="J83" s="75">
        <v>478</v>
      </c>
      <c r="K83" s="75">
        <v>520</v>
      </c>
      <c r="L83" s="75">
        <v>548</v>
      </c>
      <c r="M83" s="75">
        <v>540.79999999999995</v>
      </c>
      <c r="N83" s="75">
        <v>527</v>
      </c>
      <c r="O83" s="75">
        <v>548.79999999999995</v>
      </c>
      <c r="P83" s="75">
        <v>529.79999999999995</v>
      </c>
      <c r="Q83" s="75">
        <v>536</v>
      </c>
      <c r="R83" s="75">
        <v>562</v>
      </c>
      <c r="S83" s="75">
        <v>553</v>
      </c>
      <c r="T83" s="75">
        <v>589</v>
      </c>
      <c r="U83" s="75">
        <v>571</v>
      </c>
      <c r="V83" s="75">
        <v>531.5</v>
      </c>
      <c r="W83" s="75">
        <v>495</v>
      </c>
      <c r="X83" s="75">
        <v>468</v>
      </c>
      <c r="Y83" s="75">
        <v>52</v>
      </c>
      <c r="Z83" s="75">
        <v>74.3</v>
      </c>
      <c r="AA83" s="75">
        <v>43.8</v>
      </c>
      <c r="AB83" s="75">
        <v>66</v>
      </c>
      <c r="AC83" s="75">
        <v>55</v>
      </c>
      <c r="AD83" s="75">
        <v>51</v>
      </c>
      <c r="AE83" s="75">
        <v>169</v>
      </c>
      <c r="AF83" s="75">
        <v>139</v>
      </c>
      <c r="AG83" s="87"/>
      <c r="AH83" s="48">
        <f t="shared" si="59"/>
        <v>589</v>
      </c>
      <c r="AI83" s="49">
        <f t="shared" si="60"/>
        <v>30</v>
      </c>
      <c r="AK83" s="51"/>
      <c r="AY83" s="81"/>
      <c r="BF83" s="80"/>
      <c r="BG83" s="80"/>
      <c r="BH83" s="80"/>
      <c r="BI83" s="80"/>
      <c r="BJ83" s="80"/>
      <c r="BK83" s="81"/>
    </row>
    <row r="84" spans="1:64" x14ac:dyDescent="0.25">
      <c r="A84" s="64" t="s">
        <v>107</v>
      </c>
      <c r="B84" s="88"/>
      <c r="C84" s="88">
        <v>39</v>
      </c>
      <c r="D84" s="88"/>
      <c r="E84" s="88">
        <v>10.7</v>
      </c>
      <c r="F84" s="88">
        <v>10.7</v>
      </c>
      <c r="G84" s="88">
        <v>10.3</v>
      </c>
      <c r="H84" s="88">
        <v>10.7</v>
      </c>
      <c r="I84" s="88">
        <v>34</v>
      </c>
      <c r="J84" s="88">
        <v>47</v>
      </c>
      <c r="K84" s="88">
        <v>49.7</v>
      </c>
      <c r="L84" s="88">
        <v>52.6</v>
      </c>
      <c r="M84" s="88">
        <v>52.4</v>
      </c>
      <c r="N84" s="88">
        <v>48</v>
      </c>
      <c r="O84" s="88">
        <v>51.7</v>
      </c>
      <c r="P84" s="88">
        <v>47.5</v>
      </c>
      <c r="Q84" s="88">
        <v>50</v>
      </c>
      <c r="R84" s="88">
        <v>44</v>
      </c>
      <c r="S84" s="88">
        <v>48.6</v>
      </c>
      <c r="T84" s="88">
        <v>47.3</v>
      </c>
      <c r="U84" s="88">
        <v>51</v>
      </c>
      <c r="V84" s="88">
        <v>53.9</v>
      </c>
      <c r="W84" s="88">
        <v>49</v>
      </c>
      <c r="X84" s="88">
        <v>36.299999999999997</v>
      </c>
      <c r="Y84" s="88">
        <v>0</v>
      </c>
      <c r="Z84" s="88">
        <v>0</v>
      </c>
      <c r="AA84" s="88">
        <v>0</v>
      </c>
      <c r="AB84" s="88">
        <v>0</v>
      </c>
      <c r="AC84" s="88">
        <v>0</v>
      </c>
      <c r="AD84" s="88">
        <v>0</v>
      </c>
      <c r="AE84" s="88">
        <v>0</v>
      </c>
      <c r="AF84" s="88">
        <v>0</v>
      </c>
      <c r="AG84" s="87"/>
      <c r="AH84" s="48">
        <f t="shared" si="59"/>
        <v>53.9</v>
      </c>
      <c r="AI84" s="49">
        <f t="shared" si="60"/>
        <v>0</v>
      </c>
      <c r="AK84" s="51"/>
      <c r="AY84" s="81"/>
      <c r="BF84" s="80"/>
      <c r="BG84" s="81">
        <f t="array" ref="BG84:BL107">TRANSPOSE(AZ68:BW73)</f>
        <v>36</v>
      </c>
      <c r="BH84" s="81">
        <v>0</v>
      </c>
      <c r="BI84" s="81">
        <v>31</v>
      </c>
      <c r="BJ84" s="81">
        <v>39</v>
      </c>
      <c r="BK84" s="81">
        <v>85</v>
      </c>
      <c r="BL84" s="81">
        <v>50</v>
      </c>
    </row>
    <row r="85" spans="1:64" x14ac:dyDescent="0.25">
      <c r="A85" s="64" t="s">
        <v>108</v>
      </c>
      <c r="B85" s="46"/>
      <c r="C85" s="46">
        <v>85</v>
      </c>
      <c r="D85" s="46"/>
      <c r="E85" s="46">
        <v>0</v>
      </c>
      <c r="F85" s="46">
        <v>0</v>
      </c>
      <c r="G85" s="46"/>
      <c r="H85" s="46"/>
      <c r="I85" s="46">
        <v>93</v>
      </c>
      <c r="J85" s="46">
        <v>107</v>
      </c>
      <c r="K85" s="46">
        <v>112</v>
      </c>
      <c r="L85" s="46">
        <v>108.4</v>
      </c>
      <c r="M85" s="46">
        <v>111.9</v>
      </c>
      <c r="N85" s="46">
        <v>125</v>
      </c>
      <c r="O85" s="46">
        <v>134</v>
      </c>
      <c r="P85" s="46">
        <v>123.1</v>
      </c>
      <c r="Q85" s="46">
        <v>74</v>
      </c>
      <c r="R85" s="46">
        <v>99</v>
      </c>
      <c r="S85" s="46">
        <v>110.8</v>
      </c>
      <c r="T85" s="46">
        <v>125.3</v>
      </c>
      <c r="U85" s="46">
        <v>120</v>
      </c>
      <c r="V85" s="46">
        <v>95.4</v>
      </c>
      <c r="W85" s="46">
        <v>95.3</v>
      </c>
      <c r="X85" s="46">
        <v>84</v>
      </c>
      <c r="Y85" s="46">
        <v>0</v>
      </c>
      <c r="Z85" s="46">
        <v>0</v>
      </c>
      <c r="AA85" s="46">
        <v>0</v>
      </c>
      <c r="AB85" s="46">
        <v>0</v>
      </c>
      <c r="AC85" s="46">
        <v>0</v>
      </c>
      <c r="AD85" s="46">
        <v>0</v>
      </c>
      <c r="AE85" s="46">
        <v>0</v>
      </c>
      <c r="AF85" s="46">
        <v>0</v>
      </c>
      <c r="AG85" s="87"/>
      <c r="AH85" s="48">
        <f t="shared" si="59"/>
        <v>134</v>
      </c>
      <c r="AI85" s="49">
        <f t="shared" si="60"/>
        <v>0</v>
      </c>
      <c r="AK85" s="51"/>
      <c r="AY85" s="81"/>
      <c r="BF85" s="80"/>
      <c r="BG85" s="81">
        <v>34.9</v>
      </c>
      <c r="BH85" s="81">
        <v>0</v>
      </c>
      <c r="BI85" s="81">
        <v>78.900000000000006</v>
      </c>
      <c r="BJ85" s="81">
        <v>0</v>
      </c>
      <c r="BK85" s="81">
        <v>0</v>
      </c>
      <c r="BL85" s="81">
        <v>49.8</v>
      </c>
    </row>
    <row r="86" spans="1:64" x14ac:dyDescent="0.25">
      <c r="A86" s="64" t="s">
        <v>109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7"/>
      <c r="AH86" s="48">
        <f t="shared" si="59"/>
        <v>0</v>
      </c>
      <c r="AI86" s="49">
        <f t="shared" si="60"/>
        <v>0</v>
      </c>
      <c r="AK86" s="51"/>
      <c r="AY86" s="81"/>
      <c r="BF86" s="80"/>
      <c r="BG86" s="81">
        <v>30.9</v>
      </c>
      <c r="BH86" s="81">
        <v>0</v>
      </c>
      <c r="BI86" s="81">
        <v>52.4</v>
      </c>
      <c r="BJ86" s="81">
        <v>10.7</v>
      </c>
      <c r="BK86" s="81">
        <v>0</v>
      </c>
      <c r="BL86" s="81">
        <v>48.7</v>
      </c>
    </row>
    <row r="87" spans="1:64" ht="15.75" thickBot="1" x14ac:dyDescent="0.3">
      <c r="A87" s="64" t="s">
        <v>110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7"/>
      <c r="AH87" s="48">
        <f t="shared" si="59"/>
        <v>0</v>
      </c>
      <c r="AI87" s="49">
        <f t="shared" si="60"/>
        <v>0</v>
      </c>
      <c r="AK87" s="51"/>
      <c r="AL87" s="90" t="s">
        <v>111</v>
      </c>
      <c r="AM87" s="90"/>
      <c r="AY87" s="81"/>
      <c r="BF87" s="81"/>
      <c r="BG87" s="81">
        <v>28.9</v>
      </c>
      <c r="BH87" s="81">
        <v>0</v>
      </c>
      <c r="BI87" s="81">
        <v>71</v>
      </c>
      <c r="BJ87" s="81">
        <v>10.7</v>
      </c>
      <c r="BK87" s="81">
        <v>0</v>
      </c>
      <c r="BL87" s="81">
        <v>48.7</v>
      </c>
    </row>
    <row r="88" spans="1:64" x14ac:dyDescent="0.25">
      <c r="A88" s="64" t="s">
        <v>112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7"/>
      <c r="AH88" s="48">
        <f t="shared" si="59"/>
        <v>0</v>
      </c>
      <c r="AI88" s="49">
        <f t="shared" si="60"/>
        <v>0</v>
      </c>
      <c r="AK88" s="91"/>
      <c r="AL88" s="92"/>
      <c r="AM88" s="92"/>
      <c r="AN88" s="93"/>
      <c r="AY88" s="81"/>
      <c r="BF88" s="81"/>
      <c r="BG88" s="81">
        <v>29.4</v>
      </c>
      <c r="BH88" s="81">
        <v>0</v>
      </c>
      <c r="BI88" s="81">
        <v>75.400000000000006</v>
      </c>
      <c r="BJ88" s="81">
        <v>10.3</v>
      </c>
      <c r="BK88" s="81">
        <v>0</v>
      </c>
      <c r="BL88" s="81">
        <v>47.5</v>
      </c>
    </row>
    <row r="89" spans="1:64" x14ac:dyDescent="0.25">
      <c r="A89" s="64" t="s">
        <v>113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7"/>
      <c r="AH89" s="48">
        <f t="shared" si="59"/>
        <v>0</v>
      </c>
      <c r="AI89" s="49">
        <f t="shared" si="60"/>
        <v>0</v>
      </c>
      <c r="AK89" s="94" t="s">
        <v>114</v>
      </c>
      <c r="AL89" s="75"/>
      <c r="AM89" s="88"/>
      <c r="AN89" s="95"/>
      <c r="AY89" s="81"/>
      <c r="BF89" s="81"/>
      <c r="BG89" s="81">
        <v>31.7</v>
      </c>
      <c r="BH89" s="81">
        <v>170</v>
      </c>
      <c r="BI89" s="81">
        <v>42</v>
      </c>
      <c r="BJ89" s="81">
        <v>34</v>
      </c>
      <c r="BK89" s="81">
        <v>93</v>
      </c>
      <c r="BL89" s="81">
        <v>45.3</v>
      </c>
    </row>
    <row r="90" spans="1:64" x14ac:dyDescent="0.25">
      <c r="A90" s="96" t="s">
        <v>115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97"/>
      <c r="AH90" s="48">
        <f t="shared" si="59"/>
        <v>0</v>
      </c>
      <c r="AI90" s="49">
        <f t="shared" si="60"/>
        <v>0</v>
      </c>
      <c r="AK90" s="94" t="s">
        <v>116</v>
      </c>
      <c r="AL90" s="88"/>
      <c r="AM90" s="88"/>
      <c r="AN90" s="95"/>
      <c r="AY90" s="81"/>
      <c r="BF90" s="81"/>
      <c r="BG90" s="81">
        <v>53.4</v>
      </c>
      <c r="BH90" s="81">
        <v>0</v>
      </c>
      <c r="BI90" s="81">
        <v>520</v>
      </c>
      <c r="BJ90" s="81">
        <v>49.7</v>
      </c>
      <c r="BK90" s="81">
        <v>112</v>
      </c>
      <c r="BL90" s="81">
        <v>52</v>
      </c>
    </row>
    <row r="91" spans="1:64" ht="15.75" thickBot="1" x14ac:dyDescent="0.3">
      <c r="A91" s="96" t="s">
        <v>117</v>
      </c>
      <c r="B91" s="89">
        <v>49.7</v>
      </c>
      <c r="C91" s="89">
        <v>49.9</v>
      </c>
      <c r="D91" s="89">
        <v>49.8</v>
      </c>
      <c r="E91" s="89">
        <v>48.7</v>
      </c>
      <c r="F91" s="89">
        <v>48.7</v>
      </c>
      <c r="G91" s="89">
        <v>47.5</v>
      </c>
      <c r="H91" s="89">
        <v>46.7</v>
      </c>
      <c r="I91" s="89">
        <v>45.3</v>
      </c>
      <c r="J91" s="89">
        <v>53</v>
      </c>
      <c r="K91" s="89">
        <v>52</v>
      </c>
      <c r="L91" s="89">
        <v>45.2</v>
      </c>
      <c r="M91" s="89">
        <v>45.2</v>
      </c>
      <c r="N91" s="89">
        <v>47</v>
      </c>
      <c r="O91" s="89">
        <v>45.1</v>
      </c>
      <c r="P91" s="89">
        <v>48.5</v>
      </c>
      <c r="Q91" s="89">
        <v>46</v>
      </c>
      <c r="R91" s="89">
        <v>45.7</v>
      </c>
      <c r="S91" s="89">
        <v>46.3</v>
      </c>
      <c r="T91" s="89">
        <v>46.2</v>
      </c>
      <c r="U91" s="89">
        <v>46.8</v>
      </c>
      <c r="V91" s="89">
        <v>47</v>
      </c>
      <c r="W91" s="89">
        <v>48.2</v>
      </c>
      <c r="X91" s="89">
        <v>36.700000000000003</v>
      </c>
      <c r="Y91" s="89">
        <v>49.1</v>
      </c>
      <c r="Z91" s="89">
        <v>48.6</v>
      </c>
      <c r="AA91" s="89">
        <v>48.2</v>
      </c>
      <c r="AB91" s="89">
        <v>48</v>
      </c>
      <c r="AC91" s="89">
        <v>52</v>
      </c>
      <c r="AD91" s="89">
        <v>52</v>
      </c>
      <c r="AE91" s="89">
        <v>53</v>
      </c>
      <c r="AF91" s="89">
        <v>50</v>
      </c>
      <c r="AG91" s="97"/>
      <c r="AH91" s="48">
        <f t="shared" si="59"/>
        <v>53</v>
      </c>
      <c r="AI91" s="49">
        <f t="shared" si="60"/>
        <v>36.700000000000003</v>
      </c>
      <c r="AK91" s="98"/>
      <c r="AL91" s="46"/>
      <c r="AM91" s="46"/>
      <c r="AN91" s="99"/>
      <c r="AY91" s="81"/>
      <c r="BF91" s="81"/>
      <c r="BG91" s="81">
        <v>57.1</v>
      </c>
      <c r="BH91" s="81">
        <v>0</v>
      </c>
      <c r="BI91" s="81">
        <v>540.79999999999995</v>
      </c>
      <c r="BJ91" s="81">
        <v>52.4</v>
      </c>
      <c r="BK91" s="81">
        <v>111.9</v>
      </c>
      <c r="BL91" s="81">
        <v>45.2</v>
      </c>
    </row>
    <row r="92" spans="1:64" ht="15.75" thickBot="1" x14ac:dyDescent="0.3">
      <c r="A92" s="86" t="s">
        <v>118</v>
      </c>
      <c r="B92" s="70">
        <f t="shared" ref="B92:D92" si="61">SUMIF(B81:B91,"&gt;0")</f>
        <v>184.10000000000002</v>
      </c>
      <c r="C92" s="70">
        <f t="shared" si="61"/>
        <v>240.9</v>
      </c>
      <c r="D92" s="70">
        <f t="shared" si="61"/>
        <v>163.60000000000002</v>
      </c>
      <c r="E92" s="70">
        <f t="shared" ref="E92:AB92" si="62">SUMIF(E81:E91,"&gt;0")</f>
        <v>142.69999999999999</v>
      </c>
      <c r="F92" s="70">
        <f t="shared" si="62"/>
        <v>159.30000000000001</v>
      </c>
      <c r="G92" s="70">
        <f t="shared" si="62"/>
        <v>162.60000000000002</v>
      </c>
      <c r="H92" s="70">
        <f t="shared" si="62"/>
        <v>253.39999999999998</v>
      </c>
      <c r="I92" s="70">
        <f t="shared" si="62"/>
        <v>416</v>
      </c>
      <c r="J92" s="70">
        <f t="shared" si="62"/>
        <v>737.5</v>
      </c>
      <c r="K92" s="70">
        <f t="shared" si="62"/>
        <v>787.1</v>
      </c>
      <c r="L92" s="70">
        <f t="shared" si="62"/>
        <v>805.90000000000009</v>
      </c>
      <c r="M92" s="70">
        <f t="shared" si="62"/>
        <v>807.4</v>
      </c>
      <c r="N92" s="70">
        <f t="shared" si="62"/>
        <v>809.6</v>
      </c>
      <c r="O92" s="70">
        <f t="shared" si="62"/>
        <v>842.7</v>
      </c>
      <c r="P92" s="70">
        <f t="shared" si="62"/>
        <v>810</v>
      </c>
      <c r="Q92" s="70">
        <f t="shared" si="62"/>
        <v>774.5</v>
      </c>
      <c r="R92" s="70">
        <f t="shared" si="62"/>
        <v>816.7</v>
      </c>
      <c r="S92" s="70">
        <f t="shared" si="62"/>
        <v>826.69999999999993</v>
      </c>
      <c r="T92" s="70">
        <f t="shared" si="62"/>
        <v>874.3</v>
      </c>
      <c r="U92" s="70">
        <f t="shared" si="62"/>
        <v>854.8</v>
      </c>
      <c r="V92" s="70">
        <f t="shared" si="62"/>
        <v>789.3</v>
      </c>
      <c r="W92" s="70">
        <f t="shared" si="62"/>
        <v>749.5</v>
      </c>
      <c r="X92" s="70">
        <f t="shared" si="62"/>
        <v>693.2</v>
      </c>
      <c r="Y92" s="70">
        <f>SUMIF(Y81:Y91,"&gt;0")</f>
        <v>153.1</v>
      </c>
      <c r="Z92" s="70">
        <v>178.29999999999998</v>
      </c>
      <c r="AA92" s="70">
        <f t="shared" si="62"/>
        <v>152.30000000000001</v>
      </c>
      <c r="AB92" s="70">
        <f t="shared" si="62"/>
        <v>154</v>
      </c>
      <c r="AC92" s="70">
        <f t="shared" ref="AC92:AD92" si="63">SUMIF(AC81:AC91,"&gt;0")</f>
        <v>147</v>
      </c>
      <c r="AD92" s="70">
        <f t="shared" si="63"/>
        <v>152</v>
      </c>
      <c r="AE92" s="70">
        <f t="shared" ref="AE92:AF92" si="64">SUMIF(AE81:AE91,"&gt;0")</f>
        <v>267</v>
      </c>
      <c r="AF92" s="70">
        <f t="shared" si="64"/>
        <v>223</v>
      </c>
      <c r="AG92" s="100">
        <f>SUM(AG81:AG91)</f>
        <v>0</v>
      </c>
      <c r="AH92" s="48">
        <f t="shared" si="59"/>
        <v>874.3</v>
      </c>
      <c r="AI92" s="49">
        <f t="shared" si="60"/>
        <v>142.69999999999999</v>
      </c>
      <c r="AK92" s="98"/>
      <c r="AL92" s="89"/>
      <c r="AM92" s="101"/>
      <c r="AN92" s="202"/>
      <c r="AY92" s="81"/>
      <c r="BF92" s="81"/>
      <c r="BG92" s="81">
        <v>62.6</v>
      </c>
      <c r="BH92" s="81">
        <v>0</v>
      </c>
      <c r="BI92" s="81">
        <v>527</v>
      </c>
      <c r="BJ92" s="81">
        <v>48</v>
      </c>
      <c r="BK92" s="81">
        <v>125</v>
      </c>
      <c r="BL92" s="81">
        <v>47</v>
      </c>
    </row>
    <row r="93" spans="1:64" x14ac:dyDescent="0.25">
      <c r="A93" s="45" t="s">
        <v>119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59"/>
        <v>0</v>
      </c>
      <c r="AI93" s="49">
        <f t="shared" si="60"/>
        <v>0</v>
      </c>
      <c r="AK93" s="98"/>
      <c r="AL93" s="89"/>
      <c r="AM93" s="89"/>
      <c r="AN93" s="203"/>
      <c r="BF93" s="81"/>
      <c r="BG93" s="81">
        <v>63.1</v>
      </c>
      <c r="BH93" s="81">
        <v>0</v>
      </c>
      <c r="BI93" s="81">
        <v>548.79999999999995</v>
      </c>
      <c r="BJ93" s="81">
        <v>51.7</v>
      </c>
      <c r="BK93" s="81">
        <v>134</v>
      </c>
      <c r="BL93" s="81">
        <v>45.1</v>
      </c>
    </row>
    <row r="94" spans="1:64" ht="15.75" thickBot="1" x14ac:dyDescent="0.3">
      <c r="A94" s="64" t="s">
        <v>120</v>
      </c>
      <c r="B94" s="89">
        <v>0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59"/>
        <v>0</v>
      </c>
      <c r="AI94" s="49">
        <f t="shared" si="60"/>
        <v>0</v>
      </c>
      <c r="AK94" s="103"/>
      <c r="AL94" s="104"/>
      <c r="AM94" s="104"/>
      <c r="AN94" s="105"/>
      <c r="BF94" s="81"/>
      <c r="BG94" s="81">
        <v>61.1</v>
      </c>
      <c r="BH94" s="81">
        <v>0</v>
      </c>
      <c r="BI94" s="81">
        <v>529.79999999999995</v>
      </c>
      <c r="BJ94" s="81">
        <v>47.5</v>
      </c>
      <c r="BK94" s="81">
        <v>123.1</v>
      </c>
      <c r="BL94" s="81">
        <v>48.5</v>
      </c>
    </row>
    <row r="95" spans="1:64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0</v>
      </c>
      <c r="Y95" s="106">
        <v>0</v>
      </c>
      <c r="Z95" s="106">
        <v>0</v>
      </c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59"/>
        <v>0</v>
      </c>
      <c r="AI95" s="49">
        <f t="shared" si="60"/>
        <v>0</v>
      </c>
      <c r="BF95" s="81"/>
      <c r="BG95" s="81">
        <v>68.5</v>
      </c>
      <c r="BH95" s="81">
        <v>0</v>
      </c>
      <c r="BI95" s="81">
        <v>536</v>
      </c>
      <c r="BJ95" s="81">
        <v>50</v>
      </c>
      <c r="BK95" s="81">
        <v>74</v>
      </c>
      <c r="BL95" s="81">
        <v>46</v>
      </c>
    </row>
    <row r="96" spans="1:64" ht="15.75" thickBot="1" x14ac:dyDescent="0.3">
      <c r="A96" s="86" t="s">
        <v>122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>
        <v>0</v>
      </c>
      <c r="Y96" s="70"/>
      <c r="Z96" s="70"/>
      <c r="AA96" s="70"/>
      <c r="AB96" s="70"/>
      <c r="AC96" s="70"/>
      <c r="AD96" s="70"/>
      <c r="AE96" s="70"/>
      <c r="AF96" s="70"/>
      <c r="AG96" s="100">
        <f>SUM(AG93:AG95)</f>
        <v>55.4</v>
      </c>
      <c r="AH96" s="48">
        <f t="shared" si="59"/>
        <v>0</v>
      </c>
      <c r="AI96" s="49">
        <f t="shared" si="60"/>
        <v>0</v>
      </c>
      <c r="BF96" s="81"/>
      <c r="BG96" s="81">
        <v>66</v>
      </c>
      <c r="BH96" s="81">
        <v>0</v>
      </c>
      <c r="BI96" s="81">
        <v>562</v>
      </c>
      <c r="BJ96" s="81">
        <v>44</v>
      </c>
      <c r="BK96" s="81">
        <v>99</v>
      </c>
      <c r="BL96" s="81">
        <v>45.7</v>
      </c>
    </row>
    <row r="97" spans="1:64" ht="15.75" thickBot="1" x14ac:dyDescent="0.3">
      <c r="A97" s="86" t="s">
        <v>123</v>
      </c>
      <c r="B97" s="107">
        <f t="shared" ref="B97:D97" si="65">B58+B62+B80+B76+B92+B96</f>
        <v>1085.0900000000001</v>
      </c>
      <c r="C97" s="107">
        <f t="shared" si="65"/>
        <v>1020.09</v>
      </c>
      <c r="D97" s="107">
        <f t="shared" si="65"/>
        <v>1045.3899999999999</v>
      </c>
      <c r="E97" s="107">
        <f t="shared" ref="E97:AG97" si="66">E58+E62+E80+E76+E92+E96</f>
        <v>1024.49</v>
      </c>
      <c r="F97" s="107">
        <f t="shared" si="66"/>
        <v>1023.3900000000001</v>
      </c>
      <c r="G97" s="107">
        <f t="shared" si="66"/>
        <v>1054.8899999999999</v>
      </c>
      <c r="H97" s="107">
        <f t="shared" si="66"/>
        <v>1061.79</v>
      </c>
      <c r="I97" s="107">
        <f t="shared" si="66"/>
        <v>1224.3900000000001</v>
      </c>
      <c r="J97" s="107">
        <f t="shared" si="66"/>
        <v>1491.89</v>
      </c>
      <c r="K97" s="107">
        <f t="shared" si="66"/>
        <v>1559.79</v>
      </c>
      <c r="L97" s="107">
        <f t="shared" si="66"/>
        <v>1648.2900000000002</v>
      </c>
      <c r="M97" s="107">
        <f t="shared" si="66"/>
        <v>1674.0900000000001</v>
      </c>
      <c r="N97" s="107">
        <f t="shared" si="66"/>
        <v>1679.2900000000002</v>
      </c>
      <c r="O97" s="107">
        <f t="shared" si="66"/>
        <v>1706.6900000000003</v>
      </c>
      <c r="P97" s="107">
        <f t="shared" si="66"/>
        <v>1670.29</v>
      </c>
      <c r="Q97" s="107">
        <f t="shared" si="66"/>
        <v>1634.79</v>
      </c>
      <c r="R97" s="107">
        <f t="shared" si="66"/>
        <v>1651.69</v>
      </c>
      <c r="S97" s="107">
        <f t="shared" si="66"/>
        <v>1650.3899999999999</v>
      </c>
      <c r="T97" s="107">
        <f t="shared" si="66"/>
        <v>1665.06</v>
      </c>
      <c r="U97" s="107">
        <f t="shared" si="66"/>
        <v>1645.56</v>
      </c>
      <c r="V97" s="107">
        <f t="shared" si="66"/>
        <v>1580.06</v>
      </c>
      <c r="W97" s="107">
        <f t="shared" si="66"/>
        <v>1496.3899999999999</v>
      </c>
      <c r="X97" s="107">
        <f t="shared" si="66"/>
        <v>1474.49</v>
      </c>
      <c r="Y97" s="107">
        <f>Y58+Y62+Y80+Y76+Y92+Y96</f>
        <v>1433.9499999999998</v>
      </c>
      <c r="Z97" s="107">
        <v>1556.45</v>
      </c>
      <c r="AA97" s="107">
        <f t="shared" si="66"/>
        <v>1522.6299999999999</v>
      </c>
      <c r="AB97" s="107">
        <f t="shared" si="66"/>
        <v>1467.99</v>
      </c>
      <c r="AC97" s="107">
        <f t="shared" ref="AC97:AD97" si="67">AC58+AC62+AC80+AC76+AC92+AC96</f>
        <v>1393.1899999999998</v>
      </c>
      <c r="AD97" s="107">
        <f t="shared" si="67"/>
        <v>1435.3899999999999</v>
      </c>
      <c r="AE97" s="107">
        <f t="shared" ref="AE97:AF97" si="68">AE58+AE62+AE80+AE76+AE92+AE96</f>
        <v>1276.8899999999999</v>
      </c>
      <c r="AF97" s="107">
        <f t="shared" si="68"/>
        <v>1163.8899999999999</v>
      </c>
      <c r="AG97" s="71">
        <f t="shared" si="66"/>
        <v>2231.81</v>
      </c>
      <c r="AH97" s="48">
        <f t="shared" si="59"/>
        <v>1706.6900000000003</v>
      </c>
      <c r="AI97" s="49">
        <f t="shared" si="60"/>
        <v>1020.09</v>
      </c>
      <c r="BF97" s="81"/>
      <c r="BG97" s="81">
        <v>68</v>
      </c>
      <c r="BH97" s="81">
        <v>0</v>
      </c>
      <c r="BI97" s="81">
        <v>553</v>
      </c>
      <c r="BJ97" s="81">
        <v>48.6</v>
      </c>
      <c r="BK97" s="81">
        <v>110.8</v>
      </c>
      <c r="BL97" s="81">
        <v>46.3</v>
      </c>
    </row>
    <row r="98" spans="1:64" ht="15.75" thickBot="1" x14ac:dyDescent="0.3">
      <c r="A98" s="108" t="s">
        <v>124</v>
      </c>
      <c r="B98" s="109">
        <v>350</v>
      </c>
      <c r="C98" s="109">
        <v>350</v>
      </c>
      <c r="D98" s="109">
        <v>350</v>
      </c>
      <c r="E98" s="109">
        <v>350</v>
      </c>
      <c r="F98" s="109">
        <v>350</v>
      </c>
      <c r="G98" s="109">
        <v>350</v>
      </c>
      <c r="H98" s="109">
        <v>350</v>
      </c>
      <c r="I98" s="109">
        <v>200</v>
      </c>
      <c r="J98" s="109">
        <v>50</v>
      </c>
      <c r="K98" s="109">
        <v>50</v>
      </c>
      <c r="L98" s="109">
        <v>50</v>
      </c>
      <c r="M98" s="109">
        <v>50</v>
      </c>
      <c r="N98" s="109">
        <v>50</v>
      </c>
      <c r="O98" s="109">
        <v>50</v>
      </c>
      <c r="P98" s="109">
        <v>30</v>
      </c>
      <c r="Q98" s="109">
        <v>30</v>
      </c>
      <c r="R98" s="109">
        <v>35</v>
      </c>
      <c r="S98" s="109">
        <v>30</v>
      </c>
      <c r="T98" s="109">
        <v>30</v>
      </c>
      <c r="U98" s="109">
        <v>30</v>
      </c>
      <c r="V98" s="109">
        <v>30</v>
      </c>
      <c r="W98" s="109"/>
      <c r="X98" s="109"/>
      <c r="Y98" s="109"/>
      <c r="Z98" s="109">
        <v>300</v>
      </c>
      <c r="AA98" s="109">
        <v>300</v>
      </c>
      <c r="AB98" s="109">
        <v>300</v>
      </c>
      <c r="AC98" s="109">
        <v>300</v>
      </c>
      <c r="AD98" s="109">
        <v>300</v>
      </c>
      <c r="AE98" s="109">
        <v>300</v>
      </c>
      <c r="AF98" s="109">
        <v>300</v>
      </c>
      <c r="AG98" s="100"/>
      <c r="AH98" s="48">
        <f t="shared" si="59"/>
        <v>350</v>
      </c>
      <c r="AI98" s="49">
        <f t="shared" si="60"/>
        <v>30</v>
      </c>
      <c r="BF98" s="81"/>
      <c r="BG98" s="81">
        <v>66.5</v>
      </c>
      <c r="BH98" s="81">
        <v>0</v>
      </c>
      <c r="BI98" s="81">
        <v>589</v>
      </c>
      <c r="BJ98" s="81">
        <v>47.3</v>
      </c>
      <c r="BK98" s="81">
        <v>125.3</v>
      </c>
      <c r="BL98" s="81">
        <v>46.2</v>
      </c>
    </row>
    <row r="99" spans="1:64" ht="15.75" thickBot="1" x14ac:dyDescent="0.3">
      <c r="A99" s="86" t="s">
        <v>125</v>
      </c>
      <c r="B99" s="107">
        <f t="shared" ref="B99:D99" si="69">B97+B98</f>
        <v>1435.0900000000001</v>
      </c>
      <c r="C99" s="107">
        <f t="shared" si="69"/>
        <v>1370.0900000000001</v>
      </c>
      <c r="D99" s="107">
        <f t="shared" si="69"/>
        <v>1395.3899999999999</v>
      </c>
      <c r="E99" s="107">
        <f t="shared" ref="E99:AB99" si="70">E97+E98</f>
        <v>1374.49</v>
      </c>
      <c r="F99" s="107">
        <f t="shared" si="70"/>
        <v>1373.39</v>
      </c>
      <c r="G99" s="107">
        <f t="shared" si="70"/>
        <v>1404.8899999999999</v>
      </c>
      <c r="H99" s="107">
        <f t="shared" si="70"/>
        <v>1411.79</v>
      </c>
      <c r="I99" s="107">
        <f t="shared" si="70"/>
        <v>1424.39</v>
      </c>
      <c r="J99" s="107">
        <f t="shared" si="70"/>
        <v>1541.89</v>
      </c>
      <c r="K99" s="107">
        <f t="shared" si="70"/>
        <v>1609.79</v>
      </c>
      <c r="L99" s="107">
        <f t="shared" si="70"/>
        <v>1698.2900000000002</v>
      </c>
      <c r="M99" s="107">
        <f t="shared" si="70"/>
        <v>1724.0900000000001</v>
      </c>
      <c r="N99" s="107">
        <f t="shared" si="70"/>
        <v>1729.2900000000002</v>
      </c>
      <c r="O99" s="107">
        <f t="shared" si="70"/>
        <v>1756.6900000000003</v>
      </c>
      <c r="P99" s="107">
        <f t="shared" si="70"/>
        <v>1700.29</v>
      </c>
      <c r="Q99" s="107">
        <f t="shared" si="70"/>
        <v>1664.79</v>
      </c>
      <c r="R99" s="107">
        <f t="shared" si="70"/>
        <v>1686.69</v>
      </c>
      <c r="S99" s="107">
        <f t="shared" si="70"/>
        <v>1680.3899999999999</v>
      </c>
      <c r="T99" s="107">
        <f t="shared" si="70"/>
        <v>1695.06</v>
      </c>
      <c r="U99" s="107">
        <f t="shared" si="70"/>
        <v>1675.56</v>
      </c>
      <c r="V99" s="107">
        <f t="shared" si="70"/>
        <v>1610.06</v>
      </c>
      <c r="W99" s="107">
        <f t="shared" si="70"/>
        <v>1496.3899999999999</v>
      </c>
      <c r="X99" s="107">
        <f t="shared" si="70"/>
        <v>1474.49</v>
      </c>
      <c r="Y99" s="107">
        <f>Y97+Y98</f>
        <v>1433.9499999999998</v>
      </c>
      <c r="Z99" s="107">
        <v>1856.45</v>
      </c>
      <c r="AA99" s="107">
        <f t="shared" si="70"/>
        <v>1822.6299999999999</v>
      </c>
      <c r="AB99" s="107">
        <f t="shared" si="70"/>
        <v>1767.99</v>
      </c>
      <c r="AC99" s="107">
        <f t="shared" ref="AC99:AD99" si="71">AC97+AC98</f>
        <v>1693.1899999999998</v>
      </c>
      <c r="AD99" s="107">
        <f t="shared" si="71"/>
        <v>1735.3899999999999</v>
      </c>
      <c r="AE99" s="107">
        <f t="shared" ref="AE99:AF99" si="72">AE97+AE98</f>
        <v>1576.8899999999999</v>
      </c>
      <c r="AF99" s="107">
        <f t="shared" si="72"/>
        <v>1463.8899999999999</v>
      </c>
      <c r="AG99" s="100">
        <f>AG96+AG92+AG80+AG76+AG58+AG98</f>
        <v>1693.71</v>
      </c>
      <c r="AH99" s="48">
        <f t="shared" si="59"/>
        <v>1856.45</v>
      </c>
      <c r="AI99" s="49">
        <f t="shared" si="60"/>
        <v>1370.0900000000001</v>
      </c>
      <c r="BF99" s="81"/>
      <c r="BG99" s="81">
        <v>66</v>
      </c>
      <c r="BH99" s="81">
        <v>0</v>
      </c>
      <c r="BI99" s="81">
        <v>571</v>
      </c>
      <c r="BJ99" s="81">
        <v>51</v>
      </c>
      <c r="BK99" s="81">
        <v>120</v>
      </c>
      <c r="BL99" s="81">
        <v>46.8</v>
      </c>
    </row>
    <row r="100" spans="1:64" ht="15.75" thickBot="1" x14ac:dyDescent="0.3">
      <c r="A100" s="86" t="s">
        <v>126</v>
      </c>
      <c r="B100" s="107">
        <f t="shared" ref="B100:D100" si="73">B99-(B107)</f>
        <v>1435.0900000000001</v>
      </c>
      <c r="C100" s="107">
        <f t="shared" si="73"/>
        <v>1369.0900000000001</v>
      </c>
      <c r="D100" s="107">
        <f t="shared" si="73"/>
        <v>1393.3899999999999</v>
      </c>
      <c r="E100" s="107">
        <f t="shared" ref="E100:M100" si="74">E99-(E107)</f>
        <v>1374.49</v>
      </c>
      <c r="F100" s="107">
        <f t="shared" si="74"/>
        <v>1373.39</v>
      </c>
      <c r="G100" s="107">
        <f t="shared" si="74"/>
        <v>1404.8899999999999</v>
      </c>
      <c r="H100" s="107">
        <f t="shared" si="74"/>
        <v>1411.79</v>
      </c>
      <c r="I100" s="107">
        <f t="shared" si="74"/>
        <v>1424.39</v>
      </c>
      <c r="J100" s="107">
        <f t="shared" si="74"/>
        <v>1541.89</v>
      </c>
      <c r="K100" s="107">
        <f t="shared" si="74"/>
        <v>1609.79</v>
      </c>
      <c r="L100" s="107">
        <f t="shared" si="74"/>
        <v>1698.2900000000002</v>
      </c>
      <c r="M100" s="107">
        <f t="shared" si="74"/>
        <v>1724.0900000000001</v>
      </c>
      <c r="N100" s="107">
        <f>N99-(N107)</f>
        <v>1729.2900000000002</v>
      </c>
      <c r="O100" s="107">
        <f t="shared" ref="O100:AB100" si="75">O99-(O107)</f>
        <v>1756.6900000000003</v>
      </c>
      <c r="P100" s="107">
        <f t="shared" si="75"/>
        <v>1700.29</v>
      </c>
      <c r="Q100" s="107">
        <f t="shared" si="75"/>
        <v>1664.79</v>
      </c>
      <c r="R100" s="107">
        <f t="shared" si="75"/>
        <v>1686.69</v>
      </c>
      <c r="S100" s="107">
        <f t="shared" si="75"/>
        <v>1680.3899999999999</v>
      </c>
      <c r="T100" s="107">
        <f t="shared" si="75"/>
        <v>1695.06</v>
      </c>
      <c r="U100" s="107">
        <f t="shared" si="75"/>
        <v>1675.56</v>
      </c>
      <c r="V100" s="107">
        <f t="shared" si="75"/>
        <v>1610.06</v>
      </c>
      <c r="W100" s="107">
        <f t="shared" si="75"/>
        <v>1496.3899999999999</v>
      </c>
      <c r="X100" s="107">
        <f t="shared" si="75"/>
        <v>1474.49</v>
      </c>
      <c r="Y100" s="107">
        <f t="shared" si="75"/>
        <v>1433.9499999999998</v>
      </c>
      <c r="Z100" s="107">
        <v>1856.45</v>
      </c>
      <c r="AA100" s="107">
        <f t="shared" si="75"/>
        <v>1822.6299999999999</v>
      </c>
      <c r="AB100" s="107">
        <f t="shared" si="75"/>
        <v>1767.99</v>
      </c>
      <c r="AC100" s="107">
        <f t="shared" ref="AC100:AD100" si="76">AC99-(AC107)</f>
        <v>1692.1899999999998</v>
      </c>
      <c r="AD100" s="107">
        <f t="shared" si="76"/>
        <v>1735.3899999999999</v>
      </c>
      <c r="AE100" s="107">
        <f t="shared" ref="AE100:AF100" si="77">AE99-(AE107)</f>
        <v>1576.8899999999999</v>
      </c>
      <c r="AF100" s="107">
        <f t="shared" si="77"/>
        <v>1463.8899999999999</v>
      </c>
      <c r="AG100" s="100"/>
      <c r="AH100" s="48">
        <f t="shared" si="59"/>
        <v>1856.45</v>
      </c>
      <c r="AI100" s="49">
        <f t="shared" si="60"/>
        <v>1369.0900000000001</v>
      </c>
      <c r="BF100" s="81"/>
      <c r="BG100" s="81">
        <v>61.5</v>
      </c>
      <c r="BH100" s="81">
        <v>0</v>
      </c>
      <c r="BI100" s="81">
        <v>531.5</v>
      </c>
      <c r="BJ100" s="81">
        <v>53.9</v>
      </c>
      <c r="BK100" s="81">
        <v>95.4</v>
      </c>
      <c r="BL100" s="81">
        <v>47</v>
      </c>
    </row>
    <row r="101" spans="1:64" x14ac:dyDescent="0.25">
      <c r="A101" s="45" t="s">
        <v>107</v>
      </c>
      <c r="B101" s="88">
        <f t="shared" ref="B101:D101" si="78">IF(B84&lt;0,B84*-1,0)</f>
        <v>0</v>
      </c>
      <c r="C101" s="88">
        <f t="shared" si="78"/>
        <v>0</v>
      </c>
      <c r="D101" s="88">
        <f t="shared" si="78"/>
        <v>0</v>
      </c>
      <c r="E101" s="88">
        <f t="shared" ref="E101:AB101" si="79">IF(E84&lt;0,E84*-1,0)</f>
        <v>0</v>
      </c>
      <c r="F101" s="88">
        <f t="shared" si="79"/>
        <v>0</v>
      </c>
      <c r="G101" s="88">
        <f t="shared" si="79"/>
        <v>0</v>
      </c>
      <c r="H101" s="88">
        <f t="shared" si="79"/>
        <v>0</v>
      </c>
      <c r="I101" s="88">
        <f t="shared" si="79"/>
        <v>0</v>
      </c>
      <c r="J101" s="88">
        <f t="shared" si="79"/>
        <v>0</v>
      </c>
      <c r="K101" s="88">
        <f t="shared" si="79"/>
        <v>0</v>
      </c>
      <c r="L101" s="88">
        <f t="shared" si="79"/>
        <v>0</v>
      </c>
      <c r="M101" s="88">
        <f t="shared" si="79"/>
        <v>0</v>
      </c>
      <c r="N101" s="88">
        <f t="shared" si="79"/>
        <v>0</v>
      </c>
      <c r="O101" s="88">
        <f t="shared" si="79"/>
        <v>0</v>
      </c>
      <c r="P101" s="88">
        <f t="shared" si="79"/>
        <v>0</v>
      </c>
      <c r="Q101" s="88">
        <f t="shared" si="79"/>
        <v>0</v>
      </c>
      <c r="R101" s="88">
        <f t="shared" si="79"/>
        <v>0</v>
      </c>
      <c r="S101" s="88">
        <f t="shared" si="79"/>
        <v>0</v>
      </c>
      <c r="T101" s="88">
        <f t="shared" si="79"/>
        <v>0</v>
      </c>
      <c r="U101" s="88">
        <f t="shared" si="79"/>
        <v>0</v>
      </c>
      <c r="V101" s="88">
        <f t="shared" si="79"/>
        <v>0</v>
      </c>
      <c r="W101" s="88">
        <f t="shared" si="79"/>
        <v>0</v>
      </c>
      <c r="X101" s="88">
        <f t="shared" si="79"/>
        <v>0</v>
      </c>
      <c r="Y101" s="88">
        <f t="shared" si="79"/>
        <v>0</v>
      </c>
      <c r="Z101" s="88">
        <v>0</v>
      </c>
      <c r="AA101" s="88">
        <f t="shared" si="79"/>
        <v>0</v>
      </c>
      <c r="AB101" s="88">
        <f t="shared" si="79"/>
        <v>0</v>
      </c>
      <c r="AC101" s="88">
        <f t="shared" ref="AC101:AD101" si="80">IF(AC84&lt;0,AC84*-1,0)</f>
        <v>0</v>
      </c>
      <c r="AD101" s="88">
        <f t="shared" si="80"/>
        <v>0</v>
      </c>
      <c r="AE101" s="88">
        <f t="shared" ref="AE101:AF101" si="81">IF(AE84&lt;0,AE84*-1,0)</f>
        <v>0</v>
      </c>
      <c r="AF101" s="88">
        <f t="shared" si="81"/>
        <v>0</v>
      </c>
      <c r="AG101" s="60"/>
      <c r="AH101" s="48">
        <f t="shared" si="59"/>
        <v>0</v>
      </c>
      <c r="AI101" s="49">
        <f t="shared" si="60"/>
        <v>0</v>
      </c>
      <c r="BF101" s="80"/>
      <c r="BG101" s="81">
        <v>68.2</v>
      </c>
      <c r="BH101" s="81">
        <v>0</v>
      </c>
      <c r="BI101" s="81">
        <v>468</v>
      </c>
      <c r="BJ101" s="81">
        <v>36.299999999999997</v>
      </c>
      <c r="BK101" s="81">
        <v>84</v>
      </c>
      <c r="BL101" s="81">
        <v>36.700000000000003</v>
      </c>
    </row>
    <row r="102" spans="1:64" x14ac:dyDescent="0.25">
      <c r="A102" s="64" t="s">
        <v>105</v>
      </c>
      <c r="B102" s="88">
        <f t="shared" ref="B102:D102" si="82">IF(B82&lt;0,B82*-1,0)</f>
        <v>0</v>
      </c>
      <c r="C102" s="88">
        <f t="shared" si="82"/>
        <v>0</v>
      </c>
      <c r="D102" s="88">
        <f t="shared" si="82"/>
        <v>0</v>
      </c>
      <c r="E102" s="88">
        <f t="shared" ref="E102:AB102" si="83">IF(E82&lt;0,E82*-1,0)</f>
        <v>0</v>
      </c>
      <c r="F102" s="88">
        <f t="shared" si="83"/>
        <v>0</v>
      </c>
      <c r="G102" s="88">
        <f t="shared" si="83"/>
        <v>0</v>
      </c>
      <c r="H102" s="88">
        <f t="shared" si="83"/>
        <v>0</v>
      </c>
      <c r="I102" s="88">
        <f t="shared" si="83"/>
        <v>0</v>
      </c>
      <c r="J102" s="88">
        <f t="shared" si="83"/>
        <v>0</v>
      </c>
      <c r="K102" s="88">
        <f t="shared" si="83"/>
        <v>0</v>
      </c>
      <c r="L102" s="88">
        <f t="shared" si="83"/>
        <v>0</v>
      </c>
      <c r="M102" s="88">
        <f t="shared" si="83"/>
        <v>0</v>
      </c>
      <c r="N102" s="88">
        <f t="shared" si="83"/>
        <v>0</v>
      </c>
      <c r="O102" s="88">
        <f t="shared" si="83"/>
        <v>0</v>
      </c>
      <c r="P102" s="88">
        <f t="shared" si="83"/>
        <v>0</v>
      </c>
      <c r="Q102" s="88">
        <f t="shared" si="83"/>
        <v>0</v>
      </c>
      <c r="R102" s="88">
        <f t="shared" si="83"/>
        <v>0</v>
      </c>
      <c r="S102" s="88">
        <f t="shared" si="83"/>
        <v>0</v>
      </c>
      <c r="T102" s="88">
        <f t="shared" si="83"/>
        <v>0</v>
      </c>
      <c r="U102" s="88">
        <f t="shared" si="83"/>
        <v>0</v>
      </c>
      <c r="V102" s="88">
        <f t="shared" si="83"/>
        <v>0</v>
      </c>
      <c r="W102" s="88">
        <f t="shared" si="83"/>
        <v>0</v>
      </c>
      <c r="X102" s="88">
        <f t="shared" si="83"/>
        <v>0</v>
      </c>
      <c r="Y102" s="88">
        <f t="shared" si="83"/>
        <v>0</v>
      </c>
      <c r="Z102" s="88">
        <v>0</v>
      </c>
      <c r="AA102" s="88">
        <f t="shared" si="83"/>
        <v>0</v>
      </c>
      <c r="AB102" s="88">
        <f t="shared" si="83"/>
        <v>0</v>
      </c>
      <c r="AC102" s="88">
        <f t="shared" ref="AC102:AD102" si="84">IF(AC82&lt;0,AC82*-1,0)</f>
        <v>0</v>
      </c>
      <c r="AD102" s="88">
        <f t="shared" si="84"/>
        <v>0</v>
      </c>
      <c r="AE102" s="88">
        <f t="shared" ref="AE102:AF102" si="85">IF(AE82&lt;0,AE82*-1,0)</f>
        <v>0</v>
      </c>
      <c r="AF102" s="88">
        <f t="shared" si="85"/>
        <v>0</v>
      </c>
      <c r="AG102" s="65"/>
      <c r="AH102" s="48">
        <f t="shared" si="59"/>
        <v>0</v>
      </c>
      <c r="AI102" s="49">
        <f t="shared" si="60"/>
        <v>0</v>
      </c>
      <c r="BF102" s="80"/>
      <c r="BG102" s="81">
        <v>55.4</v>
      </c>
      <c r="BH102" s="81">
        <v>0</v>
      </c>
      <c r="BI102" s="81">
        <v>74.3</v>
      </c>
      <c r="BJ102" s="81">
        <v>0</v>
      </c>
      <c r="BK102" s="81">
        <v>0</v>
      </c>
      <c r="BL102" s="81">
        <v>48.6</v>
      </c>
    </row>
    <row r="103" spans="1:64" x14ac:dyDescent="0.25">
      <c r="A103" s="96" t="s">
        <v>127</v>
      </c>
      <c r="B103" s="88">
        <f t="shared" ref="B103:D103" si="86">IF(B85&lt;0,B85*-1,0)</f>
        <v>0</v>
      </c>
      <c r="C103" s="88">
        <f t="shared" si="86"/>
        <v>0</v>
      </c>
      <c r="D103" s="88">
        <f t="shared" si="86"/>
        <v>0</v>
      </c>
      <c r="E103" s="88">
        <f t="shared" ref="E103:AB103" si="87">IF(E85&lt;0,E85*-1,0)</f>
        <v>0</v>
      </c>
      <c r="F103" s="88">
        <f t="shared" si="87"/>
        <v>0</v>
      </c>
      <c r="G103" s="88">
        <f t="shared" si="87"/>
        <v>0</v>
      </c>
      <c r="H103" s="88">
        <f t="shared" si="87"/>
        <v>0</v>
      </c>
      <c r="I103" s="88">
        <f t="shared" si="87"/>
        <v>0</v>
      </c>
      <c r="J103" s="88">
        <f t="shared" si="87"/>
        <v>0</v>
      </c>
      <c r="K103" s="88">
        <f t="shared" si="87"/>
        <v>0</v>
      </c>
      <c r="L103" s="88">
        <f t="shared" si="87"/>
        <v>0</v>
      </c>
      <c r="M103" s="88">
        <f t="shared" si="87"/>
        <v>0</v>
      </c>
      <c r="N103" s="88">
        <f t="shared" si="87"/>
        <v>0</v>
      </c>
      <c r="O103" s="88">
        <f t="shared" si="87"/>
        <v>0</v>
      </c>
      <c r="P103" s="88">
        <f t="shared" si="87"/>
        <v>0</v>
      </c>
      <c r="Q103" s="88">
        <f t="shared" si="87"/>
        <v>0</v>
      </c>
      <c r="R103" s="88">
        <f t="shared" si="87"/>
        <v>0</v>
      </c>
      <c r="S103" s="88">
        <f t="shared" si="87"/>
        <v>0</v>
      </c>
      <c r="T103" s="88">
        <f t="shared" si="87"/>
        <v>0</v>
      </c>
      <c r="U103" s="88">
        <f t="shared" si="87"/>
        <v>0</v>
      </c>
      <c r="V103" s="88">
        <f t="shared" si="87"/>
        <v>0</v>
      </c>
      <c r="W103" s="88">
        <f t="shared" si="87"/>
        <v>0</v>
      </c>
      <c r="X103" s="88">
        <f t="shared" si="87"/>
        <v>0</v>
      </c>
      <c r="Y103" s="88">
        <f t="shared" si="87"/>
        <v>0</v>
      </c>
      <c r="Z103" s="88">
        <v>0</v>
      </c>
      <c r="AA103" s="88">
        <f t="shared" si="87"/>
        <v>0</v>
      </c>
      <c r="AB103" s="88">
        <f t="shared" si="87"/>
        <v>0</v>
      </c>
      <c r="AC103" s="88">
        <f t="shared" ref="AC103:AD103" si="88">IF(AC85&lt;0,AC85*-1,0)</f>
        <v>0</v>
      </c>
      <c r="AD103" s="88">
        <f t="shared" si="88"/>
        <v>0</v>
      </c>
      <c r="AE103" s="88">
        <f t="shared" ref="AE103:AF103" si="89">IF(AE85&lt;0,AE85*-1,0)</f>
        <v>0</v>
      </c>
      <c r="AF103" s="88">
        <f t="shared" si="89"/>
        <v>0</v>
      </c>
      <c r="AG103" s="110"/>
      <c r="AH103" s="48">
        <f t="shared" si="59"/>
        <v>0</v>
      </c>
      <c r="AI103" s="49">
        <f t="shared" si="60"/>
        <v>0</v>
      </c>
      <c r="BF103" s="80"/>
      <c r="BG103" s="81">
        <v>40</v>
      </c>
      <c r="BH103" s="81">
        <v>0</v>
      </c>
      <c r="BI103" s="81">
        <v>66</v>
      </c>
      <c r="BJ103" s="81">
        <v>0</v>
      </c>
      <c r="BK103" s="81">
        <v>0</v>
      </c>
      <c r="BL103" s="81">
        <v>48</v>
      </c>
    </row>
    <row r="104" spans="1:64" x14ac:dyDescent="0.25">
      <c r="A104" s="96" t="s">
        <v>128</v>
      </c>
      <c r="B104" s="88">
        <f t="shared" ref="B104:D104" si="90">IF(B83&lt;0,B83*-1,0)</f>
        <v>0</v>
      </c>
      <c r="C104" s="88">
        <f t="shared" si="90"/>
        <v>0</v>
      </c>
      <c r="D104" s="88">
        <f t="shared" si="90"/>
        <v>0</v>
      </c>
      <c r="E104" s="88">
        <f t="shared" ref="E104:AB104" si="91">IF(E83&lt;0,E83*-1,0)</f>
        <v>0</v>
      </c>
      <c r="F104" s="88">
        <f t="shared" si="91"/>
        <v>0</v>
      </c>
      <c r="G104" s="88">
        <f t="shared" si="91"/>
        <v>0</v>
      </c>
      <c r="H104" s="88">
        <f t="shared" si="91"/>
        <v>0</v>
      </c>
      <c r="I104" s="88">
        <f t="shared" si="91"/>
        <v>0</v>
      </c>
      <c r="J104" s="88">
        <f t="shared" si="91"/>
        <v>0</v>
      </c>
      <c r="K104" s="88">
        <f t="shared" si="91"/>
        <v>0</v>
      </c>
      <c r="L104" s="88">
        <f t="shared" si="91"/>
        <v>0</v>
      </c>
      <c r="M104" s="88">
        <f t="shared" si="91"/>
        <v>0</v>
      </c>
      <c r="N104" s="88">
        <f t="shared" si="91"/>
        <v>0</v>
      </c>
      <c r="O104" s="88">
        <f t="shared" si="91"/>
        <v>0</v>
      </c>
      <c r="P104" s="88">
        <f t="shared" si="91"/>
        <v>0</v>
      </c>
      <c r="Q104" s="88">
        <f t="shared" si="91"/>
        <v>0</v>
      </c>
      <c r="R104" s="88">
        <f t="shared" si="91"/>
        <v>0</v>
      </c>
      <c r="S104" s="88">
        <f t="shared" si="91"/>
        <v>0</v>
      </c>
      <c r="T104" s="88">
        <f t="shared" si="91"/>
        <v>0</v>
      </c>
      <c r="U104" s="88">
        <f t="shared" si="91"/>
        <v>0</v>
      </c>
      <c r="V104" s="88">
        <f t="shared" si="91"/>
        <v>0</v>
      </c>
      <c r="W104" s="88">
        <f t="shared" si="91"/>
        <v>0</v>
      </c>
      <c r="X104" s="88">
        <f t="shared" si="91"/>
        <v>0</v>
      </c>
      <c r="Y104" s="88">
        <f t="shared" si="91"/>
        <v>0</v>
      </c>
      <c r="Z104" s="88">
        <v>0</v>
      </c>
      <c r="AA104" s="88">
        <f t="shared" si="91"/>
        <v>0</v>
      </c>
      <c r="AB104" s="88">
        <f t="shared" si="91"/>
        <v>0</v>
      </c>
      <c r="AC104" s="88">
        <f t="shared" ref="AC104:AD104" si="92">IF(AC83&lt;0,AC83*-1,0)</f>
        <v>0</v>
      </c>
      <c r="AD104" s="88">
        <f t="shared" si="92"/>
        <v>0</v>
      </c>
      <c r="AE104" s="88">
        <f t="shared" ref="AE104:AF104" si="93">IF(AE83&lt;0,AE83*-1,0)</f>
        <v>0</v>
      </c>
      <c r="AF104" s="88">
        <f t="shared" si="93"/>
        <v>0</v>
      </c>
      <c r="AG104" s="110"/>
      <c r="AH104" s="48">
        <f t="shared" si="59"/>
        <v>0</v>
      </c>
      <c r="AI104" s="49">
        <f t="shared" si="60"/>
        <v>0</v>
      </c>
      <c r="BF104" s="80"/>
      <c r="BG104" s="81">
        <v>49</v>
      </c>
      <c r="BH104" s="81">
        <v>0</v>
      </c>
      <c r="BI104" s="81">
        <v>51</v>
      </c>
      <c r="BJ104" s="81">
        <v>0</v>
      </c>
      <c r="BK104" s="81">
        <v>0</v>
      </c>
      <c r="BL104" s="81">
        <v>52</v>
      </c>
    </row>
    <row r="105" spans="1:64" x14ac:dyDescent="0.25">
      <c r="A105" s="96" t="s">
        <v>104</v>
      </c>
      <c r="B105" s="88">
        <f t="shared" ref="B105:D105" si="94">IF(B81&lt;0,B81*-1,0)</f>
        <v>0</v>
      </c>
      <c r="C105" s="88">
        <f t="shared" si="94"/>
        <v>0</v>
      </c>
      <c r="D105" s="88">
        <f t="shared" si="94"/>
        <v>0</v>
      </c>
      <c r="E105" s="88">
        <f t="shared" ref="E105:AB105" si="95">IF(E81&lt;0,E81*-1,0)</f>
        <v>0</v>
      </c>
      <c r="F105" s="88">
        <f t="shared" si="95"/>
        <v>0</v>
      </c>
      <c r="G105" s="88">
        <f t="shared" si="95"/>
        <v>0</v>
      </c>
      <c r="H105" s="88">
        <f t="shared" si="95"/>
        <v>0</v>
      </c>
      <c r="I105" s="88">
        <f t="shared" si="95"/>
        <v>0</v>
      </c>
      <c r="J105" s="88">
        <f t="shared" si="95"/>
        <v>0</v>
      </c>
      <c r="K105" s="88">
        <f t="shared" si="95"/>
        <v>0</v>
      </c>
      <c r="L105" s="88">
        <f t="shared" si="95"/>
        <v>0</v>
      </c>
      <c r="M105" s="88">
        <f t="shared" si="95"/>
        <v>0</v>
      </c>
      <c r="N105" s="88">
        <f t="shared" si="95"/>
        <v>0</v>
      </c>
      <c r="O105" s="88">
        <f t="shared" si="95"/>
        <v>0</v>
      </c>
      <c r="P105" s="88">
        <f t="shared" si="95"/>
        <v>0</v>
      </c>
      <c r="Q105" s="88">
        <f t="shared" si="95"/>
        <v>0</v>
      </c>
      <c r="R105" s="88">
        <f t="shared" si="95"/>
        <v>0</v>
      </c>
      <c r="S105" s="88">
        <f t="shared" si="95"/>
        <v>0</v>
      </c>
      <c r="T105" s="88">
        <f t="shared" si="95"/>
        <v>0</v>
      </c>
      <c r="U105" s="88">
        <f t="shared" si="95"/>
        <v>0</v>
      </c>
      <c r="V105" s="88">
        <f t="shared" si="95"/>
        <v>0</v>
      </c>
      <c r="W105" s="88">
        <f t="shared" si="95"/>
        <v>0</v>
      </c>
      <c r="X105" s="88">
        <f t="shared" si="95"/>
        <v>0</v>
      </c>
      <c r="Y105" s="88">
        <f t="shared" si="95"/>
        <v>0</v>
      </c>
      <c r="Z105" s="88">
        <v>0</v>
      </c>
      <c r="AA105" s="88">
        <f t="shared" si="95"/>
        <v>0</v>
      </c>
      <c r="AB105" s="88">
        <f t="shared" si="95"/>
        <v>0</v>
      </c>
      <c r="AC105" s="88">
        <f t="shared" ref="AC105:AD105" si="96">IF(AC81&lt;0,AC81*-1,0)</f>
        <v>0</v>
      </c>
      <c r="AD105" s="88">
        <f t="shared" si="96"/>
        <v>0</v>
      </c>
      <c r="AE105" s="88">
        <f t="shared" ref="AE105:AF105" si="97">IF(AE81&lt;0,AE81*-1,0)</f>
        <v>0</v>
      </c>
      <c r="AF105" s="88">
        <f t="shared" si="97"/>
        <v>0</v>
      </c>
      <c r="AG105" s="110"/>
      <c r="AH105" s="48">
        <f t="shared" si="59"/>
        <v>0</v>
      </c>
      <c r="AI105" s="49">
        <f t="shared" si="60"/>
        <v>0</v>
      </c>
      <c r="BF105" s="80"/>
      <c r="BG105" s="81">
        <v>45</v>
      </c>
      <c r="BH105" s="81">
        <v>0</v>
      </c>
      <c r="BI105" s="81">
        <v>169</v>
      </c>
      <c r="BJ105" s="81">
        <v>0</v>
      </c>
      <c r="BK105" s="81">
        <v>0</v>
      </c>
      <c r="BL105" s="81">
        <v>53</v>
      </c>
    </row>
    <row r="106" spans="1:64" ht="15.75" thickBot="1" x14ac:dyDescent="0.3">
      <c r="A106" s="96" t="s">
        <v>129</v>
      </c>
      <c r="B106" s="106">
        <v>0</v>
      </c>
      <c r="C106" s="106">
        <v>1</v>
      </c>
      <c r="D106" s="106">
        <v>2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0</v>
      </c>
      <c r="Y106" s="106">
        <v>0</v>
      </c>
      <c r="Z106" s="106">
        <v>0</v>
      </c>
      <c r="AA106" s="106">
        <v>0</v>
      </c>
      <c r="AB106" s="106">
        <v>0</v>
      </c>
      <c r="AC106" s="106">
        <v>1</v>
      </c>
      <c r="AD106" s="106">
        <v>2</v>
      </c>
      <c r="AE106" s="106">
        <v>2</v>
      </c>
      <c r="AF106" s="106">
        <v>0</v>
      </c>
      <c r="AG106" s="97"/>
      <c r="AH106" s="48">
        <f t="shared" si="59"/>
        <v>2</v>
      </c>
      <c r="AI106" s="49">
        <f t="shared" si="60"/>
        <v>0</v>
      </c>
      <c r="BG106" s="81">
        <v>34</v>
      </c>
      <c r="BH106" s="81">
        <v>0</v>
      </c>
      <c r="BI106" s="81">
        <v>139</v>
      </c>
      <c r="BJ106" s="81">
        <v>0</v>
      </c>
      <c r="BK106" s="81">
        <v>0</v>
      </c>
      <c r="BL106" s="81">
        <v>50</v>
      </c>
    </row>
    <row r="107" spans="1:64" ht="15.75" thickBot="1" x14ac:dyDescent="0.3">
      <c r="A107" s="111" t="s">
        <v>130</v>
      </c>
      <c r="B107" s="70">
        <f t="shared" ref="B107:D107" si="98">SUM(B101:B106)</f>
        <v>0</v>
      </c>
      <c r="C107" s="70">
        <f t="shared" si="98"/>
        <v>1</v>
      </c>
      <c r="D107" s="70">
        <f t="shared" si="98"/>
        <v>2</v>
      </c>
      <c r="E107" s="70">
        <f t="shared" ref="E107:AB107" si="99">SUM(E101:E106)</f>
        <v>0</v>
      </c>
      <c r="F107" s="70">
        <f t="shared" si="99"/>
        <v>0</v>
      </c>
      <c r="G107" s="70">
        <f t="shared" si="99"/>
        <v>0</v>
      </c>
      <c r="H107" s="70">
        <f t="shared" si="99"/>
        <v>0</v>
      </c>
      <c r="I107" s="70">
        <f t="shared" si="99"/>
        <v>0</v>
      </c>
      <c r="J107" s="70">
        <f t="shared" si="99"/>
        <v>0</v>
      </c>
      <c r="K107" s="70">
        <f t="shared" si="99"/>
        <v>0</v>
      </c>
      <c r="L107" s="70">
        <f t="shared" si="99"/>
        <v>0</v>
      </c>
      <c r="M107" s="70">
        <f t="shared" si="99"/>
        <v>0</v>
      </c>
      <c r="N107" s="70">
        <f t="shared" si="99"/>
        <v>0</v>
      </c>
      <c r="O107" s="70">
        <f t="shared" si="99"/>
        <v>0</v>
      </c>
      <c r="P107" s="70">
        <f t="shared" si="99"/>
        <v>0</v>
      </c>
      <c r="Q107" s="70">
        <f t="shared" si="99"/>
        <v>0</v>
      </c>
      <c r="R107" s="70">
        <f t="shared" si="99"/>
        <v>0</v>
      </c>
      <c r="S107" s="70">
        <f t="shared" si="99"/>
        <v>0</v>
      </c>
      <c r="T107" s="70">
        <f t="shared" si="99"/>
        <v>0</v>
      </c>
      <c r="U107" s="70">
        <f t="shared" si="99"/>
        <v>0</v>
      </c>
      <c r="V107" s="70">
        <f t="shared" si="99"/>
        <v>0</v>
      </c>
      <c r="W107" s="70">
        <f t="shared" si="99"/>
        <v>0</v>
      </c>
      <c r="X107" s="70">
        <f t="shared" si="99"/>
        <v>0</v>
      </c>
      <c r="Y107" s="70">
        <f t="shared" si="99"/>
        <v>0</v>
      </c>
      <c r="Z107" s="70">
        <v>0</v>
      </c>
      <c r="AA107" s="70">
        <f t="shared" si="99"/>
        <v>0</v>
      </c>
      <c r="AB107" s="70">
        <f t="shared" si="99"/>
        <v>0</v>
      </c>
      <c r="AC107" s="70">
        <f t="shared" ref="AC107" si="100">SUM(AC101:AC106)</f>
        <v>1</v>
      </c>
      <c r="AD107" s="70">
        <v>0</v>
      </c>
      <c r="AE107" s="70">
        <v>0</v>
      </c>
      <c r="AF107" s="70">
        <v>0</v>
      </c>
      <c r="AG107" s="100"/>
      <c r="AH107" s="48">
        <f t="shared" si="59"/>
        <v>2</v>
      </c>
      <c r="AI107" s="49">
        <f t="shared" si="60"/>
        <v>0</v>
      </c>
      <c r="AK107" s="51"/>
      <c r="BG107" s="81">
        <v>40.1</v>
      </c>
      <c r="BH107" s="81">
        <v>0</v>
      </c>
      <c r="BI107" s="81">
        <v>94.3</v>
      </c>
      <c r="BJ107" s="81">
        <v>0</v>
      </c>
      <c r="BK107" s="81">
        <v>0</v>
      </c>
      <c r="BL107" s="81">
        <v>49.7</v>
      </c>
    </row>
    <row r="108" spans="1:64" ht="15.75" thickBot="1" x14ac:dyDescent="0.3">
      <c r="A108" s="86" t="s">
        <v>131</v>
      </c>
      <c r="B108" s="70">
        <f t="shared" ref="B108:D108" si="101">B92-B107</f>
        <v>184.10000000000002</v>
      </c>
      <c r="C108" s="70">
        <f t="shared" si="101"/>
        <v>239.9</v>
      </c>
      <c r="D108" s="70">
        <f t="shared" si="101"/>
        <v>161.60000000000002</v>
      </c>
      <c r="E108" s="70">
        <f t="shared" ref="E108:AB108" si="102">E92-E107</f>
        <v>142.69999999999999</v>
      </c>
      <c r="F108" s="70">
        <f t="shared" si="102"/>
        <v>159.30000000000001</v>
      </c>
      <c r="G108" s="70">
        <f t="shared" si="102"/>
        <v>162.60000000000002</v>
      </c>
      <c r="H108" s="70">
        <f t="shared" si="102"/>
        <v>253.39999999999998</v>
      </c>
      <c r="I108" s="70">
        <f t="shared" si="102"/>
        <v>416</v>
      </c>
      <c r="J108" s="70">
        <f t="shared" si="102"/>
        <v>737.5</v>
      </c>
      <c r="K108" s="70">
        <f t="shared" si="102"/>
        <v>787.1</v>
      </c>
      <c r="L108" s="70">
        <f t="shared" si="102"/>
        <v>805.90000000000009</v>
      </c>
      <c r="M108" s="70">
        <f t="shared" si="102"/>
        <v>807.4</v>
      </c>
      <c r="N108" s="70">
        <f t="shared" si="102"/>
        <v>809.6</v>
      </c>
      <c r="O108" s="70">
        <f t="shared" si="102"/>
        <v>842.7</v>
      </c>
      <c r="P108" s="70">
        <f t="shared" si="102"/>
        <v>810</v>
      </c>
      <c r="Q108" s="70">
        <f t="shared" si="102"/>
        <v>774.5</v>
      </c>
      <c r="R108" s="70">
        <f t="shared" si="102"/>
        <v>816.7</v>
      </c>
      <c r="S108" s="70">
        <f t="shared" si="102"/>
        <v>826.69999999999993</v>
      </c>
      <c r="T108" s="70">
        <f t="shared" si="102"/>
        <v>874.3</v>
      </c>
      <c r="U108" s="70">
        <f t="shared" si="102"/>
        <v>854.8</v>
      </c>
      <c r="V108" s="70">
        <f t="shared" si="102"/>
        <v>789.3</v>
      </c>
      <c r="W108" s="70">
        <f t="shared" si="102"/>
        <v>749.5</v>
      </c>
      <c r="X108" s="70">
        <f t="shared" si="102"/>
        <v>693.2</v>
      </c>
      <c r="Y108" s="70">
        <f>Y92-Y107</f>
        <v>153.1</v>
      </c>
      <c r="Z108" s="70">
        <v>178.29999999999998</v>
      </c>
      <c r="AA108" s="70">
        <f t="shared" si="102"/>
        <v>152.30000000000001</v>
      </c>
      <c r="AB108" s="70">
        <f t="shared" si="102"/>
        <v>154</v>
      </c>
      <c r="AC108" s="70">
        <f t="shared" ref="AC108:AD108" si="103">AC92-AC107</f>
        <v>146</v>
      </c>
      <c r="AD108" s="70">
        <f t="shared" si="103"/>
        <v>152</v>
      </c>
      <c r="AE108" s="70">
        <f t="shared" ref="AE108:AF108" si="104">AE92-AE107</f>
        <v>267</v>
      </c>
      <c r="AF108" s="70">
        <f t="shared" si="104"/>
        <v>223</v>
      </c>
      <c r="AG108" s="100"/>
      <c r="AH108" s="48">
        <f t="shared" si="59"/>
        <v>874.3</v>
      </c>
      <c r="AI108" s="49">
        <f t="shared" si="60"/>
        <v>142.69999999999999</v>
      </c>
    </row>
    <row r="109" spans="1:64" x14ac:dyDescent="0.25">
      <c r="A109" s="112" t="s">
        <v>132</v>
      </c>
      <c r="B109" s="113">
        <v>50.03</v>
      </c>
      <c r="C109" s="113">
        <v>50.03</v>
      </c>
      <c r="D109" s="113">
        <v>50.04</v>
      </c>
      <c r="E109" s="113">
        <v>49.993000000000002</v>
      </c>
      <c r="F109" s="113">
        <v>49.973999999999997</v>
      </c>
      <c r="G109" s="113">
        <v>50.045000000000002</v>
      </c>
      <c r="H109" s="113">
        <v>49.927999999999997</v>
      </c>
      <c r="I109" s="113">
        <v>49.973999999999997</v>
      </c>
      <c r="J109" s="113">
        <v>50.024000000000001</v>
      </c>
      <c r="K109" s="113">
        <v>50.030999999999999</v>
      </c>
      <c r="L109" s="113">
        <v>50.043999999999997</v>
      </c>
      <c r="M109" s="113">
        <v>49.999000000000002</v>
      </c>
      <c r="N109" s="113">
        <v>50.018000000000001</v>
      </c>
      <c r="O109" s="113">
        <v>49.988</v>
      </c>
      <c r="P109" s="113">
        <v>49.88</v>
      </c>
      <c r="Q109" s="113">
        <v>50.036000000000001</v>
      </c>
      <c r="R109" s="113">
        <v>50.209000000000003</v>
      </c>
      <c r="S109" s="113">
        <v>49.954000000000001</v>
      </c>
      <c r="T109" s="113">
        <v>49.996000000000002</v>
      </c>
      <c r="U109" s="113">
        <v>50</v>
      </c>
      <c r="V109" s="113">
        <v>50.073</v>
      </c>
      <c r="W109" s="113">
        <v>50.103000000000002</v>
      </c>
      <c r="X109" s="113">
        <v>49.959000000000003</v>
      </c>
      <c r="Y109" s="113">
        <v>49.999000000000002</v>
      </c>
      <c r="Z109" s="113">
        <v>50.045999999999999</v>
      </c>
      <c r="AA109" s="113">
        <v>49.972999999999999</v>
      </c>
      <c r="AB109" s="113">
        <v>50.048999999999999</v>
      </c>
      <c r="AC109" s="113">
        <v>50.048999999999999</v>
      </c>
      <c r="AD109" s="113">
        <v>50.04</v>
      </c>
      <c r="AE109" s="113">
        <v>49.98</v>
      </c>
      <c r="AF109" s="113">
        <v>49.91</v>
      </c>
      <c r="AG109" s="114"/>
      <c r="AH109" s="48">
        <f t="shared" si="59"/>
        <v>50.209000000000003</v>
      </c>
      <c r="AI109" s="49">
        <f t="shared" si="60"/>
        <v>49.88</v>
      </c>
    </row>
    <row r="110" spans="1:64" x14ac:dyDescent="0.25">
      <c r="A110" s="115" t="s">
        <v>133</v>
      </c>
      <c r="B110" s="75">
        <v>132.19999999999999</v>
      </c>
      <c r="C110" s="75">
        <v>132.19999999999999</v>
      </c>
      <c r="D110" s="75">
        <v>133.30000000000001</v>
      </c>
      <c r="E110" s="75">
        <v>133.5</v>
      </c>
      <c r="F110" s="75">
        <v>133.9</v>
      </c>
      <c r="G110" s="75">
        <v>132.9</v>
      </c>
      <c r="H110" s="75">
        <v>133.6</v>
      </c>
      <c r="I110" s="75">
        <v>133.30000000000001</v>
      </c>
      <c r="J110" s="75">
        <v>127.1</v>
      </c>
      <c r="K110" s="75">
        <v>125.8</v>
      </c>
      <c r="L110" s="75">
        <v>125.3</v>
      </c>
      <c r="M110" s="75">
        <v>124</v>
      </c>
      <c r="N110" s="75">
        <v>124.4</v>
      </c>
      <c r="O110" s="75">
        <v>123.5</v>
      </c>
      <c r="P110" s="75">
        <v>124.6</v>
      </c>
      <c r="Q110" s="75">
        <v>123.9</v>
      </c>
      <c r="R110" s="75">
        <v>124.6</v>
      </c>
      <c r="S110" s="75">
        <v>125.4</v>
      </c>
      <c r="T110" s="75">
        <v>123.6</v>
      </c>
      <c r="U110" s="75">
        <v>123.6</v>
      </c>
      <c r="V110" s="75">
        <v>126</v>
      </c>
      <c r="W110" s="75">
        <v>126.5</v>
      </c>
      <c r="X110" s="75">
        <v>128.5</v>
      </c>
      <c r="Y110" s="75">
        <v>127.4</v>
      </c>
      <c r="Z110" s="75">
        <v>127.7</v>
      </c>
      <c r="AA110" s="75">
        <v>128.30000000000001</v>
      </c>
      <c r="AB110" s="75">
        <v>130</v>
      </c>
      <c r="AC110" s="75">
        <v>130</v>
      </c>
      <c r="AD110" s="75">
        <v>129</v>
      </c>
      <c r="AE110" s="75">
        <v>130</v>
      </c>
      <c r="AF110" s="75">
        <v>132</v>
      </c>
      <c r="AG110" s="116"/>
      <c r="AH110" s="48">
        <f t="shared" si="59"/>
        <v>133.9</v>
      </c>
      <c r="AI110" s="49">
        <f t="shared" si="60"/>
        <v>123.5</v>
      </c>
    </row>
    <row r="111" spans="1:64" x14ac:dyDescent="0.25">
      <c r="A111" s="115" t="s">
        <v>134</v>
      </c>
      <c r="B111" s="75">
        <v>135.30000000000001</v>
      </c>
      <c r="C111" s="75">
        <v>135.30000000000001</v>
      </c>
      <c r="D111" s="75">
        <v>136.30000000000001</v>
      </c>
      <c r="E111" s="75">
        <v>136.5</v>
      </c>
      <c r="F111" s="75">
        <v>136.69999999999999</v>
      </c>
      <c r="G111" s="75">
        <v>135.69999999999999</v>
      </c>
      <c r="H111" s="75">
        <v>135.4</v>
      </c>
      <c r="I111" s="75">
        <v>134.9</v>
      </c>
      <c r="J111" s="75">
        <v>129.30000000000001</v>
      </c>
      <c r="K111" s="75">
        <v>128.30000000000001</v>
      </c>
      <c r="L111" s="75">
        <v>128.19999999999999</v>
      </c>
      <c r="M111" s="75">
        <v>127.1</v>
      </c>
      <c r="N111" s="75">
        <v>127.2</v>
      </c>
      <c r="O111" s="75">
        <v>126.6</v>
      </c>
      <c r="P111" s="75">
        <v>127.5</v>
      </c>
      <c r="Q111" s="75">
        <v>127.4</v>
      </c>
      <c r="R111" s="75">
        <v>128</v>
      </c>
      <c r="S111" s="75">
        <v>128.80000000000001</v>
      </c>
      <c r="T111" s="75">
        <v>126.6</v>
      </c>
      <c r="U111" s="75">
        <v>126.6</v>
      </c>
      <c r="V111" s="75">
        <v>129</v>
      </c>
      <c r="W111" s="75">
        <v>129.31</v>
      </c>
      <c r="X111" s="75">
        <v>130.69999999999999</v>
      </c>
      <c r="Y111" s="75">
        <v>129.5</v>
      </c>
      <c r="Z111" s="75">
        <v>129.5</v>
      </c>
      <c r="AA111" s="75">
        <v>130.5</v>
      </c>
      <c r="AB111" s="75">
        <v>132</v>
      </c>
      <c r="AC111" s="75">
        <v>132</v>
      </c>
      <c r="AD111" s="75">
        <v>131.6</v>
      </c>
      <c r="AE111" s="75">
        <v>132</v>
      </c>
      <c r="AF111" s="75">
        <v>134</v>
      </c>
      <c r="AG111" s="116"/>
      <c r="AH111" s="48">
        <f t="shared" si="59"/>
        <v>136.69999999999999</v>
      </c>
      <c r="AI111" s="49">
        <f t="shared" si="60"/>
        <v>126.6</v>
      </c>
    </row>
    <row r="112" spans="1:64" x14ac:dyDescent="0.25">
      <c r="A112" s="115" t="s">
        <v>135</v>
      </c>
      <c r="B112" s="75">
        <v>131.80000000000001</v>
      </c>
      <c r="C112" s="75">
        <v>131.80000000000001</v>
      </c>
      <c r="D112" s="75">
        <v>132.80000000000001</v>
      </c>
      <c r="E112" s="75">
        <v>133.4</v>
      </c>
      <c r="F112" s="75">
        <v>133.30000000000001</v>
      </c>
      <c r="G112" s="75">
        <v>132.5</v>
      </c>
      <c r="H112" s="75">
        <v>130.4</v>
      </c>
      <c r="I112" s="75">
        <v>129.69999999999999</v>
      </c>
      <c r="J112" s="75">
        <v>123</v>
      </c>
      <c r="K112" s="75">
        <v>124.1</v>
      </c>
      <c r="L112" s="75">
        <v>120.9</v>
      </c>
      <c r="M112" s="75">
        <v>119.1</v>
      </c>
      <c r="N112" s="75">
        <v>120.6</v>
      </c>
      <c r="O112" s="75">
        <v>122</v>
      </c>
      <c r="P112" s="75">
        <v>125</v>
      </c>
      <c r="Q112" s="75">
        <v>122.4</v>
      </c>
      <c r="R112" s="75">
        <v>124.6</v>
      </c>
      <c r="S112" s="75"/>
      <c r="T112" s="75">
        <v>118</v>
      </c>
      <c r="U112" s="75">
        <v>118</v>
      </c>
      <c r="V112" s="75">
        <v>126</v>
      </c>
      <c r="W112" s="75">
        <v>124.6</v>
      </c>
      <c r="X112" s="75">
        <v>125.9</v>
      </c>
      <c r="Y112" s="75">
        <v>123.7</v>
      </c>
      <c r="Z112" s="75">
        <v>126.3</v>
      </c>
      <c r="AA112" s="75">
        <v>125.1</v>
      </c>
      <c r="AB112" s="75">
        <v>131</v>
      </c>
      <c r="AC112" s="75">
        <v>131</v>
      </c>
      <c r="AD112" s="75">
        <v>126</v>
      </c>
      <c r="AE112" s="75">
        <v>132</v>
      </c>
      <c r="AF112" s="75">
        <v>132</v>
      </c>
      <c r="AG112" s="116"/>
      <c r="AH112" s="48">
        <f t="shared" si="59"/>
        <v>133.4</v>
      </c>
      <c r="AI112" s="49">
        <f t="shared" si="60"/>
        <v>118</v>
      </c>
    </row>
    <row r="113" spans="1:35" x14ac:dyDescent="0.25">
      <c r="A113" s="117" t="s">
        <v>136</v>
      </c>
      <c r="B113" s="75">
        <v>130.9</v>
      </c>
      <c r="C113" s="75">
        <v>130.9</v>
      </c>
      <c r="D113" s="75">
        <v>132.19999999999999</v>
      </c>
      <c r="E113" s="75">
        <v>132.9</v>
      </c>
      <c r="F113" s="75">
        <v>133.19999999999999</v>
      </c>
      <c r="G113" s="75">
        <v>132.1</v>
      </c>
      <c r="H113" s="75">
        <v>129</v>
      </c>
      <c r="I113" s="75">
        <v>129.69999999999999</v>
      </c>
      <c r="J113" s="75">
        <v>122.4</v>
      </c>
      <c r="K113" s="75">
        <v>123</v>
      </c>
      <c r="L113" s="75">
        <v>119.8</v>
      </c>
      <c r="M113" s="75">
        <v>118.5</v>
      </c>
      <c r="N113" s="75">
        <v>121.3</v>
      </c>
      <c r="O113" s="75">
        <v>121.1</v>
      </c>
      <c r="P113" s="75">
        <v>124.4</v>
      </c>
      <c r="Q113" s="75">
        <v>124.9</v>
      </c>
      <c r="R113" s="75">
        <v>123.8</v>
      </c>
      <c r="S113" s="75"/>
      <c r="T113" s="75">
        <v>117</v>
      </c>
      <c r="U113" s="75">
        <v>117</v>
      </c>
      <c r="V113" s="75">
        <v>125.8</v>
      </c>
      <c r="W113" s="75">
        <v>127.2</v>
      </c>
      <c r="X113" s="75">
        <v>124.7</v>
      </c>
      <c r="Y113" s="75">
        <v>123.7</v>
      </c>
      <c r="Z113" s="75">
        <v>125.1</v>
      </c>
      <c r="AA113" s="75">
        <v>124.7</v>
      </c>
      <c r="AB113" s="75">
        <v>129</v>
      </c>
      <c r="AC113" s="75">
        <v>129</v>
      </c>
      <c r="AD113" s="75">
        <v>123.6</v>
      </c>
      <c r="AE113" s="75">
        <v>130.5</v>
      </c>
      <c r="AF113" s="75">
        <v>132</v>
      </c>
      <c r="AG113" s="116"/>
      <c r="AH113" s="48">
        <f t="shared" si="59"/>
        <v>133.19999999999999</v>
      </c>
      <c r="AI113" s="49">
        <f t="shared" si="60"/>
        <v>117</v>
      </c>
    </row>
    <row r="114" spans="1:35" x14ac:dyDescent="0.25">
      <c r="A114" s="117" t="s">
        <v>137</v>
      </c>
      <c r="B114" s="118">
        <v>135.19999999999999</v>
      </c>
      <c r="C114" s="118">
        <v>135.19999999999999</v>
      </c>
      <c r="D114" s="118">
        <v>135.5</v>
      </c>
      <c r="E114" s="118">
        <v>135.9</v>
      </c>
      <c r="F114" s="118">
        <v>135.30000000000001</v>
      </c>
      <c r="G114" s="118">
        <v>134.4</v>
      </c>
      <c r="H114" s="118">
        <v>133.5</v>
      </c>
      <c r="I114" s="118">
        <v>133.6</v>
      </c>
      <c r="J114" s="118">
        <v>133.69999999999999</v>
      </c>
      <c r="K114" s="118">
        <v>133.69999999999999</v>
      </c>
      <c r="L114" s="118">
        <v>134.30000000000001</v>
      </c>
      <c r="M114" s="118">
        <v>132.9</v>
      </c>
      <c r="N114" s="118">
        <v>132.1</v>
      </c>
      <c r="O114" s="118">
        <v>130.5</v>
      </c>
      <c r="P114" s="118">
        <v>132</v>
      </c>
      <c r="Q114" s="118">
        <v>129.6</v>
      </c>
      <c r="R114" s="118">
        <v>131.19999999999999</v>
      </c>
      <c r="S114" s="118">
        <v>134.1</v>
      </c>
      <c r="T114" s="118">
        <v>129.80000000000001</v>
      </c>
      <c r="U114" s="118">
        <v>129.80000000000001</v>
      </c>
      <c r="V114" s="118">
        <v>132.80000000000001</v>
      </c>
      <c r="W114" s="118">
        <v>133</v>
      </c>
      <c r="X114" s="118">
        <v>135.80000000000001</v>
      </c>
      <c r="Y114" s="118">
        <v>133.19999999999999</v>
      </c>
      <c r="Z114" s="118">
        <v>132.9</v>
      </c>
      <c r="AA114" s="118">
        <v>134.30000000000001</v>
      </c>
      <c r="AB114" s="118">
        <v>135</v>
      </c>
      <c r="AC114" s="118">
        <v>135</v>
      </c>
      <c r="AD114" s="118">
        <v>135.80000000000001</v>
      </c>
      <c r="AE114" s="118">
        <v>136</v>
      </c>
      <c r="AF114" s="118">
        <v>137</v>
      </c>
      <c r="AG114" s="119"/>
      <c r="AH114" s="48">
        <f t="shared" si="59"/>
        <v>137</v>
      </c>
      <c r="AI114" s="49">
        <f t="shared" si="60"/>
        <v>129.6</v>
      </c>
    </row>
    <row r="115" spans="1:35" x14ac:dyDescent="0.25">
      <c r="A115" s="115" t="s">
        <v>138</v>
      </c>
      <c r="B115" s="75">
        <v>133.6</v>
      </c>
      <c r="C115" s="75">
        <v>133.6</v>
      </c>
      <c r="D115" s="75">
        <v>134.30000000000001</v>
      </c>
      <c r="E115" s="75">
        <v>132.19999999999999</v>
      </c>
      <c r="F115" s="75">
        <v>132.1</v>
      </c>
      <c r="G115" s="75">
        <v>132.4</v>
      </c>
      <c r="H115" s="75">
        <v>131.19999999999999</v>
      </c>
      <c r="I115" s="75">
        <v>129.1</v>
      </c>
      <c r="J115" s="75">
        <v>131.4</v>
      </c>
      <c r="K115" s="75">
        <v>131.4</v>
      </c>
      <c r="L115" s="75">
        <v>125.6</v>
      </c>
      <c r="M115" s="75">
        <v>127.4</v>
      </c>
      <c r="N115" s="75">
        <v>124.3</v>
      </c>
      <c r="O115" s="75">
        <v>130.19999999999999</v>
      </c>
      <c r="P115" s="75">
        <v>127.7</v>
      </c>
      <c r="Q115" s="75">
        <v>129.30000000000001</v>
      </c>
      <c r="R115" s="75">
        <v>129.30000000000001</v>
      </c>
      <c r="S115" s="75">
        <v>129.9</v>
      </c>
      <c r="T115" s="75">
        <v>125.5</v>
      </c>
      <c r="U115" s="75">
        <v>125.5</v>
      </c>
      <c r="V115" s="75">
        <v>126.4</v>
      </c>
      <c r="W115" s="75">
        <v>127.1</v>
      </c>
      <c r="X115" s="75">
        <v>126</v>
      </c>
      <c r="Y115" s="75">
        <v>128</v>
      </c>
      <c r="Z115" s="75">
        <v>130</v>
      </c>
      <c r="AA115" s="75">
        <v>130.30000000000001</v>
      </c>
      <c r="AB115" s="75">
        <v>133.69999999999999</v>
      </c>
      <c r="AC115" s="75">
        <v>133.69999999999999</v>
      </c>
      <c r="AD115" s="75">
        <v>135</v>
      </c>
      <c r="AE115" s="75">
        <v>135</v>
      </c>
      <c r="AF115" s="75">
        <v>136</v>
      </c>
      <c r="AG115" s="116"/>
      <c r="AH115" s="48">
        <f t="shared" si="59"/>
        <v>136</v>
      </c>
      <c r="AI115" s="49">
        <f t="shared" si="60"/>
        <v>124.3</v>
      </c>
    </row>
    <row r="116" spans="1:35" ht="15.75" thickBot="1" x14ac:dyDescent="0.3">
      <c r="A116" s="115" t="s">
        <v>139</v>
      </c>
      <c r="B116" s="104">
        <v>68</v>
      </c>
      <c r="C116" s="104">
        <v>68</v>
      </c>
      <c r="D116" s="104">
        <v>68.5</v>
      </c>
      <c r="E116" s="104">
        <v>68.599999999999994</v>
      </c>
      <c r="F116" s="104">
        <v>68.7</v>
      </c>
      <c r="G116" s="104">
        <v>68.099999999999994</v>
      </c>
      <c r="H116" s="104">
        <v>67.900000000000006</v>
      </c>
      <c r="I116" s="104">
        <v>67.7</v>
      </c>
      <c r="J116" s="104">
        <v>64.900000000000006</v>
      </c>
      <c r="K116" s="104">
        <v>65</v>
      </c>
      <c r="L116" s="104">
        <v>64.599999999999994</v>
      </c>
      <c r="M116" s="104">
        <v>64.099999999999994</v>
      </c>
      <c r="N116" s="104">
        <v>64.099999999999994</v>
      </c>
      <c r="O116" s="104">
        <v>64.099999999999994</v>
      </c>
      <c r="P116" s="104">
        <v>64.400000000000006</v>
      </c>
      <c r="Q116" s="104">
        <v>64.400000000000006</v>
      </c>
      <c r="R116" s="104">
        <v>64.599999999999994</v>
      </c>
      <c r="S116" s="104">
        <v>65.099999999999994</v>
      </c>
      <c r="T116" s="104">
        <v>64</v>
      </c>
      <c r="U116" s="104">
        <v>64</v>
      </c>
      <c r="V116" s="104">
        <v>65.400000000000006</v>
      </c>
      <c r="W116" s="104">
        <v>65.2</v>
      </c>
      <c r="X116" s="104">
        <v>65.5</v>
      </c>
      <c r="Y116" s="104">
        <v>65.3</v>
      </c>
      <c r="Z116" s="104">
        <v>65.3</v>
      </c>
      <c r="AA116" s="104">
        <v>65.7</v>
      </c>
      <c r="AB116" s="104">
        <v>66.5</v>
      </c>
      <c r="AC116" s="104">
        <v>66.5</v>
      </c>
      <c r="AD116" s="104">
        <v>66</v>
      </c>
      <c r="AE116" s="104">
        <v>66.599999999999994</v>
      </c>
      <c r="AF116" s="104">
        <v>67.5</v>
      </c>
      <c r="AG116" s="120"/>
      <c r="AH116" s="48">
        <f t="shared" si="59"/>
        <v>68.7</v>
      </c>
      <c r="AI116" s="49">
        <f t="shared" si="60"/>
        <v>64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 t="s">
        <v>140</v>
      </c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59"/>
        <v>0</v>
      </c>
      <c r="AI117" s="49">
        <f t="shared" si="60"/>
        <v>0</v>
      </c>
    </row>
    <row r="118" spans="1:35" ht="15.75" thickBot="1" x14ac:dyDescent="0.3">
      <c r="A118" s="122" t="s">
        <v>141</v>
      </c>
      <c r="B118" s="123">
        <f t="shared" ref="B118:D118" si="105">SUM(B22,B28,B31:B32,B66,B68:B69,B71,B73,B119:B123,B155,B161,B167,B176,B178,B190,B197,B200:B201,B208,B210,B212,B216:B218,B220:B222,B227,B233:B234,B236:B238,B246,B251)</f>
        <v>140.84</v>
      </c>
      <c r="C118" s="123">
        <f t="shared" si="105"/>
        <v>138.44</v>
      </c>
      <c r="D118" s="123">
        <f t="shared" si="105"/>
        <v>120.03999999999999</v>
      </c>
      <c r="E118" s="123">
        <f t="shared" ref="E118:O118" si="106">SUM(E22,E28,E31:E32,E66,E68:E69,E71,E73,E119:E123,E155,E161,E167,E176,E178,E190,E197,E200:E201,E208,E210,E212,E216:E218,E220:E222,E227,E233:E234,E236:E238,E246,E251)</f>
        <v>119.13999999999999</v>
      </c>
      <c r="F118" s="123">
        <f t="shared" si="106"/>
        <v>122.94000000000001</v>
      </c>
      <c r="G118" s="123">
        <f t="shared" si="106"/>
        <v>143.23999999999998</v>
      </c>
      <c r="H118" s="123">
        <f t="shared" si="106"/>
        <v>167.34</v>
      </c>
      <c r="I118" s="123">
        <f t="shared" si="106"/>
        <v>206.84</v>
      </c>
      <c r="J118" s="123">
        <f t="shared" si="106"/>
        <v>272.94</v>
      </c>
      <c r="K118" s="123">
        <f t="shared" si="106"/>
        <v>292.54000000000002</v>
      </c>
      <c r="L118" s="123">
        <f t="shared" si="106"/>
        <v>317.24</v>
      </c>
      <c r="M118" s="123">
        <f t="shared" si="106"/>
        <v>303.94</v>
      </c>
      <c r="N118" s="123">
        <f t="shared" si="106"/>
        <v>320.44</v>
      </c>
      <c r="O118" s="123">
        <f t="shared" si="106"/>
        <v>290.73999999999995</v>
      </c>
      <c r="P118" s="123">
        <v>42</v>
      </c>
      <c r="Q118" s="123">
        <f t="shared" ref="Q118:AB118" si="107">SUM(Q22,Q28,Q31:Q32,Q66,Q68:Q69,Q71,Q73,Q119:Q123,Q155,Q161,Q167,Q176,Q178,Q190,Q197,Q200:Q201,Q208,Q210,Q212,Q216:Q218,Q220:Q222,Q227,Q233:Q234,Q236:Q238,Q246,Q251)</f>
        <v>294.94</v>
      </c>
      <c r="R118" s="123">
        <f t="shared" si="107"/>
        <v>297.14000000000004</v>
      </c>
      <c r="S118" s="123">
        <f t="shared" si="107"/>
        <v>240.14</v>
      </c>
      <c r="T118" s="123">
        <f t="shared" si="107"/>
        <v>254.1</v>
      </c>
      <c r="U118" s="123">
        <f t="shared" si="107"/>
        <v>269.39999999999998</v>
      </c>
      <c r="V118" s="123">
        <f t="shared" si="107"/>
        <v>277.59999999999997</v>
      </c>
      <c r="W118" s="123">
        <f t="shared" si="107"/>
        <v>218.64</v>
      </c>
      <c r="X118" s="123">
        <f t="shared" si="107"/>
        <v>278.64000000000004</v>
      </c>
      <c r="Y118" s="123">
        <f t="shared" ref="Y118" si="108">SUM(Y20,Y26,Y37:Y38,Y66,Y68:Y69,Y71,Y73,Y119:Y123,Y148,Y154,Y160,Y169,Y171,Y183,Y190,Y193:Y194,Y201,Y203,Y205,Y209:Y211,Y213:Y215,Y220,Y226:Y227,Y229:Y231,Y239,Y244)</f>
        <v>304.40000000000003</v>
      </c>
      <c r="Z118" s="123">
        <v>324.86750000000001</v>
      </c>
      <c r="AA118" s="123">
        <f t="shared" si="107"/>
        <v>301.04000000000002</v>
      </c>
      <c r="AB118" s="123">
        <f t="shared" si="107"/>
        <v>263.64</v>
      </c>
      <c r="AC118" s="123">
        <f t="shared" ref="AC118:AD118" si="109">SUM(AC22,AC28,AC31:AC32,AC66,AC68:AC69,AC71,AC73,AC119:AC123,AC155,AC161,AC167,AC176,AC178,AC190,AC197,AC200:AC201,AC208,AC210,AC212,AC216:AC218,AC220:AC222,AC227,AC233:AC234,AC236:AC238,AC246,AC251)</f>
        <v>252.64</v>
      </c>
      <c r="AD118" s="123">
        <f t="shared" si="109"/>
        <v>230.64</v>
      </c>
      <c r="AE118" s="123">
        <f t="shared" ref="AE118:AF118" si="110">SUM(AE22,AE28,AE31:AE32,AE66,AE68:AE69,AE71,AE73,AE119:AE123,AE155,AE161,AE167,AE176,AE178,AE190,AE197,AE200:AE201,AE208,AE210,AE212,AE216:AE218,AE220:AE222,AE227,AE233:AE234,AE236:AE238,AE246,AE251)</f>
        <v>167.74</v>
      </c>
      <c r="AF118" s="123">
        <f t="shared" si="110"/>
        <v>106.74000000000001</v>
      </c>
      <c r="AG118" s="124"/>
      <c r="AH118" s="48">
        <f t="shared" si="59"/>
        <v>324.86750000000001</v>
      </c>
      <c r="AI118" s="49">
        <f t="shared" si="60"/>
        <v>42</v>
      </c>
    </row>
    <row r="119" spans="1:35" x14ac:dyDescent="0.25">
      <c r="A119" s="125" t="s">
        <v>142</v>
      </c>
      <c r="B119" s="126">
        <v>20.100000000000001</v>
      </c>
      <c r="C119" s="126">
        <v>20.100000000000001</v>
      </c>
      <c r="D119" s="126">
        <v>18.8</v>
      </c>
      <c r="E119" s="126">
        <v>17.100000000000001</v>
      </c>
      <c r="F119" s="126">
        <v>11.2</v>
      </c>
      <c r="G119" s="126">
        <v>15.5</v>
      </c>
      <c r="H119" s="126">
        <v>6.1</v>
      </c>
      <c r="I119" s="126">
        <v>10</v>
      </c>
      <c r="J119" s="126">
        <v>4.2</v>
      </c>
      <c r="K119" s="126">
        <v>8.4</v>
      </c>
      <c r="L119" s="126">
        <v>15.7</v>
      </c>
      <c r="M119" s="126">
        <v>13.4</v>
      </c>
      <c r="N119" s="126">
        <v>10.5</v>
      </c>
      <c r="O119" s="126">
        <v>6.6</v>
      </c>
      <c r="P119" s="126">
        <v>6.1</v>
      </c>
      <c r="Q119" s="126">
        <v>2.2999999999999998</v>
      </c>
      <c r="R119" s="126">
        <v>-2.8</v>
      </c>
      <c r="S119" s="126">
        <v>-0.9</v>
      </c>
      <c r="T119" s="126">
        <v>-2.4</v>
      </c>
      <c r="U119" s="126">
        <v>-1.5</v>
      </c>
      <c r="V119" s="126">
        <v>-1.3</v>
      </c>
      <c r="W119" s="126">
        <v>-5</v>
      </c>
      <c r="X119" s="126">
        <v>5.3</v>
      </c>
      <c r="Y119" s="126">
        <v>55.8</v>
      </c>
      <c r="Z119" s="126">
        <v>42.8</v>
      </c>
      <c r="AA119" s="126">
        <v>43.8</v>
      </c>
      <c r="AB119" s="126">
        <v>26.9</v>
      </c>
      <c r="AC119" s="126">
        <v>26.9</v>
      </c>
      <c r="AD119" s="126">
        <v>26.9</v>
      </c>
      <c r="AE119" s="126">
        <v>39</v>
      </c>
      <c r="AF119" s="126">
        <v>23</v>
      </c>
      <c r="AG119" s="127">
        <v>75</v>
      </c>
      <c r="AH119" s="48">
        <f t="shared" si="59"/>
        <v>55.8</v>
      </c>
      <c r="AI119" s="49">
        <f t="shared" si="60"/>
        <v>-5</v>
      </c>
    </row>
    <row r="120" spans="1:35" x14ac:dyDescent="0.25">
      <c r="A120" s="128" t="s">
        <v>143</v>
      </c>
      <c r="B120" s="129">
        <v>34.6</v>
      </c>
      <c r="C120" s="129">
        <v>34.6</v>
      </c>
      <c r="D120" s="129">
        <v>33.299999999999997</v>
      </c>
      <c r="E120" s="129">
        <v>32.6</v>
      </c>
      <c r="F120" s="129">
        <v>23.6</v>
      </c>
      <c r="G120" s="129">
        <v>27.6</v>
      </c>
      <c r="H120" s="129">
        <v>20.7</v>
      </c>
      <c r="I120" s="129">
        <v>15.7</v>
      </c>
      <c r="J120" s="129">
        <v>0.2</v>
      </c>
      <c r="K120" s="129">
        <v>6.1</v>
      </c>
      <c r="L120" s="129">
        <v>14.4</v>
      </c>
      <c r="M120" s="129">
        <v>12</v>
      </c>
      <c r="N120" s="129">
        <v>7.1</v>
      </c>
      <c r="O120" s="129">
        <v>2.2999999999999998</v>
      </c>
      <c r="P120" s="129">
        <v>1.8</v>
      </c>
      <c r="Q120" s="129">
        <v>-2.8</v>
      </c>
      <c r="R120" s="129">
        <v>-9</v>
      </c>
      <c r="S120" s="129">
        <v>-6.5</v>
      </c>
      <c r="T120" s="129">
        <v>-10.4</v>
      </c>
      <c r="U120" s="129">
        <v>-5.6</v>
      </c>
      <c r="V120" s="129">
        <v>-7.3</v>
      </c>
      <c r="W120" s="129">
        <v>-1</v>
      </c>
      <c r="X120" s="129">
        <v>5.4</v>
      </c>
      <c r="Y120" s="129">
        <v>77.8</v>
      </c>
      <c r="Z120" s="129">
        <v>59.7</v>
      </c>
      <c r="AA120" s="129">
        <v>62.6</v>
      </c>
      <c r="AB120" s="129">
        <v>41</v>
      </c>
      <c r="AC120" s="129">
        <v>41</v>
      </c>
      <c r="AD120" s="129">
        <v>40</v>
      </c>
      <c r="AE120" s="129">
        <v>60</v>
      </c>
      <c r="AF120" s="129">
        <v>37</v>
      </c>
      <c r="AG120" s="127">
        <v>240</v>
      </c>
      <c r="AH120" s="48">
        <f t="shared" si="59"/>
        <v>77.8</v>
      </c>
      <c r="AI120" s="49">
        <f t="shared" si="60"/>
        <v>-10.4</v>
      </c>
    </row>
    <row r="121" spans="1:35" x14ac:dyDescent="0.25">
      <c r="A121" s="128" t="s">
        <v>144</v>
      </c>
      <c r="B121" s="129">
        <f>-15.2-25.6</f>
        <v>-40.799999999999997</v>
      </c>
      <c r="C121" s="129">
        <f t="shared" ref="C121" si="111">-15.2-25.6</f>
        <v>-40.799999999999997</v>
      </c>
      <c r="D121" s="129">
        <f>-17.4-28.5</f>
        <v>-45.9</v>
      </c>
      <c r="E121" s="129">
        <v>-44</v>
      </c>
      <c r="F121" s="129">
        <v>-36</v>
      </c>
      <c r="G121" s="129">
        <v>-32</v>
      </c>
      <c r="H121" s="129">
        <v>-3</v>
      </c>
      <c r="I121" s="129">
        <v>12</v>
      </c>
      <c r="J121" s="129">
        <v>28</v>
      </c>
      <c r="K121" s="129">
        <v>28</v>
      </c>
      <c r="L121" s="129">
        <v>28</v>
      </c>
      <c r="M121" s="129">
        <v>10.199999999999999</v>
      </c>
      <c r="N121" s="129">
        <v>34</v>
      </c>
      <c r="O121" s="129">
        <v>4.9000000000000004</v>
      </c>
      <c r="P121" s="129">
        <v>0.5</v>
      </c>
      <c r="Q121" s="129">
        <v>25</v>
      </c>
      <c r="R121" s="129">
        <v>28</v>
      </c>
      <c r="S121" s="129">
        <v>-10</v>
      </c>
      <c r="T121" s="129">
        <v>2.4</v>
      </c>
      <c r="U121" s="129">
        <v>13</v>
      </c>
      <c r="V121" s="129">
        <v>26</v>
      </c>
      <c r="W121" s="129">
        <v>-13.2</v>
      </c>
      <c r="X121" s="129">
        <v>17</v>
      </c>
      <c r="Y121" s="129">
        <v>-29.5</v>
      </c>
      <c r="Z121" s="129">
        <v>-19.600000000000001</v>
      </c>
      <c r="AA121" s="129">
        <v>-27.6</v>
      </c>
      <c r="AB121" s="129">
        <v>-30</v>
      </c>
      <c r="AC121" s="129">
        <v>-30</v>
      </c>
      <c r="AD121" s="129">
        <v>-40</v>
      </c>
      <c r="AE121" s="129">
        <v>-66</v>
      </c>
      <c r="AF121" s="129">
        <v>-72</v>
      </c>
      <c r="AG121" s="127">
        <v>240</v>
      </c>
      <c r="AH121" s="48">
        <f t="shared" si="59"/>
        <v>34</v>
      </c>
      <c r="AI121" s="49">
        <f t="shared" si="60"/>
        <v>-72</v>
      </c>
    </row>
    <row r="122" spans="1:35" ht="15.75" thickBot="1" x14ac:dyDescent="0.3">
      <c r="A122" s="128" t="s">
        <v>145</v>
      </c>
      <c r="B122" s="129">
        <v>27.5</v>
      </c>
      <c r="C122" s="129">
        <v>27.5</v>
      </c>
      <c r="D122" s="129">
        <v>27</v>
      </c>
      <c r="E122" s="129">
        <v>27</v>
      </c>
      <c r="F122" s="129">
        <v>29</v>
      </c>
      <c r="G122" s="129">
        <v>30.1</v>
      </c>
      <c r="H122" s="129">
        <v>34.200000000000003</v>
      </c>
      <c r="I122" s="129">
        <v>40</v>
      </c>
      <c r="J122" s="129">
        <v>13.7</v>
      </c>
      <c r="K122" s="129">
        <v>21</v>
      </c>
      <c r="L122" s="129">
        <v>24</v>
      </c>
      <c r="M122" s="129">
        <v>34.4</v>
      </c>
      <c r="N122" s="129">
        <v>29</v>
      </c>
      <c r="O122" s="129">
        <v>27.4</v>
      </c>
      <c r="P122" s="129">
        <v>24.9</v>
      </c>
      <c r="Q122" s="129">
        <v>21</v>
      </c>
      <c r="R122" s="129">
        <v>30.3</v>
      </c>
      <c r="S122" s="129">
        <v>28.9</v>
      </c>
      <c r="T122" s="129">
        <v>29.2</v>
      </c>
      <c r="U122" s="129">
        <v>30</v>
      </c>
      <c r="V122" s="129">
        <v>35</v>
      </c>
      <c r="W122" s="129">
        <v>15</v>
      </c>
      <c r="X122" s="129">
        <v>39.200000000000003</v>
      </c>
      <c r="Y122" s="129">
        <v>36.799999999999997</v>
      </c>
      <c r="Z122" s="129">
        <v>44.6</v>
      </c>
      <c r="AA122" s="129">
        <v>42.2</v>
      </c>
      <c r="AB122" s="129">
        <v>40</v>
      </c>
      <c r="AC122" s="129">
        <v>40</v>
      </c>
      <c r="AD122" s="129">
        <v>37</v>
      </c>
      <c r="AE122" s="129">
        <v>34</v>
      </c>
      <c r="AF122" s="129">
        <v>29</v>
      </c>
      <c r="AG122" s="127">
        <v>60</v>
      </c>
      <c r="AH122" s="48">
        <f t="shared" si="59"/>
        <v>44.6</v>
      </c>
      <c r="AI122" s="49">
        <f t="shared" si="60"/>
        <v>13.7</v>
      </c>
    </row>
    <row r="123" spans="1:35" x14ac:dyDescent="0.25">
      <c r="A123" s="125" t="s">
        <v>146</v>
      </c>
      <c r="B123" s="130">
        <v>-0.1</v>
      </c>
      <c r="C123" s="130">
        <v>-2.5</v>
      </c>
      <c r="D123" s="130">
        <v>-11.6</v>
      </c>
      <c r="E123" s="130">
        <v>-12</v>
      </c>
      <c r="F123" s="130">
        <v>-3.3</v>
      </c>
      <c r="G123" s="130">
        <v>2</v>
      </c>
      <c r="H123" s="130">
        <v>9.3000000000000007</v>
      </c>
      <c r="I123" s="130">
        <v>29.1</v>
      </c>
      <c r="J123" s="130">
        <v>125</v>
      </c>
      <c r="K123" s="130">
        <v>127</v>
      </c>
      <c r="L123" s="130">
        <v>133</v>
      </c>
      <c r="M123" s="130">
        <v>130.1</v>
      </c>
      <c r="N123" s="130">
        <v>133</v>
      </c>
      <c r="O123" s="130">
        <v>141</v>
      </c>
      <c r="P123" s="130">
        <v>133.30000000000001</v>
      </c>
      <c r="Q123" s="130">
        <v>133.80000000000001</v>
      </c>
      <c r="R123" s="130">
        <v>135</v>
      </c>
      <c r="S123" s="130">
        <v>124.3</v>
      </c>
      <c r="T123" s="130">
        <v>141.80000000000001</v>
      </c>
      <c r="U123" s="130">
        <v>140</v>
      </c>
      <c r="V123" s="130">
        <v>131.69999999999999</v>
      </c>
      <c r="W123" s="130">
        <v>136</v>
      </c>
      <c r="X123" s="130">
        <v>124.9</v>
      </c>
      <c r="Y123" s="130">
        <v>75.3</v>
      </c>
      <c r="Z123" s="130">
        <v>104.1</v>
      </c>
      <c r="AA123" s="130">
        <v>94.3</v>
      </c>
      <c r="AB123" s="130">
        <v>100</v>
      </c>
      <c r="AC123" s="130">
        <v>100</v>
      </c>
      <c r="AD123" s="130">
        <v>81</v>
      </c>
      <c r="AE123" s="130">
        <v>15</v>
      </c>
      <c r="AF123" s="130">
        <v>4</v>
      </c>
      <c r="AG123" s="131">
        <v>120</v>
      </c>
      <c r="AH123" s="48">
        <f t="shared" si="59"/>
        <v>141.80000000000001</v>
      </c>
      <c r="AI123" s="49">
        <f t="shared" si="60"/>
        <v>-12</v>
      </c>
    </row>
    <row r="124" spans="1:35" x14ac:dyDescent="0.25">
      <c r="A124" s="128" t="s">
        <v>147</v>
      </c>
      <c r="B124" s="130">
        <v>21.3</v>
      </c>
      <c r="C124" s="130">
        <v>20</v>
      </c>
      <c r="D124" s="130">
        <v>15.9</v>
      </c>
      <c r="E124" s="130">
        <v>15</v>
      </c>
      <c r="F124" s="130">
        <v>20</v>
      </c>
      <c r="G124" s="130">
        <v>22.4</v>
      </c>
      <c r="H124" s="130">
        <v>25.7</v>
      </c>
      <c r="I124" s="130">
        <v>36.200000000000003</v>
      </c>
      <c r="J124" s="130">
        <v>83.5</v>
      </c>
      <c r="K124" s="130">
        <v>84.1</v>
      </c>
      <c r="L124" s="130">
        <v>88</v>
      </c>
      <c r="M124" s="130">
        <v>86.2</v>
      </c>
      <c r="N124" s="130">
        <v>87</v>
      </c>
      <c r="O124" s="130">
        <v>90.9</v>
      </c>
      <c r="P124" s="130">
        <v>86.3</v>
      </c>
      <c r="Q124" s="130">
        <v>93.3</v>
      </c>
      <c r="R124" s="130">
        <v>88.5</v>
      </c>
      <c r="S124" s="130">
        <v>82.2</v>
      </c>
      <c r="T124" s="130">
        <v>90.6</v>
      </c>
      <c r="U124" s="130">
        <v>88.9</v>
      </c>
      <c r="V124" s="130">
        <v>85.9</v>
      </c>
      <c r="W124" s="130">
        <v>88</v>
      </c>
      <c r="X124" s="130">
        <v>83.8</v>
      </c>
      <c r="Y124" s="130">
        <v>58.3</v>
      </c>
      <c r="Z124" s="130">
        <v>71.099999999999994</v>
      </c>
      <c r="AA124" s="130">
        <v>67.599999999999994</v>
      </c>
      <c r="AB124" s="130">
        <v>70</v>
      </c>
      <c r="AC124" s="130">
        <v>70</v>
      </c>
      <c r="AD124" s="130">
        <v>70</v>
      </c>
      <c r="AE124" s="130">
        <v>28</v>
      </c>
      <c r="AF124" s="130">
        <v>22</v>
      </c>
      <c r="AG124" s="131"/>
      <c r="AH124" s="48">
        <f t="shared" si="59"/>
        <v>93.3</v>
      </c>
      <c r="AI124" s="49">
        <f t="shared" si="60"/>
        <v>15</v>
      </c>
    </row>
    <row r="125" spans="1:35" x14ac:dyDescent="0.25">
      <c r="A125" s="128" t="s">
        <v>148</v>
      </c>
      <c r="B125" s="130">
        <v>-22.6</v>
      </c>
      <c r="C125" s="130">
        <v>-22.6</v>
      </c>
      <c r="D125" s="130">
        <v>-21.4</v>
      </c>
      <c r="E125" s="130">
        <v>-21.4</v>
      </c>
      <c r="F125" s="130">
        <v>-15</v>
      </c>
      <c r="G125" s="130">
        <v>-22.1</v>
      </c>
      <c r="H125" s="130">
        <v>-32.1</v>
      </c>
      <c r="I125" s="130">
        <v>-30</v>
      </c>
      <c r="J125" s="130">
        <v>14</v>
      </c>
      <c r="K125" s="130">
        <v>8</v>
      </c>
      <c r="L125" s="130">
        <v>0</v>
      </c>
      <c r="M125" s="130">
        <v>-2.9</v>
      </c>
      <c r="N125" s="130">
        <v>7</v>
      </c>
      <c r="O125" s="130">
        <v>20.5</v>
      </c>
      <c r="P125" s="130">
        <v>23.8</v>
      </c>
      <c r="Q125" s="130">
        <v>28.2</v>
      </c>
      <c r="R125" s="130">
        <v>36.6</v>
      </c>
      <c r="S125" s="130">
        <v>29.2</v>
      </c>
      <c r="T125" s="130">
        <v>23.3</v>
      </c>
      <c r="U125" s="130">
        <v>21</v>
      </c>
      <c r="V125" s="130">
        <v>19</v>
      </c>
      <c r="W125" s="130">
        <v>21.3</v>
      </c>
      <c r="X125" s="130">
        <v>-4.5999999999999996</v>
      </c>
      <c r="Y125" s="130">
        <v>-72.7</v>
      </c>
      <c r="Z125" s="130">
        <v>-54.3</v>
      </c>
      <c r="AA125" s="130">
        <v>-53.6</v>
      </c>
      <c r="AB125" s="130">
        <v>29</v>
      </c>
      <c r="AC125" s="130">
        <v>29</v>
      </c>
      <c r="AD125" s="130">
        <v>-26</v>
      </c>
      <c r="AE125" s="130">
        <v>-62</v>
      </c>
      <c r="AF125" s="130">
        <v>-38</v>
      </c>
      <c r="AG125" s="131"/>
      <c r="AH125" s="48">
        <f t="shared" si="59"/>
        <v>36.6</v>
      </c>
      <c r="AI125" s="49">
        <f t="shared" si="60"/>
        <v>-72.7</v>
      </c>
    </row>
    <row r="126" spans="1:35" ht="15.75" thickBot="1" x14ac:dyDescent="0.3">
      <c r="A126" s="128" t="s">
        <v>149</v>
      </c>
      <c r="B126" s="130">
        <v>15.4</v>
      </c>
      <c r="C126" s="130">
        <v>9.8000000000000007</v>
      </c>
      <c r="D126" s="130">
        <v>7.1</v>
      </c>
      <c r="E126" s="130">
        <v>6</v>
      </c>
      <c r="F126" s="130">
        <v>10</v>
      </c>
      <c r="G126" s="130">
        <v>12.4</v>
      </c>
      <c r="H126" s="130">
        <v>14</v>
      </c>
      <c r="I126" s="130">
        <v>26.2</v>
      </c>
      <c r="J126" s="130">
        <v>86</v>
      </c>
      <c r="K126" s="130">
        <v>92</v>
      </c>
      <c r="L126" s="130">
        <v>93</v>
      </c>
      <c r="M126" s="130">
        <v>91.7</v>
      </c>
      <c r="N126" s="130">
        <v>91</v>
      </c>
      <c r="O126" s="130">
        <v>102.4</v>
      </c>
      <c r="P126" s="130">
        <v>96.3</v>
      </c>
      <c r="Q126" s="130">
        <v>96</v>
      </c>
      <c r="R126" s="130">
        <v>102</v>
      </c>
      <c r="S126" s="130">
        <v>89.7</v>
      </c>
      <c r="T126" s="130">
        <v>101.6</v>
      </c>
      <c r="U126" s="130">
        <v>95</v>
      </c>
      <c r="V126" s="130">
        <v>91.6</v>
      </c>
      <c r="W126" s="130">
        <v>91.4</v>
      </c>
      <c r="X126" s="130">
        <v>84</v>
      </c>
      <c r="Y126" s="130">
        <v>32.5</v>
      </c>
      <c r="Z126" s="130">
        <v>50</v>
      </c>
      <c r="AA126" s="130">
        <v>47.4</v>
      </c>
      <c r="AB126" s="130">
        <v>53</v>
      </c>
      <c r="AC126" s="130">
        <v>53</v>
      </c>
      <c r="AD126" s="130">
        <v>45</v>
      </c>
      <c r="AE126" s="130">
        <v>20</v>
      </c>
      <c r="AF126" s="130">
        <v>22</v>
      </c>
      <c r="AG126" s="127"/>
      <c r="AH126" s="48">
        <f>MAX(B126:AF126)</f>
        <v>102.4</v>
      </c>
      <c r="AI126" s="49">
        <f>MIN(B126:AF126)</f>
        <v>6</v>
      </c>
    </row>
    <row r="127" spans="1:35" x14ac:dyDescent="0.25">
      <c r="A127" s="125" t="s">
        <v>305</v>
      </c>
      <c r="B127" s="130">
        <v>-131</v>
      </c>
      <c r="C127" s="130">
        <v>-131</v>
      </c>
      <c r="D127" s="130">
        <v>-145</v>
      </c>
      <c r="E127" s="130">
        <v>-73.3</v>
      </c>
      <c r="F127" s="130">
        <v>-69</v>
      </c>
      <c r="G127" s="130">
        <v>-68.099999999999994</v>
      </c>
      <c r="H127" s="130">
        <v>-34</v>
      </c>
      <c r="I127" s="130">
        <v>-25</v>
      </c>
      <c r="J127" s="130">
        <v>32</v>
      </c>
      <c r="K127" s="130">
        <v>32</v>
      </c>
      <c r="L127" s="130">
        <v>37</v>
      </c>
      <c r="M127" s="130">
        <v>35.700000000000003</v>
      </c>
      <c r="N127" s="130">
        <v>35</v>
      </c>
      <c r="O127" s="130">
        <v>-40</v>
      </c>
      <c r="P127" s="130">
        <v>-35.5</v>
      </c>
      <c r="Q127" s="130">
        <v>35</v>
      </c>
      <c r="R127" s="130">
        <v>37</v>
      </c>
      <c r="S127" s="130">
        <v>33.4</v>
      </c>
      <c r="T127" s="130">
        <v>41.1</v>
      </c>
      <c r="U127" s="130">
        <v>39</v>
      </c>
      <c r="V127" s="130">
        <v>36.299999999999997</v>
      </c>
      <c r="W127" s="130">
        <v>37.299999999999997</v>
      </c>
      <c r="X127" s="130">
        <v>6.1</v>
      </c>
      <c r="Y127" s="130">
        <v>-148</v>
      </c>
      <c r="Z127" s="130">
        <v>-165</v>
      </c>
      <c r="AA127" s="130">
        <v>-168.8</v>
      </c>
      <c r="AB127" s="130">
        <v>-166</v>
      </c>
      <c r="AC127" s="130">
        <v>-166</v>
      </c>
      <c r="AD127" s="130">
        <v>-161</v>
      </c>
      <c r="AE127" s="130">
        <v>-60</v>
      </c>
      <c r="AF127" s="130">
        <v>-66</v>
      </c>
      <c r="AG127" s="127"/>
      <c r="AH127" s="48">
        <f>MAX(B127:AF127)</f>
        <v>41.1</v>
      </c>
      <c r="AI127" s="49">
        <f>MIN(B127:AF127)</f>
        <v>-168.8</v>
      </c>
    </row>
    <row r="128" spans="1:35" x14ac:dyDescent="0.25">
      <c r="A128" s="128" t="s">
        <v>151</v>
      </c>
      <c r="B128" s="118">
        <v>-25.1</v>
      </c>
      <c r="C128" s="118">
        <v>-23.6</v>
      </c>
      <c r="D128" s="118">
        <v>-21.1</v>
      </c>
      <c r="E128" s="118">
        <v>-19.2</v>
      </c>
      <c r="F128" s="118">
        <v>-17</v>
      </c>
      <c r="G128" s="118">
        <v>-20.100000000000001</v>
      </c>
      <c r="H128" s="118">
        <v>-23</v>
      </c>
      <c r="I128" s="118">
        <v>-27.3</v>
      </c>
      <c r="J128" s="118">
        <v>-34</v>
      </c>
      <c r="K128" s="118">
        <v>-35</v>
      </c>
      <c r="L128" s="118">
        <v>-39.4</v>
      </c>
      <c r="M128" s="118">
        <v>-45.2</v>
      </c>
      <c r="N128" s="118">
        <v>-39</v>
      </c>
      <c r="O128" s="118">
        <v>-40.4</v>
      </c>
      <c r="P128" s="118">
        <v>-34.9</v>
      </c>
      <c r="Q128" s="118">
        <v>-35</v>
      </c>
      <c r="R128" s="118">
        <v>-34.6</v>
      </c>
      <c r="S128" s="118">
        <v>-129.30000000000001</v>
      </c>
      <c r="T128" s="118">
        <v>-45.1</v>
      </c>
      <c r="U128" s="118">
        <v>-44</v>
      </c>
      <c r="V128" s="118">
        <v>-44.9</v>
      </c>
      <c r="W128" s="118">
        <v>-21.8</v>
      </c>
      <c r="X128" s="118">
        <v>-55.8</v>
      </c>
      <c r="Y128" s="118">
        <v>-65.3</v>
      </c>
      <c r="Z128" s="118">
        <v>-68</v>
      </c>
      <c r="AA128" s="118">
        <v>-63.3</v>
      </c>
      <c r="AB128" s="118">
        <v>-53</v>
      </c>
      <c r="AC128" s="118">
        <v>-53</v>
      </c>
      <c r="AD128" s="118">
        <v>-49</v>
      </c>
      <c r="AE128" s="118">
        <v>-45</v>
      </c>
      <c r="AF128" s="118">
        <v>-35</v>
      </c>
      <c r="AG128" s="127"/>
      <c r="AH128" s="48">
        <f>MAX(B128:AF128)</f>
        <v>-17</v>
      </c>
      <c r="AI128" s="49">
        <f>MIN(B128:AF128)</f>
        <v>-129.30000000000001</v>
      </c>
    </row>
    <row r="129" spans="1:37" x14ac:dyDescent="0.25">
      <c r="A129" s="128" t="s">
        <v>306</v>
      </c>
      <c r="B129" s="118">
        <v>65.7</v>
      </c>
      <c r="C129" s="118">
        <v>65.7</v>
      </c>
      <c r="D129" s="118">
        <v>66.8</v>
      </c>
      <c r="E129" s="118">
        <v>64.099999999999994</v>
      </c>
      <c r="F129" s="118">
        <v>63.2</v>
      </c>
      <c r="G129" s="118">
        <v>64.2</v>
      </c>
      <c r="H129" s="118">
        <v>-3.3</v>
      </c>
      <c r="I129" s="118">
        <v>-2</v>
      </c>
      <c r="J129" s="118">
        <v>108</v>
      </c>
      <c r="K129" s="118">
        <v>115</v>
      </c>
      <c r="L129" s="118">
        <v>121</v>
      </c>
      <c r="M129" s="118">
        <v>111</v>
      </c>
      <c r="N129" s="118">
        <v>114</v>
      </c>
      <c r="O129" s="118">
        <v>117.9</v>
      </c>
      <c r="P129" s="118">
        <v>115.4</v>
      </c>
      <c r="Q129" s="118">
        <v>125</v>
      </c>
      <c r="R129" s="118">
        <v>126.2</v>
      </c>
      <c r="S129" s="118">
        <v>130.5</v>
      </c>
      <c r="T129" s="118">
        <v>123.8</v>
      </c>
      <c r="U129" s="118">
        <v>124</v>
      </c>
      <c r="V129" s="118">
        <v>122</v>
      </c>
      <c r="W129" s="118">
        <v>93.8</v>
      </c>
      <c r="X129" s="118">
        <v>111.8</v>
      </c>
      <c r="Y129" s="118">
        <v>116.9</v>
      </c>
      <c r="Z129" s="118">
        <v>118.2</v>
      </c>
      <c r="AA129" s="118">
        <v>115.2</v>
      </c>
      <c r="AB129" s="118">
        <v>104</v>
      </c>
      <c r="AC129" s="118">
        <v>104</v>
      </c>
      <c r="AD129" s="118">
        <v>109</v>
      </c>
      <c r="AE129" s="118">
        <v>93</v>
      </c>
      <c r="AF129" s="118">
        <v>77</v>
      </c>
      <c r="AG129" s="127"/>
      <c r="AH129" s="48">
        <f>MAX(B129:AF129)</f>
        <v>130.5</v>
      </c>
      <c r="AI129" s="49">
        <f>MIN(B129:AF129)</f>
        <v>-3.3</v>
      </c>
    </row>
    <row r="130" spans="1:37" ht="15.75" thickBot="1" x14ac:dyDescent="0.3">
      <c r="A130" s="128" t="s">
        <v>153</v>
      </c>
      <c r="B130" s="118">
        <v>77.900000000000006</v>
      </c>
      <c r="C130" s="118">
        <v>77.900000000000006</v>
      </c>
      <c r="D130" s="118">
        <v>80.599999999999994</v>
      </c>
      <c r="E130" s="118">
        <v>79.5</v>
      </c>
      <c r="F130" s="118">
        <v>77.099999999999994</v>
      </c>
      <c r="G130" s="118">
        <v>80</v>
      </c>
      <c r="H130" s="118">
        <v>10.1</v>
      </c>
      <c r="I130" s="118">
        <v>9.3000000000000007</v>
      </c>
      <c r="J130" s="118">
        <v>117</v>
      </c>
      <c r="K130" s="118">
        <v>124</v>
      </c>
      <c r="L130" s="118">
        <v>127</v>
      </c>
      <c r="M130" s="118">
        <v>130.69999999999999</v>
      </c>
      <c r="N130" s="118">
        <v>121</v>
      </c>
      <c r="O130" s="118">
        <v>118.3</v>
      </c>
      <c r="P130" s="118">
        <v>113.9</v>
      </c>
      <c r="Q130" s="118">
        <v>125</v>
      </c>
      <c r="R130" s="118">
        <v>125</v>
      </c>
      <c r="S130" s="118">
        <v>128.69999999999999</v>
      </c>
      <c r="T130" s="118">
        <v>123.2</v>
      </c>
      <c r="U130" s="118">
        <v>126</v>
      </c>
      <c r="V130" s="118">
        <v>125.3</v>
      </c>
      <c r="W130" s="118">
        <v>97.6</v>
      </c>
      <c r="X130" s="118">
        <v>120.8</v>
      </c>
      <c r="Y130" s="118">
        <v>123</v>
      </c>
      <c r="Z130" s="118">
        <v>125.1</v>
      </c>
      <c r="AA130" s="118">
        <v>125.2</v>
      </c>
      <c r="AB130" s="118">
        <v>115</v>
      </c>
      <c r="AC130" s="118">
        <v>115</v>
      </c>
      <c r="AD130" s="118">
        <v>118</v>
      </c>
      <c r="AE130" s="118">
        <v>101</v>
      </c>
      <c r="AF130" s="118">
        <v>90</v>
      </c>
      <c r="AG130" s="127"/>
      <c r="AH130" s="48">
        <f>MAX(B130:AF130)</f>
        <v>130.69999999999999</v>
      </c>
      <c r="AI130" s="49">
        <f>MIN(B130:AF130)</f>
        <v>9.3000000000000007</v>
      </c>
    </row>
    <row r="131" spans="1:37" x14ac:dyDescent="0.25">
      <c r="A131" s="132" t="s">
        <v>154</v>
      </c>
      <c r="B131" s="134"/>
      <c r="C131" s="134"/>
      <c r="D131" s="134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4"/>
      <c r="AG131" s="44"/>
      <c r="AH131" s="48"/>
      <c r="AI131" s="49"/>
    </row>
    <row r="132" spans="1:37" x14ac:dyDescent="0.25">
      <c r="A132" s="135" t="s">
        <v>155</v>
      </c>
      <c r="B132" s="137">
        <v>1982.59</v>
      </c>
      <c r="C132" s="137">
        <v>1982.75</v>
      </c>
      <c r="D132" s="137">
        <v>1982.75</v>
      </c>
      <c r="E132" s="136">
        <v>1982.78</v>
      </c>
      <c r="F132" s="136">
        <v>1982.79</v>
      </c>
      <c r="G132" s="136">
        <v>1982.79</v>
      </c>
      <c r="H132" s="136"/>
      <c r="I132" s="136">
        <v>1982.9</v>
      </c>
      <c r="J132" s="136"/>
      <c r="K132" s="136">
        <v>1983.1</v>
      </c>
      <c r="L132" s="136"/>
      <c r="M132" s="136">
        <v>1983.35</v>
      </c>
      <c r="N132" s="136">
        <v>1983.6</v>
      </c>
      <c r="O132" s="136">
        <v>1983.83</v>
      </c>
      <c r="P132" s="136">
        <v>1984.16</v>
      </c>
      <c r="Q132" s="136">
        <v>1984.28</v>
      </c>
      <c r="R132" s="136">
        <v>1984.47</v>
      </c>
      <c r="S132" s="136">
        <v>1984.65</v>
      </c>
      <c r="T132" s="136">
        <v>1984.85</v>
      </c>
      <c r="U132" s="136">
        <v>1985.07</v>
      </c>
      <c r="V132" s="136">
        <v>1985.25</v>
      </c>
      <c r="W132" s="136"/>
      <c r="X132" s="136">
        <v>1985.42</v>
      </c>
      <c r="Y132" s="136"/>
      <c r="Z132" s="136">
        <v>1984.95</v>
      </c>
      <c r="AA132" s="136"/>
      <c r="AB132" s="136">
        <v>1984</v>
      </c>
      <c r="AC132" s="136"/>
      <c r="AD132" s="136">
        <v>1982.95</v>
      </c>
      <c r="AE132" s="136">
        <v>1982.5</v>
      </c>
      <c r="AF132" s="137"/>
      <c r="AG132" s="138"/>
      <c r="AH132" s="48"/>
      <c r="AI132" s="49"/>
    </row>
    <row r="133" spans="1:37" x14ac:dyDescent="0.25">
      <c r="A133" s="135" t="s">
        <v>156</v>
      </c>
      <c r="B133" s="140">
        <v>518.72</v>
      </c>
      <c r="C133" s="140">
        <v>518.98</v>
      </c>
      <c r="D133" s="140">
        <v>519.26</v>
      </c>
      <c r="E133" s="139">
        <v>519.5</v>
      </c>
      <c r="F133" s="139">
        <v>519.75</v>
      </c>
      <c r="G133" s="139">
        <v>519.91999999999996</v>
      </c>
      <c r="H133" s="139"/>
      <c r="I133" s="139">
        <v>520.08000000000004</v>
      </c>
      <c r="J133" s="139"/>
      <c r="K133" s="139">
        <v>520.29999999999995</v>
      </c>
      <c r="L133" s="139"/>
      <c r="M133" s="139">
        <v>520.30999999999995</v>
      </c>
      <c r="N133" s="139">
        <v>520.29999999999995</v>
      </c>
      <c r="O133" s="139">
        <v>520.30999999999995</v>
      </c>
      <c r="P133" s="139">
        <v>520.30999999999995</v>
      </c>
      <c r="Q133" s="139">
        <v>520.35</v>
      </c>
      <c r="R133" s="139">
        <v>520.55999999999995</v>
      </c>
      <c r="S133" s="139">
        <v>520.75</v>
      </c>
      <c r="T133" s="139">
        <v>520.89</v>
      </c>
      <c r="U133" s="139">
        <v>521.04</v>
      </c>
      <c r="V133" s="139">
        <v>521.17999999999995</v>
      </c>
      <c r="W133" s="139"/>
      <c r="X133" s="139">
        <v>521.36</v>
      </c>
      <c r="Y133" s="139"/>
      <c r="Z133" s="139">
        <v>521.02</v>
      </c>
      <c r="AA133" s="139"/>
      <c r="AB133" s="139">
        <v>520.48</v>
      </c>
      <c r="AC133" s="139"/>
      <c r="AD133" s="139">
        <v>520.08000000000004</v>
      </c>
      <c r="AE133" s="139">
        <v>519.52</v>
      </c>
      <c r="AF133" s="140"/>
      <c r="AG133" s="138"/>
      <c r="AH133" s="48"/>
      <c r="AI133" s="49"/>
    </row>
    <row r="134" spans="1:37" x14ac:dyDescent="0.25">
      <c r="A134" s="135" t="s">
        <v>158</v>
      </c>
      <c r="B134" s="140">
        <v>621.82000000000005</v>
      </c>
      <c r="C134" s="140">
        <v>622.09</v>
      </c>
      <c r="D134" s="140">
        <v>622.27</v>
      </c>
      <c r="E134" s="139">
        <v>622.39</v>
      </c>
      <c r="F134" s="139">
        <v>622.66999999999996</v>
      </c>
      <c r="G134" s="139">
        <v>622.85</v>
      </c>
      <c r="H134" s="139"/>
      <c r="I134" s="139">
        <v>623.04999999999995</v>
      </c>
      <c r="J134" s="139"/>
      <c r="K134" s="139">
        <v>623.24</v>
      </c>
      <c r="L134" s="139"/>
      <c r="M134" s="139">
        <v>623.32000000000005</v>
      </c>
      <c r="N134" s="139">
        <v>623.34</v>
      </c>
      <c r="O134" s="139">
        <v>623.41999999999996</v>
      </c>
      <c r="P134" s="139">
        <v>623.46</v>
      </c>
      <c r="Q134" s="139">
        <v>623.5</v>
      </c>
      <c r="R134" s="139">
        <v>623.55999999999995</v>
      </c>
      <c r="S134" s="139">
        <v>623.65</v>
      </c>
      <c r="T134" s="139">
        <v>623.74</v>
      </c>
      <c r="U134" s="139">
        <v>923.82</v>
      </c>
      <c r="V134" s="139">
        <v>623.91999999999996</v>
      </c>
      <c r="W134" s="139"/>
      <c r="X134" s="139">
        <v>624</v>
      </c>
      <c r="Y134" s="139"/>
      <c r="Z134" s="139">
        <v>623.75</v>
      </c>
      <c r="AA134" s="139"/>
      <c r="AB134" s="139">
        <v>623.12</v>
      </c>
      <c r="AC134" s="139"/>
      <c r="AD134" s="139">
        <v>622.69000000000005</v>
      </c>
      <c r="AE134" s="139">
        <v>622</v>
      </c>
      <c r="AF134" s="140">
        <v>621.5</v>
      </c>
      <c r="AG134" s="138"/>
      <c r="AH134" s="48"/>
      <c r="AI134" s="49"/>
    </row>
    <row r="135" spans="1:37" x14ac:dyDescent="0.25">
      <c r="A135" s="135" t="s">
        <v>159</v>
      </c>
      <c r="B135" s="140">
        <v>334.1</v>
      </c>
      <c r="C135" s="140">
        <v>334.42</v>
      </c>
      <c r="D135" s="140">
        <v>334.79</v>
      </c>
      <c r="E135" s="139">
        <v>334.98</v>
      </c>
      <c r="F135" s="139">
        <v>335.16</v>
      </c>
      <c r="G135" s="139">
        <v>335.37</v>
      </c>
      <c r="H135" s="139"/>
      <c r="I135" s="139">
        <v>335.54</v>
      </c>
      <c r="J135" s="139"/>
      <c r="K135" s="139">
        <v>335.69</v>
      </c>
      <c r="L135" s="139"/>
      <c r="M135" s="139">
        <v>335.7</v>
      </c>
      <c r="N135" s="139">
        <v>335.66</v>
      </c>
      <c r="O135" s="139">
        <v>335.59</v>
      </c>
      <c r="P135" s="139">
        <v>335.53</v>
      </c>
      <c r="Q135" s="139">
        <v>335.51</v>
      </c>
      <c r="R135" s="139">
        <v>335.51</v>
      </c>
      <c r="S135" s="139">
        <v>335.52</v>
      </c>
      <c r="T135" s="139">
        <v>335.63</v>
      </c>
      <c r="U135" s="139">
        <v>335.75</v>
      </c>
      <c r="V135" s="139">
        <v>335.88</v>
      </c>
      <c r="W135" s="139"/>
      <c r="X135" s="139">
        <v>336.02</v>
      </c>
      <c r="Y135" s="139"/>
      <c r="Z135" s="139">
        <v>335.87</v>
      </c>
      <c r="AA135" s="139"/>
      <c r="AB135" s="139">
        <v>335.48</v>
      </c>
      <c r="AC135" s="139"/>
      <c r="AD135" s="139">
        <v>335.28</v>
      </c>
      <c r="AE135" s="139">
        <v>335.1</v>
      </c>
      <c r="AF135" s="140"/>
      <c r="AG135" s="138"/>
      <c r="AH135" s="48"/>
      <c r="AI135" s="49"/>
    </row>
    <row r="136" spans="1:37" x14ac:dyDescent="0.25">
      <c r="A136" s="135" t="s">
        <v>160</v>
      </c>
      <c r="B136" s="140">
        <v>881.9</v>
      </c>
      <c r="C136" s="140">
        <v>883</v>
      </c>
      <c r="D136" s="140">
        <v>883.9</v>
      </c>
      <c r="E136" s="139">
        <v>884.6</v>
      </c>
      <c r="F136" s="139">
        <v>885.2</v>
      </c>
      <c r="G136" s="139">
        <v>885.7</v>
      </c>
      <c r="H136" s="139"/>
      <c r="I136" s="139">
        <v>886.4</v>
      </c>
      <c r="J136" s="139"/>
      <c r="K136" s="139">
        <v>886.6</v>
      </c>
      <c r="L136" s="139"/>
      <c r="M136" s="139">
        <v>886.6</v>
      </c>
      <c r="N136" s="139">
        <v>886.6</v>
      </c>
      <c r="O136" s="139">
        <v>886.6</v>
      </c>
      <c r="P136" s="139">
        <v>886.6</v>
      </c>
      <c r="Q136" s="139">
        <v>886.6</v>
      </c>
      <c r="R136" s="139"/>
      <c r="S136" s="139">
        <v>886.3</v>
      </c>
      <c r="T136" s="139">
        <v>886.2</v>
      </c>
      <c r="U136" s="139">
        <v>886.2</v>
      </c>
      <c r="V136" s="139">
        <v>886.1</v>
      </c>
      <c r="W136" s="139"/>
      <c r="X136" s="139">
        <v>886</v>
      </c>
      <c r="Y136" s="139"/>
      <c r="Z136" s="139">
        <v>885.3</v>
      </c>
      <c r="AA136" s="139"/>
      <c r="AB136" s="139">
        <v>883.9</v>
      </c>
      <c r="AC136" s="139"/>
      <c r="AD136" s="139">
        <v>882.1</v>
      </c>
      <c r="AE136" s="139">
        <v>881.7</v>
      </c>
      <c r="AF136" s="140">
        <v>881.6</v>
      </c>
      <c r="AG136" s="138"/>
      <c r="AH136" s="48"/>
      <c r="AI136" s="49"/>
    </row>
    <row r="137" spans="1:37" ht="15.75" thickBot="1" x14ac:dyDescent="0.3">
      <c r="A137" s="135" t="s">
        <v>161</v>
      </c>
      <c r="B137" s="142">
        <v>1518.91</v>
      </c>
      <c r="C137" s="142"/>
      <c r="D137" s="142">
        <v>1518.87</v>
      </c>
      <c r="E137" s="141"/>
      <c r="F137" s="141"/>
      <c r="G137" s="141">
        <v>1518.8</v>
      </c>
      <c r="H137" s="141"/>
      <c r="I137" s="141"/>
      <c r="J137" s="141"/>
      <c r="K137" s="141">
        <v>1518.75</v>
      </c>
      <c r="L137" s="141"/>
      <c r="M137" s="141">
        <v>1518.74</v>
      </c>
      <c r="N137" s="141"/>
      <c r="O137" s="141"/>
      <c r="P137" s="141"/>
      <c r="Q137" s="141"/>
      <c r="R137" s="141"/>
      <c r="S137" s="141"/>
      <c r="T137" s="141">
        <v>1518.59</v>
      </c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  <c r="AF137" s="142"/>
      <c r="AG137" s="138"/>
      <c r="AH137" s="48"/>
      <c r="AI137" s="49"/>
    </row>
    <row r="138" spans="1:37" ht="15.75" thickBot="1" x14ac:dyDescent="0.3">
      <c r="A138" s="143" t="s">
        <v>162</v>
      </c>
      <c r="B138" s="196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>
        <f>AB132-V132</f>
        <v>-1.25</v>
      </c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>
        <f t="shared" ref="AB140:AB142" si="112">AB133-V133</f>
        <v>-0.69999999999993179</v>
      </c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>
        <f t="shared" si="112"/>
        <v>-0.79999999999995453</v>
      </c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>
        <f t="shared" si="112"/>
        <v>-0.39999999999997726</v>
      </c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>
        <f>AB136-V136</f>
        <v>-2.2000000000000455</v>
      </c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113">SUM(B139:B243)</f>
        <v>0</v>
      </c>
      <c r="C244" s="160">
        <f t="shared" si="113"/>
        <v>0</v>
      </c>
      <c r="D244" s="160">
        <f t="shared" si="113"/>
        <v>0</v>
      </c>
      <c r="E244" s="160">
        <f t="shared" si="113"/>
        <v>0</v>
      </c>
      <c r="F244" s="160">
        <f t="shared" si="113"/>
        <v>0</v>
      </c>
      <c r="G244" s="160">
        <f t="shared" si="113"/>
        <v>0</v>
      </c>
      <c r="H244" s="160">
        <f t="shared" si="113"/>
        <v>0</v>
      </c>
      <c r="I244" s="160">
        <f t="shared" si="113"/>
        <v>0</v>
      </c>
      <c r="J244" s="160">
        <f t="shared" si="113"/>
        <v>0</v>
      </c>
      <c r="K244" s="160">
        <f t="shared" si="113"/>
        <v>0</v>
      </c>
      <c r="L244" s="160">
        <f t="shared" si="113"/>
        <v>0</v>
      </c>
      <c r="M244" s="160">
        <f t="shared" si="113"/>
        <v>0</v>
      </c>
      <c r="N244" s="160">
        <f t="shared" si="113"/>
        <v>0</v>
      </c>
      <c r="O244" s="160">
        <f t="shared" si="113"/>
        <v>0</v>
      </c>
      <c r="P244" s="160">
        <f t="shared" si="113"/>
        <v>0</v>
      </c>
      <c r="Q244" s="160">
        <f t="shared" si="113"/>
        <v>0</v>
      </c>
      <c r="R244" s="160">
        <f t="shared" si="113"/>
        <v>0</v>
      </c>
      <c r="S244" s="160">
        <f t="shared" si="113"/>
        <v>0</v>
      </c>
      <c r="T244" s="160">
        <f t="shared" si="113"/>
        <v>0</v>
      </c>
      <c r="U244" s="160">
        <f t="shared" si="113"/>
        <v>0</v>
      </c>
      <c r="V244" s="160">
        <f t="shared" si="113"/>
        <v>0</v>
      </c>
      <c r="W244" s="160">
        <f t="shared" si="113"/>
        <v>0</v>
      </c>
      <c r="X244" s="160">
        <f t="shared" si="113"/>
        <v>0</v>
      </c>
      <c r="Y244" s="160">
        <f t="shared" si="113"/>
        <v>0</v>
      </c>
      <c r="Z244" s="160">
        <f t="shared" si="113"/>
        <v>0</v>
      </c>
      <c r="AA244" s="160">
        <f t="shared" si="113"/>
        <v>0</v>
      </c>
      <c r="AB244" s="160">
        <f t="shared" si="113"/>
        <v>-5.3499999999999091</v>
      </c>
      <c r="AC244" s="160">
        <f t="shared" si="113"/>
        <v>0</v>
      </c>
      <c r="AD244" s="160">
        <f t="shared" si="113"/>
        <v>0</v>
      </c>
      <c r="AE244" s="160">
        <f t="shared" si="113"/>
        <v>0</v>
      </c>
      <c r="AF244" s="161">
        <f t="shared" si="113"/>
        <v>0</v>
      </c>
      <c r="AG244" s="162">
        <f t="shared" si="113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114">AF246</f>
        <v>0.3</v>
      </c>
      <c r="C246" s="165">
        <v>0.3</v>
      </c>
      <c r="D246" s="165">
        <f t="shared" ref="D246:S251" si="115">C246</f>
        <v>0.3</v>
      </c>
      <c r="E246" s="165">
        <f t="shared" si="115"/>
        <v>0.3</v>
      </c>
      <c r="F246" s="165">
        <f t="shared" si="115"/>
        <v>0.3</v>
      </c>
      <c r="G246" s="165">
        <f t="shared" si="115"/>
        <v>0.3</v>
      </c>
      <c r="H246" s="165">
        <f t="shared" si="115"/>
        <v>0.3</v>
      </c>
      <c r="I246" s="165">
        <f t="shared" si="115"/>
        <v>0.3</v>
      </c>
      <c r="J246" s="165">
        <f t="shared" si="115"/>
        <v>0.3</v>
      </c>
      <c r="K246" s="165">
        <f t="shared" si="115"/>
        <v>0.3</v>
      </c>
      <c r="L246" s="165">
        <f t="shared" si="115"/>
        <v>0.3</v>
      </c>
      <c r="M246" s="165">
        <f t="shared" si="115"/>
        <v>0.3</v>
      </c>
      <c r="N246" s="165">
        <f t="shared" si="115"/>
        <v>0.3</v>
      </c>
      <c r="O246" s="165">
        <f t="shared" si="115"/>
        <v>0.3</v>
      </c>
      <c r="P246" s="165">
        <f t="shared" si="115"/>
        <v>0.3</v>
      </c>
      <c r="Q246" s="165">
        <f t="shared" si="115"/>
        <v>0.3</v>
      </c>
      <c r="R246" s="165">
        <f t="shared" si="115"/>
        <v>0.3</v>
      </c>
      <c r="S246" s="165">
        <f t="shared" si="115"/>
        <v>0.3</v>
      </c>
      <c r="T246" s="165">
        <f t="shared" ref="T246:AF251" si="116">S246</f>
        <v>0.3</v>
      </c>
      <c r="U246" s="165">
        <f t="shared" si="116"/>
        <v>0.3</v>
      </c>
      <c r="V246" s="165">
        <f t="shared" si="116"/>
        <v>0.3</v>
      </c>
      <c r="W246" s="165">
        <f t="shared" si="116"/>
        <v>0.3</v>
      </c>
      <c r="X246" s="165">
        <f t="shared" si="116"/>
        <v>0.3</v>
      </c>
      <c r="Y246" s="165">
        <f t="shared" si="116"/>
        <v>0.3</v>
      </c>
      <c r="Z246" s="165">
        <f t="shared" si="116"/>
        <v>0.3</v>
      </c>
      <c r="AA246" s="165">
        <f t="shared" si="116"/>
        <v>0.3</v>
      </c>
      <c r="AB246" s="165">
        <f t="shared" si="116"/>
        <v>0.3</v>
      </c>
      <c r="AC246" s="165">
        <f t="shared" si="116"/>
        <v>0.3</v>
      </c>
      <c r="AD246" s="165">
        <f t="shared" si="116"/>
        <v>0.3</v>
      </c>
      <c r="AE246" s="165">
        <f t="shared" si="116"/>
        <v>0.3</v>
      </c>
      <c r="AF246" s="165">
        <f t="shared" si="116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114"/>
        <v>0.4</v>
      </c>
      <c r="C247" s="151">
        <v>0.4</v>
      </c>
      <c r="D247" s="151">
        <f t="shared" si="115"/>
        <v>0.4</v>
      </c>
      <c r="E247" s="151">
        <f t="shared" si="115"/>
        <v>0.4</v>
      </c>
      <c r="F247" s="151">
        <f t="shared" si="115"/>
        <v>0.4</v>
      </c>
      <c r="G247" s="151">
        <f t="shared" si="115"/>
        <v>0.4</v>
      </c>
      <c r="H247" s="151">
        <f t="shared" si="115"/>
        <v>0.4</v>
      </c>
      <c r="I247" s="151">
        <f t="shared" si="115"/>
        <v>0.4</v>
      </c>
      <c r="J247" s="151">
        <f t="shared" si="115"/>
        <v>0.4</v>
      </c>
      <c r="K247" s="151">
        <f t="shared" si="115"/>
        <v>0.4</v>
      </c>
      <c r="L247" s="151">
        <f t="shared" si="115"/>
        <v>0.4</v>
      </c>
      <c r="M247" s="151">
        <f t="shared" si="115"/>
        <v>0.4</v>
      </c>
      <c r="N247" s="151">
        <f t="shared" si="115"/>
        <v>0.4</v>
      </c>
      <c r="O247" s="151">
        <f t="shared" si="115"/>
        <v>0.4</v>
      </c>
      <c r="P247" s="151">
        <f t="shared" si="115"/>
        <v>0.4</v>
      </c>
      <c r="Q247" s="151">
        <f t="shared" si="115"/>
        <v>0.4</v>
      </c>
      <c r="R247" s="151">
        <f t="shared" si="115"/>
        <v>0.4</v>
      </c>
      <c r="S247" s="151">
        <f t="shared" si="115"/>
        <v>0.4</v>
      </c>
      <c r="T247" s="151">
        <f t="shared" si="116"/>
        <v>0.4</v>
      </c>
      <c r="U247" s="151">
        <f t="shared" si="116"/>
        <v>0.4</v>
      </c>
      <c r="V247" s="151">
        <f t="shared" si="116"/>
        <v>0.4</v>
      </c>
      <c r="W247" s="151">
        <f t="shared" si="116"/>
        <v>0.4</v>
      </c>
      <c r="X247" s="151">
        <f t="shared" si="116"/>
        <v>0.4</v>
      </c>
      <c r="Y247" s="151">
        <f t="shared" si="116"/>
        <v>0.4</v>
      </c>
      <c r="Z247" s="151">
        <f t="shared" si="116"/>
        <v>0.4</v>
      </c>
      <c r="AA247" s="151">
        <f t="shared" si="116"/>
        <v>0.4</v>
      </c>
      <c r="AB247" s="151">
        <f t="shared" si="116"/>
        <v>0.4</v>
      </c>
      <c r="AC247" s="151">
        <f t="shared" si="116"/>
        <v>0.4</v>
      </c>
      <c r="AD247" s="151">
        <f t="shared" si="116"/>
        <v>0.4</v>
      </c>
      <c r="AE247" s="151">
        <f t="shared" si="116"/>
        <v>0.4</v>
      </c>
      <c r="AF247" s="151">
        <f t="shared" si="116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114"/>
        <v>1.5</v>
      </c>
      <c r="C248" s="151">
        <v>1.5</v>
      </c>
      <c r="D248" s="151">
        <f t="shared" si="115"/>
        <v>1.5</v>
      </c>
      <c r="E248" s="151">
        <f t="shared" si="115"/>
        <v>1.5</v>
      </c>
      <c r="F248" s="151">
        <f t="shared" si="115"/>
        <v>1.5</v>
      </c>
      <c r="G248" s="151">
        <f t="shared" si="115"/>
        <v>1.5</v>
      </c>
      <c r="H248" s="151">
        <f t="shared" si="115"/>
        <v>1.5</v>
      </c>
      <c r="I248" s="151">
        <f t="shared" si="115"/>
        <v>1.5</v>
      </c>
      <c r="J248" s="151">
        <f t="shared" si="115"/>
        <v>1.5</v>
      </c>
      <c r="K248" s="151">
        <f t="shared" si="115"/>
        <v>1.5</v>
      </c>
      <c r="L248" s="151">
        <f t="shared" si="115"/>
        <v>1.5</v>
      </c>
      <c r="M248" s="151">
        <f t="shared" si="115"/>
        <v>1.5</v>
      </c>
      <c r="N248" s="151">
        <f t="shared" si="115"/>
        <v>1.5</v>
      </c>
      <c r="O248" s="151">
        <f t="shared" si="115"/>
        <v>1.5</v>
      </c>
      <c r="P248" s="151">
        <f t="shared" si="115"/>
        <v>1.5</v>
      </c>
      <c r="Q248" s="151">
        <f t="shared" si="115"/>
        <v>1.5</v>
      </c>
      <c r="R248" s="151">
        <f t="shared" si="115"/>
        <v>1.5</v>
      </c>
      <c r="S248" s="151">
        <f t="shared" si="115"/>
        <v>1.5</v>
      </c>
      <c r="T248" s="151">
        <f t="shared" si="116"/>
        <v>1.5</v>
      </c>
      <c r="U248" s="151">
        <f t="shared" si="116"/>
        <v>1.5</v>
      </c>
      <c r="V248" s="151">
        <f t="shared" si="116"/>
        <v>1.5</v>
      </c>
      <c r="W248" s="151">
        <f t="shared" si="116"/>
        <v>1.5</v>
      </c>
      <c r="X248" s="151">
        <f t="shared" si="116"/>
        <v>1.5</v>
      </c>
      <c r="Y248" s="151">
        <f t="shared" si="116"/>
        <v>1.5</v>
      </c>
      <c r="Z248" s="151">
        <f t="shared" si="116"/>
        <v>1.5</v>
      </c>
      <c r="AA248" s="151">
        <f t="shared" si="116"/>
        <v>1.5</v>
      </c>
      <c r="AB248" s="151">
        <f t="shared" si="116"/>
        <v>1.5</v>
      </c>
      <c r="AC248" s="151">
        <f t="shared" si="116"/>
        <v>1.5</v>
      </c>
      <c r="AD248" s="151">
        <f t="shared" si="116"/>
        <v>1.5</v>
      </c>
      <c r="AE248" s="151">
        <f t="shared" si="116"/>
        <v>1.5</v>
      </c>
      <c r="AF248" s="151">
        <f t="shared" si="116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114"/>
        <v>0.3</v>
      </c>
      <c r="C249" s="151">
        <v>0.3</v>
      </c>
      <c r="D249" s="151">
        <f t="shared" si="115"/>
        <v>0.3</v>
      </c>
      <c r="E249" s="151">
        <f t="shared" si="115"/>
        <v>0.3</v>
      </c>
      <c r="F249" s="151">
        <f t="shared" si="115"/>
        <v>0.3</v>
      </c>
      <c r="G249" s="151">
        <f t="shared" si="115"/>
        <v>0.3</v>
      </c>
      <c r="H249" s="151">
        <f t="shared" si="115"/>
        <v>0.3</v>
      </c>
      <c r="I249" s="151">
        <f t="shared" si="115"/>
        <v>0.3</v>
      </c>
      <c r="J249" s="151">
        <f t="shared" si="115"/>
        <v>0.3</v>
      </c>
      <c r="K249" s="151">
        <f t="shared" si="115"/>
        <v>0.3</v>
      </c>
      <c r="L249" s="151">
        <f t="shared" si="115"/>
        <v>0.3</v>
      </c>
      <c r="M249" s="151">
        <f t="shared" si="115"/>
        <v>0.3</v>
      </c>
      <c r="N249" s="151">
        <f t="shared" si="115"/>
        <v>0.3</v>
      </c>
      <c r="O249" s="151">
        <f t="shared" si="115"/>
        <v>0.3</v>
      </c>
      <c r="P249" s="151">
        <f t="shared" si="115"/>
        <v>0.3</v>
      </c>
      <c r="Q249" s="151">
        <f t="shared" si="115"/>
        <v>0.3</v>
      </c>
      <c r="R249" s="151">
        <f t="shared" si="115"/>
        <v>0.3</v>
      </c>
      <c r="S249" s="151">
        <f t="shared" si="115"/>
        <v>0.3</v>
      </c>
      <c r="T249" s="151">
        <f t="shared" si="116"/>
        <v>0.3</v>
      </c>
      <c r="U249" s="151">
        <f t="shared" si="116"/>
        <v>0.3</v>
      </c>
      <c r="V249" s="151">
        <f t="shared" si="116"/>
        <v>0.3</v>
      </c>
      <c r="W249" s="151">
        <f t="shared" si="116"/>
        <v>0.3</v>
      </c>
      <c r="X249" s="151">
        <f t="shared" si="116"/>
        <v>0.3</v>
      </c>
      <c r="Y249" s="151">
        <f t="shared" si="116"/>
        <v>0.3</v>
      </c>
      <c r="Z249" s="151">
        <f t="shared" si="116"/>
        <v>0.3</v>
      </c>
      <c r="AA249" s="151">
        <f t="shared" si="116"/>
        <v>0.3</v>
      </c>
      <c r="AB249" s="151">
        <f t="shared" si="116"/>
        <v>0.3</v>
      </c>
      <c r="AC249" s="151">
        <f t="shared" si="116"/>
        <v>0.3</v>
      </c>
      <c r="AD249" s="151">
        <f t="shared" si="116"/>
        <v>0.3</v>
      </c>
      <c r="AE249" s="151">
        <f t="shared" si="116"/>
        <v>0.3</v>
      </c>
      <c r="AF249" s="151">
        <f t="shared" si="116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114"/>
        <v>0.4</v>
      </c>
      <c r="C250" s="151">
        <v>0.4</v>
      </c>
      <c r="D250" s="151">
        <f t="shared" si="115"/>
        <v>0.4</v>
      </c>
      <c r="E250" s="151">
        <f t="shared" si="115"/>
        <v>0.4</v>
      </c>
      <c r="F250" s="151">
        <f t="shared" si="115"/>
        <v>0.4</v>
      </c>
      <c r="G250" s="151">
        <f t="shared" si="115"/>
        <v>0.4</v>
      </c>
      <c r="H250" s="151">
        <f t="shared" si="115"/>
        <v>0.4</v>
      </c>
      <c r="I250" s="151">
        <f t="shared" si="115"/>
        <v>0.4</v>
      </c>
      <c r="J250" s="151">
        <f t="shared" si="115"/>
        <v>0.4</v>
      </c>
      <c r="K250" s="151">
        <f t="shared" si="115"/>
        <v>0.4</v>
      </c>
      <c r="L250" s="151">
        <f t="shared" si="115"/>
        <v>0.4</v>
      </c>
      <c r="M250" s="151">
        <f t="shared" si="115"/>
        <v>0.4</v>
      </c>
      <c r="N250" s="151">
        <f t="shared" si="115"/>
        <v>0.4</v>
      </c>
      <c r="O250" s="151">
        <f t="shared" si="115"/>
        <v>0.4</v>
      </c>
      <c r="P250" s="151">
        <f t="shared" si="115"/>
        <v>0.4</v>
      </c>
      <c r="Q250" s="151">
        <f t="shared" si="115"/>
        <v>0.4</v>
      </c>
      <c r="R250" s="151">
        <f t="shared" si="115"/>
        <v>0.4</v>
      </c>
      <c r="S250" s="151">
        <f t="shared" si="115"/>
        <v>0.4</v>
      </c>
      <c r="T250" s="151">
        <f t="shared" si="116"/>
        <v>0.4</v>
      </c>
      <c r="U250" s="151">
        <f t="shared" si="116"/>
        <v>0.4</v>
      </c>
      <c r="V250" s="151">
        <f t="shared" si="116"/>
        <v>0.4</v>
      </c>
      <c r="W250" s="151">
        <f t="shared" si="116"/>
        <v>0.4</v>
      </c>
      <c r="X250" s="151">
        <f t="shared" si="116"/>
        <v>0.4</v>
      </c>
      <c r="Y250" s="151">
        <f t="shared" si="116"/>
        <v>0.4</v>
      </c>
      <c r="Z250" s="151">
        <f t="shared" si="116"/>
        <v>0.4</v>
      </c>
      <c r="AA250" s="151">
        <f t="shared" si="116"/>
        <v>0.4</v>
      </c>
      <c r="AB250" s="151">
        <f t="shared" si="116"/>
        <v>0.4</v>
      </c>
      <c r="AC250" s="151">
        <f t="shared" si="116"/>
        <v>0.4</v>
      </c>
      <c r="AD250" s="151">
        <f t="shared" si="116"/>
        <v>0.4</v>
      </c>
      <c r="AE250" s="151">
        <f t="shared" si="116"/>
        <v>0.4</v>
      </c>
      <c r="AF250" s="151">
        <f t="shared" si="116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114"/>
        <v>0.64</v>
      </c>
      <c r="C251" s="156">
        <v>0.64</v>
      </c>
      <c r="D251" s="156">
        <f t="shared" si="115"/>
        <v>0.64</v>
      </c>
      <c r="E251" s="156">
        <f t="shared" si="115"/>
        <v>0.64</v>
      </c>
      <c r="F251" s="156">
        <f t="shared" si="115"/>
        <v>0.64</v>
      </c>
      <c r="G251" s="156">
        <f t="shared" si="115"/>
        <v>0.64</v>
      </c>
      <c r="H251" s="156">
        <f t="shared" si="115"/>
        <v>0.64</v>
      </c>
      <c r="I251" s="156">
        <f t="shared" si="115"/>
        <v>0.64</v>
      </c>
      <c r="J251" s="156">
        <f t="shared" si="115"/>
        <v>0.64</v>
      </c>
      <c r="K251" s="156">
        <f t="shared" si="115"/>
        <v>0.64</v>
      </c>
      <c r="L251" s="156">
        <f t="shared" si="115"/>
        <v>0.64</v>
      </c>
      <c r="M251" s="156">
        <f t="shared" si="115"/>
        <v>0.64</v>
      </c>
      <c r="N251" s="156">
        <f t="shared" si="115"/>
        <v>0.64</v>
      </c>
      <c r="O251" s="156">
        <f t="shared" si="115"/>
        <v>0.64</v>
      </c>
      <c r="P251" s="156">
        <f t="shared" si="115"/>
        <v>0.64</v>
      </c>
      <c r="Q251" s="156">
        <f t="shared" si="115"/>
        <v>0.64</v>
      </c>
      <c r="R251" s="156">
        <f t="shared" si="115"/>
        <v>0.64</v>
      </c>
      <c r="S251" s="156">
        <f t="shared" si="115"/>
        <v>0.64</v>
      </c>
      <c r="T251" s="156">
        <f t="shared" si="116"/>
        <v>0.64</v>
      </c>
      <c r="U251" s="156">
        <f t="shared" si="116"/>
        <v>0.64</v>
      </c>
      <c r="V251" s="156">
        <f t="shared" si="116"/>
        <v>0.64</v>
      </c>
      <c r="W251" s="156">
        <f t="shared" si="116"/>
        <v>0.64</v>
      </c>
      <c r="X251" s="156">
        <f t="shared" si="116"/>
        <v>0.64</v>
      </c>
      <c r="Y251" s="156">
        <f t="shared" si="116"/>
        <v>0.64</v>
      </c>
      <c r="Z251" s="156">
        <f t="shared" si="116"/>
        <v>0.64</v>
      </c>
      <c r="AA251" s="156">
        <f t="shared" si="116"/>
        <v>0.64</v>
      </c>
      <c r="AB251" s="156">
        <f t="shared" si="116"/>
        <v>0.64</v>
      </c>
      <c r="AC251" s="156">
        <f t="shared" si="116"/>
        <v>0.64</v>
      </c>
      <c r="AD251" s="156">
        <f t="shared" si="116"/>
        <v>0.64</v>
      </c>
      <c r="AE251" s="156">
        <f t="shared" si="116"/>
        <v>0.64</v>
      </c>
      <c r="AF251" s="156">
        <f t="shared" si="116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117">SUM(B246:B251)</f>
        <v>3.54</v>
      </c>
      <c r="C252" s="160">
        <f t="shared" si="117"/>
        <v>3.54</v>
      </c>
      <c r="D252" s="160">
        <f t="shared" si="117"/>
        <v>3.54</v>
      </c>
      <c r="E252" s="160">
        <f t="shared" si="117"/>
        <v>3.54</v>
      </c>
      <c r="F252" s="160">
        <f t="shared" si="117"/>
        <v>3.54</v>
      </c>
      <c r="G252" s="160">
        <f t="shared" si="117"/>
        <v>3.54</v>
      </c>
      <c r="H252" s="160">
        <f t="shared" si="117"/>
        <v>3.54</v>
      </c>
      <c r="I252" s="160">
        <f t="shared" si="117"/>
        <v>3.54</v>
      </c>
      <c r="J252" s="160">
        <f t="shared" si="117"/>
        <v>3.54</v>
      </c>
      <c r="K252" s="160">
        <f t="shared" si="117"/>
        <v>3.54</v>
      </c>
      <c r="L252" s="160">
        <f t="shared" si="117"/>
        <v>3.54</v>
      </c>
      <c r="M252" s="160">
        <f t="shared" si="117"/>
        <v>3.54</v>
      </c>
      <c r="N252" s="160">
        <f t="shared" si="117"/>
        <v>3.54</v>
      </c>
      <c r="O252" s="160">
        <f t="shared" si="117"/>
        <v>3.54</v>
      </c>
      <c r="P252" s="160">
        <f t="shared" si="117"/>
        <v>3.54</v>
      </c>
      <c r="Q252" s="160">
        <f t="shared" si="117"/>
        <v>3.54</v>
      </c>
      <c r="R252" s="160">
        <f t="shared" si="117"/>
        <v>3.54</v>
      </c>
      <c r="S252" s="160">
        <f t="shared" si="117"/>
        <v>3.54</v>
      </c>
      <c r="T252" s="160">
        <f t="shared" si="117"/>
        <v>3.54</v>
      </c>
      <c r="U252" s="160">
        <f t="shared" si="117"/>
        <v>3.54</v>
      </c>
      <c r="V252" s="160">
        <f t="shared" si="117"/>
        <v>3.54</v>
      </c>
      <c r="W252" s="160">
        <f t="shared" si="117"/>
        <v>3.54</v>
      </c>
      <c r="X252" s="160">
        <f t="shared" si="117"/>
        <v>3.54</v>
      </c>
      <c r="Y252" s="160">
        <f t="shared" si="117"/>
        <v>3.54</v>
      </c>
      <c r="Z252" s="160">
        <f t="shared" si="117"/>
        <v>3.54</v>
      </c>
      <c r="AA252" s="160">
        <f t="shared" si="117"/>
        <v>3.54</v>
      </c>
      <c r="AB252" s="160">
        <f t="shared" si="117"/>
        <v>3.54</v>
      </c>
      <c r="AC252" s="160">
        <f t="shared" si="117"/>
        <v>3.54</v>
      </c>
      <c r="AD252" s="160">
        <f t="shared" si="117"/>
        <v>3.54</v>
      </c>
      <c r="AE252" s="160">
        <f t="shared" si="117"/>
        <v>3.54</v>
      </c>
      <c r="AF252" s="160">
        <f t="shared" si="117"/>
        <v>3.54</v>
      </c>
      <c r="AG252" s="170">
        <f t="shared" si="117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1729.2900000000002</v>
      </c>
      <c r="C256" s="173">
        <f>INDEX(G9:N9,1,MATCH(MAX(G99:N99),G99:N99,0))</f>
        <v>0.375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2080/10/23)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1067" priority="156">
      <formula>$AH11=0</formula>
    </cfRule>
  </conditionalFormatting>
  <conditionalFormatting sqref="A132:A253">
    <cfRule type="expression" dxfId="1066" priority="157">
      <formula>$AH132=0</formula>
    </cfRule>
  </conditionalFormatting>
  <conditionalFormatting sqref="B8">
    <cfRule type="expression" dxfId="1065" priority="218">
      <formula>C$9&gt;=20/24</formula>
    </cfRule>
    <cfRule type="expression" dxfId="1064" priority="217">
      <formula>C$9&lt;8/24</formula>
    </cfRule>
    <cfRule type="expression" dxfId="1063" priority="215">
      <formula>AND(C$9&gt;=14/24,C$9&lt;20/24)</formula>
    </cfRule>
    <cfRule type="expression" dxfId="1062" priority="216">
      <formula>AND(C$9&gt;=8/24,C$9&lt;14/24)</formula>
    </cfRule>
  </conditionalFormatting>
  <conditionalFormatting sqref="B63:N68">
    <cfRule type="expression" dxfId="1061" priority="65">
      <formula>AND(B$9&gt;=8/24,B$9&lt;14/24)</formula>
    </cfRule>
    <cfRule type="expression" dxfId="1060" priority="66">
      <formula>B$9&lt;8/24</formula>
    </cfRule>
    <cfRule type="expression" dxfId="1059" priority="63">
      <formula>B$9&gt;=20/24</formula>
    </cfRule>
    <cfRule type="expression" dxfId="1058" priority="64">
      <formula>AND(B$9&gt;=14/24,B$9&lt;20/24)</formula>
    </cfRule>
  </conditionalFormatting>
  <conditionalFormatting sqref="B59:P62">
    <cfRule type="expression" dxfId="1057" priority="62">
      <formula>B$9&lt;8/24</formula>
    </cfRule>
    <cfRule type="expression" dxfId="1056" priority="61">
      <formula>AND(B$9&gt;=8/24,B$9&lt;14/24)</formula>
    </cfRule>
    <cfRule type="expression" dxfId="1055" priority="60">
      <formula>AND(B$9&gt;=14/24,B$9&lt;20/24)</formula>
    </cfRule>
    <cfRule type="expression" dxfId="1054" priority="59">
      <formula>B$9&gt;=20/24</formula>
    </cfRule>
  </conditionalFormatting>
  <conditionalFormatting sqref="B12:R52 S32:Y52 B69:R72 B73:Z74 B77:AB99 B101:AF117 B119:AF137">
    <cfRule type="expression" dxfId="1053" priority="41">
      <formula>B$9&gt;=20/24</formula>
    </cfRule>
    <cfRule type="expression" dxfId="1052" priority="42">
      <formula>AND(B$9&gt;=14/24,B$9&lt;20/24)</formula>
    </cfRule>
    <cfRule type="expression" dxfId="1051" priority="43">
      <formula>AND(B$9&gt;=8/24,B$9&lt;14/24)</formula>
    </cfRule>
    <cfRule type="expression" dxfId="1050" priority="44">
      <formula>B$9&lt;8/24</formula>
    </cfRule>
  </conditionalFormatting>
  <conditionalFormatting sqref="B12:R55 S32:Y55 E57:S57 B57:D72 E58:P62 E63:N72 O69:R72 B73:Z73 E74:Z74 B74:D80 E75:AB80">
    <cfRule type="expression" dxfId="1049" priority="40">
      <formula>B12&gt;$AG12</formula>
    </cfRule>
  </conditionalFormatting>
  <conditionalFormatting sqref="B11:S11">
    <cfRule type="expression" dxfId="1048" priority="53">
      <formula>AND(B$9&gt;=8/24,B$9&lt;14/24)</formula>
    </cfRule>
    <cfRule type="expression" dxfId="1047" priority="52">
      <formula>AND(B$9&gt;=14/24,B$9&lt;20/24)</formula>
    </cfRule>
    <cfRule type="expression" dxfId="1046" priority="51">
      <formula>B$9&gt;=20/24</formula>
    </cfRule>
    <cfRule type="expression" dxfId="1045" priority="50">
      <formula>B11&gt;$AG11</formula>
    </cfRule>
    <cfRule type="expression" dxfId="1044" priority="54">
      <formula>B$9&lt;8/24</formula>
    </cfRule>
  </conditionalFormatting>
  <conditionalFormatting sqref="B53:S57 T53:Y55">
    <cfRule type="expression" dxfId="1043" priority="49">
      <formula>B$9&lt;8/24</formula>
    </cfRule>
  </conditionalFormatting>
  <conditionalFormatting sqref="B56:S56">
    <cfRule type="expression" dxfId="1042" priority="45">
      <formula>B56&gt;$AG56</formula>
    </cfRule>
  </conditionalFormatting>
  <conditionalFormatting sqref="B56:S57">
    <cfRule type="expression" dxfId="1041" priority="48">
      <formula>AND(B$9&gt;=8/24,B$9&lt;14/24)</formula>
    </cfRule>
    <cfRule type="expression" dxfId="1040" priority="47">
      <formula>AND(B$9&gt;=14/24,B$9&lt;20/24)</formula>
    </cfRule>
    <cfRule type="expression" dxfId="1039" priority="46">
      <formula>B$9&gt;=20/24</formula>
    </cfRule>
  </conditionalFormatting>
  <conditionalFormatting sqref="B53:Y55">
    <cfRule type="expression" dxfId="1038" priority="38">
      <formula>AND(B$9&gt;=14/24,B$9&lt;20/24)</formula>
    </cfRule>
    <cfRule type="expression" dxfId="1037" priority="37">
      <formula>B$9&gt;=20/24</formula>
    </cfRule>
    <cfRule type="expression" dxfId="1036" priority="39">
      <formula>AND(B$9&gt;=8/24,B$9&lt;14/24)</formula>
    </cfRule>
  </conditionalFormatting>
  <conditionalFormatting sqref="B9:AF10 S13:W31 X17:Y31 S69:AA69 AB69:AF74 S70:Z72 AA70:AA74 AC77:AF99 B244:AF244 B246:B252">
    <cfRule type="expression" dxfId="1035" priority="110">
      <formula>B$9&lt;8/24</formula>
    </cfRule>
    <cfRule type="expression" dxfId="1034" priority="109">
      <formula>AND(B$9&gt;=8/24,B$9&lt;14/24)</formula>
    </cfRule>
    <cfRule type="expression" dxfId="1033" priority="108">
      <formula>AND(B$9&gt;=14/24,B$9&lt;20/24)</formula>
    </cfRule>
  </conditionalFormatting>
  <conditionalFormatting sqref="D246:AF252">
    <cfRule type="expression" dxfId="1032" priority="202">
      <formula>AND(D$9&gt;=8/24,D$9&lt;14/24)</formula>
    </cfRule>
    <cfRule type="expression" dxfId="1031" priority="203">
      <formula>D$9&lt;8/24</formula>
    </cfRule>
    <cfRule type="expression" dxfId="1030" priority="200">
      <formula>D$9&gt;=20/24</formula>
    </cfRule>
    <cfRule type="expression" dxfId="1029" priority="201">
      <formula>AND(D$9&gt;=14/24,D$9&lt;20/24)</formula>
    </cfRule>
  </conditionalFormatting>
  <conditionalFormatting sqref="M8 S8 AB8">
    <cfRule type="expression" dxfId="1028" priority="209">
      <formula>N$9&lt;8/24</formula>
    </cfRule>
    <cfRule type="expression" dxfId="1027" priority="208">
      <formula>AND(N$9&gt;=8/24,N$9&lt;14/24)</formula>
    </cfRule>
    <cfRule type="expression" dxfId="1026" priority="207">
      <formula>AND(N$9&gt;=14/24,N$9&lt;20/24)</formula>
    </cfRule>
  </conditionalFormatting>
  <conditionalFormatting sqref="O3:P3">
    <cfRule type="iconSet" priority="204">
      <iconSet iconSet="3TrafficLights2" reverse="1">
        <cfvo type="percent" val="0"/>
        <cfvo type="num" val="1"/>
        <cfvo type="num" val="1"/>
      </iconSet>
    </cfRule>
  </conditionalFormatting>
  <conditionalFormatting sqref="O63:V68">
    <cfRule type="expression" dxfId="1025" priority="145">
      <formula>AND(O$9&gt;=14/24,O$9&lt;20/24)</formula>
    </cfRule>
    <cfRule type="expression" dxfId="1024" priority="144">
      <formula>O$9&gt;=20/24</formula>
    </cfRule>
    <cfRule type="expression" dxfId="1023" priority="146">
      <formula>AND(O$9&gt;=8/24,O$9&lt;14/24)</formula>
    </cfRule>
    <cfRule type="expression" dxfId="1022" priority="147">
      <formula>O$9&lt;8/24</formula>
    </cfRule>
  </conditionalFormatting>
  <conditionalFormatting sqref="Q59:AF62">
    <cfRule type="expression" dxfId="1021" priority="134">
      <formula>Q$9&gt;=20/24</formula>
    </cfRule>
    <cfRule type="expression" dxfId="1020" priority="135">
      <formula>AND(Q$9&gt;=14/24,Q$9&lt;20/24)</formula>
    </cfRule>
    <cfRule type="expression" dxfId="1019" priority="136">
      <formula>AND(Q$9&gt;=8/24,Q$9&lt;14/24)</formula>
    </cfRule>
    <cfRule type="expression" dxfId="1018" priority="137">
      <formula>Q$9&lt;8/24</formula>
    </cfRule>
  </conditionalFormatting>
  <conditionalFormatting sqref="S8 AB8 M8">
    <cfRule type="expression" dxfId="1017" priority="206">
      <formula>N$9&gt;=20/24</formula>
    </cfRule>
  </conditionalFormatting>
  <conditionalFormatting sqref="S8">
    <cfRule type="expression" dxfId="1016" priority="196">
      <formula>U$9&lt;8/24</formula>
    </cfRule>
    <cfRule type="expression" dxfId="1015" priority="195">
      <formula>AND(U$9&gt;=8/24,U$9&lt;14/24)</formula>
    </cfRule>
    <cfRule type="expression" dxfId="1014" priority="194">
      <formula>AND(U$9&gt;=14/24,U$9&lt;20/24)</formula>
    </cfRule>
    <cfRule type="expression" dxfId="1013" priority="193">
      <formula>U$9&gt;=20/24</formula>
    </cfRule>
  </conditionalFormatting>
  <conditionalFormatting sqref="S13:W31 X17:Y31 S69:AA69 AB69:AF74 S70:Z72 AA70:AA74 AC77:AF99 B9:AF10 B244:AF244 B246:B252">
    <cfRule type="expression" dxfId="1012" priority="107">
      <formula>B$9&gt;=20/24</formula>
    </cfRule>
  </conditionalFormatting>
  <conditionalFormatting sqref="S13:W31 X17:Y31 T56:AF57 R58:AB65 Q58:Q68 AC58:AF80 AG62 O63:P68 R66:AA68 AB66:AB74 S69:AA69 S70:Z72 AA70:AA74 AG80">
    <cfRule type="expression" dxfId="1011" priority="106">
      <formula>O13&gt;$AG13</formula>
    </cfRule>
  </conditionalFormatting>
  <conditionalFormatting sqref="T11:W12 Y11:AB12 X11:X16 AC11:AF52 S12 Y13:Y16 Z13:AB52">
    <cfRule type="expression" dxfId="1010" priority="128">
      <formula>S$9&lt;8/24</formula>
    </cfRule>
    <cfRule type="expression" dxfId="1009" priority="126">
      <formula>AND(S$9&gt;=14/24,S$9&lt;20/24)</formula>
    </cfRule>
    <cfRule type="expression" dxfId="1008" priority="124">
      <formula>S11&gt;$AG11</formula>
    </cfRule>
    <cfRule type="expression" dxfId="1007" priority="127">
      <formula>AND(S$9&gt;=8/24,S$9&lt;14/24)</formula>
    </cfRule>
    <cfRule type="expression" dxfId="1006" priority="125">
      <formula>S$9&gt;=20/24</formula>
    </cfRule>
  </conditionalFormatting>
  <conditionalFormatting sqref="T56:Y57">
    <cfRule type="expression" dxfId="1005" priority="119">
      <formula>T$9&lt;8/24</formula>
    </cfRule>
    <cfRule type="expression" dxfId="1004" priority="114">
      <formula>AND(T$9&gt;=8/24,T$9&lt;14/24)</formula>
    </cfRule>
    <cfRule type="expression" dxfId="1003" priority="113">
      <formula>AND(T$9&gt;=14/24,T$9&lt;20/24)</formula>
    </cfRule>
    <cfRule type="expression" dxfId="1002" priority="112">
      <formula>T$9&gt;=20/24</formula>
    </cfRule>
  </conditionalFormatting>
  <conditionalFormatting sqref="T63:AF68">
    <cfRule type="expression" dxfId="1001" priority="140">
      <formula>AND(T$9&gt;=8/24,T$9&lt;14/24)</formula>
    </cfRule>
    <cfRule type="expression" dxfId="1000" priority="141">
      <formula>T$9&lt;8/24</formula>
    </cfRule>
    <cfRule type="expression" dxfId="999" priority="138">
      <formula>T$9&gt;=20/24</formula>
    </cfRule>
    <cfRule type="expression" dxfId="998" priority="139">
      <formula>AND(T$9&gt;=14/24,T$9&lt;20/24)</formula>
    </cfRule>
  </conditionalFormatting>
  <conditionalFormatting sqref="V3 AB3">
    <cfRule type="iconSet" priority="205">
      <iconSet iconSet="3TrafficLights2" reverse="1">
        <cfvo type="percent" val="0"/>
        <cfvo type="num" val="1"/>
        <cfvo type="num" val="1"/>
      </iconSet>
    </cfRule>
  </conditionalFormatting>
  <conditionalFormatting sqref="Z53:AF54">
    <cfRule type="expression" dxfId="997" priority="104">
      <formula>AND(Z$9&gt;=14/24,Z$9&lt;20/24)</formula>
    </cfRule>
    <cfRule type="expression" dxfId="996" priority="103">
      <formula>Z$9&gt;=20/24</formula>
    </cfRule>
    <cfRule type="expression" dxfId="995" priority="105">
      <formula>AND(Z$9&gt;=8/24,Z$9&lt;14/24)</formula>
    </cfRule>
  </conditionalFormatting>
  <conditionalFormatting sqref="Z53:AF55">
    <cfRule type="expression" dxfId="994" priority="143">
      <formula>Z53&gt;$AG53</formula>
    </cfRule>
  </conditionalFormatting>
  <conditionalFormatting sqref="Z53:AF57">
    <cfRule type="expression" dxfId="993" priority="142">
      <formula>Z$9&lt;8/24</formula>
    </cfRule>
  </conditionalFormatting>
  <conditionalFormatting sqref="Z55:AF57">
    <cfRule type="expression" dxfId="992" priority="130">
      <formula>Z$9&gt;=20/24</formula>
    </cfRule>
    <cfRule type="expression" dxfId="991" priority="131">
      <formula>AND(Z$9&gt;=14/24,Z$9&lt;20/24)</formula>
    </cfRule>
    <cfRule type="expression" dxfId="990" priority="132">
      <formula>AND(Z$9&gt;=8/24,Z$9&lt;14/24)</formula>
    </cfRule>
  </conditionalFormatting>
  <conditionalFormatting sqref="AB8">
    <cfRule type="expression" dxfId="989" priority="189">
      <formula>AD$9&gt;=20/24</formula>
    </cfRule>
    <cfRule type="expression" dxfId="988" priority="190">
      <formula>AND(AD$9&gt;=14/24,AD$9&lt;20/24)</formula>
    </cfRule>
    <cfRule type="expression" dxfId="987" priority="191">
      <formula>AND(AD$9&gt;=8/24,AD$9&lt;14/24)</formula>
    </cfRule>
    <cfRule type="expression" dxfId="986" priority="192">
      <formula>AD$9&lt;8/24</formula>
    </cfRule>
  </conditionalFormatting>
  <conditionalFormatting sqref="AG58">
    <cfRule type="expression" dxfId="985" priority="184">
      <formula>AG58&gt;$AG58</formula>
    </cfRule>
  </conditionalFormatting>
  <conditionalFormatting sqref="AG62">
    <cfRule type="expression" dxfId="984" priority="167">
      <formula>AG$9&gt;=20/24</formula>
    </cfRule>
    <cfRule type="expression" dxfId="983" priority="169">
      <formula>AND(AG$9&gt;=8/24,AG$9&lt;14/24)</formula>
    </cfRule>
    <cfRule type="expression" dxfId="982" priority="170">
      <formula>AG$9&lt;8/24</formula>
    </cfRule>
    <cfRule type="expression" dxfId="981" priority="168">
      <formula>AND(AG$9&gt;=14/24,AG$9&lt;20/24)</formula>
    </cfRule>
  </conditionalFormatting>
  <conditionalFormatting sqref="AG75:AG76">
    <cfRule type="expression" dxfId="980" priority="162">
      <formula>AG75&gt;$AG75</formula>
    </cfRule>
  </conditionalFormatting>
  <conditionalFormatting sqref="AG80">
    <cfRule type="expression" dxfId="979" priority="163">
      <formula>AG$9&gt;=20/24</formula>
    </cfRule>
    <cfRule type="expression" dxfId="978" priority="164">
      <formula>AND(AG$9&gt;=14/24,AG$9&lt;20/24)</formula>
    </cfRule>
    <cfRule type="expression" dxfId="977" priority="166">
      <formula>AG$9&lt;8/24</formula>
    </cfRule>
    <cfRule type="expression" dxfId="976" priority="165">
      <formula>AND(AG$9&gt;=8/24,AG$9&lt;14/24)</formula>
    </cfRule>
  </conditionalFormatting>
  <conditionalFormatting sqref="AG97">
    <cfRule type="expression" dxfId="975" priority="188">
      <formula>AG$9&lt;8/24</formula>
    </cfRule>
    <cfRule type="expression" dxfId="974" priority="185">
      <formula>AG$9&gt;=20/24</formula>
    </cfRule>
    <cfRule type="expression" dxfId="973" priority="186">
      <formula>AND(AG$9&gt;=14/24,AG$9&lt;20/24)</formula>
    </cfRule>
    <cfRule type="expression" dxfId="972" priority="187">
      <formula>AND(AG$9&gt;=8/24,AG$9&lt;14/24)</formula>
    </cfRule>
  </conditionalFormatting>
  <conditionalFormatting sqref="AL4:AL6">
    <cfRule type="iconSet" priority="199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8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98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97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971" priority="213">
      <formula>AJ$9&lt;8/24</formula>
    </cfRule>
    <cfRule type="expression" dxfId="970" priority="212">
      <formula>AND(AJ$9&gt;=8/24,AJ$9&lt;14/24)</formula>
    </cfRule>
    <cfRule type="expression" dxfId="969" priority="210">
      <formula>AJ$9&gt;=20/24</formula>
    </cfRule>
    <cfRule type="expression" dxfId="968" priority="211">
      <formula>AND(AJ$9&gt;=14/24,AJ$9&lt;20/24)</formula>
    </cfRule>
  </conditionalFormatting>
  <conditionalFormatting sqref="AL88:AN88 AL94:AN94">
    <cfRule type="expression" dxfId="967" priority="177">
      <formula>AL$9&gt;=20/24</formula>
    </cfRule>
    <cfRule type="expression" dxfId="966" priority="179">
      <formula>AND(AL$9&gt;=8/24,AL$9&lt;14/24)</formula>
    </cfRule>
    <cfRule type="expression" dxfId="965" priority="180">
      <formula>AL$9&lt;8/24</formula>
    </cfRule>
    <cfRule type="expression" dxfId="964" priority="178">
      <formula>AND(AL$9&gt;=14/24,AL$9&lt;20/24)</formula>
    </cfRule>
  </conditionalFormatting>
  <conditionalFormatting sqref="AM15:AM21 AN16:AR21">
    <cfRule type="expression" dxfId="963" priority="14">
      <formula>AND(AX$9&gt;=14/24,AX$9&lt;20/24)</formula>
    </cfRule>
    <cfRule type="expression" dxfId="962" priority="13">
      <formula>AX$9&gt;=20/24</formula>
    </cfRule>
    <cfRule type="expression" dxfId="961" priority="15">
      <formula>AND(AX$9&gt;=8/24,AX$9&lt;14/24)</formula>
    </cfRule>
    <cfRule type="expression" dxfId="960" priority="16">
      <formula>AX$9&lt;8/24</formula>
    </cfRule>
  </conditionalFormatting>
  <conditionalFormatting sqref="AN89:AN92">
    <cfRule type="expression" dxfId="959" priority="173">
      <formula>AN$9&gt;=20/24</formula>
    </cfRule>
    <cfRule type="expression" dxfId="958" priority="174">
      <formula>AND(AN$9&gt;=14/24,AN$9&lt;20/24)</formula>
    </cfRule>
    <cfRule type="expression" dxfId="957" priority="175">
      <formula>AND(AN$9&gt;=8/24,AN$9&lt;14/24)</formula>
    </cfRule>
    <cfRule type="expression" dxfId="956" priority="176">
      <formula>AN$9&lt;8/24</formula>
    </cfRule>
  </conditionalFormatting>
  <conditionalFormatting sqref="AN15:AR15">
    <cfRule type="expression" dxfId="955" priority="4">
      <formula>U$9&lt;8/24</formula>
    </cfRule>
    <cfRule type="expression" dxfId="954" priority="3">
      <formula>AND(U$9&gt;=8/24,U$9&lt;14/24)</formula>
    </cfRule>
    <cfRule type="expression" dxfId="953" priority="2">
      <formula>AND(U$9&gt;=14/24,U$9&lt;20/24)</formula>
    </cfRule>
    <cfRule type="expression" dxfId="952" priority="1">
      <formula>U$9&gt;=20/24</formula>
    </cfRule>
  </conditionalFormatting>
  <conditionalFormatting sqref="AS15">
    <cfRule type="expression" dxfId="951" priority="12">
      <formula>AA$9&lt;8/24</formula>
    </cfRule>
    <cfRule type="expression" dxfId="950" priority="11">
      <formula>AND(AA$9&gt;=8/24,AA$9&lt;14/24)</formula>
    </cfRule>
    <cfRule type="expression" dxfId="949" priority="10">
      <formula>AND(AA$9&gt;=14/24,AA$9&lt;20/24)</formula>
    </cfRule>
    <cfRule type="expression" dxfId="948" priority="9">
      <formula>AA$9&gt;=20/24</formula>
    </cfRule>
  </conditionalFormatting>
  <conditionalFormatting sqref="AS16:AS21">
    <cfRule type="expression" dxfId="947" priority="19">
      <formula>AND(BE$9&gt;=8/24,BE$9&lt;14/24)</formula>
    </cfRule>
    <cfRule type="expression" dxfId="946" priority="20">
      <formula>BE$9&lt;8/24</formula>
    </cfRule>
    <cfRule type="expression" dxfId="945" priority="18">
      <formula>AND(BE$9&gt;=14/24,BE$9&lt;20/24)</formula>
    </cfRule>
    <cfRule type="expression" dxfId="944" priority="17">
      <formula>BE$9&gt;=20/24</formula>
    </cfRule>
  </conditionalFormatting>
  <conditionalFormatting sqref="AT15 AX15:BJ15">
    <cfRule type="expression" dxfId="943" priority="21">
      <formula>AC$9&gt;=20/24</formula>
    </cfRule>
    <cfRule type="expression" dxfId="942" priority="22">
      <formula>AND(AC$9&gt;=14/24,AC$9&lt;20/24)</formula>
    </cfRule>
    <cfRule type="expression" dxfId="941" priority="23">
      <formula>AND(AC$9&gt;=8/24,AC$9&lt;14/24)</formula>
    </cfRule>
    <cfRule type="expression" dxfId="940" priority="24">
      <formula>AC$9&lt;8/24</formula>
    </cfRule>
  </conditionalFormatting>
  <conditionalFormatting sqref="AT16:AT21">
    <cfRule type="expression" dxfId="939" priority="26">
      <formula>AND(BG$9&gt;=14/24,BG$9&lt;20/24)</formula>
    </cfRule>
    <cfRule type="expression" dxfId="938" priority="28">
      <formula>BG$9&lt;8/24</formula>
    </cfRule>
    <cfRule type="expression" dxfId="937" priority="27">
      <formula>AND(BG$9&gt;=8/24,BG$9&lt;14/24)</formula>
    </cfRule>
    <cfRule type="expression" dxfId="936" priority="25">
      <formula>BG$9&gt;=20/24</formula>
    </cfRule>
  </conditionalFormatting>
  <conditionalFormatting sqref="AU15:AV15">
    <cfRule type="expression" dxfId="935" priority="30">
      <formula>AND(AE$9&gt;=14/24,AE$9&lt;20/24)</formula>
    </cfRule>
    <cfRule type="expression" dxfId="934" priority="31">
      <formula>AND(AE$9&gt;=8/24,AE$9&lt;14/24)</formula>
    </cfRule>
    <cfRule type="expression" dxfId="933" priority="32">
      <formula>AE$9&lt;8/24</formula>
    </cfRule>
    <cfRule type="expression" dxfId="932" priority="29">
      <formula>AE$9&gt;=20/24</formula>
    </cfRule>
  </conditionalFormatting>
  <conditionalFormatting sqref="AU16:BJ21">
    <cfRule type="expression" dxfId="931" priority="33">
      <formula>BI$9&gt;=20/24</formula>
    </cfRule>
    <cfRule type="expression" dxfId="930" priority="35">
      <formula>AND(BI$9&gt;=8/24,BI$9&lt;14/24)</formula>
    </cfRule>
    <cfRule type="expression" dxfId="929" priority="34">
      <formula>AND(BI$9&gt;=14/24,BI$9&lt;20/24)</formula>
    </cfRule>
    <cfRule type="expression" dxfId="928" priority="36">
      <formula>BI$9&lt;8/24</formula>
    </cfRule>
  </conditionalFormatting>
  <conditionalFormatting sqref="AW15">
    <cfRule type="expression" dxfId="927" priority="7">
      <formula>AND(B$9&gt;=8/24,B$9&lt;14/24)</formula>
    </cfRule>
    <cfRule type="expression" dxfId="926" priority="8">
      <formula>B$9&lt;8/24</formula>
    </cfRule>
    <cfRule type="expression" dxfId="925" priority="5">
      <formula>B$9&gt;=20/24</formula>
    </cfRule>
    <cfRule type="expression" dxfId="924" priority="6">
      <formula>AND(B$9&gt;=14/24,B$9&lt;20/24)</formula>
    </cfRule>
  </conditionalFormatting>
  <pageMargins left="0.7" right="0.7" top="0.75" bottom="0.75" header="0.3" footer="0.3"/>
  <drawing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951E7-969A-4E10-843C-F7C163CD9E10}">
  <sheetPr codeName="Sheet28"/>
  <dimension ref="A1:CJ294"/>
  <sheetViews>
    <sheetView zoomScaleNormal="100" workbookViewId="0">
      <pane xSplit="1" ySplit="10" topLeftCell="B11" activePane="bottomRight" state="frozen"/>
      <selection activeCell="Z63" sqref="Z63"/>
      <selection pane="topRight" activeCell="Z63" sqref="Z63"/>
      <selection pane="bottomLeft" activeCell="Z63" sqref="Z63"/>
      <selection pane="bottomRight" activeCell="AC83" sqref="AC83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2080/10/24</v>
      </c>
      <c r="C4" s="214"/>
      <c r="D4" s="214"/>
      <c r="E4" s="215" t="str">
        <f ca="1">"2080/"&amp;"10/"&amp;INT(MID(CELL("filename",G6),FIND("]",CELL("filename",G6))+1,200))</f>
        <v>2080/10/24</v>
      </c>
      <c r="F4" s="215"/>
      <c r="G4" s="215"/>
      <c r="H4" s="215" t="str">
        <f ca="1">TEXT(E4,"dddd")</f>
        <v>Thursday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180</v>
      </c>
      <c r="C5" s="30">
        <f t="shared" ref="C5:AE5" si="0">D92</f>
        <v>155</v>
      </c>
      <c r="D5" s="30">
        <f t="shared" si="0"/>
        <v>137.4</v>
      </c>
      <c r="E5" s="30">
        <f t="shared" si="0"/>
        <v>129.1</v>
      </c>
      <c r="F5" s="30">
        <f t="shared" si="0"/>
        <v>141</v>
      </c>
      <c r="G5" s="30">
        <f t="shared" si="0"/>
        <v>338.1</v>
      </c>
      <c r="H5" s="30">
        <f t="shared" si="0"/>
        <v>429.2</v>
      </c>
      <c r="I5" s="30">
        <f t="shared" si="0"/>
        <v>715.5</v>
      </c>
      <c r="J5" s="30">
        <f t="shared" si="0"/>
        <v>823.8</v>
      </c>
      <c r="K5" s="30">
        <f t="shared" si="0"/>
        <v>863</v>
      </c>
      <c r="L5" s="30">
        <f t="shared" si="0"/>
        <v>823.7</v>
      </c>
      <c r="M5" s="30">
        <f t="shared" si="0"/>
        <v>828.1</v>
      </c>
      <c r="N5" s="30">
        <f t="shared" si="0"/>
        <v>827</v>
      </c>
      <c r="O5" s="30">
        <f t="shared" si="0"/>
        <v>846.9</v>
      </c>
      <c r="P5" s="30">
        <f t="shared" si="0"/>
        <v>639.70000000000005</v>
      </c>
      <c r="Q5" s="30">
        <f t="shared" si="0"/>
        <v>765.7</v>
      </c>
      <c r="R5" s="30">
        <f t="shared" si="0"/>
        <v>871.39999999999986</v>
      </c>
      <c r="S5" s="30">
        <f t="shared" si="0"/>
        <v>877.8</v>
      </c>
      <c r="T5" s="30">
        <f t="shared" si="0"/>
        <v>848.40000000000009</v>
      </c>
      <c r="U5" s="30">
        <f t="shared" si="0"/>
        <v>826.8</v>
      </c>
      <c r="V5" s="30">
        <f t="shared" si="0"/>
        <v>719.19999999999993</v>
      </c>
      <c r="W5" s="30">
        <f t="shared" si="0"/>
        <v>615.5</v>
      </c>
      <c r="X5" s="30">
        <f t="shared" si="0"/>
        <v>78.55</v>
      </c>
      <c r="Y5" s="30">
        <f t="shared" si="0"/>
        <v>121.3</v>
      </c>
      <c r="Z5" s="30">
        <f t="shared" si="0"/>
        <v>125.80000000000001</v>
      </c>
      <c r="AA5" s="30">
        <f t="shared" si="0"/>
        <v>123.9</v>
      </c>
      <c r="AB5" s="30">
        <f t="shared" si="0"/>
        <v>120.6</v>
      </c>
      <c r="AC5" s="30">
        <f t="shared" si="0"/>
        <v>104</v>
      </c>
      <c r="AD5" s="30">
        <f t="shared" si="0"/>
        <v>206.40000000000003</v>
      </c>
      <c r="AE5" s="30">
        <f t="shared" si="0"/>
        <v>187.3</v>
      </c>
      <c r="AF5" s="30">
        <f>B92</f>
        <v>210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1560MW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Load=1312</v>
      </c>
      <c r="B7" s="35">
        <f>B100</f>
        <v>1410.8899999999999</v>
      </c>
      <c r="C7" s="35">
        <f t="shared" ref="C7:AF7" si="1">C100</f>
        <v>1374.8899999999999</v>
      </c>
      <c r="D7" s="35">
        <f t="shared" si="1"/>
        <v>1349.8899999999999</v>
      </c>
      <c r="E7" s="35">
        <f t="shared" si="1"/>
        <v>1324.49</v>
      </c>
      <c r="F7" s="35">
        <f t="shared" si="1"/>
        <v>1311.5900000000001</v>
      </c>
      <c r="G7" s="35">
        <f t="shared" si="1"/>
        <v>1329.59</v>
      </c>
      <c r="H7" s="35">
        <f t="shared" si="1"/>
        <v>1360.3899999999999</v>
      </c>
      <c r="I7" s="35">
        <f t="shared" si="1"/>
        <v>1408.59</v>
      </c>
      <c r="J7" s="35">
        <f t="shared" si="1"/>
        <v>1420.99</v>
      </c>
      <c r="K7" s="35">
        <f t="shared" si="1"/>
        <v>1517.8899999999999</v>
      </c>
      <c r="L7" s="35">
        <f t="shared" si="1"/>
        <v>1559.8899999999999</v>
      </c>
      <c r="M7" s="35">
        <f t="shared" si="1"/>
        <v>1551.19</v>
      </c>
      <c r="N7" s="35">
        <f t="shared" si="1"/>
        <v>1525.5900000000001</v>
      </c>
      <c r="O7" s="35">
        <f t="shared" si="1"/>
        <v>1532.99</v>
      </c>
      <c r="P7" s="35">
        <f t="shared" si="1"/>
        <v>1559.29</v>
      </c>
      <c r="Q7" s="35">
        <f t="shared" si="1"/>
        <v>1452.09</v>
      </c>
      <c r="R7" s="35">
        <f t="shared" si="1"/>
        <v>1435.69</v>
      </c>
      <c r="S7" s="35">
        <f t="shared" si="1"/>
        <v>1488.0899999999997</v>
      </c>
      <c r="T7" s="35">
        <f t="shared" si="1"/>
        <v>1507.29</v>
      </c>
      <c r="U7" s="35">
        <f t="shared" si="1"/>
        <v>1480.79</v>
      </c>
      <c r="V7" s="35">
        <f t="shared" si="1"/>
        <v>1460.35</v>
      </c>
      <c r="W7" s="35">
        <f t="shared" si="1"/>
        <v>1400.5899999999997</v>
      </c>
      <c r="X7" s="35">
        <f t="shared" si="1"/>
        <v>1334.8899999999999</v>
      </c>
      <c r="Y7" s="35">
        <f t="shared" si="1"/>
        <v>1642.04</v>
      </c>
      <c r="Z7" s="35">
        <f t="shared" si="1"/>
        <v>1790.99</v>
      </c>
      <c r="AA7" s="35">
        <f t="shared" si="1"/>
        <v>1788.03</v>
      </c>
      <c r="AB7" s="35">
        <f t="shared" si="1"/>
        <v>1711.89</v>
      </c>
      <c r="AC7" s="35">
        <f t="shared" si="1"/>
        <v>1669.1899999999998</v>
      </c>
      <c r="AD7" s="35">
        <f t="shared" si="1"/>
        <v>1618.8899999999999</v>
      </c>
      <c r="AE7" s="35">
        <f t="shared" si="1"/>
        <v>1502.49</v>
      </c>
      <c r="AF7" s="35">
        <f t="shared" si="1"/>
        <v>1420.3899999999999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1790.99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1790.99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24.8</v>
      </c>
      <c r="C11" s="46">
        <v>24.8</v>
      </c>
      <c r="D11" s="46">
        <v>24.8</v>
      </c>
      <c r="E11" s="46">
        <v>24.8</v>
      </c>
      <c r="F11" s="46">
        <v>24.8</v>
      </c>
      <c r="G11" s="46">
        <v>24.8</v>
      </c>
      <c r="H11" s="46">
        <v>24.8</v>
      </c>
      <c r="I11" s="46">
        <v>24.8</v>
      </c>
      <c r="J11" s="46">
        <v>24.8</v>
      </c>
      <c r="K11" s="46">
        <v>24.8</v>
      </c>
      <c r="L11" s="46">
        <v>24.8</v>
      </c>
      <c r="M11" s="46">
        <v>24.8</v>
      </c>
      <c r="N11" s="46">
        <v>24.8</v>
      </c>
      <c r="O11" s="46">
        <v>24.8</v>
      </c>
      <c r="P11" s="46">
        <v>24.8</v>
      </c>
      <c r="Q11" s="46">
        <v>24.8</v>
      </c>
      <c r="R11" s="46">
        <v>24.8</v>
      </c>
      <c r="S11" s="46">
        <v>24.8</v>
      </c>
      <c r="T11" s="46">
        <v>24.8</v>
      </c>
      <c r="U11" s="46">
        <v>24.8</v>
      </c>
      <c r="V11" s="46">
        <v>24.8</v>
      </c>
      <c r="W11" s="46">
        <v>24.8</v>
      </c>
      <c r="X11" s="46">
        <v>24.8</v>
      </c>
      <c r="Y11" s="46">
        <v>24.8</v>
      </c>
      <c r="Z11" s="46">
        <v>24.8</v>
      </c>
      <c r="AA11" s="46">
        <v>21.9</v>
      </c>
      <c r="AB11" s="46">
        <v>22.7</v>
      </c>
      <c r="AC11" s="46">
        <v>24.5</v>
      </c>
      <c r="AD11" s="46">
        <v>23.8</v>
      </c>
      <c r="AE11" s="46">
        <v>23.8</v>
      </c>
      <c r="AF11" s="46">
        <v>23.8</v>
      </c>
      <c r="AG11" s="47">
        <v>86</v>
      </c>
      <c r="AH11" s="48">
        <f t="shared" ref="AH11:AH16" si="2">MAX(B11:AF11)</f>
        <v>24.8</v>
      </c>
      <c r="AI11" s="49">
        <f t="shared" ref="AI11:AI16" si="3">MIN(B11:AF11)</f>
        <v>21.9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10</v>
      </c>
      <c r="C12" s="46">
        <v>10</v>
      </c>
      <c r="D12" s="46">
        <v>10</v>
      </c>
      <c r="E12" s="46">
        <v>10</v>
      </c>
      <c r="F12" s="46">
        <v>10</v>
      </c>
      <c r="G12" s="46">
        <v>10</v>
      </c>
      <c r="H12" s="46">
        <v>10</v>
      </c>
      <c r="I12" s="46">
        <v>10</v>
      </c>
      <c r="J12" s="46">
        <v>10</v>
      </c>
      <c r="K12" s="46">
        <v>10</v>
      </c>
      <c r="L12" s="46">
        <v>10</v>
      </c>
      <c r="M12" s="46">
        <v>10</v>
      </c>
      <c r="N12" s="46">
        <v>10</v>
      </c>
      <c r="O12" s="46">
        <v>10</v>
      </c>
      <c r="P12" s="46">
        <v>10</v>
      </c>
      <c r="Q12" s="46">
        <v>10</v>
      </c>
      <c r="R12" s="46">
        <v>10</v>
      </c>
      <c r="S12" s="46">
        <v>10</v>
      </c>
      <c r="T12" s="46">
        <v>10</v>
      </c>
      <c r="U12" s="46">
        <v>10</v>
      </c>
      <c r="V12" s="46">
        <v>10</v>
      </c>
      <c r="W12" s="46">
        <v>10</v>
      </c>
      <c r="X12" s="46">
        <v>10</v>
      </c>
      <c r="Y12" s="46">
        <v>10</v>
      </c>
      <c r="Z12" s="46">
        <v>10</v>
      </c>
      <c r="AA12" s="46">
        <v>10</v>
      </c>
      <c r="AB12" s="46">
        <v>10</v>
      </c>
      <c r="AC12" s="46">
        <v>10</v>
      </c>
      <c r="AD12" s="46">
        <v>10</v>
      </c>
      <c r="AE12" s="46">
        <v>10</v>
      </c>
      <c r="AF12" s="46">
        <v>10</v>
      </c>
      <c r="AG12" s="50">
        <v>54</v>
      </c>
      <c r="AH12" s="48">
        <f t="shared" si="2"/>
        <v>10</v>
      </c>
      <c r="AI12" s="49">
        <f t="shared" si="3"/>
        <v>10</v>
      </c>
      <c r="AK12" s="51"/>
      <c r="AL12" s="52" t="str">
        <f ca="1">MID(CELL("filename",C7),FIND("]",CELL("filename",C7))+1,600)</f>
        <v>24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15</v>
      </c>
      <c r="C13" s="46">
        <v>15</v>
      </c>
      <c r="D13" s="46">
        <v>15</v>
      </c>
      <c r="E13" s="46">
        <v>15</v>
      </c>
      <c r="F13" s="46">
        <v>15</v>
      </c>
      <c r="G13" s="46">
        <v>15</v>
      </c>
      <c r="H13" s="46">
        <v>15</v>
      </c>
      <c r="I13" s="46">
        <v>15</v>
      </c>
      <c r="J13" s="46">
        <v>15</v>
      </c>
      <c r="K13" s="46">
        <v>15</v>
      </c>
      <c r="L13" s="46">
        <v>15</v>
      </c>
      <c r="M13" s="46">
        <v>15</v>
      </c>
      <c r="N13" s="46">
        <v>15</v>
      </c>
      <c r="O13" s="46">
        <v>15</v>
      </c>
      <c r="P13" s="46">
        <v>15</v>
      </c>
      <c r="Q13" s="46">
        <v>15</v>
      </c>
      <c r="R13" s="46">
        <v>15</v>
      </c>
      <c r="S13" s="46">
        <v>15</v>
      </c>
      <c r="T13" s="46">
        <v>15</v>
      </c>
      <c r="U13" s="46">
        <v>15</v>
      </c>
      <c r="V13" s="46">
        <v>15</v>
      </c>
      <c r="W13" s="46">
        <v>15</v>
      </c>
      <c r="X13" s="46">
        <v>15</v>
      </c>
      <c r="Y13" s="46">
        <v>15</v>
      </c>
      <c r="Z13" s="46">
        <v>15</v>
      </c>
      <c r="AA13" s="46">
        <v>15</v>
      </c>
      <c r="AB13" s="46">
        <v>13</v>
      </c>
      <c r="AC13" s="46">
        <v>13</v>
      </c>
      <c r="AD13" s="46">
        <v>13</v>
      </c>
      <c r="AE13" s="46">
        <v>13</v>
      </c>
      <c r="AF13" s="46">
        <v>13</v>
      </c>
      <c r="AG13" s="50">
        <v>54</v>
      </c>
      <c r="AH13" s="48">
        <f t="shared" si="2"/>
        <v>15</v>
      </c>
      <c r="AI13" s="49">
        <f t="shared" si="3"/>
        <v>13</v>
      </c>
      <c r="AK13" s="51"/>
      <c r="AL13" s="52" t="str">
        <f ca="1">"Daily Load Curve(Excluding of Export) of Nepal ("&amp;A4&amp;" "&amp;B4&amp;")"</f>
        <v>Daily Load Curve(Excluding of Export) of Nepal (Nepali Date: 2080/10/24)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13.3</v>
      </c>
      <c r="C14" s="46">
        <v>13.3</v>
      </c>
      <c r="D14" s="46">
        <v>13.3</v>
      </c>
      <c r="E14" s="46">
        <v>13.3</v>
      </c>
      <c r="F14" s="46">
        <v>13.3</v>
      </c>
      <c r="G14" s="46">
        <v>13.3</v>
      </c>
      <c r="H14" s="46">
        <v>13.3</v>
      </c>
      <c r="I14" s="46">
        <v>13.3</v>
      </c>
      <c r="J14" s="46">
        <v>13.3</v>
      </c>
      <c r="K14" s="46">
        <v>13.3</v>
      </c>
      <c r="L14" s="46">
        <v>13.3</v>
      </c>
      <c r="M14" s="46">
        <v>13.3</v>
      </c>
      <c r="N14" s="46">
        <v>13.3</v>
      </c>
      <c r="O14" s="46">
        <v>13.3</v>
      </c>
      <c r="P14" s="46">
        <v>13.3</v>
      </c>
      <c r="Q14" s="46">
        <v>13.3</v>
      </c>
      <c r="R14" s="46">
        <v>13.3</v>
      </c>
      <c r="S14" s="46">
        <v>13.3</v>
      </c>
      <c r="T14" s="46">
        <v>13.3</v>
      </c>
      <c r="U14" s="46">
        <v>13.3</v>
      </c>
      <c r="V14" s="46">
        <v>13.3</v>
      </c>
      <c r="W14" s="46">
        <v>13.3</v>
      </c>
      <c r="X14" s="46">
        <v>13.3</v>
      </c>
      <c r="Y14" s="46">
        <v>13.3</v>
      </c>
      <c r="Z14" s="46">
        <v>13.3</v>
      </c>
      <c r="AA14" s="46">
        <v>12.2</v>
      </c>
      <c r="AB14" s="46">
        <v>12.2</v>
      </c>
      <c r="AC14" s="46">
        <v>12.2</v>
      </c>
      <c r="AD14" s="46">
        <v>12.2</v>
      </c>
      <c r="AE14" s="46">
        <v>12.2</v>
      </c>
      <c r="AF14" s="46">
        <v>12.2</v>
      </c>
      <c r="AG14" s="47">
        <v>52.4</v>
      </c>
      <c r="AH14" s="48">
        <f t="shared" si="2"/>
        <v>13.3</v>
      </c>
      <c r="AI14" s="49">
        <f t="shared" si="3"/>
        <v>12.2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31.1</v>
      </c>
      <c r="C15" s="46">
        <v>31.1</v>
      </c>
      <c r="D15" s="46">
        <v>31.1</v>
      </c>
      <c r="E15" s="46">
        <v>31.1</v>
      </c>
      <c r="F15" s="46">
        <v>31.1</v>
      </c>
      <c r="G15" s="46">
        <v>31.1</v>
      </c>
      <c r="H15" s="46">
        <v>31.1</v>
      </c>
      <c r="I15" s="46">
        <v>31.1</v>
      </c>
      <c r="J15" s="46">
        <v>31.1</v>
      </c>
      <c r="K15" s="46">
        <v>31.1</v>
      </c>
      <c r="L15" s="46">
        <v>31.1</v>
      </c>
      <c r="M15" s="46">
        <v>31.1</v>
      </c>
      <c r="N15" s="46">
        <v>31.1</v>
      </c>
      <c r="O15" s="46">
        <v>31.1</v>
      </c>
      <c r="P15" s="46">
        <v>31.1</v>
      </c>
      <c r="Q15" s="46">
        <v>31.1</v>
      </c>
      <c r="R15" s="46">
        <v>31.1</v>
      </c>
      <c r="S15" s="46">
        <v>31.1</v>
      </c>
      <c r="T15" s="46">
        <v>31.1</v>
      </c>
      <c r="U15" s="46">
        <v>31.1</v>
      </c>
      <c r="V15" s="46">
        <v>31.1</v>
      </c>
      <c r="W15" s="46">
        <v>31.1</v>
      </c>
      <c r="X15" s="46">
        <v>31.1</v>
      </c>
      <c r="Y15" s="46">
        <v>31.1</v>
      </c>
      <c r="Z15" s="53">
        <v>31.1</v>
      </c>
      <c r="AA15" s="53">
        <v>30.3</v>
      </c>
      <c r="AB15" s="53">
        <v>30.5</v>
      </c>
      <c r="AC15" s="53">
        <v>30.5</v>
      </c>
      <c r="AD15" s="53">
        <v>30.5</v>
      </c>
      <c r="AE15" s="53">
        <v>30.5</v>
      </c>
      <c r="AF15" s="53">
        <v>30.5</v>
      </c>
      <c r="AG15" s="50">
        <v>50</v>
      </c>
      <c r="AH15" s="48">
        <f t="shared" si="2"/>
        <v>31.1</v>
      </c>
      <c r="AI15" s="49">
        <f t="shared" si="3"/>
        <v>30.3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15</v>
      </c>
      <c r="C16" s="46">
        <v>15</v>
      </c>
      <c r="D16" s="46">
        <v>15</v>
      </c>
      <c r="E16" s="46">
        <v>15</v>
      </c>
      <c r="F16" s="46">
        <v>15</v>
      </c>
      <c r="G16" s="46">
        <v>15</v>
      </c>
      <c r="H16" s="46">
        <v>15</v>
      </c>
      <c r="I16" s="46">
        <v>15</v>
      </c>
      <c r="J16" s="46">
        <v>15</v>
      </c>
      <c r="K16" s="46">
        <v>15</v>
      </c>
      <c r="L16" s="46">
        <v>15</v>
      </c>
      <c r="M16" s="46">
        <v>15</v>
      </c>
      <c r="N16" s="46">
        <v>15</v>
      </c>
      <c r="O16" s="46">
        <v>15</v>
      </c>
      <c r="P16" s="46">
        <v>15</v>
      </c>
      <c r="Q16" s="46">
        <v>15</v>
      </c>
      <c r="R16" s="46">
        <v>15</v>
      </c>
      <c r="S16" s="46">
        <v>15</v>
      </c>
      <c r="T16" s="46">
        <v>15</v>
      </c>
      <c r="U16" s="46">
        <v>15</v>
      </c>
      <c r="V16" s="46">
        <v>15</v>
      </c>
      <c r="W16" s="46">
        <v>15</v>
      </c>
      <c r="X16" s="46">
        <v>15</v>
      </c>
      <c r="Y16" s="46">
        <v>15</v>
      </c>
      <c r="Z16" s="46">
        <v>15</v>
      </c>
      <c r="AA16" s="46">
        <v>15</v>
      </c>
      <c r="AB16" s="46">
        <v>15</v>
      </c>
      <c r="AC16" s="46">
        <v>15</v>
      </c>
      <c r="AD16" s="46">
        <v>15</v>
      </c>
      <c r="AE16" s="46">
        <v>15</v>
      </c>
      <c r="AF16" s="46">
        <v>15</v>
      </c>
      <c r="AG16" s="50">
        <v>45</v>
      </c>
      <c r="AH16" s="48">
        <f t="shared" si="2"/>
        <v>15</v>
      </c>
      <c r="AI16" s="49">
        <f t="shared" si="3"/>
        <v>15</v>
      </c>
      <c r="AK16" s="51"/>
      <c r="AL16" s="54" t="s">
        <v>7</v>
      </c>
      <c r="AM16" s="59">
        <f>B58</f>
        <v>486.34999999999997</v>
      </c>
      <c r="AN16" s="59">
        <f t="shared" ref="AN16:AR16" si="4">C58</f>
        <v>486.34999999999997</v>
      </c>
      <c r="AO16" s="59">
        <f t="shared" si="4"/>
        <v>486.34999999999997</v>
      </c>
      <c r="AP16" s="59">
        <f t="shared" si="4"/>
        <v>486.34999999999997</v>
      </c>
      <c r="AQ16" s="59">
        <f t="shared" si="4"/>
        <v>486.34999999999997</v>
      </c>
      <c r="AR16" s="59">
        <f t="shared" si="4"/>
        <v>486.34999999999997</v>
      </c>
      <c r="AS16" s="59">
        <f>I58</f>
        <v>486.34999999999997</v>
      </c>
      <c r="AT16" s="59">
        <f>K58</f>
        <v>486.34999999999997</v>
      </c>
      <c r="AU16" s="59">
        <f t="shared" ref="AU16:BD16" si="5">M58</f>
        <v>486.34999999999997</v>
      </c>
      <c r="AV16" s="59">
        <f t="shared" si="5"/>
        <v>486.34999999999997</v>
      </c>
      <c r="AW16" s="59">
        <f t="shared" si="5"/>
        <v>486.34999999999997</v>
      </c>
      <c r="AX16" s="59">
        <f t="shared" si="5"/>
        <v>486.34999999999997</v>
      </c>
      <c r="AY16" s="59">
        <f t="shared" si="5"/>
        <v>486.34999999999997</v>
      </c>
      <c r="AZ16" s="59">
        <f t="shared" si="5"/>
        <v>486.34999999999997</v>
      </c>
      <c r="BA16" s="59">
        <f t="shared" si="5"/>
        <v>486.34999999999997</v>
      </c>
      <c r="BB16" s="59">
        <f t="shared" si="5"/>
        <v>486.34999999999997</v>
      </c>
      <c r="BC16" s="59">
        <f t="shared" si="5"/>
        <v>486.34999999999997</v>
      </c>
      <c r="BD16" s="59">
        <f t="shared" si="5"/>
        <v>486.34999999999997</v>
      </c>
      <c r="BE16" s="197">
        <f>X58</f>
        <v>486.34999999999997</v>
      </c>
      <c r="BF16" s="197">
        <f>Z58</f>
        <v>486.34999999999997</v>
      </c>
      <c r="BG16" s="197">
        <f>AB58</f>
        <v>477.95</v>
      </c>
      <c r="BH16" s="197">
        <f>AD58</f>
        <v>479.04999999999995</v>
      </c>
      <c r="BI16" s="197">
        <f t="shared" ref="BI16:BJ16" si="6">AE58</f>
        <v>479.04999999999995</v>
      </c>
      <c r="BJ16" s="197">
        <f t="shared" si="6"/>
        <v>479.04999999999995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16.399999999999999</v>
      </c>
      <c r="C17" s="46">
        <v>16.399999999999999</v>
      </c>
      <c r="D17" s="46">
        <v>16.399999999999999</v>
      </c>
      <c r="E17" s="46">
        <v>16.399999999999999</v>
      </c>
      <c r="F17" s="46">
        <v>16.399999999999999</v>
      </c>
      <c r="G17" s="46">
        <v>16.399999999999999</v>
      </c>
      <c r="H17" s="46">
        <v>16.399999999999999</v>
      </c>
      <c r="I17" s="46">
        <v>16.399999999999999</v>
      </c>
      <c r="J17" s="46">
        <v>16.399999999999999</v>
      </c>
      <c r="K17" s="46">
        <v>16.399999999999999</v>
      </c>
      <c r="L17" s="46">
        <v>16.399999999999999</v>
      </c>
      <c r="M17" s="46">
        <v>16.399999999999999</v>
      </c>
      <c r="N17" s="46">
        <v>16.399999999999999</v>
      </c>
      <c r="O17" s="46">
        <v>16.399999999999999</v>
      </c>
      <c r="P17" s="46">
        <v>16.399999999999999</v>
      </c>
      <c r="Q17" s="46">
        <v>16.399999999999999</v>
      </c>
      <c r="R17" s="46">
        <v>16.399999999999999</v>
      </c>
      <c r="S17" s="46">
        <v>16.399999999999999</v>
      </c>
      <c r="T17" s="46">
        <v>16.399999999999999</v>
      </c>
      <c r="U17" s="46">
        <v>16.399999999999999</v>
      </c>
      <c r="V17" s="46">
        <v>16.399999999999999</v>
      </c>
      <c r="W17" s="46">
        <v>16.399999999999999</v>
      </c>
      <c r="X17" s="46">
        <v>16.399999999999999</v>
      </c>
      <c r="Y17" s="46">
        <v>16.399999999999999</v>
      </c>
      <c r="Z17" s="46">
        <v>16.399999999999999</v>
      </c>
      <c r="AA17" s="46">
        <v>15.2</v>
      </c>
      <c r="AB17" s="46">
        <v>15.2</v>
      </c>
      <c r="AC17" s="46">
        <v>15.2</v>
      </c>
      <c r="AD17" s="46">
        <v>15.2</v>
      </c>
      <c r="AE17" s="46">
        <v>15.2</v>
      </c>
      <c r="AF17" s="46">
        <v>15.2</v>
      </c>
      <c r="AG17" s="50">
        <v>44</v>
      </c>
      <c r="AH17" s="48">
        <f>MAX(B17:AG17)</f>
        <v>44</v>
      </c>
      <c r="AI17" s="49">
        <f>MIN(B17:AG17)</f>
        <v>15.2</v>
      </c>
      <c r="AK17" s="51"/>
      <c r="AL17" s="54" t="s">
        <v>27</v>
      </c>
      <c r="AM17" s="59">
        <f>B62</f>
        <v>106.8</v>
      </c>
      <c r="AN17" s="59">
        <f t="shared" ref="AN17:AR17" si="7">C62</f>
        <v>106.8</v>
      </c>
      <c r="AO17" s="59">
        <f t="shared" si="7"/>
        <v>106.8</v>
      </c>
      <c r="AP17" s="59">
        <f t="shared" si="7"/>
        <v>106.8</v>
      </c>
      <c r="AQ17" s="59">
        <f t="shared" si="7"/>
        <v>106.8</v>
      </c>
      <c r="AR17" s="59">
        <f t="shared" si="7"/>
        <v>112.8</v>
      </c>
      <c r="AS17" s="59">
        <f>I62</f>
        <v>93.3</v>
      </c>
      <c r="AT17" s="59">
        <f>K62</f>
        <v>33.299999999999997</v>
      </c>
      <c r="AU17" s="59">
        <f t="shared" ref="AU17:BD17" si="8">M62</f>
        <v>33.299999999999997</v>
      </c>
      <c r="AV17" s="59">
        <f t="shared" si="8"/>
        <v>33.299999999999997</v>
      </c>
      <c r="AW17" s="59">
        <f t="shared" si="8"/>
        <v>33.299999999999997</v>
      </c>
      <c r="AX17" s="59">
        <f t="shared" si="8"/>
        <v>32</v>
      </c>
      <c r="AY17" s="59">
        <f t="shared" si="8"/>
        <v>32</v>
      </c>
      <c r="AZ17" s="59">
        <f t="shared" si="8"/>
        <v>32</v>
      </c>
      <c r="BA17" s="59">
        <f t="shared" si="8"/>
        <v>32</v>
      </c>
      <c r="BB17" s="59">
        <f t="shared" si="8"/>
        <v>32</v>
      </c>
      <c r="BC17" s="59">
        <f t="shared" si="8"/>
        <v>32</v>
      </c>
      <c r="BD17" s="59">
        <f t="shared" si="8"/>
        <v>32</v>
      </c>
      <c r="BE17" s="197">
        <f>X62</f>
        <v>32</v>
      </c>
      <c r="BF17" s="197">
        <f>Z62</f>
        <v>416.8</v>
      </c>
      <c r="BG17" s="197">
        <f>AB62</f>
        <v>356</v>
      </c>
      <c r="BH17" s="197">
        <f>AD62</f>
        <v>334.2</v>
      </c>
      <c r="BI17" s="197">
        <f t="shared" ref="BI17:BJ17" si="9">AE62</f>
        <v>103.5</v>
      </c>
      <c r="BJ17" s="197">
        <f t="shared" si="9"/>
        <v>103.9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9</v>
      </c>
      <c r="C18" s="46">
        <v>9</v>
      </c>
      <c r="D18" s="46">
        <v>9</v>
      </c>
      <c r="E18" s="46">
        <v>9</v>
      </c>
      <c r="F18" s="46">
        <v>9</v>
      </c>
      <c r="G18" s="46">
        <v>9</v>
      </c>
      <c r="H18" s="46">
        <v>9</v>
      </c>
      <c r="I18" s="46">
        <v>9</v>
      </c>
      <c r="J18" s="46">
        <v>9</v>
      </c>
      <c r="K18" s="46">
        <v>9</v>
      </c>
      <c r="L18" s="46">
        <v>9</v>
      </c>
      <c r="M18" s="46">
        <v>9</v>
      </c>
      <c r="N18" s="46">
        <v>9</v>
      </c>
      <c r="O18" s="46">
        <v>9</v>
      </c>
      <c r="P18" s="46">
        <v>9</v>
      </c>
      <c r="Q18" s="46">
        <v>9</v>
      </c>
      <c r="R18" s="46">
        <v>9</v>
      </c>
      <c r="S18" s="46">
        <v>9</v>
      </c>
      <c r="T18" s="46">
        <v>9</v>
      </c>
      <c r="U18" s="46">
        <v>9</v>
      </c>
      <c r="V18" s="46">
        <v>9</v>
      </c>
      <c r="W18" s="46">
        <v>9</v>
      </c>
      <c r="X18" s="46">
        <v>9</v>
      </c>
      <c r="Y18" s="46">
        <v>9</v>
      </c>
      <c r="Z18" s="46">
        <v>9</v>
      </c>
      <c r="AA18" s="46">
        <v>8</v>
      </c>
      <c r="AB18" s="46">
        <v>8</v>
      </c>
      <c r="AC18" s="46">
        <v>8</v>
      </c>
      <c r="AD18" s="46">
        <v>8</v>
      </c>
      <c r="AE18" s="46">
        <v>8</v>
      </c>
      <c r="AF18" s="46">
        <v>8</v>
      </c>
      <c r="AG18" s="50">
        <v>42</v>
      </c>
      <c r="AH18" s="48">
        <f t="shared" ref="AH18:AH81" si="10">MAX(B18:AF18)</f>
        <v>9</v>
      </c>
      <c r="AI18" s="49">
        <f t="shared" ref="AI18:AI81" si="11">MIN(B18:AF18)</f>
        <v>8</v>
      </c>
      <c r="AK18" s="51"/>
      <c r="AL18" s="54" t="s">
        <v>29</v>
      </c>
      <c r="AM18" s="59">
        <f>B76</f>
        <v>211.73999999999998</v>
      </c>
      <c r="AN18" s="59">
        <f t="shared" ref="AN18:AR18" si="12">C76</f>
        <v>205.73999999999998</v>
      </c>
      <c r="AO18" s="59">
        <f t="shared" si="12"/>
        <v>205.73999999999998</v>
      </c>
      <c r="AP18" s="59">
        <f t="shared" si="12"/>
        <v>197.94</v>
      </c>
      <c r="AQ18" s="59">
        <f t="shared" si="12"/>
        <v>193.33999999999997</v>
      </c>
      <c r="AR18" s="59">
        <f t="shared" si="12"/>
        <v>193.43999999999997</v>
      </c>
      <c r="AS18" s="59">
        <f>I76</f>
        <v>154.73999999999998</v>
      </c>
      <c r="AT18" s="59">
        <f>K76</f>
        <v>159.04</v>
      </c>
      <c r="AU18" s="59">
        <f t="shared" ref="AU18:BD18" si="13">M76</f>
        <v>161.83999999999997</v>
      </c>
      <c r="AV18" s="59">
        <f t="shared" si="13"/>
        <v>177.84</v>
      </c>
      <c r="AW18" s="59">
        <f t="shared" si="13"/>
        <v>186.34</v>
      </c>
      <c r="AX18" s="59">
        <f t="shared" si="13"/>
        <v>194.04</v>
      </c>
      <c r="AY18" s="59">
        <f t="shared" si="13"/>
        <v>194.04</v>
      </c>
      <c r="AZ18" s="59">
        <f t="shared" si="13"/>
        <v>151.63999999999999</v>
      </c>
      <c r="BA18" s="59">
        <f t="shared" si="13"/>
        <v>98.34</v>
      </c>
      <c r="BB18" s="59">
        <f t="shared" si="13"/>
        <v>91.940000000000012</v>
      </c>
      <c r="BC18" s="59">
        <f t="shared" si="13"/>
        <v>86.140000000000015</v>
      </c>
      <c r="BD18" s="59">
        <f t="shared" si="13"/>
        <v>71.440000000000012</v>
      </c>
      <c r="BE18" s="197">
        <f>X76</f>
        <v>156.74</v>
      </c>
      <c r="BF18" s="197">
        <f>Z76</f>
        <v>373.44000000000005</v>
      </c>
      <c r="BG18" s="197">
        <f>AB76</f>
        <v>369.44</v>
      </c>
      <c r="BH18" s="197">
        <f>AD76</f>
        <v>328.23999999999995</v>
      </c>
      <c r="BI18" s="197">
        <f t="shared" ref="BI18:BJ18" si="14">AE76</f>
        <v>341.04</v>
      </c>
      <c r="BJ18" s="197">
        <f t="shared" si="14"/>
        <v>277.44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14.4</v>
      </c>
      <c r="C19" s="46">
        <v>14.4</v>
      </c>
      <c r="D19" s="46">
        <v>14.4</v>
      </c>
      <c r="E19" s="46">
        <v>14.4</v>
      </c>
      <c r="F19" s="46">
        <v>14.4</v>
      </c>
      <c r="G19" s="46">
        <v>14.4</v>
      </c>
      <c r="H19" s="46">
        <v>14.4</v>
      </c>
      <c r="I19" s="46">
        <v>14.4</v>
      </c>
      <c r="J19" s="46">
        <v>14.4</v>
      </c>
      <c r="K19" s="46">
        <v>14.4</v>
      </c>
      <c r="L19" s="46">
        <v>14.4</v>
      </c>
      <c r="M19" s="46">
        <v>14.4</v>
      </c>
      <c r="N19" s="46">
        <v>14.4</v>
      </c>
      <c r="O19" s="46">
        <v>14.4</v>
      </c>
      <c r="P19" s="46">
        <v>14.4</v>
      </c>
      <c r="Q19" s="46">
        <v>14.4</v>
      </c>
      <c r="R19" s="46">
        <v>14.4</v>
      </c>
      <c r="S19" s="46">
        <v>14.4</v>
      </c>
      <c r="T19" s="46">
        <v>14.4</v>
      </c>
      <c r="U19" s="46">
        <v>14.4</v>
      </c>
      <c r="V19" s="46">
        <v>14.4</v>
      </c>
      <c r="W19" s="46">
        <v>14.4</v>
      </c>
      <c r="X19" s="46">
        <v>14.4</v>
      </c>
      <c r="Y19" s="46">
        <v>14.4</v>
      </c>
      <c r="Z19" s="46">
        <v>14.4</v>
      </c>
      <c r="AA19" s="46">
        <v>14</v>
      </c>
      <c r="AB19" s="46">
        <v>14</v>
      </c>
      <c r="AC19" s="46">
        <v>14</v>
      </c>
      <c r="AD19" s="46">
        <v>14</v>
      </c>
      <c r="AE19" s="46">
        <v>14</v>
      </c>
      <c r="AF19" s="46">
        <v>14</v>
      </c>
      <c r="AG19" s="50">
        <v>38.46</v>
      </c>
      <c r="AH19" s="48">
        <f t="shared" si="10"/>
        <v>14.4</v>
      </c>
      <c r="AI19" s="49">
        <f t="shared" si="11"/>
        <v>14</v>
      </c>
      <c r="AK19" s="51"/>
      <c r="AL19" s="54" t="s">
        <v>31</v>
      </c>
      <c r="AM19" s="59">
        <f>B92</f>
        <v>210</v>
      </c>
      <c r="AN19" s="59">
        <f t="shared" ref="AN19:AR19" si="15">C92</f>
        <v>180</v>
      </c>
      <c r="AO19" s="59">
        <f t="shared" si="15"/>
        <v>155</v>
      </c>
      <c r="AP19" s="59">
        <f t="shared" si="15"/>
        <v>137.4</v>
      </c>
      <c r="AQ19" s="59">
        <f t="shared" si="15"/>
        <v>129.1</v>
      </c>
      <c r="AR19" s="59">
        <f t="shared" si="15"/>
        <v>141</v>
      </c>
      <c r="AS19" s="59">
        <f>I92</f>
        <v>429.2</v>
      </c>
      <c r="AT19" s="59">
        <f>K92</f>
        <v>823.8</v>
      </c>
      <c r="AU19" s="59">
        <f t="shared" ref="AU19:BD19" si="16">M92</f>
        <v>823.7</v>
      </c>
      <c r="AV19" s="59">
        <f t="shared" si="16"/>
        <v>828.1</v>
      </c>
      <c r="AW19" s="59">
        <f t="shared" si="16"/>
        <v>827</v>
      </c>
      <c r="AX19" s="59">
        <f t="shared" si="16"/>
        <v>846.9</v>
      </c>
      <c r="AY19" s="59">
        <f t="shared" si="16"/>
        <v>639.70000000000005</v>
      </c>
      <c r="AZ19" s="59">
        <f t="shared" si="16"/>
        <v>765.7</v>
      </c>
      <c r="BA19" s="59">
        <f t="shared" si="16"/>
        <v>871.39999999999986</v>
      </c>
      <c r="BB19" s="59">
        <f t="shared" si="16"/>
        <v>877.8</v>
      </c>
      <c r="BC19" s="59">
        <f t="shared" si="16"/>
        <v>848.40000000000009</v>
      </c>
      <c r="BD19" s="59">
        <f t="shared" si="16"/>
        <v>826.8</v>
      </c>
      <c r="BE19" s="197">
        <f>X92</f>
        <v>615.5</v>
      </c>
      <c r="BF19" s="197">
        <f>Z92</f>
        <v>121.3</v>
      </c>
      <c r="BG19" s="197">
        <f>AB92</f>
        <v>123.9</v>
      </c>
      <c r="BH19" s="197">
        <f>AD92</f>
        <v>104</v>
      </c>
      <c r="BI19" s="197">
        <f t="shared" ref="BI19:BJ19" si="17">AE92</f>
        <v>206.40000000000003</v>
      </c>
      <c r="BJ19" s="197">
        <f t="shared" si="17"/>
        <v>187.3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7.8</v>
      </c>
      <c r="C20" s="46">
        <v>7.8</v>
      </c>
      <c r="D20" s="46">
        <v>7.8</v>
      </c>
      <c r="E20" s="46">
        <v>7.8</v>
      </c>
      <c r="F20" s="46">
        <v>7.8</v>
      </c>
      <c r="G20" s="46">
        <v>7.8</v>
      </c>
      <c r="H20" s="46">
        <v>7.8</v>
      </c>
      <c r="I20" s="46">
        <v>7.8</v>
      </c>
      <c r="J20" s="46">
        <v>7.8</v>
      </c>
      <c r="K20" s="46">
        <v>7.8</v>
      </c>
      <c r="L20" s="46">
        <v>7.8</v>
      </c>
      <c r="M20" s="46">
        <v>7.8</v>
      </c>
      <c r="N20" s="46">
        <v>7.8</v>
      </c>
      <c r="O20" s="46">
        <v>7.8</v>
      </c>
      <c r="P20" s="46">
        <v>7.8</v>
      </c>
      <c r="Q20" s="46">
        <v>7.8</v>
      </c>
      <c r="R20" s="46">
        <v>7.8</v>
      </c>
      <c r="S20" s="46">
        <v>7.8</v>
      </c>
      <c r="T20" s="46">
        <v>7.8</v>
      </c>
      <c r="U20" s="46">
        <v>7.8</v>
      </c>
      <c r="V20" s="46">
        <v>7.8</v>
      </c>
      <c r="W20" s="46">
        <v>7.8</v>
      </c>
      <c r="X20" s="46">
        <v>7.8</v>
      </c>
      <c r="Y20" s="46">
        <v>7.8</v>
      </c>
      <c r="Z20" s="46">
        <v>7.8</v>
      </c>
      <c r="AA20" s="46">
        <v>7.8</v>
      </c>
      <c r="AB20" s="46">
        <v>7.8</v>
      </c>
      <c r="AC20" s="46">
        <v>7.8</v>
      </c>
      <c r="AD20" s="46">
        <v>7.8</v>
      </c>
      <c r="AE20" s="46">
        <v>7.8</v>
      </c>
      <c r="AF20" s="46">
        <v>7.8</v>
      </c>
      <c r="AG20" s="50">
        <v>38.46</v>
      </c>
      <c r="AH20" s="48">
        <f t="shared" si="10"/>
        <v>7.8</v>
      </c>
      <c r="AI20" s="49">
        <f t="shared" si="11"/>
        <v>7.8</v>
      </c>
      <c r="AK20" s="51"/>
      <c r="AL20" s="54" t="s">
        <v>33</v>
      </c>
      <c r="AM20" s="59">
        <f>B80</f>
        <v>96</v>
      </c>
      <c r="AN20" s="59">
        <f t="shared" ref="AN20:AR20" si="18">C80</f>
        <v>96</v>
      </c>
      <c r="AO20" s="59">
        <f t="shared" si="18"/>
        <v>96</v>
      </c>
      <c r="AP20" s="59">
        <f t="shared" si="18"/>
        <v>96</v>
      </c>
      <c r="AQ20" s="59">
        <f t="shared" si="18"/>
        <v>96</v>
      </c>
      <c r="AR20" s="59">
        <f t="shared" si="18"/>
        <v>96</v>
      </c>
      <c r="AS20" s="59">
        <f>I80</f>
        <v>45</v>
      </c>
      <c r="AT20" s="59">
        <f>K80</f>
        <v>15.4</v>
      </c>
      <c r="AU20" s="59">
        <f t="shared" ref="AU20:BD20" si="19">M80</f>
        <v>46</v>
      </c>
      <c r="AV20" s="59">
        <f t="shared" si="19"/>
        <v>0</v>
      </c>
      <c r="AW20" s="59">
        <f t="shared" si="19"/>
        <v>0</v>
      </c>
      <c r="AX20" s="59">
        <f t="shared" si="19"/>
        <v>0</v>
      </c>
      <c r="AY20" s="59">
        <f t="shared" si="19"/>
        <v>100</v>
      </c>
      <c r="AZ20" s="59">
        <f t="shared" si="19"/>
        <v>0</v>
      </c>
      <c r="BA20" s="59">
        <f t="shared" si="19"/>
        <v>0</v>
      </c>
      <c r="BB20" s="59">
        <f t="shared" si="19"/>
        <v>19.2</v>
      </c>
      <c r="BC20" s="59">
        <f t="shared" si="19"/>
        <v>27.9</v>
      </c>
      <c r="BD20" s="59">
        <f t="shared" si="19"/>
        <v>43.76</v>
      </c>
      <c r="BE20" s="197">
        <f>X80</f>
        <v>44.300000000000004</v>
      </c>
      <c r="BF20" s="197">
        <f>Z80</f>
        <v>93.100000000000009</v>
      </c>
      <c r="BG20" s="197">
        <f>AB80</f>
        <v>94.6</v>
      </c>
      <c r="BH20" s="197">
        <f>AD80</f>
        <v>93.399999999999991</v>
      </c>
      <c r="BI20" s="197">
        <f t="shared" ref="BI20:BJ20" si="20">AE80</f>
        <v>92.5</v>
      </c>
      <c r="BJ20" s="197">
        <f t="shared" si="20"/>
        <v>92.7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11</v>
      </c>
      <c r="C21" s="46">
        <v>11</v>
      </c>
      <c r="D21" s="46">
        <v>11</v>
      </c>
      <c r="E21" s="46">
        <v>11</v>
      </c>
      <c r="F21" s="46">
        <v>11</v>
      </c>
      <c r="G21" s="46">
        <v>11</v>
      </c>
      <c r="H21" s="46">
        <v>11</v>
      </c>
      <c r="I21" s="46">
        <v>11</v>
      </c>
      <c r="J21" s="46">
        <v>11</v>
      </c>
      <c r="K21" s="46">
        <v>11</v>
      </c>
      <c r="L21" s="46">
        <v>11</v>
      </c>
      <c r="M21" s="46">
        <v>11</v>
      </c>
      <c r="N21" s="46">
        <v>11</v>
      </c>
      <c r="O21" s="46">
        <v>11</v>
      </c>
      <c r="P21" s="46">
        <v>11</v>
      </c>
      <c r="Q21" s="46">
        <v>11</v>
      </c>
      <c r="R21" s="46">
        <v>11</v>
      </c>
      <c r="S21" s="46">
        <v>11</v>
      </c>
      <c r="T21" s="46">
        <v>11</v>
      </c>
      <c r="U21" s="46">
        <v>11</v>
      </c>
      <c r="V21" s="46">
        <v>11</v>
      </c>
      <c r="W21" s="46">
        <v>11</v>
      </c>
      <c r="X21" s="46">
        <v>11</v>
      </c>
      <c r="Y21" s="46">
        <v>11</v>
      </c>
      <c r="Z21" s="46">
        <v>11</v>
      </c>
      <c r="AA21" s="46">
        <v>11</v>
      </c>
      <c r="AB21" s="46">
        <v>11</v>
      </c>
      <c r="AC21" s="46">
        <v>11</v>
      </c>
      <c r="AD21" s="46">
        <v>11</v>
      </c>
      <c r="AE21" s="46">
        <v>11</v>
      </c>
      <c r="AF21" s="46">
        <v>11</v>
      </c>
      <c r="AG21" s="50">
        <v>36</v>
      </c>
      <c r="AH21" s="48">
        <f t="shared" si="10"/>
        <v>11</v>
      </c>
      <c r="AI21" s="49">
        <f t="shared" si="11"/>
        <v>11</v>
      </c>
      <c r="AK21" s="51"/>
      <c r="AL21" s="54" t="s">
        <v>35</v>
      </c>
      <c r="AM21" s="59">
        <f>B98</f>
        <v>300</v>
      </c>
      <c r="AN21" s="59">
        <f t="shared" ref="AN21:AR21" si="21">C98</f>
        <v>300</v>
      </c>
      <c r="AO21" s="59">
        <f t="shared" si="21"/>
        <v>300</v>
      </c>
      <c r="AP21" s="59">
        <f t="shared" si="21"/>
        <v>300</v>
      </c>
      <c r="AQ21" s="59">
        <f t="shared" si="21"/>
        <v>300</v>
      </c>
      <c r="AR21" s="59">
        <f t="shared" si="21"/>
        <v>300</v>
      </c>
      <c r="AS21" s="59">
        <f>I98</f>
        <v>200</v>
      </c>
      <c r="AT21" s="59">
        <f>K98</f>
        <v>0</v>
      </c>
      <c r="AU21" s="59">
        <f t="shared" ref="AU21:BD21" si="22">M98</f>
        <v>0</v>
      </c>
      <c r="AV21" s="59">
        <f t="shared" si="22"/>
        <v>0</v>
      </c>
      <c r="AW21" s="59">
        <f t="shared" si="22"/>
        <v>0</v>
      </c>
      <c r="AX21" s="59">
        <f t="shared" si="22"/>
        <v>0</v>
      </c>
      <c r="AY21" s="59">
        <f t="shared" si="22"/>
        <v>0</v>
      </c>
      <c r="AZ21" s="59">
        <f t="shared" si="22"/>
        <v>0</v>
      </c>
      <c r="BA21" s="59">
        <f t="shared" si="22"/>
        <v>0</v>
      </c>
      <c r="BB21" s="59">
        <f t="shared" si="22"/>
        <v>0</v>
      </c>
      <c r="BC21" s="59">
        <f t="shared" si="22"/>
        <v>0</v>
      </c>
      <c r="BD21" s="59">
        <f t="shared" si="22"/>
        <v>0</v>
      </c>
      <c r="BE21" s="197">
        <f>X98</f>
        <v>0</v>
      </c>
      <c r="BF21" s="197">
        <f>Z98</f>
        <v>300</v>
      </c>
      <c r="BG21" s="197">
        <f>AB98</f>
        <v>290</v>
      </c>
      <c r="BH21" s="197">
        <f>AD98</f>
        <v>280</v>
      </c>
      <c r="BI21" s="197">
        <f t="shared" ref="BI21:BJ21" si="23">AE98</f>
        <v>280</v>
      </c>
      <c r="BJ21" s="197">
        <f t="shared" si="23"/>
        <v>280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8.8000000000000007</v>
      </c>
      <c r="C22" s="46">
        <v>8.8000000000000007</v>
      </c>
      <c r="D22" s="46">
        <v>8.8000000000000007</v>
      </c>
      <c r="E22" s="46">
        <v>8.8000000000000007</v>
      </c>
      <c r="F22" s="46">
        <v>8.8000000000000007</v>
      </c>
      <c r="G22" s="46">
        <v>8.8000000000000007</v>
      </c>
      <c r="H22" s="46">
        <v>8.8000000000000007</v>
      </c>
      <c r="I22" s="46">
        <v>8.8000000000000007</v>
      </c>
      <c r="J22" s="46">
        <v>8.8000000000000007</v>
      </c>
      <c r="K22" s="46">
        <v>8.8000000000000007</v>
      </c>
      <c r="L22" s="46">
        <v>8.8000000000000007</v>
      </c>
      <c r="M22" s="46">
        <v>8.8000000000000007</v>
      </c>
      <c r="N22" s="46">
        <v>8.8000000000000007</v>
      </c>
      <c r="O22" s="46">
        <v>8.8000000000000007</v>
      </c>
      <c r="P22" s="46">
        <v>8.8000000000000007</v>
      </c>
      <c r="Q22" s="46">
        <v>8.8000000000000007</v>
      </c>
      <c r="R22" s="46">
        <v>8.8000000000000007</v>
      </c>
      <c r="S22" s="46">
        <v>8.8000000000000007</v>
      </c>
      <c r="T22" s="46">
        <v>8.8000000000000007</v>
      </c>
      <c r="U22" s="46">
        <v>8.8000000000000007</v>
      </c>
      <c r="V22" s="46">
        <v>8.8000000000000007</v>
      </c>
      <c r="W22" s="46">
        <v>8.8000000000000007</v>
      </c>
      <c r="X22" s="46">
        <v>8.8000000000000007</v>
      </c>
      <c r="Y22" s="46">
        <v>8.8000000000000007</v>
      </c>
      <c r="Z22" s="46">
        <v>8.8000000000000007</v>
      </c>
      <c r="AA22" s="46">
        <v>9.1</v>
      </c>
      <c r="AB22" s="46">
        <v>8.5</v>
      </c>
      <c r="AC22" s="46">
        <v>8.5</v>
      </c>
      <c r="AD22" s="46">
        <v>8.5</v>
      </c>
      <c r="AE22" s="46">
        <v>8.5</v>
      </c>
      <c r="AF22" s="46">
        <v>8.5</v>
      </c>
      <c r="AG22" s="60">
        <v>30</v>
      </c>
      <c r="AH22" s="48">
        <f t="shared" si="10"/>
        <v>9.1</v>
      </c>
      <c r="AI22" s="49">
        <f t="shared" si="11"/>
        <v>8.5</v>
      </c>
      <c r="AK22" s="51"/>
      <c r="AL22" s="61" t="s">
        <v>37</v>
      </c>
      <c r="AM22" s="62">
        <f>SUM(AM16:AM21)</f>
        <v>1410.8899999999999</v>
      </c>
      <c r="AN22" s="62">
        <f t="shared" ref="AN22:BJ22" si="24">SUM(AN16:AN21)</f>
        <v>1374.8899999999999</v>
      </c>
      <c r="AO22" s="62">
        <f t="shared" si="24"/>
        <v>1349.8899999999999</v>
      </c>
      <c r="AP22" s="62">
        <f t="shared" si="24"/>
        <v>1324.4899999999998</v>
      </c>
      <c r="AQ22" s="62">
        <f t="shared" si="24"/>
        <v>1311.5900000000001</v>
      </c>
      <c r="AR22" s="62">
        <f t="shared" si="24"/>
        <v>1329.59</v>
      </c>
      <c r="AS22" s="62">
        <f t="shared" si="24"/>
        <v>1408.59</v>
      </c>
      <c r="AT22" s="62">
        <f t="shared" si="24"/>
        <v>1517.8899999999999</v>
      </c>
      <c r="AU22" s="62">
        <f t="shared" si="24"/>
        <v>1551.19</v>
      </c>
      <c r="AV22" s="62">
        <f t="shared" si="24"/>
        <v>1525.5900000000001</v>
      </c>
      <c r="AW22" s="62">
        <f t="shared" si="24"/>
        <v>1532.99</v>
      </c>
      <c r="AX22" s="62">
        <f t="shared" si="24"/>
        <v>1559.29</v>
      </c>
      <c r="AY22" s="62">
        <f t="shared" si="24"/>
        <v>1452.09</v>
      </c>
      <c r="AZ22" s="62">
        <f t="shared" si="24"/>
        <v>1435.69</v>
      </c>
      <c r="BA22" s="62">
        <f t="shared" si="24"/>
        <v>1488.0899999999997</v>
      </c>
      <c r="BB22" s="62">
        <f t="shared" si="24"/>
        <v>1507.29</v>
      </c>
      <c r="BC22" s="62">
        <f t="shared" si="24"/>
        <v>1480.79</v>
      </c>
      <c r="BD22" s="62">
        <f t="shared" si="24"/>
        <v>1460.35</v>
      </c>
      <c r="BE22" s="62">
        <f t="shared" si="24"/>
        <v>1334.8899999999999</v>
      </c>
      <c r="BF22" s="62">
        <f t="shared" si="24"/>
        <v>1790.99</v>
      </c>
      <c r="BG22" s="62">
        <f t="shared" si="24"/>
        <v>1711.89</v>
      </c>
      <c r="BH22" s="62">
        <f t="shared" si="24"/>
        <v>1618.89</v>
      </c>
      <c r="BI22" s="62">
        <f t="shared" si="24"/>
        <v>1502.49</v>
      </c>
      <c r="BJ22" s="62">
        <f t="shared" si="24"/>
        <v>1420.3899999999999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4.5</v>
      </c>
      <c r="C23" s="46">
        <v>4.5</v>
      </c>
      <c r="D23" s="46">
        <v>4.5</v>
      </c>
      <c r="E23" s="46">
        <v>4.5</v>
      </c>
      <c r="F23" s="46">
        <v>4.5</v>
      </c>
      <c r="G23" s="46">
        <v>4.5</v>
      </c>
      <c r="H23" s="46">
        <v>4.5</v>
      </c>
      <c r="I23" s="46">
        <v>4.5</v>
      </c>
      <c r="J23" s="46">
        <v>4.5</v>
      </c>
      <c r="K23" s="46">
        <v>4.5</v>
      </c>
      <c r="L23" s="46">
        <v>4.5</v>
      </c>
      <c r="M23" s="46">
        <v>4.5</v>
      </c>
      <c r="N23" s="46">
        <v>4.5</v>
      </c>
      <c r="O23" s="46">
        <v>4.5</v>
      </c>
      <c r="P23" s="46">
        <v>4.5</v>
      </c>
      <c r="Q23" s="46">
        <v>4.5</v>
      </c>
      <c r="R23" s="46">
        <v>4.5</v>
      </c>
      <c r="S23" s="46">
        <v>4.5</v>
      </c>
      <c r="T23" s="46">
        <v>4.5</v>
      </c>
      <c r="U23" s="46">
        <v>4.5</v>
      </c>
      <c r="V23" s="46">
        <v>4.5</v>
      </c>
      <c r="W23" s="46">
        <v>4.5</v>
      </c>
      <c r="X23" s="46">
        <v>4.5</v>
      </c>
      <c r="Y23" s="46">
        <v>4.5</v>
      </c>
      <c r="Z23" s="46">
        <v>4.5</v>
      </c>
      <c r="AA23" s="46">
        <v>4.5</v>
      </c>
      <c r="AB23" s="46">
        <v>4.5</v>
      </c>
      <c r="AC23" s="46">
        <v>4.5</v>
      </c>
      <c r="AD23" s="46">
        <v>4.5</v>
      </c>
      <c r="AE23" s="46">
        <v>4.5</v>
      </c>
      <c r="AF23" s="46">
        <v>4.5</v>
      </c>
      <c r="AG23" s="50">
        <v>24.2</v>
      </c>
      <c r="AH23" s="48">
        <f t="shared" si="10"/>
        <v>4.5</v>
      </c>
      <c r="AI23" s="49">
        <f t="shared" si="11"/>
        <v>4.5</v>
      </c>
      <c r="AK23" s="51"/>
      <c r="AL23" s="61" t="s">
        <v>39</v>
      </c>
      <c r="AM23" s="62">
        <f>B107*-1</f>
        <v>0</v>
      </c>
      <c r="AN23" s="62">
        <f t="shared" ref="AN23:AR23" si="25">C107*-1</f>
        <v>0</v>
      </c>
      <c r="AO23" s="62">
        <f t="shared" si="25"/>
        <v>0</v>
      </c>
      <c r="AP23" s="62">
        <f t="shared" si="25"/>
        <v>0</v>
      </c>
      <c r="AQ23" s="62">
        <f t="shared" si="25"/>
        <v>0</v>
      </c>
      <c r="AR23" s="62">
        <f t="shared" si="25"/>
        <v>0</v>
      </c>
      <c r="AS23" s="62">
        <f>I107*-1</f>
        <v>0</v>
      </c>
      <c r="AT23" s="62">
        <f>K107*-1</f>
        <v>0</v>
      </c>
      <c r="AU23" s="62">
        <f t="shared" ref="AU23:BD23" si="26">M107*-1</f>
        <v>0</v>
      </c>
      <c r="AV23" s="62">
        <f t="shared" si="26"/>
        <v>0</v>
      </c>
      <c r="AW23" s="62">
        <f t="shared" si="26"/>
        <v>0</v>
      </c>
      <c r="AX23" s="62">
        <f t="shared" si="26"/>
        <v>0</v>
      </c>
      <c r="AY23" s="62">
        <f t="shared" si="26"/>
        <v>0</v>
      </c>
      <c r="AZ23" s="62">
        <f t="shared" si="26"/>
        <v>0</v>
      </c>
      <c r="BA23" s="62">
        <f t="shared" si="26"/>
        <v>0</v>
      </c>
      <c r="BB23" s="62">
        <f t="shared" si="26"/>
        <v>0</v>
      </c>
      <c r="BC23" s="62">
        <f t="shared" si="26"/>
        <v>0</v>
      </c>
      <c r="BD23" s="62">
        <f t="shared" si="26"/>
        <v>0</v>
      </c>
      <c r="BE23" s="62">
        <f>X107*-1</f>
        <v>0</v>
      </c>
      <c r="BF23" s="62">
        <f>Z107*-1</f>
        <v>0</v>
      </c>
      <c r="BG23" s="62">
        <f>AB107*-1</f>
        <v>0</v>
      </c>
      <c r="BH23" s="62">
        <f>AD107*-1</f>
        <v>0</v>
      </c>
      <c r="BI23" s="62">
        <f t="shared" ref="BI23:BJ23" si="27">AE107*-1</f>
        <v>0</v>
      </c>
      <c r="BJ23" s="62">
        <f t="shared" si="27"/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6.5</v>
      </c>
      <c r="C24" s="46">
        <v>6.5</v>
      </c>
      <c r="D24" s="46">
        <v>6.5</v>
      </c>
      <c r="E24" s="46">
        <v>6.5</v>
      </c>
      <c r="F24" s="46">
        <v>6.5</v>
      </c>
      <c r="G24" s="46">
        <v>6.5</v>
      </c>
      <c r="H24" s="46">
        <v>6.5</v>
      </c>
      <c r="I24" s="46">
        <v>6.5</v>
      </c>
      <c r="J24" s="46">
        <v>6.5</v>
      </c>
      <c r="K24" s="46">
        <v>6.5</v>
      </c>
      <c r="L24" s="46">
        <v>6.5</v>
      </c>
      <c r="M24" s="46">
        <v>6.5</v>
      </c>
      <c r="N24" s="46">
        <v>6.5</v>
      </c>
      <c r="O24" s="46">
        <v>6.5</v>
      </c>
      <c r="P24" s="46">
        <v>6.5</v>
      </c>
      <c r="Q24" s="46">
        <v>6.5</v>
      </c>
      <c r="R24" s="46">
        <v>6.5</v>
      </c>
      <c r="S24" s="46">
        <v>6.5</v>
      </c>
      <c r="T24" s="46">
        <v>6.5</v>
      </c>
      <c r="U24" s="46">
        <v>6.5</v>
      </c>
      <c r="V24" s="46">
        <v>6.5</v>
      </c>
      <c r="W24" s="46">
        <v>6.5</v>
      </c>
      <c r="X24" s="46">
        <v>6.5</v>
      </c>
      <c r="Y24" s="46">
        <v>6.5</v>
      </c>
      <c r="Z24" s="46">
        <v>6.5</v>
      </c>
      <c r="AA24" s="46">
        <v>6.5</v>
      </c>
      <c r="AB24" s="46">
        <v>6.5</v>
      </c>
      <c r="AC24" s="46">
        <v>6.5</v>
      </c>
      <c r="AD24" s="46">
        <v>6.5</v>
      </c>
      <c r="AE24" s="46">
        <v>6.5</v>
      </c>
      <c r="AF24" s="46">
        <v>6.5</v>
      </c>
      <c r="AG24" s="50">
        <v>28</v>
      </c>
      <c r="AH24" s="48">
        <f t="shared" si="10"/>
        <v>6.5</v>
      </c>
      <c r="AI24" s="49">
        <f t="shared" si="11"/>
        <v>6.5</v>
      </c>
      <c r="AK24" s="51"/>
      <c r="AL24" s="61" t="s">
        <v>41</v>
      </c>
      <c r="AM24" s="62">
        <f>AM22+AM23</f>
        <v>1410.8899999999999</v>
      </c>
      <c r="AN24" s="62">
        <f t="shared" ref="AN24:BJ24" si="28">AN22+AN23</f>
        <v>1374.8899999999999</v>
      </c>
      <c r="AO24" s="62">
        <f t="shared" si="28"/>
        <v>1349.8899999999999</v>
      </c>
      <c r="AP24" s="62">
        <f t="shared" si="28"/>
        <v>1324.4899999999998</v>
      </c>
      <c r="AQ24" s="62">
        <f t="shared" si="28"/>
        <v>1311.5900000000001</v>
      </c>
      <c r="AR24" s="62">
        <f t="shared" si="28"/>
        <v>1329.59</v>
      </c>
      <c r="AS24" s="62">
        <f t="shared" si="28"/>
        <v>1408.59</v>
      </c>
      <c r="AT24" s="62">
        <f t="shared" si="28"/>
        <v>1517.8899999999999</v>
      </c>
      <c r="AU24" s="62">
        <f t="shared" si="28"/>
        <v>1551.19</v>
      </c>
      <c r="AV24" s="62">
        <f t="shared" si="28"/>
        <v>1525.5900000000001</v>
      </c>
      <c r="AW24" s="62">
        <f t="shared" si="28"/>
        <v>1532.99</v>
      </c>
      <c r="AX24" s="62">
        <f t="shared" si="28"/>
        <v>1559.29</v>
      </c>
      <c r="AY24" s="62">
        <f t="shared" si="28"/>
        <v>1452.09</v>
      </c>
      <c r="AZ24" s="62">
        <f t="shared" si="28"/>
        <v>1435.69</v>
      </c>
      <c r="BA24" s="62">
        <f t="shared" si="28"/>
        <v>1488.0899999999997</v>
      </c>
      <c r="BB24" s="62">
        <f t="shared" si="28"/>
        <v>1507.29</v>
      </c>
      <c r="BC24" s="62">
        <f t="shared" si="28"/>
        <v>1480.79</v>
      </c>
      <c r="BD24" s="62">
        <f t="shared" si="28"/>
        <v>1460.35</v>
      </c>
      <c r="BE24" s="62">
        <f t="shared" si="28"/>
        <v>1334.8899999999999</v>
      </c>
      <c r="BF24" s="62">
        <f t="shared" si="28"/>
        <v>1790.99</v>
      </c>
      <c r="BG24" s="62">
        <f t="shared" si="28"/>
        <v>1711.89</v>
      </c>
      <c r="BH24" s="62">
        <f t="shared" si="28"/>
        <v>1618.89</v>
      </c>
      <c r="BI24" s="62">
        <f t="shared" si="28"/>
        <v>1502.49</v>
      </c>
      <c r="BJ24" s="62">
        <f t="shared" si="28"/>
        <v>1420.3899999999999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8</v>
      </c>
      <c r="C25" s="46">
        <v>8</v>
      </c>
      <c r="D25" s="46">
        <v>8</v>
      </c>
      <c r="E25" s="46">
        <v>8</v>
      </c>
      <c r="F25" s="46">
        <v>8</v>
      </c>
      <c r="G25" s="46">
        <v>8</v>
      </c>
      <c r="H25" s="46">
        <v>8</v>
      </c>
      <c r="I25" s="46">
        <v>8</v>
      </c>
      <c r="J25" s="46">
        <v>8</v>
      </c>
      <c r="K25" s="46">
        <v>8</v>
      </c>
      <c r="L25" s="46">
        <v>8</v>
      </c>
      <c r="M25" s="46">
        <v>8</v>
      </c>
      <c r="N25" s="46">
        <v>8</v>
      </c>
      <c r="O25" s="46">
        <v>8</v>
      </c>
      <c r="P25" s="46">
        <v>8</v>
      </c>
      <c r="Q25" s="46">
        <v>8</v>
      </c>
      <c r="R25" s="46">
        <v>8</v>
      </c>
      <c r="S25" s="46">
        <v>8</v>
      </c>
      <c r="T25" s="46">
        <v>8</v>
      </c>
      <c r="U25" s="46">
        <v>8</v>
      </c>
      <c r="V25" s="46">
        <v>8</v>
      </c>
      <c r="W25" s="46">
        <v>8</v>
      </c>
      <c r="X25" s="46">
        <v>8</v>
      </c>
      <c r="Y25" s="46">
        <v>8</v>
      </c>
      <c r="Z25" s="46">
        <v>8</v>
      </c>
      <c r="AA25" s="46">
        <v>6.8</v>
      </c>
      <c r="AB25" s="46">
        <v>6.8</v>
      </c>
      <c r="AC25" s="46">
        <v>6.8</v>
      </c>
      <c r="AD25" s="46">
        <v>6.8</v>
      </c>
      <c r="AE25" s="46">
        <v>6.8</v>
      </c>
      <c r="AF25" s="46">
        <v>6.8</v>
      </c>
      <c r="AG25" s="60">
        <v>30</v>
      </c>
      <c r="AH25" s="48">
        <f t="shared" si="10"/>
        <v>8</v>
      </c>
      <c r="AI25" s="49">
        <f t="shared" si="11"/>
        <v>6.8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9.4</v>
      </c>
      <c r="C26" s="46">
        <v>9.4</v>
      </c>
      <c r="D26" s="46">
        <v>9.4</v>
      </c>
      <c r="E26" s="46">
        <v>9.4</v>
      </c>
      <c r="F26" s="46">
        <v>9.4</v>
      </c>
      <c r="G26" s="46">
        <v>9.4</v>
      </c>
      <c r="H26" s="46">
        <v>9.4</v>
      </c>
      <c r="I26" s="46">
        <v>9.4</v>
      </c>
      <c r="J26" s="46">
        <v>9.4</v>
      </c>
      <c r="K26" s="46">
        <v>9.4</v>
      </c>
      <c r="L26" s="46">
        <v>9.4</v>
      </c>
      <c r="M26" s="46">
        <v>9.4</v>
      </c>
      <c r="N26" s="46">
        <v>9.4</v>
      </c>
      <c r="O26" s="46">
        <v>9.4</v>
      </c>
      <c r="P26" s="46">
        <v>9.4</v>
      </c>
      <c r="Q26" s="46">
        <v>9.4</v>
      </c>
      <c r="R26" s="46">
        <v>9.4</v>
      </c>
      <c r="S26" s="46">
        <v>9.4</v>
      </c>
      <c r="T26" s="46">
        <v>9.4</v>
      </c>
      <c r="U26" s="46">
        <v>9.4</v>
      </c>
      <c r="V26" s="46">
        <v>9.4</v>
      </c>
      <c r="W26" s="46">
        <v>9.4</v>
      </c>
      <c r="X26" s="46">
        <v>9.4</v>
      </c>
      <c r="Y26" s="46">
        <v>9.4</v>
      </c>
      <c r="Z26" s="46">
        <v>9.4</v>
      </c>
      <c r="AA26" s="46">
        <v>11.1</v>
      </c>
      <c r="AB26" s="46">
        <v>11.1</v>
      </c>
      <c r="AC26" s="46">
        <v>11.1</v>
      </c>
      <c r="AD26" s="46">
        <v>11.1</v>
      </c>
      <c r="AE26" s="46">
        <v>11.1</v>
      </c>
      <c r="AF26" s="46">
        <v>11.1</v>
      </c>
      <c r="AG26" s="50">
        <v>25</v>
      </c>
      <c r="AH26" s="48">
        <f t="shared" si="10"/>
        <v>11.1</v>
      </c>
      <c r="AI26" s="49">
        <f t="shared" si="11"/>
        <v>9.4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5</v>
      </c>
      <c r="N27" s="46">
        <v>5</v>
      </c>
      <c r="O27" s="46">
        <v>5</v>
      </c>
      <c r="P27" s="46">
        <v>5</v>
      </c>
      <c r="Q27" s="46">
        <v>5</v>
      </c>
      <c r="R27" s="46">
        <v>5</v>
      </c>
      <c r="S27" s="46">
        <v>5</v>
      </c>
      <c r="T27" s="46">
        <v>5</v>
      </c>
      <c r="U27" s="46">
        <v>5</v>
      </c>
      <c r="V27" s="46">
        <v>5</v>
      </c>
      <c r="W27" s="46">
        <v>5</v>
      </c>
      <c r="X27" s="46">
        <v>5</v>
      </c>
      <c r="Y27" s="46">
        <v>5</v>
      </c>
      <c r="Z27" s="46">
        <v>5</v>
      </c>
      <c r="AA27" s="46">
        <v>5</v>
      </c>
      <c r="AB27" s="46">
        <v>5</v>
      </c>
      <c r="AC27" s="46">
        <v>5</v>
      </c>
      <c r="AD27" s="46">
        <v>5</v>
      </c>
      <c r="AE27" s="46">
        <v>5</v>
      </c>
      <c r="AF27" s="46">
        <v>5</v>
      </c>
      <c r="AG27" s="50">
        <v>25</v>
      </c>
      <c r="AH27" s="48">
        <f t="shared" si="10"/>
        <v>5</v>
      </c>
      <c r="AI27" s="49">
        <f t="shared" si="11"/>
        <v>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10</v>
      </c>
      <c r="C28" s="46">
        <v>10</v>
      </c>
      <c r="D28" s="46">
        <v>10</v>
      </c>
      <c r="E28" s="46">
        <v>10</v>
      </c>
      <c r="F28" s="46">
        <v>10</v>
      </c>
      <c r="G28" s="46">
        <v>10</v>
      </c>
      <c r="H28" s="46">
        <v>10</v>
      </c>
      <c r="I28" s="46">
        <v>10</v>
      </c>
      <c r="J28" s="46">
        <v>10</v>
      </c>
      <c r="K28" s="46">
        <v>10</v>
      </c>
      <c r="L28" s="46">
        <v>10</v>
      </c>
      <c r="M28" s="46">
        <v>10</v>
      </c>
      <c r="N28" s="46">
        <v>10</v>
      </c>
      <c r="O28" s="46">
        <v>10</v>
      </c>
      <c r="P28" s="46">
        <v>10</v>
      </c>
      <c r="Q28" s="46">
        <v>10</v>
      </c>
      <c r="R28" s="46">
        <v>10</v>
      </c>
      <c r="S28" s="46">
        <v>10</v>
      </c>
      <c r="T28" s="46">
        <v>10</v>
      </c>
      <c r="U28" s="46">
        <v>10</v>
      </c>
      <c r="V28" s="46">
        <v>10</v>
      </c>
      <c r="W28" s="46">
        <v>10</v>
      </c>
      <c r="X28" s="46">
        <v>10</v>
      </c>
      <c r="Y28" s="46">
        <v>10</v>
      </c>
      <c r="Z28" s="46">
        <v>10</v>
      </c>
      <c r="AA28" s="46">
        <v>10</v>
      </c>
      <c r="AB28" s="46">
        <v>10</v>
      </c>
      <c r="AC28" s="46">
        <v>10</v>
      </c>
      <c r="AD28" s="46">
        <v>10</v>
      </c>
      <c r="AE28" s="46">
        <v>10</v>
      </c>
      <c r="AF28" s="46">
        <v>10</v>
      </c>
      <c r="AG28" s="50">
        <v>25</v>
      </c>
      <c r="AH28" s="48">
        <f t="shared" si="10"/>
        <v>10</v>
      </c>
      <c r="AI28" s="49">
        <f t="shared" si="11"/>
        <v>10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8.9</v>
      </c>
      <c r="C29" s="46">
        <v>8.9</v>
      </c>
      <c r="D29" s="46">
        <v>8.9</v>
      </c>
      <c r="E29" s="46">
        <v>8.9</v>
      </c>
      <c r="F29" s="46">
        <v>8.9</v>
      </c>
      <c r="G29" s="46">
        <v>8.9</v>
      </c>
      <c r="H29" s="46">
        <v>8.9</v>
      </c>
      <c r="I29" s="46">
        <v>8.9</v>
      </c>
      <c r="J29" s="46">
        <v>8.9</v>
      </c>
      <c r="K29" s="46">
        <v>8.9</v>
      </c>
      <c r="L29" s="46">
        <v>8.9</v>
      </c>
      <c r="M29" s="46">
        <v>8.9</v>
      </c>
      <c r="N29" s="46">
        <v>8.9</v>
      </c>
      <c r="O29" s="46">
        <v>8.9</v>
      </c>
      <c r="P29" s="46">
        <v>8.9</v>
      </c>
      <c r="Q29" s="46">
        <v>8.9</v>
      </c>
      <c r="R29" s="46">
        <v>8.9</v>
      </c>
      <c r="S29" s="46">
        <v>8.9</v>
      </c>
      <c r="T29" s="46">
        <v>8.9</v>
      </c>
      <c r="U29" s="46">
        <v>8.9</v>
      </c>
      <c r="V29" s="46">
        <v>8.9</v>
      </c>
      <c r="W29" s="46">
        <v>8.9</v>
      </c>
      <c r="X29" s="46">
        <v>8.9</v>
      </c>
      <c r="Y29" s="46">
        <v>8.9</v>
      </c>
      <c r="Z29" s="46">
        <v>8.9</v>
      </c>
      <c r="AA29" s="46">
        <v>8.6999999999999993</v>
      </c>
      <c r="AB29" s="46">
        <v>8.6999999999999993</v>
      </c>
      <c r="AC29" s="46">
        <v>8.6999999999999993</v>
      </c>
      <c r="AD29" s="46">
        <v>8.6999999999999993</v>
      </c>
      <c r="AE29" s="46">
        <v>8.6999999999999993</v>
      </c>
      <c r="AF29" s="46">
        <v>8.6999999999999993</v>
      </c>
      <c r="AG29" s="50">
        <v>25</v>
      </c>
      <c r="AH29" s="48">
        <f t="shared" si="10"/>
        <v>8.9</v>
      </c>
      <c r="AI29" s="49">
        <f t="shared" si="11"/>
        <v>8.6999999999999993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5.6</v>
      </c>
      <c r="C30" s="46">
        <v>5.6</v>
      </c>
      <c r="D30" s="46">
        <v>5.6</v>
      </c>
      <c r="E30" s="46">
        <v>5.6</v>
      </c>
      <c r="F30" s="46">
        <v>5.6</v>
      </c>
      <c r="G30" s="46">
        <v>5.6</v>
      </c>
      <c r="H30" s="46">
        <v>5.6</v>
      </c>
      <c r="I30" s="46">
        <v>5.6</v>
      </c>
      <c r="J30" s="46">
        <v>5.6</v>
      </c>
      <c r="K30" s="46">
        <v>5.6</v>
      </c>
      <c r="L30" s="46">
        <v>5.6</v>
      </c>
      <c r="M30" s="46">
        <v>5.6</v>
      </c>
      <c r="N30" s="46">
        <v>5.6</v>
      </c>
      <c r="O30" s="46">
        <v>5.6</v>
      </c>
      <c r="P30" s="46">
        <v>5.6</v>
      </c>
      <c r="Q30" s="46">
        <v>5.6</v>
      </c>
      <c r="R30" s="46">
        <v>5.6</v>
      </c>
      <c r="S30" s="46">
        <v>5.6</v>
      </c>
      <c r="T30" s="46">
        <v>5.6</v>
      </c>
      <c r="U30" s="46">
        <v>5.6</v>
      </c>
      <c r="V30" s="46">
        <v>5.6</v>
      </c>
      <c r="W30" s="46">
        <v>5.6</v>
      </c>
      <c r="X30" s="46">
        <v>5.6</v>
      </c>
      <c r="Y30" s="46">
        <v>5.6</v>
      </c>
      <c r="Z30" s="46">
        <v>5.6</v>
      </c>
      <c r="AA30" s="46">
        <v>5.6</v>
      </c>
      <c r="AB30" s="46">
        <v>5.6</v>
      </c>
      <c r="AC30" s="46">
        <v>5.6</v>
      </c>
      <c r="AD30" s="46">
        <v>5.6</v>
      </c>
      <c r="AE30" s="46">
        <v>5.6</v>
      </c>
      <c r="AF30" s="46">
        <v>5.6</v>
      </c>
      <c r="AG30" s="50">
        <v>23.5</v>
      </c>
      <c r="AH30" s="48">
        <f t="shared" si="10"/>
        <v>5.6</v>
      </c>
      <c r="AI30" s="49">
        <f t="shared" si="11"/>
        <v>5.6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>
        <v>3</v>
      </c>
      <c r="V31" s="46">
        <v>3</v>
      </c>
      <c r="W31" s="46">
        <v>3</v>
      </c>
      <c r="X31" s="46">
        <v>3</v>
      </c>
      <c r="Y31" s="46">
        <v>3</v>
      </c>
      <c r="Z31" s="46">
        <v>3</v>
      </c>
      <c r="AA31" s="46">
        <v>3</v>
      </c>
      <c r="AB31" s="46">
        <v>3</v>
      </c>
      <c r="AC31" s="46">
        <v>3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10"/>
        <v>3</v>
      </c>
      <c r="AI31" s="49">
        <f t="shared" si="11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5.5</v>
      </c>
      <c r="Q32" s="46">
        <v>5.5</v>
      </c>
      <c r="R32" s="46">
        <v>5.5</v>
      </c>
      <c r="S32" s="46">
        <v>5.5</v>
      </c>
      <c r="T32" s="46">
        <v>5.5</v>
      </c>
      <c r="U32" s="46">
        <v>5.5</v>
      </c>
      <c r="V32" s="46">
        <v>5.5</v>
      </c>
      <c r="W32" s="46">
        <v>5.5</v>
      </c>
      <c r="X32" s="46">
        <v>5.5</v>
      </c>
      <c r="Y32" s="46">
        <v>5.5</v>
      </c>
      <c r="Z32" s="46">
        <v>5.5</v>
      </c>
      <c r="AA32" s="46">
        <v>5.5</v>
      </c>
      <c r="AB32" s="46">
        <v>5.5</v>
      </c>
      <c r="AC32" s="46">
        <v>5.5</v>
      </c>
      <c r="AD32" s="46">
        <v>5.5</v>
      </c>
      <c r="AE32" s="46">
        <v>5.5</v>
      </c>
      <c r="AF32" s="46">
        <v>5.5</v>
      </c>
      <c r="AG32" s="50">
        <v>22.1</v>
      </c>
      <c r="AH32" s="48">
        <f t="shared" si="10"/>
        <v>5.5</v>
      </c>
      <c r="AI32" s="49">
        <f t="shared" si="11"/>
        <v>5.5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5</v>
      </c>
      <c r="C33" s="46">
        <v>5</v>
      </c>
      <c r="D33" s="46">
        <v>5</v>
      </c>
      <c r="E33" s="46">
        <v>5</v>
      </c>
      <c r="F33" s="46">
        <v>5</v>
      </c>
      <c r="G33" s="46">
        <v>5</v>
      </c>
      <c r="H33" s="46">
        <v>5</v>
      </c>
      <c r="I33" s="46">
        <v>5</v>
      </c>
      <c r="J33" s="46">
        <v>5</v>
      </c>
      <c r="K33" s="46">
        <v>5</v>
      </c>
      <c r="L33" s="46">
        <v>5</v>
      </c>
      <c r="M33" s="46">
        <v>5</v>
      </c>
      <c r="N33" s="46">
        <v>5</v>
      </c>
      <c r="O33" s="46">
        <v>5</v>
      </c>
      <c r="P33" s="46">
        <v>5</v>
      </c>
      <c r="Q33" s="46">
        <v>5</v>
      </c>
      <c r="R33" s="46">
        <v>5</v>
      </c>
      <c r="S33" s="46">
        <v>5</v>
      </c>
      <c r="T33" s="46">
        <v>5</v>
      </c>
      <c r="U33" s="46">
        <v>5</v>
      </c>
      <c r="V33" s="46">
        <v>5</v>
      </c>
      <c r="W33" s="46">
        <v>5</v>
      </c>
      <c r="X33" s="46">
        <v>5</v>
      </c>
      <c r="Y33" s="46">
        <v>5</v>
      </c>
      <c r="Z33" s="46">
        <v>5</v>
      </c>
      <c r="AA33" s="46">
        <v>5</v>
      </c>
      <c r="AB33" s="46">
        <v>5</v>
      </c>
      <c r="AC33" s="46">
        <v>5</v>
      </c>
      <c r="AD33" s="46">
        <v>5</v>
      </c>
      <c r="AE33" s="46">
        <v>5</v>
      </c>
      <c r="AF33" s="46">
        <v>5</v>
      </c>
      <c r="AG33" s="50">
        <v>22</v>
      </c>
      <c r="AH33" s="48">
        <f t="shared" si="10"/>
        <v>5</v>
      </c>
      <c r="AI33" s="49">
        <f t="shared" si="11"/>
        <v>5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6</v>
      </c>
      <c r="C34" s="46">
        <v>6</v>
      </c>
      <c r="D34" s="46">
        <v>6</v>
      </c>
      <c r="E34" s="46">
        <v>6</v>
      </c>
      <c r="F34" s="46">
        <v>6</v>
      </c>
      <c r="G34" s="46">
        <v>6</v>
      </c>
      <c r="H34" s="46">
        <v>6</v>
      </c>
      <c r="I34" s="46">
        <v>6</v>
      </c>
      <c r="J34" s="46">
        <v>6</v>
      </c>
      <c r="K34" s="46">
        <v>6</v>
      </c>
      <c r="L34" s="46">
        <v>6</v>
      </c>
      <c r="M34" s="46">
        <v>6</v>
      </c>
      <c r="N34" s="46">
        <v>6</v>
      </c>
      <c r="O34" s="46">
        <v>6</v>
      </c>
      <c r="P34" s="46">
        <v>6</v>
      </c>
      <c r="Q34" s="46">
        <v>6</v>
      </c>
      <c r="R34" s="46">
        <v>6</v>
      </c>
      <c r="S34" s="46">
        <v>6</v>
      </c>
      <c r="T34" s="46">
        <v>6</v>
      </c>
      <c r="U34" s="46">
        <v>6</v>
      </c>
      <c r="V34" s="46">
        <v>6</v>
      </c>
      <c r="W34" s="46">
        <v>6</v>
      </c>
      <c r="X34" s="46">
        <v>6</v>
      </c>
      <c r="Y34" s="46">
        <v>6</v>
      </c>
      <c r="Z34" s="46">
        <v>6</v>
      </c>
      <c r="AA34" s="46">
        <v>6</v>
      </c>
      <c r="AB34" s="46">
        <v>6</v>
      </c>
      <c r="AC34" s="46">
        <v>6</v>
      </c>
      <c r="AD34" s="46">
        <v>6</v>
      </c>
      <c r="AE34" s="46">
        <v>6</v>
      </c>
      <c r="AF34" s="46">
        <v>6</v>
      </c>
      <c r="AG34" s="50">
        <v>22</v>
      </c>
      <c r="AH34" s="48">
        <f t="shared" si="10"/>
        <v>6</v>
      </c>
      <c r="AI34" s="49">
        <f t="shared" si="11"/>
        <v>6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10"/>
        <v>4</v>
      </c>
      <c r="AI35" s="49">
        <f t="shared" si="11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>
        <v>4</v>
      </c>
      <c r="V36" s="46">
        <v>4</v>
      </c>
      <c r="W36" s="46">
        <v>4</v>
      </c>
      <c r="X36" s="46">
        <v>4</v>
      </c>
      <c r="Y36" s="46">
        <v>4</v>
      </c>
      <c r="Z36" s="46">
        <v>4</v>
      </c>
      <c r="AA36" s="46">
        <v>4</v>
      </c>
      <c r="AB36" s="46">
        <v>4</v>
      </c>
      <c r="AC36" s="46">
        <v>4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10"/>
        <v>4</v>
      </c>
      <c r="AI36" s="49">
        <f t="shared" si="11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>
        <v>5.7</v>
      </c>
      <c r="V37" s="46">
        <v>5.7</v>
      </c>
      <c r="W37" s="46">
        <v>5.7</v>
      </c>
      <c r="X37" s="46">
        <v>5.7</v>
      </c>
      <c r="Y37" s="46">
        <v>5.7</v>
      </c>
      <c r="Z37" s="46">
        <v>5.7</v>
      </c>
      <c r="AA37" s="46">
        <v>5.7</v>
      </c>
      <c r="AB37" s="46">
        <v>5.7</v>
      </c>
      <c r="AC37" s="46">
        <v>5.7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10"/>
        <v>5.7</v>
      </c>
      <c r="AI37" s="49">
        <f t="shared" si="11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7.2</v>
      </c>
      <c r="Q38" s="46">
        <v>7.2</v>
      </c>
      <c r="R38" s="46">
        <v>7.2</v>
      </c>
      <c r="S38" s="46">
        <v>7.2</v>
      </c>
      <c r="T38" s="46">
        <v>7.2</v>
      </c>
      <c r="U38" s="46">
        <v>7.2</v>
      </c>
      <c r="V38" s="46">
        <v>7.2</v>
      </c>
      <c r="W38" s="46">
        <v>7.2</v>
      </c>
      <c r="X38" s="46">
        <v>7.2</v>
      </c>
      <c r="Y38" s="46">
        <v>7.2</v>
      </c>
      <c r="Z38" s="46">
        <v>7.2</v>
      </c>
      <c r="AA38" s="46">
        <v>7.2</v>
      </c>
      <c r="AB38" s="46">
        <v>7.2</v>
      </c>
      <c r="AC38" s="46">
        <v>7.2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10"/>
        <v>7.2</v>
      </c>
      <c r="AI38" s="49">
        <f t="shared" si="11"/>
        <v>7.2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10"/>
        <v>0</v>
      </c>
      <c r="AI39" s="49">
        <f t="shared" si="11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8</v>
      </c>
      <c r="C40" s="46">
        <v>8</v>
      </c>
      <c r="D40" s="46">
        <v>8</v>
      </c>
      <c r="E40" s="46">
        <v>8</v>
      </c>
      <c r="F40" s="46">
        <v>8</v>
      </c>
      <c r="G40" s="46">
        <v>8</v>
      </c>
      <c r="H40" s="46">
        <v>8</v>
      </c>
      <c r="I40" s="46">
        <v>8</v>
      </c>
      <c r="J40" s="46">
        <v>8</v>
      </c>
      <c r="K40" s="46">
        <v>8</v>
      </c>
      <c r="L40" s="46">
        <v>8</v>
      </c>
      <c r="M40" s="46">
        <v>8</v>
      </c>
      <c r="N40" s="46">
        <v>8</v>
      </c>
      <c r="O40" s="46">
        <v>8</v>
      </c>
      <c r="P40" s="46">
        <v>8</v>
      </c>
      <c r="Q40" s="46">
        <v>8</v>
      </c>
      <c r="R40" s="46">
        <v>8</v>
      </c>
      <c r="S40" s="46">
        <v>8</v>
      </c>
      <c r="T40" s="46">
        <v>8</v>
      </c>
      <c r="U40" s="46">
        <v>8</v>
      </c>
      <c r="V40" s="46">
        <v>8</v>
      </c>
      <c r="W40" s="46">
        <v>8</v>
      </c>
      <c r="X40" s="46">
        <v>8</v>
      </c>
      <c r="Y40" s="46">
        <v>8</v>
      </c>
      <c r="Z40" s="46">
        <v>8</v>
      </c>
      <c r="AA40" s="46">
        <v>8</v>
      </c>
      <c r="AB40" s="46">
        <v>8</v>
      </c>
      <c r="AC40" s="46">
        <v>8</v>
      </c>
      <c r="AD40" s="46">
        <v>8</v>
      </c>
      <c r="AE40" s="46">
        <v>8</v>
      </c>
      <c r="AF40" s="46">
        <v>8</v>
      </c>
      <c r="AG40" s="50">
        <v>14.9</v>
      </c>
      <c r="AH40" s="48">
        <f t="shared" si="10"/>
        <v>8</v>
      </c>
      <c r="AI40" s="49">
        <f t="shared" si="11"/>
        <v>8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10"/>
        <v>4</v>
      </c>
      <c r="AI41" s="49">
        <f t="shared" si="11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>
        <v>1.8</v>
      </c>
      <c r="V42" s="46">
        <v>1.8</v>
      </c>
      <c r="W42" s="46">
        <v>1.8</v>
      </c>
      <c r="X42" s="46">
        <v>1.8</v>
      </c>
      <c r="Y42" s="46">
        <v>1.8</v>
      </c>
      <c r="Z42" s="46">
        <v>1.8</v>
      </c>
      <c r="AA42" s="46">
        <v>1.8</v>
      </c>
      <c r="AB42" s="46">
        <v>1.8</v>
      </c>
      <c r="AC42" s="46">
        <v>1.8</v>
      </c>
      <c r="AD42" s="46">
        <v>1.8</v>
      </c>
      <c r="AE42" s="46">
        <v>1.8</v>
      </c>
      <c r="AF42" s="46">
        <v>1.8</v>
      </c>
      <c r="AG42" s="50">
        <v>13.6</v>
      </c>
      <c r="AH42" s="48">
        <f t="shared" si="10"/>
        <v>1.8</v>
      </c>
      <c r="AI42" s="49">
        <f t="shared" si="11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>
        <v>3.8</v>
      </c>
      <c r="V43" s="46">
        <v>3.8</v>
      </c>
      <c r="W43" s="46">
        <v>3.8</v>
      </c>
      <c r="X43" s="46">
        <v>3.8</v>
      </c>
      <c r="Y43" s="46">
        <v>3.8</v>
      </c>
      <c r="Z43" s="46">
        <v>3.8</v>
      </c>
      <c r="AA43" s="46">
        <v>3.8</v>
      </c>
      <c r="AB43" s="46">
        <v>3.8</v>
      </c>
      <c r="AC43" s="46">
        <v>3.8</v>
      </c>
      <c r="AD43" s="46">
        <v>3.8</v>
      </c>
      <c r="AE43" s="46">
        <v>3.8</v>
      </c>
      <c r="AF43" s="46">
        <v>3.8</v>
      </c>
      <c r="AG43" s="50">
        <v>13</v>
      </c>
      <c r="AH43" s="48">
        <f t="shared" si="10"/>
        <v>3.8</v>
      </c>
      <c r="AI43" s="49">
        <f t="shared" si="11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6.4</v>
      </c>
      <c r="C44" s="46">
        <v>6.4</v>
      </c>
      <c r="D44" s="46">
        <v>6.4</v>
      </c>
      <c r="E44" s="46">
        <v>6.4</v>
      </c>
      <c r="F44" s="46">
        <v>6.4</v>
      </c>
      <c r="G44" s="46">
        <v>6.4</v>
      </c>
      <c r="H44" s="46">
        <v>6.4</v>
      </c>
      <c r="I44" s="46">
        <v>6.4</v>
      </c>
      <c r="J44" s="46">
        <v>6.4</v>
      </c>
      <c r="K44" s="46">
        <v>6.4</v>
      </c>
      <c r="L44" s="46">
        <v>6.4</v>
      </c>
      <c r="M44" s="46">
        <v>6.4</v>
      </c>
      <c r="N44" s="46">
        <v>6.4</v>
      </c>
      <c r="O44" s="46">
        <v>6.4</v>
      </c>
      <c r="P44" s="46">
        <v>6.4</v>
      </c>
      <c r="Q44" s="46">
        <v>6.4</v>
      </c>
      <c r="R44" s="46">
        <v>6.4</v>
      </c>
      <c r="S44" s="46">
        <v>6.4</v>
      </c>
      <c r="T44" s="46">
        <v>6.4</v>
      </c>
      <c r="U44" s="46">
        <v>6.4</v>
      </c>
      <c r="V44" s="46">
        <v>6.4</v>
      </c>
      <c r="W44" s="46">
        <v>6.4</v>
      </c>
      <c r="X44" s="46">
        <v>6.4</v>
      </c>
      <c r="Y44" s="46">
        <v>6.4</v>
      </c>
      <c r="Z44" s="46">
        <v>6.4</v>
      </c>
      <c r="AA44" s="46">
        <v>6.4</v>
      </c>
      <c r="AB44" s="46">
        <v>6.4</v>
      </c>
      <c r="AC44" s="46">
        <v>6.4</v>
      </c>
      <c r="AD44" s="46">
        <v>6.4</v>
      </c>
      <c r="AE44" s="46">
        <v>6.4</v>
      </c>
      <c r="AF44" s="46">
        <v>6.4</v>
      </c>
      <c r="AG44" s="50">
        <v>12</v>
      </c>
      <c r="AH44" s="48">
        <f t="shared" si="10"/>
        <v>6.4</v>
      </c>
      <c r="AI44" s="49">
        <f t="shared" si="11"/>
        <v>6.4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>
        <v>9</v>
      </c>
      <c r="V45" s="46">
        <v>9</v>
      </c>
      <c r="W45" s="46">
        <v>9</v>
      </c>
      <c r="X45" s="46">
        <v>9</v>
      </c>
      <c r="Y45" s="46">
        <v>9</v>
      </c>
      <c r="Z45" s="46">
        <v>9</v>
      </c>
      <c r="AA45" s="46">
        <v>9</v>
      </c>
      <c r="AB45" s="46">
        <v>9</v>
      </c>
      <c r="AC45" s="46">
        <v>9</v>
      </c>
      <c r="AD45" s="46">
        <v>9</v>
      </c>
      <c r="AE45" s="46">
        <v>9</v>
      </c>
      <c r="AF45" s="46">
        <v>9</v>
      </c>
      <c r="AG45" s="50">
        <v>12</v>
      </c>
      <c r="AH45" s="48">
        <f t="shared" si="10"/>
        <v>9</v>
      </c>
      <c r="AI45" s="49">
        <f t="shared" si="11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10"/>
        <v>3</v>
      </c>
      <c r="AI46" s="49">
        <f t="shared" si="11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>
        <v>3.5</v>
      </c>
      <c r="V47" s="46">
        <v>3.5</v>
      </c>
      <c r="W47" s="46">
        <v>3.5</v>
      </c>
      <c r="X47" s="46">
        <v>3.5</v>
      </c>
      <c r="Y47" s="46">
        <v>3.5</v>
      </c>
      <c r="Z47" s="46">
        <v>3.5</v>
      </c>
      <c r="AA47" s="46">
        <v>3.5</v>
      </c>
      <c r="AB47" s="46">
        <v>3.5</v>
      </c>
      <c r="AC47" s="46">
        <v>3.5</v>
      </c>
      <c r="AD47" s="46">
        <v>3.5</v>
      </c>
      <c r="AE47" s="46">
        <v>3.5</v>
      </c>
      <c r="AF47" s="46">
        <v>3.5</v>
      </c>
      <c r="AG47" s="63">
        <v>22</v>
      </c>
      <c r="AH47" s="48">
        <f t="shared" si="10"/>
        <v>3.5</v>
      </c>
      <c r="AI47" s="49">
        <f t="shared" si="11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>
        <v>5</v>
      </c>
      <c r="V48" s="46">
        <v>5</v>
      </c>
      <c r="W48" s="46">
        <v>5</v>
      </c>
      <c r="X48" s="46">
        <v>5</v>
      </c>
      <c r="Y48" s="46">
        <v>5</v>
      </c>
      <c r="Z48" s="46">
        <v>5</v>
      </c>
      <c r="AA48" s="46">
        <v>5</v>
      </c>
      <c r="AB48" s="46">
        <v>5</v>
      </c>
      <c r="AC48" s="46">
        <v>5</v>
      </c>
      <c r="AD48" s="46">
        <v>5</v>
      </c>
      <c r="AE48" s="46">
        <v>5</v>
      </c>
      <c r="AF48" s="46">
        <v>5</v>
      </c>
      <c r="AG48" s="60">
        <v>11.88</v>
      </c>
      <c r="AH48" s="48">
        <f t="shared" si="10"/>
        <v>5</v>
      </c>
      <c r="AI48" s="49">
        <f t="shared" si="11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5">
        <v>11</v>
      </c>
      <c r="AH49" s="48">
        <f t="shared" si="10"/>
        <v>3</v>
      </c>
      <c r="AI49" s="49">
        <f t="shared" si="11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4" t="s">
        <v>67</v>
      </c>
      <c r="B50" s="46">
        <v>2.4500000000000002</v>
      </c>
      <c r="C50" s="46">
        <v>2.4500000000000002</v>
      </c>
      <c r="D50" s="46">
        <v>2.4500000000000002</v>
      </c>
      <c r="E50" s="46">
        <v>2.4500000000000002</v>
      </c>
      <c r="F50" s="46">
        <v>2.4500000000000002</v>
      </c>
      <c r="G50" s="46">
        <v>2.4500000000000002</v>
      </c>
      <c r="H50" s="46">
        <v>2.4500000000000002</v>
      </c>
      <c r="I50" s="46">
        <v>2.4500000000000002</v>
      </c>
      <c r="J50" s="46">
        <v>2.4500000000000002</v>
      </c>
      <c r="K50" s="46">
        <v>2.4500000000000002</v>
      </c>
      <c r="L50" s="46">
        <v>2.4500000000000002</v>
      </c>
      <c r="M50" s="46">
        <v>2.4500000000000002</v>
      </c>
      <c r="N50" s="46">
        <v>2.4500000000000002</v>
      </c>
      <c r="O50" s="46">
        <v>2.4500000000000002</v>
      </c>
      <c r="P50" s="46">
        <v>2.4500000000000002</v>
      </c>
      <c r="Q50" s="46">
        <v>2.4500000000000002</v>
      </c>
      <c r="R50" s="46">
        <v>2.4500000000000002</v>
      </c>
      <c r="S50" s="46">
        <v>2.4500000000000002</v>
      </c>
      <c r="T50" s="46">
        <v>2.4500000000000002</v>
      </c>
      <c r="U50" s="46">
        <v>2.4500000000000002</v>
      </c>
      <c r="V50" s="46">
        <v>2.4500000000000002</v>
      </c>
      <c r="W50" s="46">
        <v>2.4500000000000002</v>
      </c>
      <c r="X50" s="46">
        <v>2.4500000000000002</v>
      </c>
      <c r="Y50" s="46">
        <v>2.4500000000000002</v>
      </c>
      <c r="Z50" s="46">
        <v>2.4500000000000002</v>
      </c>
      <c r="AA50" s="46">
        <v>2.4500000000000002</v>
      </c>
      <c r="AB50" s="46">
        <v>2.4500000000000002</v>
      </c>
      <c r="AC50" s="46">
        <v>2.4500000000000002</v>
      </c>
      <c r="AD50" s="46">
        <v>2.4500000000000002</v>
      </c>
      <c r="AE50" s="46">
        <v>2.4500000000000002</v>
      </c>
      <c r="AF50" s="46">
        <v>2.4500000000000002</v>
      </c>
      <c r="AG50" s="65">
        <v>11</v>
      </c>
      <c r="AH50" s="48">
        <f t="shared" si="10"/>
        <v>2.4500000000000002</v>
      </c>
      <c r="AI50" s="49">
        <f t="shared" si="11"/>
        <v>2.4500000000000002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65">
        <v>11</v>
      </c>
      <c r="AH51" s="48">
        <f t="shared" si="10"/>
        <v>3</v>
      </c>
      <c r="AI51" s="49">
        <f t="shared" si="11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5">
        <v>10</v>
      </c>
      <c r="AH52" s="48">
        <f t="shared" si="10"/>
        <v>4</v>
      </c>
      <c r="AI52" s="49">
        <f t="shared" si="11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>
        <v>4.5</v>
      </c>
      <c r="V53" s="46">
        <v>4.5</v>
      </c>
      <c r="W53" s="46">
        <v>4.5</v>
      </c>
      <c r="X53" s="46">
        <v>4.5</v>
      </c>
      <c r="Y53" s="46">
        <v>4.5</v>
      </c>
      <c r="Z53" s="46">
        <v>4.5</v>
      </c>
      <c r="AA53" s="46">
        <v>4.5</v>
      </c>
      <c r="AB53" s="46">
        <v>4.5</v>
      </c>
      <c r="AC53" s="46">
        <v>4.5</v>
      </c>
      <c r="AD53" s="46">
        <v>4.5</v>
      </c>
      <c r="AE53" s="46">
        <v>4.5</v>
      </c>
      <c r="AF53" s="46">
        <v>4.5</v>
      </c>
      <c r="AG53" s="65">
        <v>10</v>
      </c>
      <c r="AH53" s="48">
        <f t="shared" si="10"/>
        <v>4.5</v>
      </c>
      <c r="AI53" s="49">
        <f t="shared" si="11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5">
        <v>10</v>
      </c>
      <c r="AH54" s="48">
        <f t="shared" si="10"/>
        <v>0</v>
      </c>
      <c r="AI54" s="49">
        <f t="shared" si="11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5">
        <v>10</v>
      </c>
      <c r="AH55" s="48">
        <f t="shared" si="10"/>
        <v>0</v>
      </c>
      <c r="AI55" s="49">
        <f t="shared" si="11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>
        <v>150</v>
      </c>
      <c r="W56" s="67">
        <v>150</v>
      </c>
      <c r="X56" s="67">
        <v>150</v>
      </c>
      <c r="Y56" s="67">
        <v>150</v>
      </c>
      <c r="Z56" s="67">
        <v>150</v>
      </c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10"/>
        <v>150</v>
      </c>
      <c r="AI56" s="49">
        <f t="shared" si="11"/>
        <v>150</v>
      </c>
      <c r="AK56" s="51"/>
    </row>
    <row r="57" spans="1:88" ht="15.75" thickBot="1" x14ac:dyDescent="0.3">
      <c r="A57" s="68" t="s">
        <v>74</v>
      </c>
      <c r="B57" s="67">
        <v>22.6</v>
      </c>
      <c r="C57" s="67">
        <v>22.6</v>
      </c>
      <c r="D57" s="67">
        <v>22.6</v>
      </c>
      <c r="E57" s="67">
        <v>22.6</v>
      </c>
      <c r="F57" s="67">
        <v>22.6</v>
      </c>
      <c r="G57" s="67">
        <v>39.299999999999997</v>
      </c>
      <c r="H57" s="67">
        <v>37.9</v>
      </c>
      <c r="I57" s="67">
        <v>37.9</v>
      </c>
      <c r="J57" s="67">
        <v>37.9</v>
      </c>
      <c r="K57" s="67">
        <v>37.9</v>
      </c>
      <c r="L57" s="67">
        <v>39</v>
      </c>
      <c r="M57" s="67">
        <v>39</v>
      </c>
      <c r="N57" s="67">
        <v>39</v>
      </c>
      <c r="O57" s="67">
        <v>39</v>
      </c>
      <c r="P57" s="67">
        <v>32</v>
      </c>
      <c r="Q57" s="67">
        <v>32</v>
      </c>
      <c r="R57" s="67">
        <v>32</v>
      </c>
      <c r="S57" s="67">
        <v>31.1</v>
      </c>
      <c r="T57" s="67">
        <v>30.8</v>
      </c>
      <c r="U57" s="67">
        <v>28.8</v>
      </c>
      <c r="V57" s="67">
        <v>28.6</v>
      </c>
      <c r="W57" s="67">
        <v>28.6</v>
      </c>
      <c r="X57" s="67">
        <v>28.6</v>
      </c>
      <c r="Y57" s="67">
        <v>21.6</v>
      </c>
      <c r="Z57" s="67">
        <v>19.600000000000001</v>
      </c>
      <c r="AA57" s="67">
        <v>21.8</v>
      </c>
      <c r="AB57" s="67">
        <v>21.8</v>
      </c>
      <c r="AC57" s="67">
        <v>21.8</v>
      </c>
      <c r="AD57" s="67">
        <v>21.8</v>
      </c>
      <c r="AE57" s="67">
        <v>21.8</v>
      </c>
      <c r="AF57" s="67">
        <v>21.8</v>
      </c>
      <c r="AG57" s="65">
        <v>240</v>
      </c>
      <c r="AH57" s="48">
        <f t="shared" si="10"/>
        <v>39.299999999999997</v>
      </c>
      <c r="AI57" s="49">
        <f t="shared" si="11"/>
        <v>19.600000000000001</v>
      </c>
      <c r="AK57" s="51"/>
    </row>
    <row r="58" spans="1:88" ht="15.75" thickBot="1" x14ac:dyDescent="0.3">
      <c r="A58" s="69" t="s">
        <v>75</v>
      </c>
      <c r="B58" s="70">
        <f t="shared" ref="B58:C58" si="29">SUM(B11:B56)</f>
        <v>486.34999999999997</v>
      </c>
      <c r="C58" s="70">
        <f t="shared" si="29"/>
        <v>486.34999999999997</v>
      </c>
      <c r="D58" s="70">
        <f t="shared" ref="D58" si="30">SUM(D11:D56)</f>
        <v>486.34999999999997</v>
      </c>
      <c r="E58" s="70">
        <f t="shared" ref="E58:AF58" si="31">SUM(E11:E56)</f>
        <v>486.34999999999997</v>
      </c>
      <c r="F58" s="70">
        <f t="shared" si="31"/>
        <v>486.34999999999997</v>
      </c>
      <c r="G58" s="70">
        <f t="shared" si="31"/>
        <v>486.34999999999997</v>
      </c>
      <c r="H58" s="70">
        <f t="shared" si="31"/>
        <v>486.34999999999997</v>
      </c>
      <c r="I58" s="70">
        <f t="shared" si="31"/>
        <v>486.34999999999997</v>
      </c>
      <c r="J58" s="70">
        <f t="shared" si="31"/>
        <v>486.34999999999997</v>
      </c>
      <c r="K58" s="70">
        <f t="shared" si="31"/>
        <v>486.34999999999997</v>
      </c>
      <c r="L58" s="70">
        <f t="shared" si="31"/>
        <v>486.34999999999997</v>
      </c>
      <c r="M58" s="70">
        <f t="shared" si="31"/>
        <v>486.34999999999997</v>
      </c>
      <c r="N58" s="70">
        <f t="shared" si="31"/>
        <v>486.34999999999997</v>
      </c>
      <c r="O58" s="70">
        <f t="shared" si="31"/>
        <v>486.34999999999997</v>
      </c>
      <c r="P58" s="70">
        <f t="shared" si="31"/>
        <v>486.34999999999997</v>
      </c>
      <c r="Q58" s="70">
        <f t="shared" si="31"/>
        <v>486.34999999999997</v>
      </c>
      <c r="R58" s="70">
        <f t="shared" si="31"/>
        <v>486.34999999999997</v>
      </c>
      <c r="S58" s="70">
        <f t="shared" ref="S58:T58" si="32">SUM(S11:S56)</f>
        <v>486.34999999999997</v>
      </c>
      <c r="T58" s="70">
        <f t="shared" si="32"/>
        <v>486.34999999999997</v>
      </c>
      <c r="U58" s="70">
        <f t="shared" ref="U58:V58" si="33">SUM(U11:U56)</f>
        <v>486.34999999999997</v>
      </c>
      <c r="V58" s="70">
        <f t="shared" si="33"/>
        <v>486.34999999999997</v>
      </c>
      <c r="W58" s="70">
        <f t="shared" ref="W58:X58" si="34">SUM(W11:W56)</f>
        <v>486.34999999999997</v>
      </c>
      <c r="X58" s="70">
        <f t="shared" si="34"/>
        <v>486.34999999999997</v>
      </c>
      <c r="Y58" s="70">
        <f t="shared" ref="Y58:Z58" si="35">SUM(Y11:Y56)</f>
        <v>486.34999999999997</v>
      </c>
      <c r="Z58" s="70">
        <f t="shared" si="35"/>
        <v>486.34999999999997</v>
      </c>
      <c r="AA58" s="70">
        <f t="shared" si="31"/>
        <v>479.54999999999995</v>
      </c>
      <c r="AB58" s="70">
        <f t="shared" si="31"/>
        <v>477.95</v>
      </c>
      <c r="AC58" s="70">
        <f t="shared" si="31"/>
        <v>479.75</v>
      </c>
      <c r="AD58" s="70">
        <f t="shared" si="31"/>
        <v>479.04999999999995</v>
      </c>
      <c r="AE58" s="70">
        <f t="shared" si="31"/>
        <v>479.04999999999995</v>
      </c>
      <c r="AF58" s="70">
        <f t="shared" si="31"/>
        <v>479.04999999999995</v>
      </c>
      <c r="AG58" s="71">
        <f>SUM(AG14:AG56)</f>
        <v>1042.4000000000001</v>
      </c>
      <c r="AH58" s="48">
        <f t="shared" si="10"/>
        <v>486.34999999999997</v>
      </c>
      <c r="AI58" s="49">
        <f t="shared" si="11"/>
        <v>477.95</v>
      </c>
      <c r="AK58" s="51"/>
    </row>
    <row r="59" spans="1:88" x14ac:dyDescent="0.25">
      <c r="A59" s="72" t="s">
        <v>76</v>
      </c>
      <c r="B59" s="46">
        <v>70</v>
      </c>
      <c r="C59" s="46">
        <v>70</v>
      </c>
      <c r="D59" s="46">
        <v>70</v>
      </c>
      <c r="E59" s="46">
        <v>70</v>
      </c>
      <c r="F59" s="46">
        <v>70</v>
      </c>
      <c r="G59" s="46">
        <v>76</v>
      </c>
      <c r="H59" s="46">
        <v>15.1</v>
      </c>
      <c r="I59" s="46">
        <v>60</v>
      </c>
      <c r="J59" s="46">
        <v>0</v>
      </c>
      <c r="K59" s="46">
        <v>0</v>
      </c>
      <c r="L59" s="46">
        <v>0</v>
      </c>
      <c r="M59" s="46">
        <v>0</v>
      </c>
      <c r="N59" s="46">
        <v>0</v>
      </c>
      <c r="O59" s="46">
        <v>0</v>
      </c>
      <c r="P59" s="73">
        <v>0</v>
      </c>
      <c r="Q59" s="73">
        <v>0</v>
      </c>
      <c r="R59" s="73">
        <v>0</v>
      </c>
      <c r="S59" s="73">
        <v>0</v>
      </c>
      <c r="T59" s="73">
        <v>0</v>
      </c>
      <c r="U59" s="73">
        <v>0</v>
      </c>
      <c r="V59" s="73">
        <v>0</v>
      </c>
      <c r="W59" s="73">
        <v>0</v>
      </c>
      <c r="X59" s="73">
        <v>0</v>
      </c>
      <c r="Y59" s="73">
        <v>380.3</v>
      </c>
      <c r="Z59" s="46">
        <v>381.5</v>
      </c>
      <c r="AA59" s="46">
        <v>381</v>
      </c>
      <c r="AB59" s="46">
        <v>321.5</v>
      </c>
      <c r="AC59" s="46">
        <v>300</v>
      </c>
      <c r="AD59" s="46">
        <v>301.60000000000002</v>
      </c>
      <c r="AE59" s="46">
        <v>70.5</v>
      </c>
      <c r="AF59" s="46">
        <v>70.5</v>
      </c>
      <c r="AG59" s="60">
        <v>456</v>
      </c>
      <c r="AH59" s="48">
        <f t="shared" si="10"/>
        <v>381.5</v>
      </c>
      <c r="AI59" s="49">
        <f t="shared" si="11"/>
        <v>0</v>
      </c>
      <c r="AK59" s="51"/>
    </row>
    <row r="60" spans="1:88" x14ac:dyDescent="0.25">
      <c r="A60" s="74" t="s">
        <v>77</v>
      </c>
      <c r="B60" s="75">
        <v>21.5</v>
      </c>
      <c r="C60" s="75">
        <v>21.5</v>
      </c>
      <c r="D60" s="75">
        <v>21.5</v>
      </c>
      <c r="E60" s="75">
        <v>21.5</v>
      </c>
      <c r="F60" s="75">
        <v>21.5</v>
      </c>
      <c r="G60" s="75">
        <v>21.5</v>
      </c>
      <c r="H60" s="75">
        <v>21.5</v>
      </c>
      <c r="I60" s="75">
        <v>21.5</v>
      </c>
      <c r="J60" s="75">
        <v>21.5</v>
      </c>
      <c r="K60" s="75">
        <v>21.5</v>
      </c>
      <c r="L60" s="75">
        <v>21.5</v>
      </c>
      <c r="M60" s="75">
        <v>21.5</v>
      </c>
      <c r="N60" s="75">
        <v>21.5</v>
      </c>
      <c r="O60" s="75">
        <v>21.5</v>
      </c>
      <c r="P60" s="75">
        <v>21.5</v>
      </c>
      <c r="Q60" s="75">
        <v>21.5</v>
      </c>
      <c r="R60" s="75">
        <v>21.5</v>
      </c>
      <c r="S60" s="75">
        <v>21.5</v>
      </c>
      <c r="T60" s="75">
        <v>21.5</v>
      </c>
      <c r="U60" s="75">
        <v>21.5</v>
      </c>
      <c r="V60" s="75">
        <v>21.5</v>
      </c>
      <c r="W60" s="75">
        <v>21.5</v>
      </c>
      <c r="X60" s="75">
        <v>21.5</v>
      </c>
      <c r="Y60" s="75">
        <v>21.5</v>
      </c>
      <c r="Z60" s="75">
        <v>21.5</v>
      </c>
      <c r="AA60" s="75">
        <v>21.1</v>
      </c>
      <c r="AB60" s="75">
        <v>20.7</v>
      </c>
      <c r="AC60" s="75">
        <v>20.8</v>
      </c>
      <c r="AD60" s="75">
        <v>20.399999999999999</v>
      </c>
      <c r="AE60" s="75">
        <v>20.8</v>
      </c>
      <c r="AF60" s="75">
        <v>21.2</v>
      </c>
      <c r="AG60" s="65">
        <v>60</v>
      </c>
      <c r="AH60" s="48">
        <f t="shared" si="10"/>
        <v>21.5</v>
      </c>
      <c r="AI60" s="49">
        <f t="shared" si="11"/>
        <v>20.399999999999999</v>
      </c>
      <c r="AK60" s="51"/>
    </row>
    <row r="61" spans="1:88" ht="15.75" thickBot="1" x14ac:dyDescent="0.3">
      <c r="A61" s="76" t="s">
        <v>78</v>
      </c>
      <c r="B61" s="77">
        <v>15.3</v>
      </c>
      <c r="C61" s="77">
        <v>15.3</v>
      </c>
      <c r="D61" s="77">
        <v>15.3</v>
      </c>
      <c r="E61" s="77">
        <v>15.3</v>
      </c>
      <c r="F61" s="77">
        <v>15.3</v>
      </c>
      <c r="G61" s="77">
        <v>15.3</v>
      </c>
      <c r="H61" s="77">
        <v>11.8</v>
      </c>
      <c r="I61" s="77">
        <v>11.8</v>
      </c>
      <c r="J61" s="77">
        <v>11.8</v>
      </c>
      <c r="K61" s="77">
        <v>11.8</v>
      </c>
      <c r="L61" s="77">
        <v>11.8</v>
      </c>
      <c r="M61" s="77">
        <v>11.8</v>
      </c>
      <c r="N61" s="77">
        <v>11.8</v>
      </c>
      <c r="O61" s="77">
        <v>11.8</v>
      </c>
      <c r="P61" s="77">
        <v>10.5</v>
      </c>
      <c r="Q61" s="77">
        <v>10.5</v>
      </c>
      <c r="R61" s="77">
        <v>10.5</v>
      </c>
      <c r="S61" s="77">
        <v>10.5</v>
      </c>
      <c r="T61" s="77">
        <v>10.5</v>
      </c>
      <c r="U61" s="77">
        <v>10.5</v>
      </c>
      <c r="V61" s="77">
        <v>10.5</v>
      </c>
      <c r="W61" s="77">
        <v>10.5</v>
      </c>
      <c r="X61" s="77">
        <v>10.5</v>
      </c>
      <c r="Y61" s="77">
        <v>10.5</v>
      </c>
      <c r="Z61" s="77">
        <v>13.8</v>
      </c>
      <c r="AA61" s="77">
        <v>13.74</v>
      </c>
      <c r="AB61" s="77">
        <v>13.8</v>
      </c>
      <c r="AC61" s="77">
        <v>13.8</v>
      </c>
      <c r="AD61" s="77">
        <v>12.2</v>
      </c>
      <c r="AE61" s="77">
        <v>12.2</v>
      </c>
      <c r="AF61" s="77">
        <v>12.2</v>
      </c>
      <c r="AG61" s="78">
        <v>22.1</v>
      </c>
      <c r="AH61" s="48">
        <f t="shared" si="10"/>
        <v>15.3</v>
      </c>
      <c r="AI61" s="49">
        <f t="shared" si="11"/>
        <v>10.5</v>
      </c>
      <c r="AK61" s="51"/>
    </row>
    <row r="62" spans="1:88" ht="15.75" thickBot="1" x14ac:dyDescent="0.3">
      <c r="A62" s="79" t="s">
        <v>79</v>
      </c>
      <c r="B62" s="70">
        <f t="shared" ref="B62:C62" si="36">SUM(B59:B61)</f>
        <v>106.8</v>
      </c>
      <c r="C62" s="70">
        <f t="shared" si="36"/>
        <v>106.8</v>
      </c>
      <c r="D62" s="70">
        <f t="shared" ref="D62" si="37">SUM(D59:D61)</f>
        <v>106.8</v>
      </c>
      <c r="E62" s="70">
        <f t="shared" ref="E62:AG62" si="38">SUM(E59:E61)</f>
        <v>106.8</v>
      </c>
      <c r="F62" s="70">
        <f t="shared" si="38"/>
        <v>106.8</v>
      </c>
      <c r="G62" s="70">
        <f t="shared" si="38"/>
        <v>112.8</v>
      </c>
      <c r="H62" s="70">
        <f t="shared" si="38"/>
        <v>48.400000000000006</v>
      </c>
      <c r="I62" s="70">
        <f t="shared" si="38"/>
        <v>93.3</v>
      </c>
      <c r="J62" s="70">
        <f t="shared" si="38"/>
        <v>33.299999999999997</v>
      </c>
      <c r="K62" s="70">
        <f t="shared" si="38"/>
        <v>33.299999999999997</v>
      </c>
      <c r="L62" s="70">
        <f t="shared" si="38"/>
        <v>33.299999999999997</v>
      </c>
      <c r="M62" s="70">
        <f t="shared" si="38"/>
        <v>33.299999999999997</v>
      </c>
      <c r="N62" s="70">
        <f t="shared" si="38"/>
        <v>33.299999999999997</v>
      </c>
      <c r="O62" s="70">
        <f t="shared" si="38"/>
        <v>33.299999999999997</v>
      </c>
      <c r="P62" s="70">
        <f t="shared" si="38"/>
        <v>32</v>
      </c>
      <c r="Q62" s="70">
        <f t="shared" si="38"/>
        <v>32</v>
      </c>
      <c r="R62" s="70">
        <f t="shared" si="38"/>
        <v>32</v>
      </c>
      <c r="S62" s="70">
        <f t="shared" ref="S62:T62" si="39">SUM(S59:S61)</f>
        <v>32</v>
      </c>
      <c r="T62" s="70">
        <f t="shared" si="39"/>
        <v>32</v>
      </c>
      <c r="U62" s="70">
        <f t="shared" ref="U62:V62" si="40">SUM(U59:U61)</f>
        <v>32</v>
      </c>
      <c r="V62" s="70">
        <f t="shared" si="40"/>
        <v>32</v>
      </c>
      <c r="W62" s="70">
        <f t="shared" ref="W62:X62" si="41">SUM(W59:W61)</f>
        <v>32</v>
      </c>
      <c r="X62" s="70">
        <f t="shared" si="41"/>
        <v>32</v>
      </c>
      <c r="Y62" s="70">
        <f t="shared" ref="Y62:Z62" si="42">SUM(Y59:Y61)</f>
        <v>412.3</v>
      </c>
      <c r="Z62" s="70">
        <f t="shared" si="42"/>
        <v>416.8</v>
      </c>
      <c r="AA62" s="70">
        <f t="shared" si="38"/>
        <v>415.84000000000003</v>
      </c>
      <c r="AB62" s="70">
        <f t="shared" si="38"/>
        <v>356</v>
      </c>
      <c r="AC62" s="70">
        <f t="shared" si="38"/>
        <v>334.6</v>
      </c>
      <c r="AD62" s="70">
        <f t="shared" si="38"/>
        <v>334.2</v>
      </c>
      <c r="AE62" s="70">
        <f t="shared" si="38"/>
        <v>103.5</v>
      </c>
      <c r="AF62" s="70">
        <f t="shared" si="38"/>
        <v>103.9</v>
      </c>
      <c r="AG62" s="71">
        <f t="shared" si="38"/>
        <v>538.1</v>
      </c>
      <c r="AH62" s="48">
        <f t="shared" si="10"/>
        <v>416.8</v>
      </c>
      <c r="AI62" s="49">
        <f t="shared" si="11"/>
        <v>32</v>
      </c>
      <c r="AK62" s="51"/>
    </row>
    <row r="63" spans="1:88" x14ac:dyDescent="0.25">
      <c r="A63" s="45" t="s">
        <v>80</v>
      </c>
      <c r="B63" s="46">
        <v>70</v>
      </c>
      <c r="C63" s="46">
        <v>60</v>
      </c>
      <c r="D63" s="46">
        <v>60</v>
      </c>
      <c r="E63" s="46">
        <v>47</v>
      </c>
      <c r="F63" s="46">
        <v>47</v>
      </c>
      <c r="G63" s="46">
        <v>47</v>
      </c>
      <c r="H63" s="46">
        <v>28.7</v>
      </c>
      <c r="I63" s="46">
        <v>28.7</v>
      </c>
      <c r="J63" s="46">
        <v>28.7</v>
      </c>
      <c r="K63" s="46">
        <v>28.7</v>
      </c>
      <c r="L63" s="46">
        <v>28.7</v>
      </c>
      <c r="M63" s="46">
        <v>28.7</v>
      </c>
      <c r="N63" s="46">
        <v>28.7</v>
      </c>
      <c r="O63" s="46">
        <v>30</v>
      </c>
      <c r="P63" s="46">
        <v>30.3</v>
      </c>
      <c r="Q63" s="46">
        <v>30.3</v>
      </c>
      <c r="R63" s="46">
        <v>29</v>
      </c>
      <c r="S63" s="46">
        <v>0</v>
      </c>
      <c r="T63" s="46">
        <v>0</v>
      </c>
      <c r="U63" s="46">
        <v>0</v>
      </c>
      <c r="V63" s="46">
        <v>0</v>
      </c>
      <c r="W63" s="46">
        <v>48.4</v>
      </c>
      <c r="X63" s="46">
        <v>48.4</v>
      </c>
      <c r="Y63" s="46">
        <v>101.3</v>
      </c>
      <c r="Z63" s="46">
        <v>141.5</v>
      </c>
      <c r="AA63" s="46">
        <v>143.5</v>
      </c>
      <c r="AB63" s="46">
        <v>142.1</v>
      </c>
      <c r="AC63" s="46">
        <v>131.9</v>
      </c>
      <c r="AD63" s="46">
        <v>122.3</v>
      </c>
      <c r="AE63" s="46">
        <v>132.30000000000001</v>
      </c>
      <c r="AF63" s="46">
        <v>96</v>
      </c>
      <c r="AG63" s="60">
        <v>144</v>
      </c>
      <c r="AH63" s="48">
        <f t="shared" si="10"/>
        <v>143.5</v>
      </c>
      <c r="AI63" s="49">
        <f t="shared" si="11"/>
        <v>0</v>
      </c>
      <c r="AK63" s="51"/>
    </row>
    <row r="64" spans="1:88" x14ac:dyDescent="0.25">
      <c r="A64" s="64" t="s">
        <v>81</v>
      </c>
      <c r="B64" s="75">
        <v>26</v>
      </c>
      <c r="C64" s="75">
        <v>30</v>
      </c>
      <c r="D64" s="75">
        <v>30</v>
      </c>
      <c r="E64" s="75">
        <v>35</v>
      </c>
      <c r="F64" s="75">
        <v>30.4</v>
      </c>
      <c r="G64" s="75">
        <v>30.4</v>
      </c>
      <c r="H64" s="75">
        <v>24.8</v>
      </c>
      <c r="I64" s="75">
        <v>24.8</v>
      </c>
      <c r="J64" s="75">
        <v>24.8</v>
      </c>
      <c r="K64" s="75">
        <v>24.8</v>
      </c>
      <c r="L64" s="75">
        <v>24.8</v>
      </c>
      <c r="M64" s="75">
        <v>24.8</v>
      </c>
      <c r="N64" s="75">
        <v>24.8</v>
      </c>
      <c r="O64" s="75">
        <v>35</v>
      </c>
      <c r="P64" s="75">
        <v>35</v>
      </c>
      <c r="Q64" s="75">
        <v>35</v>
      </c>
      <c r="R64" s="75">
        <v>25</v>
      </c>
      <c r="S64" s="75">
        <v>0</v>
      </c>
      <c r="T64" s="75">
        <v>0</v>
      </c>
      <c r="U64" s="75">
        <v>0</v>
      </c>
      <c r="V64" s="75">
        <v>0</v>
      </c>
      <c r="W64" s="75">
        <v>0</v>
      </c>
      <c r="X64" s="75">
        <v>22.3</v>
      </c>
      <c r="Y64" s="75">
        <v>35.1</v>
      </c>
      <c r="Z64" s="46">
        <v>69.8</v>
      </c>
      <c r="AA64" s="46">
        <v>70.400000000000006</v>
      </c>
      <c r="AB64" s="46">
        <v>69.400000000000006</v>
      </c>
      <c r="AC64" s="46">
        <v>69.8</v>
      </c>
      <c r="AD64" s="46">
        <v>59.9</v>
      </c>
      <c r="AE64" s="46">
        <v>67.400000000000006</v>
      </c>
      <c r="AF64" s="46">
        <v>35.9</v>
      </c>
      <c r="AG64" s="65">
        <v>70</v>
      </c>
      <c r="AH64" s="48">
        <f t="shared" si="10"/>
        <v>70.400000000000006</v>
      </c>
      <c r="AI64" s="49">
        <f t="shared" si="11"/>
        <v>0</v>
      </c>
      <c r="AK64" s="51"/>
    </row>
    <row r="65" spans="1:75" x14ac:dyDescent="0.25">
      <c r="A65" s="64" t="s">
        <v>82</v>
      </c>
      <c r="B65" s="75">
        <v>46</v>
      </c>
      <c r="C65" s="75">
        <v>46</v>
      </c>
      <c r="D65" s="75">
        <v>46</v>
      </c>
      <c r="E65" s="75">
        <v>46</v>
      </c>
      <c r="F65" s="75">
        <v>46</v>
      </c>
      <c r="G65" s="75">
        <v>46</v>
      </c>
      <c r="H65" s="75">
        <v>31.2</v>
      </c>
      <c r="I65" s="75">
        <v>31.2</v>
      </c>
      <c r="J65" s="75">
        <v>31.2</v>
      </c>
      <c r="K65" s="75">
        <v>33</v>
      </c>
      <c r="L65" s="75">
        <v>33</v>
      </c>
      <c r="M65" s="75">
        <v>33</v>
      </c>
      <c r="N65" s="75">
        <v>33</v>
      </c>
      <c r="O65" s="75">
        <v>23</v>
      </c>
      <c r="P65" s="75">
        <v>17</v>
      </c>
      <c r="Q65" s="75">
        <v>17</v>
      </c>
      <c r="R65" s="75">
        <v>0</v>
      </c>
      <c r="S65" s="75">
        <v>0</v>
      </c>
      <c r="T65" s="75">
        <v>0</v>
      </c>
      <c r="U65" s="75">
        <v>0</v>
      </c>
      <c r="V65" s="75">
        <v>0</v>
      </c>
      <c r="W65" s="75">
        <v>0</v>
      </c>
      <c r="X65" s="75">
        <v>16.399999999999999</v>
      </c>
      <c r="Y65" s="75">
        <v>65.8</v>
      </c>
      <c r="Z65" s="46">
        <v>69.900000000000006</v>
      </c>
      <c r="AA65" s="46">
        <v>69.8</v>
      </c>
      <c r="AB65" s="46">
        <v>69</v>
      </c>
      <c r="AC65" s="46">
        <v>68.900000000000006</v>
      </c>
      <c r="AD65" s="46">
        <v>63.1</v>
      </c>
      <c r="AE65" s="46">
        <v>68.7</v>
      </c>
      <c r="AF65" s="46">
        <v>67.900000000000006</v>
      </c>
      <c r="AG65" s="65">
        <v>69</v>
      </c>
      <c r="AH65" s="48">
        <f t="shared" si="10"/>
        <v>69.900000000000006</v>
      </c>
      <c r="AI65" s="49">
        <f t="shared" si="11"/>
        <v>0</v>
      </c>
      <c r="AK65" s="51"/>
    </row>
    <row r="66" spans="1:75" x14ac:dyDescent="0.25">
      <c r="A66" s="64" t="s">
        <v>83</v>
      </c>
      <c r="B66" s="75">
        <v>37.299999999999997</v>
      </c>
      <c r="C66" s="75">
        <v>37.299999999999997</v>
      </c>
      <c r="D66" s="75">
        <v>37.299999999999997</v>
      </c>
      <c r="E66" s="75">
        <v>37.299999999999997</v>
      </c>
      <c r="F66" s="75">
        <v>37.299999999999997</v>
      </c>
      <c r="G66" s="75">
        <v>37.299999999999997</v>
      </c>
      <c r="H66" s="75">
        <v>37.299999999999997</v>
      </c>
      <c r="I66" s="75">
        <v>37.299999999999997</v>
      </c>
      <c r="J66" s="75">
        <v>37.299999999999997</v>
      </c>
      <c r="K66" s="75">
        <v>37.299999999999997</v>
      </c>
      <c r="L66" s="75">
        <v>37.299999999999997</v>
      </c>
      <c r="M66" s="75">
        <v>37.299999999999997</v>
      </c>
      <c r="N66" s="75">
        <v>37.299999999999997</v>
      </c>
      <c r="O66" s="75">
        <v>37.299999999999997</v>
      </c>
      <c r="P66" s="75">
        <v>37.5</v>
      </c>
      <c r="Q66" s="75">
        <v>37.5</v>
      </c>
      <c r="R66" s="75">
        <v>37</v>
      </c>
      <c r="S66" s="75">
        <v>37</v>
      </c>
      <c r="T66" s="75">
        <v>37</v>
      </c>
      <c r="U66" s="75">
        <v>37</v>
      </c>
      <c r="V66" s="75">
        <v>37</v>
      </c>
      <c r="W66" s="75">
        <v>37</v>
      </c>
      <c r="X66" s="75">
        <v>37</v>
      </c>
      <c r="Y66" s="75">
        <v>37</v>
      </c>
      <c r="Z66" s="46">
        <v>37</v>
      </c>
      <c r="AA66" s="46">
        <v>36.299999999999997</v>
      </c>
      <c r="AB66" s="46">
        <v>36.5</v>
      </c>
      <c r="AC66" s="46">
        <v>36.5</v>
      </c>
      <c r="AD66" s="46">
        <v>36</v>
      </c>
      <c r="AE66" s="46">
        <v>36</v>
      </c>
      <c r="AF66" s="46">
        <v>38.5</v>
      </c>
      <c r="AG66" s="65">
        <v>60</v>
      </c>
      <c r="AH66" s="48">
        <f t="shared" si="10"/>
        <v>38.5</v>
      </c>
      <c r="AI66" s="49">
        <f t="shared" si="11"/>
        <v>36</v>
      </c>
      <c r="AK66" s="51"/>
    </row>
    <row r="67" spans="1:75" x14ac:dyDescent="0.25">
      <c r="A67" s="64" t="s">
        <v>84</v>
      </c>
      <c r="B67" s="46">
        <v>0</v>
      </c>
      <c r="C67" s="46">
        <v>0</v>
      </c>
      <c r="D67" s="46">
        <v>0</v>
      </c>
      <c r="E67" s="46">
        <v>0</v>
      </c>
      <c r="F67" s="46">
        <v>0</v>
      </c>
      <c r="G67" s="46">
        <v>0</v>
      </c>
      <c r="H67" s="46">
        <v>0</v>
      </c>
      <c r="I67" s="46">
        <v>0</v>
      </c>
      <c r="J67" s="46">
        <v>0</v>
      </c>
      <c r="K67" s="46">
        <v>0</v>
      </c>
      <c r="L67" s="46">
        <v>0</v>
      </c>
      <c r="M67" s="46">
        <v>0</v>
      </c>
      <c r="N67" s="46">
        <v>16</v>
      </c>
      <c r="O67" s="46">
        <v>23</v>
      </c>
      <c r="P67" s="75">
        <v>23.6</v>
      </c>
      <c r="Q67" s="75">
        <v>23.6</v>
      </c>
      <c r="R67" s="75">
        <v>10</v>
      </c>
      <c r="S67" s="75">
        <v>14.8</v>
      </c>
      <c r="T67" s="75">
        <v>14.8</v>
      </c>
      <c r="U67" s="75">
        <v>13.2</v>
      </c>
      <c r="V67" s="75">
        <v>0</v>
      </c>
      <c r="W67" s="75">
        <v>0</v>
      </c>
      <c r="X67" s="75">
        <v>0</v>
      </c>
      <c r="Y67" s="75">
        <v>0</v>
      </c>
      <c r="Z67" s="46">
        <v>22.8</v>
      </c>
      <c r="AA67" s="46">
        <v>21.7</v>
      </c>
      <c r="AB67" s="46">
        <v>13.8</v>
      </c>
      <c r="AC67" s="46">
        <v>13.8</v>
      </c>
      <c r="AD67" s="46">
        <v>10.3</v>
      </c>
      <c r="AE67" s="46">
        <v>0</v>
      </c>
      <c r="AF67" s="46">
        <v>0</v>
      </c>
      <c r="AG67" s="65">
        <v>30</v>
      </c>
      <c r="AH67" s="48">
        <f t="shared" si="10"/>
        <v>23.6</v>
      </c>
      <c r="AI67" s="49">
        <f t="shared" si="11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</row>
    <row r="68" spans="1:75" x14ac:dyDescent="0.25">
      <c r="A68" s="64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1</v>
      </c>
      <c r="K68" s="46">
        <v>2.5</v>
      </c>
      <c r="L68" s="46">
        <v>5.3</v>
      </c>
      <c r="M68" s="46">
        <v>5.3</v>
      </c>
      <c r="N68" s="46">
        <v>5.3</v>
      </c>
      <c r="O68" s="46">
        <v>5.3</v>
      </c>
      <c r="P68" s="75">
        <v>18.2</v>
      </c>
      <c r="Q68" s="75">
        <v>18.2</v>
      </c>
      <c r="R68" s="75">
        <v>18.2</v>
      </c>
      <c r="S68" s="75">
        <v>14.1</v>
      </c>
      <c r="T68" s="75">
        <v>7.7</v>
      </c>
      <c r="U68" s="75">
        <v>3.5</v>
      </c>
      <c r="V68" s="75">
        <v>2</v>
      </c>
      <c r="W68" s="75">
        <v>0.9</v>
      </c>
      <c r="X68" s="75">
        <v>0.2</v>
      </c>
      <c r="Y68" s="75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5">
        <v>25</v>
      </c>
      <c r="AH68" s="48">
        <f t="shared" si="10"/>
        <v>18.2</v>
      </c>
      <c r="AI68" s="49">
        <f t="shared" si="11"/>
        <v>0</v>
      </c>
      <c r="AK68" s="51"/>
      <c r="AY68" s="1" t="s">
        <v>86</v>
      </c>
      <c r="AZ68" s="81">
        <f>ROUND(C81,0)</f>
        <v>37</v>
      </c>
      <c r="BA68" s="80">
        <f t="shared" ref="BA68:BD72" si="43">D81</f>
        <v>36</v>
      </c>
      <c r="BB68" s="80">
        <f t="shared" si="43"/>
        <v>32</v>
      </c>
      <c r="BC68" s="80">
        <f t="shared" si="43"/>
        <v>30.7</v>
      </c>
      <c r="BD68" s="80">
        <f t="shared" si="43"/>
        <v>30</v>
      </c>
      <c r="BE68" s="81">
        <f>I81</f>
        <v>34</v>
      </c>
      <c r="BF68" s="81">
        <f>K81</f>
        <v>60</v>
      </c>
      <c r="BG68" s="81">
        <f t="shared" ref="BG68:BP72" si="44">M81</f>
        <v>60.1</v>
      </c>
      <c r="BH68" s="81">
        <f t="shared" si="44"/>
        <v>50.1</v>
      </c>
      <c r="BI68" s="81">
        <f t="shared" si="44"/>
        <v>65</v>
      </c>
      <c r="BJ68" s="81">
        <f t="shared" si="44"/>
        <v>67</v>
      </c>
      <c r="BK68" s="81">
        <f t="shared" si="44"/>
        <v>72</v>
      </c>
      <c r="BL68" s="81">
        <f t="shared" si="44"/>
        <v>72</v>
      </c>
      <c r="BM68" s="81">
        <f t="shared" si="44"/>
        <v>67</v>
      </c>
      <c r="BN68" s="81">
        <f t="shared" si="44"/>
        <v>63.4</v>
      </c>
      <c r="BO68" s="81">
        <f t="shared" si="44"/>
        <v>70.400000000000006</v>
      </c>
      <c r="BP68" s="81">
        <f t="shared" si="44"/>
        <v>65.7</v>
      </c>
      <c r="BQ68" s="81">
        <f>X81</f>
        <v>52.3</v>
      </c>
      <c r="BR68" s="81">
        <f>Z81</f>
        <v>-11.9</v>
      </c>
      <c r="BS68" s="80">
        <f>AB81</f>
        <v>33.299999999999997</v>
      </c>
      <c r="BT68" s="80">
        <f>AD81</f>
        <v>23.3</v>
      </c>
      <c r="BU68" s="80">
        <f>AE81</f>
        <v>28.8</v>
      </c>
      <c r="BV68" s="80">
        <f>AF81</f>
        <v>29.9</v>
      </c>
      <c r="BW68" s="80">
        <f>B81</f>
        <v>40</v>
      </c>
    </row>
    <row r="69" spans="1:75" x14ac:dyDescent="0.25">
      <c r="A69" s="64" t="s">
        <v>87</v>
      </c>
      <c r="B69" s="75">
        <v>11</v>
      </c>
      <c r="C69" s="75">
        <v>11</v>
      </c>
      <c r="D69" s="75">
        <v>11</v>
      </c>
      <c r="E69" s="75">
        <v>11.5</v>
      </c>
      <c r="F69" s="75">
        <v>11.5</v>
      </c>
      <c r="G69" s="75">
        <v>11.5</v>
      </c>
      <c r="H69" s="75">
        <v>11.5</v>
      </c>
      <c r="I69" s="75">
        <v>11.5</v>
      </c>
      <c r="J69" s="75">
        <v>11.5</v>
      </c>
      <c r="K69" s="75">
        <v>11.5</v>
      </c>
      <c r="L69" s="75">
        <v>11.5</v>
      </c>
      <c r="M69" s="75">
        <v>11.5</v>
      </c>
      <c r="N69" s="75">
        <v>11.5</v>
      </c>
      <c r="O69" s="75">
        <v>11.5</v>
      </c>
      <c r="P69" s="75">
        <v>12</v>
      </c>
      <c r="Q69" s="75">
        <v>12</v>
      </c>
      <c r="R69" s="75">
        <v>12</v>
      </c>
      <c r="S69" s="75">
        <v>12</v>
      </c>
      <c r="T69" s="75">
        <v>12</v>
      </c>
      <c r="U69" s="75">
        <v>12</v>
      </c>
      <c r="V69" s="75">
        <v>12</v>
      </c>
      <c r="W69" s="75">
        <v>12</v>
      </c>
      <c r="X69" s="75">
        <v>12</v>
      </c>
      <c r="Y69" s="75">
        <v>12</v>
      </c>
      <c r="Z69" s="75">
        <v>12</v>
      </c>
      <c r="AA69" s="75">
        <v>12</v>
      </c>
      <c r="AB69" s="75">
        <v>15</v>
      </c>
      <c r="AC69" s="75">
        <v>15</v>
      </c>
      <c r="AD69" s="75">
        <v>14</v>
      </c>
      <c r="AE69" s="75">
        <v>14</v>
      </c>
      <c r="AF69" s="75">
        <v>15</v>
      </c>
      <c r="AG69" s="65">
        <v>24</v>
      </c>
      <c r="AH69" s="48">
        <f t="shared" si="10"/>
        <v>15</v>
      </c>
      <c r="AI69" s="49">
        <f t="shared" si="11"/>
        <v>11</v>
      </c>
      <c r="AK69" s="51"/>
      <c r="AY69" s="1" t="s">
        <v>88</v>
      </c>
      <c r="AZ69" s="81">
        <f>ROUND(C82,0)</f>
        <v>0</v>
      </c>
      <c r="BA69" s="80">
        <f t="shared" si="43"/>
        <v>0</v>
      </c>
      <c r="BB69" s="80">
        <f t="shared" si="43"/>
        <v>0</v>
      </c>
      <c r="BC69" s="80">
        <f t="shared" si="43"/>
        <v>0</v>
      </c>
      <c r="BD69" s="80">
        <f t="shared" si="43"/>
        <v>0</v>
      </c>
      <c r="BE69" s="81">
        <f t="shared" ref="BE69:BE72" si="45">I82</f>
        <v>135</v>
      </c>
      <c r="BF69" s="81">
        <f t="shared" ref="BF69:BF72" si="46">K82</f>
        <v>96.4</v>
      </c>
      <c r="BG69" s="81">
        <f t="shared" si="44"/>
        <v>93.5</v>
      </c>
      <c r="BH69" s="81">
        <f t="shared" si="44"/>
        <v>75</v>
      </c>
      <c r="BI69" s="81">
        <f t="shared" si="44"/>
        <v>86</v>
      </c>
      <c r="BJ69" s="81">
        <f t="shared" si="44"/>
        <v>87.1</v>
      </c>
      <c r="BK69" s="81">
        <f t="shared" si="44"/>
        <v>75</v>
      </c>
      <c r="BL69" s="81">
        <f t="shared" si="44"/>
        <v>75</v>
      </c>
      <c r="BM69" s="81">
        <f t="shared" si="44"/>
        <v>86.5</v>
      </c>
      <c r="BN69" s="81">
        <f t="shared" si="44"/>
        <v>84.4</v>
      </c>
      <c r="BO69" s="81">
        <f t="shared" si="44"/>
        <v>68.099999999999994</v>
      </c>
      <c r="BP69" s="81">
        <f t="shared" si="44"/>
        <v>62.5</v>
      </c>
      <c r="BQ69" s="81">
        <f t="shared" ref="BQ69:BQ72" si="47">X82</f>
        <v>44.7</v>
      </c>
      <c r="BR69" s="81">
        <f t="shared" ref="BR69:BR72" si="48">Z82</f>
        <v>0</v>
      </c>
      <c r="BS69" s="80">
        <f t="shared" ref="BS69:BS72" si="49">AB82</f>
        <v>0</v>
      </c>
      <c r="BT69" s="80">
        <f t="shared" ref="BT69:BV72" si="50">AD82</f>
        <v>0</v>
      </c>
      <c r="BU69" s="80">
        <f t="shared" si="50"/>
        <v>0</v>
      </c>
      <c r="BV69" s="80">
        <f t="shared" si="50"/>
        <v>0</v>
      </c>
      <c r="BW69" s="80">
        <f t="shared" ref="BW69:BW72" si="51">B82</f>
        <v>0</v>
      </c>
    </row>
    <row r="70" spans="1:75" x14ac:dyDescent="0.25">
      <c r="A70" s="64" t="s">
        <v>89</v>
      </c>
      <c r="B70" s="75">
        <v>0</v>
      </c>
      <c r="C70" s="75">
        <v>0</v>
      </c>
      <c r="D70" s="75">
        <v>0</v>
      </c>
      <c r="E70" s="75">
        <v>0</v>
      </c>
      <c r="F70" s="75">
        <v>0</v>
      </c>
      <c r="G70" s="75">
        <v>0</v>
      </c>
      <c r="H70" s="75">
        <v>0</v>
      </c>
      <c r="I70" s="75">
        <v>0</v>
      </c>
      <c r="J70" s="75">
        <v>0</v>
      </c>
      <c r="K70" s="75">
        <v>0</v>
      </c>
      <c r="L70" s="75">
        <v>0</v>
      </c>
      <c r="M70" s="75">
        <v>0</v>
      </c>
      <c r="N70" s="75">
        <v>0</v>
      </c>
      <c r="O70" s="75">
        <v>0</v>
      </c>
      <c r="P70" s="75">
        <v>0</v>
      </c>
      <c r="Q70" s="75">
        <v>0</v>
      </c>
      <c r="R70" s="75">
        <v>0</v>
      </c>
      <c r="S70" s="75">
        <v>0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5">
        <v>0</v>
      </c>
      <c r="Z70" s="75">
        <v>0</v>
      </c>
      <c r="AA70" s="75">
        <v>0</v>
      </c>
      <c r="AB70" s="75">
        <v>0</v>
      </c>
      <c r="AC70" s="75">
        <v>0</v>
      </c>
      <c r="AD70" s="75">
        <v>0</v>
      </c>
      <c r="AE70" s="75">
        <v>0</v>
      </c>
      <c r="AF70" s="75">
        <v>0</v>
      </c>
      <c r="AG70" s="65">
        <v>15</v>
      </c>
      <c r="AH70" s="48">
        <f t="shared" si="10"/>
        <v>0</v>
      </c>
      <c r="AI70" s="49">
        <f t="shared" si="11"/>
        <v>0</v>
      </c>
      <c r="AK70" s="51"/>
      <c r="AL70" s="82"/>
      <c r="AO70" s="82"/>
      <c r="AY70" s="1" t="s">
        <v>90</v>
      </c>
      <c r="AZ70" s="81">
        <f>ROUND(C83,0)</f>
        <v>95</v>
      </c>
      <c r="BA70" s="80">
        <f t="shared" si="43"/>
        <v>70</v>
      </c>
      <c r="BB70" s="80">
        <f t="shared" si="43"/>
        <v>56</v>
      </c>
      <c r="BC70" s="80">
        <f t="shared" si="43"/>
        <v>50</v>
      </c>
      <c r="BD70" s="80">
        <f t="shared" si="43"/>
        <v>64</v>
      </c>
      <c r="BE70" s="81">
        <f t="shared" si="45"/>
        <v>64</v>
      </c>
      <c r="BF70" s="81">
        <f t="shared" si="46"/>
        <v>435</v>
      </c>
      <c r="BG70" s="81">
        <f t="shared" si="44"/>
        <v>453</v>
      </c>
      <c r="BH70" s="81">
        <f t="shared" si="44"/>
        <v>470</v>
      </c>
      <c r="BI70" s="81">
        <f t="shared" si="44"/>
        <v>454</v>
      </c>
      <c r="BJ70" s="81">
        <f t="shared" si="44"/>
        <v>472.2</v>
      </c>
      <c r="BK70" s="81">
        <f t="shared" si="44"/>
        <v>270</v>
      </c>
      <c r="BL70" s="81">
        <f t="shared" si="44"/>
        <v>396</v>
      </c>
      <c r="BM70" s="81">
        <f t="shared" si="44"/>
        <v>486.5</v>
      </c>
      <c r="BN70" s="81">
        <f t="shared" si="44"/>
        <v>487.5</v>
      </c>
      <c r="BO70" s="81">
        <f t="shared" si="44"/>
        <v>487</v>
      </c>
      <c r="BP70" s="81">
        <f t="shared" si="44"/>
        <v>480.7</v>
      </c>
      <c r="BQ70" s="81">
        <f t="shared" si="47"/>
        <v>381.3</v>
      </c>
      <c r="BR70" s="81">
        <f t="shared" si="48"/>
        <v>70.8</v>
      </c>
      <c r="BS70" s="80">
        <f t="shared" si="49"/>
        <v>40</v>
      </c>
      <c r="BT70" s="80">
        <f t="shared" si="50"/>
        <v>30</v>
      </c>
      <c r="BU70" s="80">
        <f t="shared" si="50"/>
        <v>126.9</v>
      </c>
      <c r="BV70" s="80">
        <f t="shared" si="50"/>
        <v>107.7</v>
      </c>
      <c r="BW70" s="80">
        <f t="shared" si="51"/>
        <v>120</v>
      </c>
    </row>
    <row r="71" spans="1:75" s="82" customFormat="1" x14ac:dyDescent="0.25">
      <c r="A71" s="64" t="s">
        <v>91</v>
      </c>
      <c r="B71" s="75">
        <v>9.1999999999999993</v>
      </c>
      <c r="C71" s="75">
        <v>9.1999999999999993</v>
      </c>
      <c r="D71" s="75">
        <v>9.1999999999999993</v>
      </c>
      <c r="E71" s="75">
        <v>10.7</v>
      </c>
      <c r="F71" s="75">
        <v>10.7</v>
      </c>
      <c r="G71" s="75">
        <v>10.7</v>
      </c>
      <c r="H71" s="75">
        <v>10.7</v>
      </c>
      <c r="I71" s="75">
        <v>10.7</v>
      </c>
      <c r="J71" s="75">
        <v>10.7</v>
      </c>
      <c r="K71" s="75">
        <v>10.7</v>
      </c>
      <c r="L71" s="75">
        <v>10.7</v>
      </c>
      <c r="M71" s="75">
        <v>10.7</v>
      </c>
      <c r="N71" s="75">
        <v>10.7</v>
      </c>
      <c r="O71" s="75">
        <v>10.7</v>
      </c>
      <c r="P71" s="75">
        <v>9.9</v>
      </c>
      <c r="Q71" s="75">
        <v>9.9</v>
      </c>
      <c r="R71" s="75">
        <v>9.9</v>
      </c>
      <c r="S71" s="75">
        <v>9.9</v>
      </c>
      <c r="T71" s="75">
        <v>9.9</v>
      </c>
      <c r="U71" s="75">
        <v>9.9</v>
      </c>
      <c r="V71" s="75">
        <v>9.9</v>
      </c>
      <c r="W71" s="75">
        <v>9.9</v>
      </c>
      <c r="X71" s="75">
        <v>9.9</v>
      </c>
      <c r="Y71" s="75">
        <v>9.9</v>
      </c>
      <c r="Z71" s="75">
        <v>9.9</v>
      </c>
      <c r="AA71" s="75">
        <v>9.9</v>
      </c>
      <c r="AB71" s="75">
        <v>9.9</v>
      </c>
      <c r="AC71" s="75">
        <v>9.9</v>
      </c>
      <c r="AD71" s="75">
        <v>8.9</v>
      </c>
      <c r="AE71" s="75">
        <v>8.9</v>
      </c>
      <c r="AF71" s="75">
        <v>9.9</v>
      </c>
      <c r="AG71" s="65">
        <v>14.1</v>
      </c>
      <c r="AH71" s="48">
        <f t="shared" si="10"/>
        <v>10.7</v>
      </c>
      <c r="AI71" s="49">
        <f t="shared" si="11"/>
        <v>8.9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0</v>
      </c>
      <c r="BA71" s="80">
        <f t="shared" si="43"/>
        <v>0</v>
      </c>
      <c r="BB71" s="80">
        <f t="shared" si="43"/>
        <v>0</v>
      </c>
      <c r="BC71" s="80">
        <f t="shared" si="43"/>
        <v>0</v>
      </c>
      <c r="BD71" s="80">
        <f t="shared" si="43"/>
        <v>0</v>
      </c>
      <c r="BE71" s="81">
        <f t="shared" si="45"/>
        <v>42</v>
      </c>
      <c r="BF71" s="81">
        <f t="shared" si="46"/>
        <v>49.4</v>
      </c>
      <c r="BG71" s="81">
        <f t="shared" si="44"/>
        <v>50.6</v>
      </c>
      <c r="BH71" s="81">
        <f t="shared" si="44"/>
        <v>45</v>
      </c>
      <c r="BI71" s="81">
        <f t="shared" si="44"/>
        <v>45</v>
      </c>
      <c r="BJ71" s="81">
        <f t="shared" si="44"/>
        <v>44.8</v>
      </c>
      <c r="BK71" s="81">
        <f t="shared" si="44"/>
        <v>43.7</v>
      </c>
      <c r="BL71" s="81">
        <f t="shared" si="44"/>
        <v>43.7</v>
      </c>
      <c r="BM71" s="81">
        <f t="shared" si="44"/>
        <v>47.8</v>
      </c>
      <c r="BN71" s="81">
        <f t="shared" si="44"/>
        <v>48.3</v>
      </c>
      <c r="BO71" s="81">
        <f t="shared" si="44"/>
        <v>46.4</v>
      </c>
      <c r="BP71" s="81">
        <f t="shared" si="44"/>
        <v>48.1</v>
      </c>
      <c r="BQ71" s="81">
        <f t="shared" si="47"/>
        <v>33.4</v>
      </c>
      <c r="BR71" s="81">
        <f t="shared" si="48"/>
        <v>0</v>
      </c>
      <c r="BS71" s="80">
        <f t="shared" si="49"/>
        <v>0</v>
      </c>
      <c r="BT71" s="80">
        <f t="shared" si="50"/>
        <v>0</v>
      </c>
      <c r="BU71" s="80">
        <f t="shared" si="50"/>
        <v>0</v>
      </c>
      <c r="BV71" s="80">
        <f t="shared" si="50"/>
        <v>0</v>
      </c>
      <c r="BW71" s="80">
        <f t="shared" si="51"/>
        <v>0</v>
      </c>
    </row>
    <row r="72" spans="1:75" x14ac:dyDescent="0.25">
      <c r="A72" s="83" t="s">
        <v>93</v>
      </c>
      <c r="B72" s="75">
        <v>6.7</v>
      </c>
      <c r="C72" s="75">
        <v>6.7</v>
      </c>
      <c r="D72" s="75">
        <v>6.7</v>
      </c>
      <c r="E72" s="75">
        <v>4.9000000000000004</v>
      </c>
      <c r="F72" s="75">
        <v>4.9000000000000004</v>
      </c>
      <c r="G72" s="75">
        <v>5</v>
      </c>
      <c r="H72" s="75">
        <v>5</v>
      </c>
      <c r="I72" s="75">
        <v>5</v>
      </c>
      <c r="J72" s="75">
        <v>5</v>
      </c>
      <c r="K72" s="75">
        <v>5</v>
      </c>
      <c r="L72" s="75">
        <v>5</v>
      </c>
      <c r="M72" s="75">
        <v>5</v>
      </c>
      <c r="N72" s="75">
        <v>5</v>
      </c>
      <c r="O72" s="75">
        <v>5</v>
      </c>
      <c r="P72" s="75">
        <v>5</v>
      </c>
      <c r="Q72" s="75">
        <v>5</v>
      </c>
      <c r="R72" s="75">
        <v>5</v>
      </c>
      <c r="S72" s="75">
        <v>5</v>
      </c>
      <c r="T72" s="75">
        <v>5</v>
      </c>
      <c r="U72" s="75">
        <v>5</v>
      </c>
      <c r="V72" s="75">
        <v>5</v>
      </c>
      <c r="W72" s="75">
        <v>5</v>
      </c>
      <c r="X72" s="75">
        <v>5</v>
      </c>
      <c r="Y72" s="75">
        <v>5</v>
      </c>
      <c r="Z72" s="75">
        <v>5</v>
      </c>
      <c r="AA72" s="75">
        <v>4.4000000000000004</v>
      </c>
      <c r="AB72" s="75">
        <v>4.5</v>
      </c>
      <c r="AC72" s="75">
        <v>4.5</v>
      </c>
      <c r="AD72" s="75">
        <v>4.5</v>
      </c>
      <c r="AE72" s="75">
        <v>4.5</v>
      </c>
      <c r="AF72" s="75">
        <v>5</v>
      </c>
      <c r="AG72" s="65">
        <v>14</v>
      </c>
      <c r="AH72" s="48">
        <f t="shared" si="10"/>
        <v>6.7</v>
      </c>
      <c r="AI72" s="49">
        <f t="shared" si="11"/>
        <v>4.4000000000000004</v>
      </c>
      <c r="AK72" s="51"/>
      <c r="AY72" s="1" t="s">
        <v>94</v>
      </c>
      <c r="AZ72" s="81">
        <f>ROUND(C85,0)</f>
        <v>0</v>
      </c>
      <c r="BA72" s="80">
        <f t="shared" si="43"/>
        <v>0</v>
      </c>
      <c r="BB72" s="80">
        <f t="shared" si="43"/>
        <v>0</v>
      </c>
      <c r="BC72" s="80">
        <f t="shared" si="43"/>
        <v>0</v>
      </c>
      <c r="BD72" s="80">
        <f t="shared" si="43"/>
        <v>0</v>
      </c>
      <c r="BE72" s="81">
        <f t="shared" si="45"/>
        <v>106</v>
      </c>
      <c r="BF72" s="81">
        <f t="shared" si="46"/>
        <v>127</v>
      </c>
      <c r="BG72" s="81">
        <f t="shared" si="44"/>
        <v>116</v>
      </c>
      <c r="BH72" s="81">
        <f t="shared" si="44"/>
        <v>143</v>
      </c>
      <c r="BI72" s="81">
        <f t="shared" si="44"/>
        <v>120</v>
      </c>
      <c r="BJ72" s="81">
        <f t="shared" si="44"/>
        <v>133.69999999999999</v>
      </c>
      <c r="BK72" s="81">
        <f t="shared" si="44"/>
        <v>138</v>
      </c>
      <c r="BL72" s="81">
        <f t="shared" si="44"/>
        <v>138</v>
      </c>
      <c r="BM72" s="81">
        <f t="shared" si="44"/>
        <v>141.80000000000001</v>
      </c>
      <c r="BN72" s="81">
        <f t="shared" si="44"/>
        <v>148.5</v>
      </c>
      <c r="BO72" s="81">
        <f t="shared" si="44"/>
        <v>130.30000000000001</v>
      </c>
      <c r="BP72" s="81">
        <f t="shared" si="44"/>
        <v>122.8</v>
      </c>
      <c r="BQ72" s="81">
        <f t="shared" si="47"/>
        <v>61.8</v>
      </c>
      <c r="BR72" s="81">
        <f t="shared" si="48"/>
        <v>0</v>
      </c>
      <c r="BS72" s="80">
        <f t="shared" si="49"/>
        <v>0</v>
      </c>
      <c r="BT72" s="80">
        <f t="shared" si="50"/>
        <v>0</v>
      </c>
      <c r="BU72" s="80">
        <f t="shared" si="50"/>
        <v>0</v>
      </c>
      <c r="BV72" s="80">
        <f t="shared" si="50"/>
        <v>0</v>
      </c>
      <c r="BW72" s="80">
        <f t="shared" si="51"/>
        <v>0</v>
      </c>
    </row>
    <row r="73" spans="1:75" x14ac:dyDescent="0.25">
      <c r="A73" s="64" t="s">
        <v>95</v>
      </c>
      <c r="B73" s="75">
        <v>0</v>
      </c>
      <c r="C73" s="75">
        <v>0</v>
      </c>
      <c r="D73" s="75">
        <v>0</v>
      </c>
      <c r="E73" s="75">
        <v>0</v>
      </c>
      <c r="F73" s="75">
        <v>0</v>
      </c>
      <c r="G73" s="75">
        <v>0</v>
      </c>
      <c r="H73" s="75">
        <v>0</v>
      </c>
      <c r="I73" s="75">
        <v>0</v>
      </c>
      <c r="J73" s="75">
        <v>0</v>
      </c>
      <c r="K73" s="75">
        <v>0</v>
      </c>
      <c r="L73" s="75">
        <v>0</v>
      </c>
      <c r="M73" s="75">
        <v>0</v>
      </c>
      <c r="N73" s="75">
        <v>0</v>
      </c>
      <c r="O73" s="75">
        <v>0</v>
      </c>
      <c r="P73" s="75">
        <v>0</v>
      </c>
      <c r="Q73" s="75">
        <v>0</v>
      </c>
      <c r="R73" s="75">
        <v>0</v>
      </c>
      <c r="S73" s="75">
        <v>0</v>
      </c>
      <c r="T73" s="75">
        <v>0</v>
      </c>
      <c r="U73" s="75">
        <v>0</v>
      </c>
      <c r="V73" s="75">
        <v>0</v>
      </c>
      <c r="W73" s="75">
        <v>0</v>
      </c>
      <c r="X73" s="75">
        <v>0</v>
      </c>
      <c r="Y73" s="75">
        <v>0</v>
      </c>
      <c r="Z73" s="75">
        <v>0</v>
      </c>
      <c r="AA73" s="75">
        <v>0</v>
      </c>
      <c r="AB73" s="75">
        <v>3.7</v>
      </c>
      <c r="AC73" s="75">
        <v>3.7</v>
      </c>
      <c r="AD73" s="75">
        <v>3.7</v>
      </c>
      <c r="AE73" s="75">
        <v>3.7</v>
      </c>
      <c r="AF73" s="75">
        <v>3.7</v>
      </c>
      <c r="AG73" s="65">
        <v>10.050000000000001</v>
      </c>
      <c r="AH73" s="48">
        <f t="shared" si="10"/>
        <v>3.7</v>
      </c>
      <c r="AI73" s="49">
        <f t="shared" si="11"/>
        <v>0</v>
      </c>
      <c r="AK73" s="51"/>
      <c r="AY73" s="1" t="s">
        <v>96</v>
      </c>
      <c r="AZ73" s="81">
        <f>ROUND(C91,0)</f>
        <v>48</v>
      </c>
      <c r="BA73" s="81">
        <f>D91</f>
        <v>49</v>
      </c>
      <c r="BB73" s="81">
        <f>E91</f>
        <v>49.4</v>
      </c>
      <c r="BC73" s="81">
        <f>F91</f>
        <v>48.4</v>
      </c>
      <c r="BD73" s="81">
        <f>G91</f>
        <v>47</v>
      </c>
      <c r="BE73" s="81">
        <f>I91</f>
        <v>48.2</v>
      </c>
      <c r="BF73" s="81">
        <f>K91</f>
        <v>56</v>
      </c>
      <c r="BG73" s="81">
        <f t="shared" ref="BG73:BP73" si="52">M91</f>
        <v>50.5</v>
      </c>
      <c r="BH73" s="81">
        <f t="shared" si="52"/>
        <v>45</v>
      </c>
      <c r="BI73" s="81">
        <f t="shared" si="52"/>
        <v>57</v>
      </c>
      <c r="BJ73" s="81">
        <f t="shared" si="52"/>
        <v>42.1</v>
      </c>
      <c r="BK73" s="81">
        <f t="shared" si="52"/>
        <v>41</v>
      </c>
      <c r="BL73" s="81">
        <f t="shared" si="52"/>
        <v>41</v>
      </c>
      <c r="BM73" s="81">
        <f t="shared" si="52"/>
        <v>41.8</v>
      </c>
      <c r="BN73" s="81">
        <f t="shared" si="52"/>
        <v>45.7</v>
      </c>
      <c r="BO73" s="81">
        <f t="shared" si="52"/>
        <v>46.2</v>
      </c>
      <c r="BP73" s="81">
        <f t="shared" si="52"/>
        <v>47</v>
      </c>
      <c r="BQ73" s="81">
        <f>X91</f>
        <v>42</v>
      </c>
      <c r="BR73" s="81">
        <f>Z91</f>
        <v>50.5</v>
      </c>
      <c r="BS73" s="81">
        <f>AB91</f>
        <v>50.6</v>
      </c>
      <c r="BT73" s="81">
        <f>AD91</f>
        <v>50.7</v>
      </c>
      <c r="BU73" s="81">
        <f>AE91</f>
        <v>50.7</v>
      </c>
      <c r="BV73" s="81">
        <f>AF91</f>
        <v>49.7</v>
      </c>
      <c r="BW73" s="81">
        <f>B91</f>
        <v>50</v>
      </c>
    </row>
    <row r="74" spans="1:75" x14ac:dyDescent="0.25">
      <c r="A74" s="64" t="s">
        <v>97</v>
      </c>
      <c r="B74" s="75">
        <v>2</v>
      </c>
      <c r="C74" s="75">
        <v>2</v>
      </c>
      <c r="D74" s="75">
        <v>2</v>
      </c>
      <c r="E74" s="75">
        <v>2</v>
      </c>
      <c r="F74" s="75">
        <v>2</v>
      </c>
      <c r="G74" s="75">
        <v>2</v>
      </c>
      <c r="H74" s="75">
        <v>2</v>
      </c>
      <c r="I74" s="75">
        <v>2</v>
      </c>
      <c r="J74" s="75">
        <v>2</v>
      </c>
      <c r="K74" s="75">
        <v>2</v>
      </c>
      <c r="L74" s="75">
        <v>2</v>
      </c>
      <c r="M74" s="75">
        <v>2</v>
      </c>
      <c r="N74" s="75">
        <v>2</v>
      </c>
      <c r="O74" s="75">
        <v>2</v>
      </c>
      <c r="P74" s="75">
        <v>2</v>
      </c>
      <c r="Q74" s="75">
        <v>2</v>
      </c>
      <c r="R74" s="75">
        <v>2</v>
      </c>
      <c r="S74" s="75">
        <v>2</v>
      </c>
      <c r="T74" s="75">
        <v>2</v>
      </c>
      <c r="U74" s="75">
        <v>2</v>
      </c>
      <c r="V74" s="75">
        <v>2</v>
      </c>
      <c r="W74" s="75">
        <v>2</v>
      </c>
      <c r="X74" s="75">
        <v>2</v>
      </c>
      <c r="Y74" s="75">
        <v>2</v>
      </c>
      <c r="Z74" s="75">
        <v>2</v>
      </c>
      <c r="AA74" s="75">
        <v>2</v>
      </c>
      <c r="AB74" s="75">
        <v>2</v>
      </c>
      <c r="AC74" s="75">
        <v>2</v>
      </c>
      <c r="AD74" s="75">
        <v>2</v>
      </c>
      <c r="AE74" s="75">
        <v>2</v>
      </c>
      <c r="AF74" s="75">
        <v>2</v>
      </c>
      <c r="AG74" s="65">
        <v>6.2</v>
      </c>
      <c r="AH74" s="48">
        <f t="shared" si="10"/>
        <v>2</v>
      </c>
      <c r="AI74" s="49">
        <f t="shared" si="11"/>
        <v>2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</row>
    <row r="75" spans="1:75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>
        <v>3.54</v>
      </c>
      <c r="W75" s="84">
        <v>3.54</v>
      </c>
      <c r="X75" s="84">
        <v>3.54</v>
      </c>
      <c r="Y75" s="84">
        <v>3.54</v>
      </c>
      <c r="Z75" s="84">
        <v>3.54</v>
      </c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10"/>
        <v>3.54</v>
      </c>
      <c r="AI75" s="49">
        <f t="shared" si="11"/>
        <v>3.54</v>
      </c>
      <c r="AK75" s="51"/>
      <c r="AZ75" s="81">
        <f>VALUE(AZ68)</f>
        <v>37</v>
      </c>
      <c r="BA75" s="81">
        <f t="shared" ref="BA75:BW75" si="53">VALUE(BA68)</f>
        <v>36</v>
      </c>
      <c r="BB75" s="81">
        <f t="shared" si="53"/>
        <v>32</v>
      </c>
      <c r="BC75" s="81">
        <f t="shared" si="53"/>
        <v>30.7</v>
      </c>
      <c r="BD75" s="81">
        <f t="shared" si="53"/>
        <v>30</v>
      </c>
      <c r="BE75" s="81">
        <f t="shared" si="53"/>
        <v>34</v>
      </c>
      <c r="BF75" s="81">
        <f t="shared" si="53"/>
        <v>60</v>
      </c>
      <c r="BG75" s="81">
        <f t="shared" si="53"/>
        <v>60.1</v>
      </c>
      <c r="BH75" s="81">
        <f t="shared" si="53"/>
        <v>50.1</v>
      </c>
      <c r="BI75" s="81">
        <f t="shared" si="53"/>
        <v>65</v>
      </c>
      <c r="BJ75" s="81">
        <f t="shared" si="53"/>
        <v>67</v>
      </c>
      <c r="BK75" s="81">
        <f t="shared" si="53"/>
        <v>72</v>
      </c>
      <c r="BL75" s="81">
        <f t="shared" si="53"/>
        <v>72</v>
      </c>
      <c r="BM75" s="81">
        <f t="shared" si="53"/>
        <v>67</v>
      </c>
      <c r="BN75" s="81">
        <f t="shared" si="53"/>
        <v>63.4</v>
      </c>
      <c r="BO75" s="81">
        <f t="shared" si="53"/>
        <v>70.400000000000006</v>
      </c>
      <c r="BP75" s="81">
        <f t="shared" si="53"/>
        <v>65.7</v>
      </c>
      <c r="BQ75" s="81">
        <f t="shared" si="53"/>
        <v>52.3</v>
      </c>
      <c r="BR75" s="81">
        <f t="shared" si="53"/>
        <v>-11.9</v>
      </c>
      <c r="BS75" s="81">
        <f t="shared" si="53"/>
        <v>33.299999999999997</v>
      </c>
      <c r="BT75" s="81">
        <f t="shared" si="53"/>
        <v>23.3</v>
      </c>
      <c r="BU75" s="81">
        <f t="shared" si="53"/>
        <v>28.8</v>
      </c>
      <c r="BV75" s="81">
        <f t="shared" si="53"/>
        <v>29.9</v>
      </c>
      <c r="BW75" s="81">
        <f t="shared" si="53"/>
        <v>40</v>
      </c>
    </row>
    <row r="76" spans="1:75" ht="15.75" thickBot="1" x14ac:dyDescent="0.3">
      <c r="A76" s="86" t="s">
        <v>99</v>
      </c>
      <c r="B76" s="70">
        <f t="shared" ref="B76:C76" si="54">SUM(B63:B75)</f>
        <v>211.73999999999998</v>
      </c>
      <c r="C76" s="70">
        <f t="shared" si="54"/>
        <v>205.73999999999998</v>
      </c>
      <c r="D76" s="70">
        <f t="shared" ref="D76" si="55">SUM(D63:D75)</f>
        <v>205.73999999999998</v>
      </c>
      <c r="E76" s="70">
        <f t="shared" ref="E76:AG76" si="56">SUM(E63:E75)</f>
        <v>197.94</v>
      </c>
      <c r="F76" s="70">
        <f t="shared" si="56"/>
        <v>193.33999999999997</v>
      </c>
      <c r="G76" s="70">
        <f t="shared" si="56"/>
        <v>193.43999999999997</v>
      </c>
      <c r="H76" s="70">
        <f t="shared" si="56"/>
        <v>154.73999999999998</v>
      </c>
      <c r="I76" s="70">
        <f t="shared" si="56"/>
        <v>154.73999999999998</v>
      </c>
      <c r="J76" s="70">
        <f t="shared" si="56"/>
        <v>155.73999999999998</v>
      </c>
      <c r="K76" s="70">
        <f t="shared" si="56"/>
        <v>159.04</v>
      </c>
      <c r="L76" s="70">
        <f t="shared" si="56"/>
        <v>161.83999999999997</v>
      </c>
      <c r="M76" s="70">
        <f t="shared" si="56"/>
        <v>161.83999999999997</v>
      </c>
      <c r="N76" s="70">
        <f t="shared" si="56"/>
        <v>177.84</v>
      </c>
      <c r="O76" s="70">
        <f t="shared" si="56"/>
        <v>186.34</v>
      </c>
      <c r="P76" s="70">
        <f t="shared" si="56"/>
        <v>194.04</v>
      </c>
      <c r="Q76" s="70">
        <f t="shared" si="56"/>
        <v>194.04</v>
      </c>
      <c r="R76" s="70">
        <f t="shared" si="56"/>
        <v>151.63999999999999</v>
      </c>
      <c r="S76" s="70">
        <f t="shared" ref="S76:T76" si="57">SUM(S63:S75)</f>
        <v>98.34</v>
      </c>
      <c r="T76" s="70">
        <f t="shared" si="57"/>
        <v>91.940000000000012</v>
      </c>
      <c r="U76" s="70">
        <f t="shared" ref="U76:V76" si="58">SUM(U63:U75)</f>
        <v>86.140000000000015</v>
      </c>
      <c r="V76" s="70">
        <f t="shared" si="58"/>
        <v>71.440000000000012</v>
      </c>
      <c r="W76" s="70">
        <f t="shared" ref="W76:X76" si="59">SUM(W63:W75)</f>
        <v>118.74000000000002</v>
      </c>
      <c r="X76" s="70">
        <f t="shared" si="59"/>
        <v>156.74</v>
      </c>
      <c r="Y76" s="70">
        <f t="shared" ref="Y76:Z76" si="60">SUM(Y63:Y75)</f>
        <v>271.64</v>
      </c>
      <c r="Z76" s="70">
        <f t="shared" si="60"/>
        <v>373.44000000000005</v>
      </c>
      <c r="AA76" s="70">
        <f t="shared" si="56"/>
        <v>373.53999999999996</v>
      </c>
      <c r="AB76" s="70">
        <f t="shared" si="56"/>
        <v>369.44</v>
      </c>
      <c r="AC76" s="70">
        <f t="shared" si="56"/>
        <v>359.54</v>
      </c>
      <c r="AD76" s="70">
        <f t="shared" si="56"/>
        <v>328.23999999999995</v>
      </c>
      <c r="AE76" s="70">
        <f t="shared" si="56"/>
        <v>341.04</v>
      </c>
      <c r="AF76" s="70">
        <f t="shared" si="56"/>
        <v>277.44</v>
      </c>
      <c r="AG76" s="71">
        <f t="shared" si="56"/>
        <v>489.91</v>
      </c>
      <c r="AH76" s="48">
        <f t="shared" si="10"/>
        <v>373.53999999999996</v>
      </c>
      <c r="AI76" s="49">
        <f t="shared" si="11"/>
        <v>71.440000000000012</v>
      </c>
      <c r="AK76" s="51"/>
      <c r="AZ76" s="81">
        <f t="shared" ref="AZ76:BW80" si="61">VALUE(AZ69)</f>
        <v>0</v>
      </c>
      <c r="BA76" s="81">
        <f t="shared" si="61"/>
        <v>0</v>
      </c>
      <c r="BB76" s="81">
        <f t="shared" si="61"/>
        <v>0</v>
      </c>
      <c r="BC76" s="81">
        <f t="shared" si="61"/>
        <v>0</v>
      </c>
      <c r="BD76" s="81">
        <f t="shared" si="61"/>
        <v>0</v>
      </c>
      <c r="BE76" s="81">
        <f t="shared" si="61"/>
        <v>135</v>
      </c>
      <c r="BF76" s="81">
        <f t="shared" si="61"/>
        <v>96.4</v>
      </c>
      <c r="BG76" s="81">
        <f t="shared" si="61"/>
        <v>93.5</v>
      </c>
      <c r="BH76" s="81">
        <f t="shared" si="61"/>
        <v>75</v>
      </c>
      <c r="BI76" s="81">
        <f t="shared" si="61"/>
        <v>86</v>
      </c>
      <c r="BJ76" s="81">
        <f t="shared" si="61"/>
        <v>87.1</v>
      </c>
      <c r="BK76" s="81">
        <f t="shared" si="61"/>
        <v>75</v>
      </c>
      <c r="BL76" s="81">
        <f t="shared" si="61"/>
        <v>75</v>
      </c>
      <c r="BM76" s="81">
        <f t="shared" si="61"/>
        <v>86.5</v>
      </c>
      <c r="BN76" s="81">
        <f t="shared" si="61"/>
        <v>84.4</v>
      </c>
      <c r="BO76" s="81">
        <f t="shared" si="61"/>
        <v>68.099999999999994</v>
      </c>
      <c r="BP76" s="81">
        <f t="shared" si="61"/>
        <v>62.5</v>
      </c>
      <c r="BQ76" s="81">
        <f t="shared" si="61"/>
        <v>44.7</v>
      </c>
      <c r="BR76" s="81">
        <f t="shared" si="61"/>
        <v>0</v>
      </c>
      <c r="BS76" s="81">
        <f t="shared" si="61"/>
        <v>0</v>
      </c>
      <c r="BT76" s="81">
        <f t="shared" si="61"/>
        <v>0</v>
      </c>
      <c r="BU76" s="81">
        <f t="shared" si="61"/>
        <v>0</v>
      </c>
      <c r="BV76" s="81">
        <f t="shared" si="61"/>
        <v>0</v>
      </c>
      <c r="BW76" s="81">
        <f t="shared" si="61"/>
        <v>0</v>
      </c>
    </row>
    <row r="77" spans="1:75" x14ac:dyDescent="0.25">
      <c r="A77" s="45" t="s">
        <v>100</v>
      </c>
      <c r="B77" s="46">
        <v>59</v>
      </c>
      <c r="C77" s="46">
        <v>59</v>
      </c>
      <c r="D77" s="46">
        <v>59</v>
      </c>
      <c r="E77" s="46">
        <v>59</v>
      </c>
      <c r="F77" s="46">
        <v>59</v>
      </c>
      <c r="G77" s="46">
        <v>59</v>
      </c>
      <c r="H77" s="46">
        <v>33</v>
      </c>
      <c r="I77" s="46">
        <v>30</v>
      </c>
      <c r="J77" s="46">
        <v>10</v>
      </c>
      <c r="K77" s="46">
        <v>10</v>
      </c>
      <c r="L77" s="46">
        <v>10</v>
      </c>
      <c r="M77" s="46">
        <v>26.6</v>
      </c>
      <c r="N77" s="46">
        <v>0</v>
      </c>
      <c r="O77" s="46">
        <v>0</v>
      </c>
      <c r="P77" s="46">
        <v>0</v>
      </c>
      <c r="Q77" s="46">
        <v>60</v>
      </c>
      <c r="R77" s="46">
        <v>0</v>
      </c>
      <c r="S77" s="46">
        <v>0</v>
      </c>
      <c r="T77" s="46">
        <v>12.5</v>
      </c>
      <c r="U77" s="46">
        <v>18.5</v>
      </c>
      <c r="V77" s="46">
        <v>27.85</v>
      </c>
      <c r="W77" s="46">
        <v>28.9</v>
      </c>
      <c r="X77" s="46">
        <v>28.9</v>
      </c>
      <c r="Y77" s="46">
        <v>56.5</v>
      </c>
      <c r="Z77" s="46">
        <v>56.7</v>
      </c>
      <c r="AA77" s="46">
        <v>56.4</v>
      </c>
      <c r="AB77" s="46">
        <v>56.8</v>
      </c>
      <c r="AC77" s="46">
        <v>57</v>
      </c>
      <c r="AD77" s="46">
        <v>56.7</v>
      </c>
      <c r="AE77" s="46">
        <v>57</v>
      </c>
      <c r="AF77" s="46">
        <v>57.1</v>
      </c>
      <c r="AG77" s="60">
        <v>60</v>
      </c>
      <c r="AH77" s="48">
        <f t="shared" si="10"/>
        <v>60</v>
      </c>
      <c r="AI77" s="49">
        <f t="shared" si="11"/>
        <v>0</v>
      </c>
      <c r="AK77" s="51"/>
      <c r="AZ77" s="81">
        <f t="shared" si="61"/>
        <v>95</v>
      </c>
      <c r="BA77" s="81">
        <f t="shared" si="61"/>
        <v>70</v>
      </c>
      <c r="BB77" s="81">
        <f t="shared" si="61"/>
        <v>56</v>
      </c>
      <c r="BC77" s="81">
        <f t="shared" si="61"/>
        <v>50</v>
      </c>
      <c r="BD77" s="81">
        <f t="shared" si="61"/>
        <v>64</v>
      </c>
      <c r="BE77" s="81">
        <f t="shared" si="61"/>
        <v>64</v>
      </c>
      <c r="BF77" s="81">
        <f t="shared" si="61"/>
        <v>435</v>
      </c>
      <c r="BG77" s="81">
        <f t="shared" si="61"/>
        <v>453</v>
      </c>
      <c r="BH77" s="81">
        <f t="shared" si="61"/>
        <v>470</v>
      </c>
      <c r="BI77" s="81">
        <f t="shared" si="61"/>
        <v>454</v>
      </c>
      <c r="BJ77" s="81">
        <f t="shared" si="61"/>
        <v>472.2</v>
      </c>
      <c r="BK77" s="81">
        <f t="shared" si="61"/>
        <v>270</v>
      </c>
      <c r="BL77" s="81">
        <f t="shared" si="61"/>
        <v>396</v>
      </c>
      <c r="BM77" s="81">
        <f t="shared" si="61"/>
        <v>486.5</v>
      </c>
      <c r="BN77" s="81">
        <f t="shared" si="61"/>
        <v>487.5</v>
      </c>
      <c r="BO77" s="81">
        <f t="shared" si="61"/>
        <v>487</v>
      </c>
      <c r="BP77" s="81">
        <f t="shared" si="61"/>
        <v>480.7</v>
      </c>
      <c r="BQ77" s="81">
        <f t="shared" si="61"/>
        <v>381.3</v>
      </c>
      <c r="BR77" s="81">
        <f t="shared" si="61"/>
        <v>70.8</v>
      </c>
      <c r="BS77" s="81">
        <f t="shared" si="61"/>
        <v>40</v>
      </c>
      <c r="BT77" s="81">
        <f t="shared" si="61"/>
        <v>30</v>
      </c>
      <c r="BU77" s="81">
        <f t="shared" si="61"/>
        <v>126.9</v>
      </c>
      <c r="BV77" s="81">
        <f t="shared" si="61"/>
        <v>107.7</v>
      </c>
      <c r="BW77" s="81">
        <f t="shared" si="61"/>
        <v>120</v>
      </c>
    </row>
    <row r="78" spans="1:75" x14ac:dyDescent="0.25">
      <c r="A78" s="64" t="s">
        <v>101</v>
      </c>
      <c r="B78" s="75">
        <v>27</v>
      </c>
      <c r="C78" s="75">
        <v>27</v>
      </c>
      <c r="D78" s="75">
        <v>27</v>
      </c>
      <c r="E78" s="75">
        <v>27</v>
      </c>
      <c r="F78" s="75">
        <v>27</v>
      </c>
      <c r="G78" s="75">
        <v>27</v>
      </c>
      <c r="H78" s="75">
        <v>14.5</v>
      </c>
      <c r="I78" s="75">
        <v>11</v>
      </c>
      <c r="J78" s="75">
        <v>14.7</v>
      </c>
      <c r="K78" s="75">
        <v>4</v>
      </c>
      <c r="L78" s="75">
        <v>4</v>
      </c>
      <c r="M78" s="75">
        <v>13.7</v>
      </c>
      <c r="N78" s="75">
        <v>0</v>
      </c>
      <c r="O78" s="75">
        <v>0</v>
      </c>
      <c r="P78" s="75">
        <v>0</v>
      </c>
      <c r="Q78" s="75">
        <v>30</v>
      </c>
      <c r="R78" s="75">
        <v>0</v>
      </c>
      <c r="S78" s="75">
        <v>0</v>
      </c>
      <c r="T78" s="75">
        <v>4.9000000000000004</v>
      </c>
      <c r="U78" s="75">
        <v>6.9</v>
      </c>
      <c r="V78" s="75">
        <v>12.04</v>
      </c>
      <c r="W78" s="75">
        <v>11.3</v>
      </c>
      <c r="X78" s="75">
        <v>11.3</v>
      </c>
      <c r="Y78" s="75">
        <v>26.9</v>
      </c>
      <c r="Z78" s="75">
        <v>26.7</v>
      </c>
      <c r="AA78" s="75">
        <v>27</v>
      </c>
      <c r="AB78" s="75">
        <v>27.7</v>
      </c>
      <c r="AC78" s="75">
        <v>27.6</v>
      </c>
      <c r="AD78" s="75">
        <v>26.9</v>
      </c>
      <c r="AE78" s="75">
        <v>26</v>
      </c>
      <c r="AF78" s="75">
        <v>26.1</v>
      </c>
      <c r="AG78" s="65">
        <v>32</v>
      </c>
      <c r="AH78" s="48">
        <f t="shared" si="10"/>
        <v>30</v>
      </c>
      <c r="AI78" s="49">
        <f t="shared" si="11"/>
        <v>0</v>
      </c>
      <c r="AK78" s="51"/>
      <c r="AZ78" s="81">
        <f t="shared" si="61"/>
        <v>0</v>
      </c>
      <c r="BA78" s="81">
        <f t="shared" si="61"/>
        <v>0</v>
      </c>
      <c r="BB78" s="81">
        <f t="shared" si="61"/>
        <v>0</v>
      </c>
      <c r="BC78" s="81">
        <f t="shared" si="61"/>
        <v>0</v>
      </c>
      <c r="BD78" s="81">
        <f t="shared" si="61"/>
        <v>0</v>
      </c>
      <c r="BE78" s="81">
        <f t="shared" si="61"/>
        <v>42</v>
      </c>
      <c r="BF78" s="81">
        <f t="shared" si="61"/>
        <v>49.4</v>
      </c>
      <c r="BG78" s="81">
        <f t="shared" si="61"/>
        <v>50.6</v>
      </c>
      <c r="BH78" s="81">
        <f t="shared" si="61"/>
        <v>45</v>
      </c>
      <c r="BI78" s="81">
        <f t="shared" si="61"/>
        <v>45</v>
      </c>
      <c r="BJ78" s="81">
        <f t="shared" si="61"/>
        <v>44.8</v>
      </c>
      <c r="BK78" s="81">
        <f t="shared" si="61"/>
        <v>43.7</v>
      </c>
      <c r="BL78" s="81">
        <f t="shared" si="61"/>
        <v>43.7</v>
      </c>
      <c r="BM78" s="81">
        <f t="shared" si="61"/>
        <v>47.8</v>
      </c>
      <c r="BN78" s="81">
        <f t="shared" si="61"/>
        <v>48.3</v>
      </c>
      <c r="BO78" s="81">
        <f t="shared" si="61"/>
        <v>46.4</v>
      </c>
      <c r="BP78" s="81">
        <f t="shared" si="61"/>
        <v>48.1</v>
      </c>
      <c r="BQ78" s="81">
        <f t="shared" si="61"/>
        <v>33.4</v>
      </c>
      <c r="BR78" s="81">
        <f t="shared" si="61"/>
        <v>0</v>
      </c>
      <c r="BS78" s="81">
        <f t="shared" si="61"/>
        <v>0</v>
      </c>
      <c r="BT78" s="81">
        <f t="shared" si="61"/>
        <v>0</v>
      </c>
      <c r="BU78" s="81">
        <f t="shared" si="61"/>
        <v>0</v>
      </c>
      <c r="BV78" s="81">
        <f t="shared" si="61"/>
        <v>0</v>
      </c>
      <c r="BW78" s="81">
        <f t="shared" si="61"/>
        <v>0</v>
      </c>
    </row>
    <row r="79" spans="1:75" ht="15.75" thickBot="1" x14ac:dyDescent="0.3">
      <c r="A79" s="83" t="s">
        <v>102</v>
      </c>
      <c r="B79" s="77">
        <v>10</v>
      </c>
      <c r="C79" s="77">
        <v>10</v>
      </c>
      <c r="D79" s="77">
        <v>10</v>
      </c>
      <c r="E79" s="77">
        <v>10</v>
      </c>
      <c r="F79" s="77">
        <v>10</v>
      </c>
      <c r="G79" s="77">
        <v>10</v>
      </c>
      <c r="H79" s="77">
        <v>5.3</v>
      </c>
      <c r="I79" s="77">
        <v>4</v>
      </c>
      <c r="J79" s="77">
        <v>5.4</v>
      </c>
      <c r="K79" s="77">
        <v>1.4</v>
      </c>
      <c r="L79" s="77">
        <v>1.4</v>
      </c>
      <c r="M79" s="77">
        <v>5.7</v>
      </c>
      <c r="N79" s="77">
        <v>0</v>
      </c>
      <c r="O79" s="77">
        <v>0</v>
      </c>
      <c r="P79" s="77">
        <v>0</v>
      </c>
      <c r="Q79" s="77">
        <v>10</v>
      </c>
      <c r="R79" s="77">
        <v>0</v>
      </c>
      <c r="S79" s="77">
        <v>0</v>
      </c>
      <c r="T79" s="77">
        <v>1.8</v>
      </c>
      <c r="U79" s="77">
        <v>2.5</v>
      </c>
      <c r="V79" s="77">
        <v>3.87</v>
      </c>
      <c r="W79" s="77">
        <v>4.0999999999999996</v>
      </c>
      <c r="X79" s="77">
        <v>4.0999999999999996</v>
      </c>
      <c r="Y79" s="77">
        <v>9.8000000000000007</v>
      </c>
      <c r="Z79" s="77">
        <v>9.6999999999999993</v>
      </c>
      <c r="AA79" s="77">
        <v>9.9</v>
      </c>
      <c r="AB79" s="77">
        <v>10.1</v>
      </c>
      <c r="AC79" s="77">
        <v>10.1</v>
      </c>
      <c r="AD79" s="77">
        <v>9.8000000000000007</v>
      </c>
      <c r="AE79" s="77">
        <v>9.5</v>
      </c>
      <c r="AF79" s="77">
        <v>9.5</v>
      </c>
      <c r="AG79" s="78">
        <v>14</v>
      </c>
      <c r="AH79" s="48">
        <f t="shared" si="10"/>
        <v>10.1</v>
      </c>
      <c r="AI79" s="49">
        <f t="shared" si="11"/>
        <v>0</v>
      </c>
      <c r="AK79" s="51"/>
      <c r="AZ79" s="81">
        <f t="shared" si="61"/>
        <v>0</v>
      </c>
      <c r="BA79" s="81">
        <f t="shared" si="61"/>
        <v>0</v>
      </c>
      <c r="BB79" s="81">
        <f t="shared" si="61"/>
        <v>0</v>
      </c>
      <c r="BC79" s="81">
        <f t="shared" si="61"/>
        <v>0</v>
      </c>
      <c r="BD79" s="81">
        <f t="shared" si="61"/>
        <v>0</v>
      </c>
      <c r="BE79" s="81">
        <f t="shared" si="61"/>
        <v>106</v>
      </c>
      <c r="BF79" s="81">
        <f t="shared" si="61"/>
        <v>127</v>
      </c>
      <c r="BG79" s="81">
        <f t="shared" si="61"/>
        <v>116</v>
      </c>
      <c r="BH79" s="81">
        <f t="shared" si="61"/>
        <v>143</v>
      </c>
      <c r="BI79" s="81">
        <f t="shared" si="61"/>
        <v>120</v>
      </c>
      <c r="BJ79" s="81">
        <f t="shared" si="61"/>
        <v>133.69999999999999</v>
      </c>
      <c r="BK79" s="81">
        <f t="shared" si="61"/>
        <v>138</v>
      </c>
      <c r="BL79" s="81">
        <f t="shared" si="61"/>
        <v>138</v>
      </c>
      <c r="BM79" s="81">
        <f t="shared" si="61"/>
        <v>141.80000000000001</v>
      </c>
      <c r="BN79" s="81">
        <f t="shared" si="61"/>
        <v>148.5</v>
      </c>
      <c r="BO79" s="81">
        <f t="shared" si="61"/>
        <v>130.30000000000001</v>
      </c>
      <c r="BP79" s="81">
        <f t="shared" si="61"/>
        <v>122.8</v>
      </c>
      <c r="BQ79" s="81">
        <f t="shared" si="61"/>
        <v>61.8</v>
      </c>
      <c r="BR79" s="81">
        <f t="shared" si="61"/>
        <v>0</v>
      </c>
      <c r="BS79" s="81">
        <f t="shared" si="61"/>
        <v>0</v>
      </c>
      <c r="BT79" s="81">
        <f t="shared" si="61"/>
        <v>0</v>
      </c>
      <c r="BU79" s="81">
        <f t="shared" si="61"/>
        <v>0</v>
      </c>
      <c r="BV79" s="81">
        <f t="shared" si="61"/>
        <v>0</v>
      </c>
      <c r="BW79" s="81">
        <f t="shared" si="61"/>
        <v>0</v>
      </c>
    </row>
    <row r="80" spans="1:75" ht="15.75" thickBot="1" x14ac:dyDescent="0.3">
      <c r="A80" s="86" t="s">
        <v>103</v>
      </c>
      <c r="B80" s="70">
        <f t="shared" ref="B80:C80" si="62">B77+B78+B79</f>
        <v>96</v>
      </c>
      <c r="C80" s="70">
        <f t="shared" si="62"/>
        <v>96</v>
      </c>
      <c r="D80" s="70">
        <f t="shared" ref="D80" si="63">D77+D78+D79</f>
        <v>96</v>
      </c>
      <c r="E80" s="70">
        <f t="shared" ref="E80:AF80" si="64">E77+E78+E79</f>
        <v>96</v>
      </c>
      <c r="F80" s="70">
        <f t="shared" si="64"/>
        <v>96</v>
      </c>
      <c r="G80" s="70">
        <f t="shared" si="64"/>
        <v>96</v>
      </c>
      <c r="H80" s="70">
        <f t="shared" si="64"/>
        <v>52.8</v>
      </c>
      <c r="I80" s="70">
        <f t="shared" si="64"/>
        <v>45</v>
      </c>
      <c r="J80" s="70">
        <f t="shared" si="64"/>
        <v>30.1</v>
      </c>
      <c r="K80" s="70">
        <f t="shared" si="64"/>
        <v>15.4</v>
      </c>
      <c r="L80" s="70">
        <f t="shared" si="64"/>
        <v>15.4</v>
      </c>
      <c r="M80" s="70">
        <f t="shared" si="64"/>
        <v>46</v>
      </c>
      <c r="N80" s="70">
        <f t="shared" si="64"/>
        <v>0</v>
      </c>
      <c r="O80" s="70">
        <f t="shared" si="64"/>
        <v>0</v>
      </c>
      <c r="P80" s="70">
        <f t="shared" si="64"/>
        <v>0</v>
      </c>
      <c r="Q80" s="70">
        <f t="shared" si="64"/>
        <v>100</v>
      </c>
      <c r="R80" s="70">
        <f t="shared" si="64"/>
        <v>0</v>
      </c>
      <c r="S80" s="70">
        <f t="shared" ref="S80:T80" si="65">S77+S78+S79</f>
        <v>0</v>
      </c>
      <c r="T80" s="70">
        <f t="shared" si="65"/>
        <v>19.2</v>
      </c>
      <c r="U80" s="70">
        <f t="shared" ref="U80:V80" si="66">U77+U78+U79</f>
        <v>27.9</v>
      </c>
      <c r="V80" s="70">
        <f t="shared" si="66"/>
        <v>43.76</v>
      </c>
      <c r="W80" s="70">
        <f t="shared" ref="W80:X80" si="67">W77+W78+W79</f>
        <v>44.300000000000004</v>
      </c>
      <c r="X80" s="70">
        <f t="shared" si="67"/>
        <v>44.300000000000004</v>
      </c>
      <c r="Y80" s="70">
        <f t="shared" ref="Y80:Z80" si="68">Y77+Y78+Y79</f>
        <v>93.2</v>
      </c>
      <c r="Z80" s="70">
        <f t="shared" si="68"/>
        <v>93.100000000000009</v>
      </c>
      <c r="AA80" s="70">
        <f t="shared" si="64"/>
        <v>93.300000000000011</v>
      </c>
      <c r="AB80" s="70">
        <f t="shared" si="64"/>
        <v>94.6</v>
      </c>
      <c r="AC80" s="70">
        <f t="shared" si="64"/>
        <v>94.699999999999989</v>
      </c>
      <c r="AD80" s="70">
        <f t="shared" si="64"/>
        <v>93.399999999999991</v>
      </c>
      <c r="AE80" s="70">
        <f t="shared" si="64"/>
        <v>92.5</v>
      </c>
      <c r="AF80" s="70">
        <f t="shared" si="64"/>
        <v>92.7</v>
      </c>
      <c r="AG80" s="71">
        <f>SUM(AG77:AG79)</f>
        <v>106</v>
      </c>
      <c r="AH80" s="48">
        <f t="shared" si="10"/>
        <v>100</v>
      </c>
      <c r="AI80" s="49">
        <f t="shared" si="11"/>
        <v>0</v>
      </c>
      <c r="AK80" s="51"/>
      <c r="AZ80" s="81">
        <f t="shared" si="61"/>
        <v>48</v>
      </c>
      <c r="BA80" s="81">
        <f t="shared" si="61"/>
        <v>49</v>
      </c>
      <c r="BB80" s="81">
        <f t="shared" si="61"/>
        <v>49.4</v>
      </c>
      <c r="BC80" s="81">
        <f t="shared" si="61"/>
        <v>48.4</v>
      </c>
      <c r="BD80" s="81">
        <f t="shared" si="61"/>
        <v>47</v>
      </c>
      <c r="BE80" s="81">
        <f t="shared" si="61"/>
        <v>48.2</v>
      </c>
      <c r="BF80" s="81">
        <f t="shared" si="61"/>
        <v>56</v>
      </c>
      <c r="BG80" s="81">
        <f t="shared" si="61"/>
        <v>50.5</v>
      </c>
      <c r="BH80" s="81">
        <f t="shared" si="61"/>
        <v>45</v>
      </c>
      <c r="BI80" s="81">
        <f t="shared" si="61"/>
        <v>57</v>
      </c>
      <c r="BJ80" s="81">
        <f t="shared" si="61"/>
        <v>42.1</v>
      </c>
      <c r="BK80" s="81">
        <f t="shared" si="61"/>
        <v>41</v>
      </c>
      <c r="BL80" s="81">
        <f t="shared" si="61"/>
        <v>41</v>
      </c>
      <c r="BM80" s="81">
        <f t="shared" si="61"/>
        <v>41.8</v>
      </c>
      <c r="BN80" s="81">
        <f t="shared" si="61"/>
        <v>45.7</v>
      </c>
      <c r="BO80" s="81">
        <f t="shared" si="61"/>
        <v>46.2</v>
      </c>
      <c r="BP80" s="81">
        <f t="shared" si="61"/>
        <v>47</v>
      </c>
      <c r="BQ80" s="81">
        <f t="shared" si="61"/>
        <v>42</v>
      </c>
      <c r="BR80" s="81">
        <f t="shared" si="61"/>
        <v>50.5</v>
      </c>
      <c r="BS80" s="81">
        <f t="shared" si="61"/>
        <v>50.6</v>
      </c>
      <c r="BT80" s="81">
        <f t="shared" si="61"/>
        <v>50.7</v>
      </c>
      <c r="BU80" s="81">
        <f t="shared" si="61"/>
        <v>50.7</v>
      </c>
      <c r="BV80" s="81">
        <f t="shared" si="61"/>
        <v>49.7</v>
      </c>
      <c r="BW80" s="81">
        <f t="shared" si="61"/>
        <v>50</v>
      </c>
    </row>
    <row r="81" spans="1:64" x14ac:dyDescent="0.25">
      <c r="A81" s="45" t="s">
        <v>104</v>
      </c>
      <c r="B81" s="46">
        <v>40</v>
      </c>
      <c r="C81" s="46">
        <v>37</v>
      </c>
      <c r="D81" s="46">
        <v>36</v>
      </c>
      <c r="E81" s="46">
        <v>32</v>
      </c>
      <c r="F81" s="46">
        <v>30.7</v>
      </c>
      <c r="G81" s="46">
        <v>30</v>
      </c>
      <c r="H81" s="46">
        <v>32.799999999999997</v>
      </c>
      <c r="I81" s="46">
        <v>34</v>
      </c>
      <c r="J81" s="46">
        <v>34</v>
      </c>
      <c r="K81" s="46">
        <v>60</v>
      </c>
      <c r="L81" s="46">
        <v>62.1</v>
      </c>
      <c r="M81" s="46">
        <v>60.1</v>
      </c>
      <c r="N81" s="46">
        <v>50.1</v>
      </c>
      <c r="O81" s="46">
        <v>65</v>
      </c>
      <c r="P81" s="46">
        <v>67</v>
      </c>
      <c r="Q81" s="46">
        <v>72</v>
      </c>
      <c r="R81" s="46">
        <v>72</v>
      </c>
      <c r="S81" s="46">
        <v>67</v>
      </c>
      <c r="T81" s="46">
        <v>63.4</v>
      </c>
      <c r="U81" s="46">
        <v>70.400000000000006</v>
      </c>
      <c r="V81" s="46">
        <v>65.7</v>
      </c>
      <c r="W81" s="46">
        <v>69.900000000000006</v>
      </c>
      <c r="X81" s="46">
        <v>52.3</v>
      </c>
      <c r="Y81" s="46">
        <v>37.9</v>
      </c>
      <c r="Z81" s="46">
        <v>-11.9</v>
      </c>
      <c r="AA81" s="46">
        <v>38.200000000000003</v>
      </c>
      <c r="AB81" s="46">
        <v>33.299999999999997</v>
      </c>
      <c r="AC81" s="46">
        <v>20.9</v>
      </c>
      <c r="AD81" s="46">
        <v>23.3</v>
      </c>
      <c r="AE81" s="46">
        <v>28.8</v>
      </c>
      <c r="AF81" s="46">
        <v>29.9</v>
      </c>
      <c r="AG81" s="60"/>
      <c r="AH81" s="48">
        <f t="shared" si="10"/>
        <v>72</v>
      </c>
      <c r="AI81" s="49">
        <f t="shared" si="11"/>
        <v>-11.9</v>
      </c>
      <c r="AK81" s="51"/>
      <c r="AY81" s="81"/>
    </row>
    <row r="82" spans="1:64" x14ac:dyDescent="0.25">
      <c r="A82" s="64" t="s">
        <v>105</v>
      </c>
      <c r="B82" s="75"/>
      <c r="C82" s="75"/>
      <c r="D82" s="75"/>
      <c r="E82" s="75"/>
      <c r="F82" s="75"/>
      <c r="G82" s="75"/>
      <c r="H82" s="75">
        <v>116.3</v>
      </c>
      <c r="I82" s="75">
        <v>135</v>
      </c>
      <c r="J82" s="75">
        <v>87</v>
      </c>
      <c r="K82" s="75">
        <v>96.4</v>
      </c>
      <c r="L82" s="75">
        <v>89.5</v>
      </c>
      <c r="M82" s="75">
        <v>93.5</v>
      </c>
      <c r="N82" s="75">
        <v>75</v>
      </c>
      <c r="O82" s="75">
        <v>86</v>
      </c>
      <c r="P82" s="75">
        <v>87.1</v>
      </c>
      <c r="Q82" s="75">
        <v>75</v>
      </c>
      <c r="R82" s="75">
        <v>75</v>
      </c>
      <c r="S82" s="75">
        <v>86.5</v>
      </c>
      <c r="T82" s="75">
        <v>84.4</v>
      </c>
      <c r="U82" s="75">
        <v>68.099999999999994</v>
      </c>
      <c r="V82" s="75">
        <v>62.5</v>
      </c>
      <c r="W82" s="75">
        <v>67.099999999999994</v>
      </c>
      <c r="X82" s="75">
        <v>44.7</v>
      </c>
      <c r="Y82" s="75">
        <v>0</v>
      </c>
      <c r="Z82" s="75">
        <v>0</v>
      </c>
      <c r="AA82" s="75">
        <v>0</v>
      </c>
      <c r="AB82" s="75">
        <v>0</v>
      </c>
      <c r="AC82" s="75">
        <v>0</v>
      </c>
      <c r="AD82" s="75">
        <v>0</v>
      </c>
      <c r="AE82" s="75">
        <v>0</v>
      </c>
      <c r="AF82" s="75">
        <v>0</v>
      </c>
      <c r="AG82" s="65"/>
      <c r="AH82" s="48">
        <f t="shared" ref="AH82:AH125" si="69">MAX(B82:AF82)</f>
        <v>135</v>
      </c>
      <c r="AI82" s="49">
        <f t="shared" ref="AI82:AI125" si="70">MIN(B82:AF82)</f>
        <v>0</v>
      </c>
      <c r="AK82" s="51"/>
      <c r="AY82" s="81"/>
      <c r="BF82" s="81"/>
      <c r="BG82" s="81"/>
      <c r="BH82" s="81"/>
      <c r="BI82" s="81"/>
      <c r="BJ82" s="81"/>
      <c r="BK82" s="81"/>
    </row>
    <row r="83" spans="1:64" x14ac:dyDescent="0.25">
      <c r="A83" s="64" t="s">
        <v>106</v>
      </c>
      <c r="B83" s="75">
        <v>120</v>
      </c>
      <c r="C83" s="75">
        <v>95</v>
      </c>
      <c r="D83" s="75">
        <v>70</v>
      </c>
      <c r="E83" s="75">
        <v>56</v>
      </c>
      <c r="F83" s="75">
        <v>50</v>
      </c>
      <c r="G83" s="75">
        <v>64</v>
      </c>
      <c r="H83" s="75">
        <v>35.9</v>
      </c>
      <c r="I83" s="75">
        <v>64</v>
      </c>
      <c r="J83" s="75">
        <v>377.2</v>
      </c>
      <c r="K83" s="75">
        <v>435</v>
      </c>
      <c r="L83" s="75">
        <v>480</v>
      </c>
      <c r="M83" s="75">
        <v>453</v>
      </c>
      <c r="N83" s="75">
        <v>470</v>
      </c>
      <c r="O83" s="75">
        <v>454</v>
      </c>
      <c r="P83" s="75">
        <v>472.2</v>
      </c>
      <c r="Q83" s="75">
        <v>270</v>
      </c>
      <c r="R83" s="75">
        <v>396</v>
      </c>
      <c r="S83" s="75">
        <v>486.5</v>
      </c>
      <c r="T83" s="75">
        <v>487.5</v>
      </c>
      <c r="U83" s="75">
        <v>487</v>
      </c>
      <c r="V83" s="75">
        <v>480.7</v>
      </c>
      <c r="W83" s="75">
        <v>487.5</v>
      </c>
      <c r="X83" s="75">
        <v>381.3</v>
      </c>
      <c r="Y83" s="75">
        <v>9</v>
      </c>
      <c r="Z83" s="75">
        <v>70.8</v>
      </c>
      <c r="AA83" s="75">
        <v>35</v>
      </c>
      <c r="AB83" s="75">
        <v>40</v>
      </c>
      <c r="AC83" s="75">
        <v>48.2</v>
      </c>
      <c r="AD83" s="75">
        <v>30</v>
      </c>
      <c r="AE83" s="75">
        <v>126.9</v>
      </c>
      <c r="AF83" s="75">
        <v>107.7</v>
      </c>
      <c r="AG83" s="87"/>
      <c r="AH83" s="48">
        <f t="shared" si="69"/>
        <v>487.5</v>
      </c>
      <c r="AI83" s="49">
        <f t="shared" si="70"/>
        <v>9</v>
      </c>
      <c r="AK83" s="51"/>
      <c r="AY83" s="81"/>
      <c r="BF83" s="80"/>
      <c r="BG83" s="80"/>
      <c r="BH83" s="80"/>
      <c r="BI83" s="80"/>
      <c r="BJ83" s="80"/>
      <c r="BK83" s="81"/>
    </row>
    <row r="84" spans="1:64" x14ac:dyDescent="0.25">
      <c r="A84" s="64" t="s">
        <v>107</v>
      </c>
      <c r="B84" s="75">
        <v>0</v>
      </c>
      <c r="C84" s="75">
        <v>0</v>
      </c>
      <c r="D84" s="75">
        <v>0</v>
      </c>
      <c r="E84" s="88"/>
      <c r="F84" s="88"/>
      <c r="G84" s="88"/>
      <c r="H84" s="88">
        <v>32</v>
      </c>
      <c r="I84" s="88">
        <v>42</v>
      </c>
      <c r="J84" s="88">
        <v>45.3</v>
      </c>
      <c r="K84" s="88">
        <v>49.4</v>
      </c>
      <c r="L84" s="88">
        <v>48.4</v>
      </c>
      <c r="M84" s="88">
        <v>50.6</v>
      </c>
      <c r="N84" s="88">
        <v>45</v>
      </c>
      <c r="O84" s="88">
        <v>45</v>
      </c>
      <c r="P84" s="88">
        <v>44.8</v>
      </c>
      <c r="Q84" s="88">
        <v>43.7</v>
      </c>
      <c r="R84" s="88">
        <v>43.7</v>
      </c>
      <c r="S84" s="88">
        <v>47.8</v>
      </c>
      <c r="T84" s="88">
        <v>48.3</v>
      </c>
      <c r="U84" s="88">
        <v>46.4</v>
      </c>
      <c r="V84" s="88">
        <v>48.1</v>
      </c>
      <c r="W84" s="88">
        <v>49.9</v>
      </c>
      <c r="X84" s="88">
        <v>33.4</v>
      </c>
      <c r="Y84" s="88">
        <v>0</v>
      </c>
      <c r="Z84" s="88">
        <v>0</v>
      </c>
      <c r="AA84" s="88"/>
      <c r="AB84" s="88">
        <v>0</v>
      </c>
      <c r="AC84" s="88">
        <v>0</v>
      </c>
      <c r="AD84" s="88">
        <v>0</v>
      </c>
      <c r="AE84" s="88">
        <v>0</v>
      </c>
      <c r="AF84" s="88">
        <v>0</v>
      </c>
      <c r="AG84" s="87"/>
      <c r="AH84" s="48">
        <f t="shared" si="69"/>
        <v>50.6</v>
      </c>
      <c r="AI84" s="49">
        <f t="shared" si="70"/>
        <v>0</v>
      </c>
      <c r="AK84" s="51"/>
      <c r="AY84" s="81"/>
      <c r="BF84" s="80"/>
      <c r="BG84" s="81">
        <f t="array" ref="BG84:BL107">TRANSPOSE(AZ68:BW73)</f>
        <v>37</v>
      </c>
      <c r="BH84" s="81">
        <v>0</v>
      </c>
      <c r="BI84" s="81">
        <v>95</v>
      </c>
      <c r="BJ84" s="81">
        <v>0</v>
      </c>
      <c r="BK84" s="81">
        <v>0</v>
      </c>
      <c r="BL84" s="81">
        <v>48</v>
      </c>
    </row>
    <row r="85" spans="1:64" x14ac:dyDescent="0.25">
      <c r="A85" s="64" t="s">
        <v>108</v>
      </c>
      <c r="B85" s="46">
        <v>0</v>
      </c>
      <c r="C85" s="46">
        <v>0</v>
      </c>
      <c r="D85" s="46">
        <v>0</v>
      </c>
      <c r="E85" s="46"/>
      <c r="F85" s="46"/>
      <c r="G85" s="46"/>
      <c r="H85" s="46">
        <v>75</v>
      </c>
      <c r="I85" s="46">
        <v>106</v>
      </c>
      <c r="J85" s="46">
        <v>118</v>
      </c>
      <c r="K85" s="46">
        <v>127</v>
      </c>
      <c r="L85" s="46">
        <v>131</v>
      </c>
      <c r="M85" s="46">
        <v>116</v>
      </c>
      <c r="N85" s="46">
        <v>143</v>
      </c>
      <c r="O85" s="46">
        <v>120</v>
      </c>
      <c r="P85" s="46">
        <v>133.69999999999999</v>
      </c>
      <c r="Q85" s="46">
        <v>138</v>
      </c>
      <c r="R85" s="46">
        <v>138</v>
      </c>
      <c r="S85" s="46">
        <v>141.80000000000001</v>
      </c>
      <c r="T85" s="46">
        <v>148.5</v>
      </c>
      <c r="U85" s="46">
        <v>130.30000000000001</v>
      </c>
      <c r="V85" s="46">
        <v>122.8</v>
      </c>
      <c r="W85" s="46"/>
      <c r="X85" s="46">
        <v>61.8</v>
      </c>
      <c r="Y85" s="46">
        <v>0</v>
      </c>
      <c r="Z85" s="46">
        <v>0</v>
      </c>
      <c r="AA85" s="46"/>
      <c r="AB85" s="46">
        <v>0</v>
      </c>
      <c r="AC85" s="46">
        <v>0</v>
      </c>
      <c r="AD85" s="46">
        <v>0</v>
      </c>
      <c r="AE85" s="46">
        <v>0</v>
      </c>
      <c r="AF85" s="46">
        <v>0</v>
      </c>
      <c r="AG85" s="87"/>
      <c r="AH85" s="48">
        <f t="shared" si="69"/>
        <v>148.5</v>
      </c>
      <c r="AI85" s="49">
        <f t="shared" si="70"/>
        <v>0</v>
      </c>
      <c r="AK85" s="51"/>
      <c r="AY85" s="81"/>
      <c r="BF85" s="80"/>
      <c r="BG85" s="81">
        <v>36</v>
      </c>
      <c r="BH85" s="81">
        <v>0</v>
      </c>
      <c r="BI85" s="81">
        <v>70</v>
      </c>
      <c r="BJ85" s="81">
        <v>0</v>
      </c>
      <c r="BK85" s="81">
        <v>0</v>
      </c>
      <c r="BL85" s="81">
        <v>49</v>
      </c>
    </row>
    <row r="86" spans="1:64" x14ac:dyDescent="0.25">
      <c r="A86" s="64" t="s">
        <v>109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>
        <v>0</v>
      </c>
      <c r="AC86" s="89"/>
      <c r="AD86" s="89"/>
      <c r="AE86" s="89"/>
      <c r="AF86" s="89"/>
      <c r="AG86" s="87"/>
      <c r="AH86" s="48">
        <f t="shared" si="69"/>
        <v>0</v>
      </c>
      <c r="AI86" s="49">
        <f t="shared" si="70"/>
        <v>0</v>
      </c>
      <c r="AK86" s="51"/>
      <c r="AY86" s="81"/>
      <c r="BF86" s="80"/>
      <c r="BG86" s="81">
        <v>32</v>
      </c>
      <c r="BH86" s="81">
        <v>0</v>
      </c>
      <c r="BI86" s="81">
        <v>56</v>
      </c>
      <c r="BJ86" s="81">
        <v>0</v>
      </c>
      <c r="BK86" s="81">
        <v>0</v>
      </c>
      <c r="BL86" s="81">
        <v>49.4</v>
      </c>
    </row>
    <row r="87" spans="1:64" ht="15.75" thickBot="1" x14ac:dyDescent="0.3">
      <c r="A87" s="64" t="s">
        <v>110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7"/>
      <c r="AH87" s="48">
        <f t="shared" si="69"/>
        <v>0</v>
      </c>
      <c r="AI87" s="49">
        <f t="shared" si="70"/>
        <v>0</v>
      </c>
      <c r="AK87" s="51"/>
      <c r="AL87" s="90" t="s">
        <v>111</v>
      </c>
      <c r="AM87" s="90"/>
      <c r="AY87" s="81"/>
      <c r="BF87" s="81"/>
      <c r="BG87" s="81">
        <v>30.7</v>
      </c>
      <c r="BH87" s="81">
        <v>0</v>
      </c>
      <c r="BI87" s="81">
        <v>50</v>
      </c>
      <c r="BJ87" s="81">
        <v>0</v>
      </c>
      <c r="BK87" s="81">
        <v>0</v>
      </c>
      <c r="BL87" s="81">
        <v>48.4</v>
      </c>
    </row>
    <row r="88" spans="1:64" x14ac:dyDescent="0.25">
      <c r="A88" s="64" t="s">
        <v>112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7"/>
      <c r="AH88" s="48">
        <f t="shared" si="69"/>
        <v>0</v>
      </c>
      <c r="AI88" s="49">
        <f t="shared" si="70"/>
        <v>0</v>
      </c>
      <c r="AK88" s="91"/>
      <c r="AL88" s="92"/>
      <c r="AM88" s="92"/>
      <c r="AN88" s="93"/>
      <c r="AY88" s="81"/>
      <c r="BF88" s="81"/>
      <c r="BG88" s="81">
        <v>30</v>
      </c>
      <c r="BH88" s="81">
        <v>0</v>
      </c>
      <c r="BI88" s="81">
        <v>64</v>
      </c>
      <c r="BJ88" s="81">
        <v>0</v>
      </c>
      <c r="BK88" s="81">
        <v>0</v>
      </c>
      <c r="BL88" s="81">
        <v>47</v>
      </c>
    </row>
    <row r="89" spans="1:64" x14ac:dyDescent="0.25">
      <c r="A89" s="64" t="s">
        <v>113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7"/>
      <c r="AH89" s="48">
        <f t="shared" si="69"/>
        <v>0</v>
      </c>
      <c r="AI89" s="49">
        <f t="shared" si="70"/>
        <v>0</v>
      </c>
      <c r="AK89" s="94" t="s">
        <v>114</v>
      </c>
      <c r="AL89" s="75"/>
      <c r="AM89" s="88"/>
      <c r="AN89" s="95"/>
      <c r="AY89" s="81"/>
      <c r="BF89" s="81"/>
      <c r="BG89" s="81">
        <v>34</v>
      </c>
      <c r="BH89" s="81">
        <v>135</v>
      </c>
      <c r="BI89" s="81">
        <v>64</v>
      </c>
      <c r="BJ89" s="81">
        <v>42</v>
      </c>
      <c r="BK89" s="81">
        <v>106</v>
      </c>
      <c r="BL89" s="81">
        <v>48.2</v>
      </c>
    </row>
    <row r="90" spans="1:64" x14ac:dyDescent="0.25">
      <c r="A90" s="96" t="s">
        <v>115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97"/>
      <c r="AH90" s="48">
        <f t="shared" si="69"/>
        <v>0</v>
      </c>
      <c r="AI90" s="49">
        <f t="shared" si="70"/>
        <v>0</v>
      </c>
      <c r="AK90" s="94" t="s">
        <v>116</v>
      </c>
      <c r="AL90" s="88"/>
      <c r="AM90" s="88"/>
      <c r="AN90" s="95"/>
      <c r="AY90" s="81"/>
      <c r="BF90" s="81"/>
      <c r="BG90" s="81">
        <v>60</v>
      </c>
      <c r="BH90" s="81">
        <v>96.4</v>
      </c>
      <c r="BI90" s="81">
        <v>435</v>
      </c>
      <c r="BJ90" s="81">
        <v>49.4</v>
      </c>
      <c r="BK90" s="81">
        <v>127</v>
      </c>
      <c r="BL90" s="81">
        <v>56</v>
      </c>
    </row>
    <row r="91" spans="1:64" ht="15.75" thickBot="1" x14ac:dyDescent="0.3">
      <c r="A91" s="96" t="s">
        <v>117</v>
      </c>
      <c r="B91" s="89">
        <v>50</v>
      </c>
      <c r="C91" s="89">
        <v>48</v>
      </c>
      <c r="D91" s="89">
        <v>49</v>
      </c>
      <c r="E91" s="89">
        <v>49.4</v>
      </c>
      <c r="F91" s="89">
        <v>48.4</v>
      </c>
      <c r="G91" s="89">
        <v>47</v>
      </c>
      <c r="H91" s="89">
        <v>46.1</v>
      </c>
      <c r="I91" s="89">
        <v>48.2</v>
      </c>
      <c r="J91" s="89">
        <v>54</v>
      </c>
      <c r="K91" s="89">
        <v>56</v>
      </c>
      <c r="L91" s="89">
        <v>52</v>
      </c>
      <c r="M91" s="89">
        <v>50.5</v>
      </c>
      <c r="N91" s="89">
        <v>45</v>
      </c>
      <c r="O91" s="89">
        <v>57</v>
      </c>
      <c r="P91" s="89">
        <v>42.1</v>
      </c>
      <c r="Q91" s="89">
        <v>41</v>
      </c>
      <c r="R91" s="89">
        <v>41</v>
      </c>
      <c r="S91" s="89">
        <v>41.8</v>
      </c>
      <c r="T91" s="89">
        <v>45.7</v>
      </c>
      <c r="U91" s="89">
        <v>46.2</v>
      </c>
      <c r="V91" s="89">
        <v>47</v>
      </c>
      <c r="W91" s="89">
        <v>44.8</v>
      </c>
      <c r="X91" s="89">
        <v>42</v>
      </c>
      <c r="Y91" s="89">
        <v>31.65</v>
      </c>
      <c r="Z91" s="89">
        <v>50.5</v>
      </c>
      <c r="AA91" s="89">
        <v>52.6</v>
      </c>
      <c r="AB91" s="89">
        <v>50.6</v>
      </c>
      <c r="AC91" s="89">
        <v>51.5</v>
      </c>
      <c r="AD91" s="89">
        <v>50.7</v>
      </c>
      <c r="AE91" s="89">
        <v>50.7</v>
      </c>
      <c r="AF91" s="89">
        <v>49.7</v>
      </c>
      <c r="AG91" s="97"/>
      <c r="AH91" s="48">
        <f t="shared" si="69"/>
        <v>57</v>
      </c>
      <c r="AI91" s="49">
        <f t="shared" si="70"/>
        <v>31.65</v>
      </c>
      <c r="AK91" s="98"/>
      <c r="AL91" s="46"/>
      <c r="AM91" s="46"/>
      <c r="AN91" s="99"/>
      <c r="AY91" s="81"/>
      <c r="BF91" s="81"/>
      <c r="BG91" s="81">
        <v>60.1</v>
      </c>
      <c r="BH91" s="81">
        <v>93.5</v>
      </c>
      <c r="BI91" s="81">
        <v>453</v>
      </c>
      <c r="BJ91" s="81">
        <v>50.6</v>
      </c>
      <c r="BK91" s="81">
        <v>116</v>
      </c>
      <c r="BL91" s="81">
        <v>50.5</v>
      </c>
    </row>
    <row r="92" spans="1:64" ht="15.75" thickBot="1" x14ac:dyDescent="0.3">
      <c r="A92" s="86" t="s">
        <v>118</v>
      </c>
      <c r="B92" s="70">
        <f t="shared" ref="B92:C92" si="71">SUMIF(B81:B91,"&gt;0")</f>
        <v>210</v>
      </c>
      <c r="C92" s="70">
        <f t="shared" si="71"/>
        <v>180</v>
      </c>
      <c r="D92" s="70">
        <f t="shared" ref="D92" si="72">SUMIF(D81:D91,"&gt;0")</f>
        <v>155</v>
      </c>
      <c r="E92" s="70">
        <f t="shared" ref="E92:AF92" si="73">SUMIF(E81:E91,"&gt;0")</f>
        <v>137.4</v>
      </c>
      <c r="F92" s="70">
        <f t="shared" si="73"/>
        <v>129.1</v>
      </c>
      <c r="G92" s="70">
        <f t="shared" si="73"/>
        <v>141</v>
      </c>
      <c r="H92" s="70">
        <f t="shared" si="73"/>
        <v>338.1</v>
      </c>
      <c r="I92" s="70">
        <f t="shared" si="73"/>
        <v>429.2</v>
      </c>
      <c r="J92" s="70">
        <f t="shared" si="73"/>
        <v>715.5</v>
      </c>
      <c r="K92" s="70">
        <f t="shared" si="73"/>
        <v>823.8</v>
      </c>
      <c r="L92" s="70">
        <f t="shared" si="73"/>
        <v>863</v>
      </c>
      <c r="M92" s="70">
        <f t="shared" si="73"/>
        <v>823.7</v>
      </c>
      <c r="N92" s="70">
        <f t="shared" si="73"/>
        <v>828.1</v>
      </c>
      <c r="O92" s="70">
        <f t="shared" si="73"/>
        <v>827</v>
      </c>
      <c r="P92" s="70">
        <f t="shared" si="73"/>
        <v>846.9</v>
      </c>
      <c r="Q92" s="70">
        <f t="shared" si="73"/>
        <v>639.70000000000005</v>
      </c>
      <c r="R92" s="70">
        <f t="shared" si="73"/>
        <v>765.7</v>
      </c>
      <c r="S92" s="70">
        <f t="shared" ref="S92:T92" si="74">SUMIF(S81:S91,"&gt;0")</f>
        <v>871.39999999999986</v>
      </c>
      <c r="T92" s="70">
        <f t="shared" si="74"/>
        <v>877.8</v>
      </c>
      <c r="U92" s="70">
        <f t="shared" ref="U92:V92" si="75">SUMIF(U81:U91,"&gt;0")</f>
        <v>848.40000000000009</v>
      </c>
      <c r="V92" s="70">
        <f t="shared" si="75"/>
        <v>826.8</v>
      </c>
      <c r="W92" s="70">
        <f t="shared" ref="W92:X92" si="76">SUMIF(W81:W91,"&gt;0")</f>
        <v>719.19999999999993</v>
      </c>
      <c r="X92" s="70">
        <f t="shared" si="76"/>
        <v>615.5</v>
      </c>
      <c r="Y92" s="70">
        <f t="shared" ref="Y92:Z92" si="77">SUMIF(Y81:Y91,"&gt;0")</f>
        <v>78.55</v>
      </c>
      <c r="Z92" s="70">
        <f t="shared" si="77"/>
        <v>121.3</v>
      </c>
      <c r="AA92" s="70">
        <f t="shared" si="73"/>
        <v>125.80000000000001</v>
      </c>
      <c r="AB92" s="70">
        <f t="shared" si="73"/>
        <v>123.9</v>
      </c>
      <c r="AC92" s="70">
        <f t="shared" si="73"/>
        <v>120.6</v>
      </c>
      <c r="AD92" s="70">
        <f t="shared" si="73"/>
        <v>104</v>
      </c>
      <c r="AE92" s="70">
        <f t="shared" si="73"/>
        <v>206.40000000000003</v>
      </c>
      <c r="AF92" s="70">
        <f t="shared" si="73"/>
        <v>187.3</v>
      </c>
      <c r="AG92" s="100">
        <f>SUM(AG81:AG91)</f>
        <v>0</v>
      </c>
      <c r="AH92" s="48">
        <f t="shared" si="69"/>
        <v>877.8</v>
      </c>
      <c r="AI92" s="49">
        <f t="shared" si="70"/>
        <v>78.55</v>
      </c>
      <c r="AK92" s="98"/>
      <c r="AL92" s="89"/>
      <c r="AM92" s="101"/>
      <c r="AN92" s="202"/>
      <c r="AY92" s="81"/>
      <c r="BF92" s="81"/>
      <c r="BG92" s="81">
        <v>50.1</v>
      </c>
      <c r="BH92" s="81">
        <v>75</v>
      </c>
      <c r="BI92" s="81">
        <v>470</v>
      </c>
      <c r="BJ92" s="81">
        <v>45</v>
      </c>
      <c r="BK92" s="81">
        <v>143</v>
      </c>
      <c r="BL92" s="81">
        <v>45</v>
      </c>
    </row>
    <row r="93" spans="1:64" x14ac:dyDescent="0.25">
      <c r="A93" s="45" t="s">
        <v>119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69"/>
        <v>0</v>
      </c>
      <c r="AI93" s="49">
        <f t="shared" si="70"/>
        <v>0</v>
      </c>
      <c r="AK93" s="98"/>
      <c r="AL93" s="89"/>
      <c r="AM93" s="89"/>
      <c r="AN93" s="203"/>
      <c r="BF93" s="81"/>
      <c r="BG93" s="81">
        <v>65</v>
      </c>
      <c r="BH93" s="81">
        <v>86</v>
      </c>
      <c r="BI93" s="81">
        <v>454</v>
      </c>
      <c r="BJ93" s="81">
        <v>45</v>
      </c>
      <c r="BK93" s="81">
        <v>120</v>
      </c>
      <c r="BL93" s="81">
        <v>57</v>
      </c>
    </row>
    <row r="94" spans="1:64" ht="15.75" thickBot="1" x14ac:dyDescent="0.3">
      <c r="A94" s="64" t="s">
        <v>120</v>
      </c>
      <c r="B94" s="89">
        <v>0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69"/>
        <v>0</v>
      </c>
      <c r="AI94" s="49">
        <f t="shared" si="70"/>
        <v>0</v>
      </c>
      <c r="AK94" s="103"/>
      <c r="AL94" s="104"/>
      <c r="AM94" s="104"/>
      <c r="AN94" s="105"/>
      <c r="BF94" s="81"/>
      <c r="BG94" s="81">
        <v>67</v>
      </c>
      <c r="BH94" s="81">
        <v>87.1</v>
      </c>
      <c r="BI94" s="81">
        <v>472.2</v>
      </c>
      <c r="BJ94" s="81">
        <v>44.8</v>
      </c>
      <c r="BK94" s="81">
        <v>133.69999999999999</v>
      </c>
      <c r="BL94" s="81">
        <v>42.1</v>
      </c>
    </row>
    <row r="95" spans="1:64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0</v>
      </c>
      <c r="Y95" s="106">
        <v>0</v>
      </c>
      <c r="Z95" s="106">
        <v>0</v>
      </c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69"/>
        <v>0</v>
      </c>
      <c r="AI95" s="49">
        <f t="shared" si="70"/>
        <v>0</v>
      </c>
      <c r="BF95" s="81"/>
      <c r="BG95" s="81">
        <v>72</v>
      </c>
      <c r="BH95" s="81">
        <v>75</v>
      </c>
      <c r="BI95" s="81">
        <v>270</v>
      </c>
      <c r="BJ95" s="81">
        <v>43.7</v>
      </c>
      <c r="BK95" s="81">
        <v>138</v>
      </c>
      <c r="BL95" s="81">
        <v>41</v>
      </c>
    </row>
    <row r="96" spans="1:64" ht="15.75" thickBot="1" x14ac:dyDescent="0.3">
      <c r="A96" s="86" t="s">
        <v>122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100">
        <f>SUM(AG93:AG95)</f>
        <v>55.4</v>
      </c>
      <c r="AH96" s="48">
        <f t="shared" si="69"/>
        <v>0</v>
      </c>
      <c r="AI96" s="49">
        <f t="shared" si="70"/>
        <v>0</v>
      </c>
      <c r="BF96" s="81"/>
      <c r="BG96" s="81">
        <v>72</v>
      </c>
      <c r="BH96" s="81">
        <v>75</v>
      </c>
      <c r="BI96" s="81">
        <v>396</v>
      </c>
      <c r="BJ96" s="81">
        <v>43.7</v>
      </c>
      <c r="BK96" s="81">
        <v>138</v>
      </c>
      <c r="BL96" s="81">
        <v>41</v>
      </c>
    </row>
    <row r="97" spans="1:64" ht="15.75" thickBot="1" x14ac:dyDescent="0.3">
      <c r="A97" s="86" t="s">
        <v>123</v>
      </c>
      <c r="B97" s="107">
        <f t="shared" ref="B97:C97" si="78">B58+B62+B80+B76+B92+B96</f>
        <v>1110.8899999999999</v>
      </c>
      <c r="C97" s="107">
        <f t="shared" si="78"/>
        <v>1074.8899999999999</v>
      </c>
      <c r="D97" s="107">
        <f t="shared" ref="D97" si="79">D58+D62+D80+D76+D92+D96</f>
        <v>1049.8899999999999</v>
      </c>
      <c r="E97" s="107">
        <f t="shared" ref="E97:AG97" si="80">E58+E62+E80+E76+E92+E96</f>
        <v>1024.49</v>
      </c>
      <c r="F97" s="107">
        <f t="shared" si="80"/>
        <v>1011.59</v>
      </c>
      <c r="G97" s="107">
        <f t="shared" si="80"/>
        <v>1029.5899999999999</v>
      </c>
      <c r="H97" s="107">
        <f t="shared" si="80"/>
        <v>1080.3899999999999</v>
      </c>
      <c r="I97" s="107">
        <f t="shared" si="80"/>
        <v>1208.5899999999999</v>
      </c>
      <c r="J97" s="107">
        <f t="shared" si="80"/>
        <v>1420.99</v>
      </c>
      <c r="K97" s="107">
        <f t="shared" si="80"/>
        <v>1517.8899999999999</v>
      </c>
      <c r="L97" s="107">
        <f t="shared" si="80"/>
        <v>1559.8899999999999</v>
      </c>
      <c r="M97" s="107">
        <f t="shared" si="80"/>
        <v>1551.19</v>
      </c>
      <c r="N97" s="107">
        <f t="shared" si="80"/>
        <v>1525.5900000000001</v>
      </c>
      <c r="O97" s="107">
        <f t="shared" si="80"/>
        <v>1532.99</v>
      </c>
      <c r="P97" s="107">
        <f t="shared" si="80"/>
        <v>1559.29</v>
      </c>
      <c r="Q97" s="107">
        <f t="shared" si="80"/>
        <v>1452.09</v>
      </c>
      <c r="R97" s="107">
        <f t="shared" si="80"/>
        <v>1435.69</v>
      </c>
      <c r="S97" s="107">
        <f t="shared" ref="S97:T97" si="81">S58+S62+S80+S76+S92+S96</f>
        <v>1488.0899999999997</v>
      </c>
      <c r="T97" s="107">
        <f t="shared" si="81"/>
        <v>1507.29</v>
      </c>
      <c r="U97" s="107">
        <f t="shared" ref="U97:V97" si="82">U58+U62+U80+U76+U92+U96</f>
        <v>1480.79</v>
      </c>
      <c r="V97" s="107">
        <f t="shared" si="82"/>
        <v>1460.35</v>
      </c>
      <c r="W97" s="107">
        <f t="shared" ref="W97:X97" si="83">W58+W62+W80+W76+W92+W96</f>
        <v>1400.5899999999997</v>
      </c>
      <c r="X97" s="107">
        <f t="shared" si="83"/>
        <v>1334.8899999999999</v>
      </c>
      <c r="Y97" s="107">
        <f t="shared" ref="Y97:Z97" si="84">Y58+Y62+Y80+Y76+Y92+Y96</f>
        <v>1342.04</v>
      </c>
      <c r="Z97" s="107">
        <f t="shared" si="84"/>
        <v>1490.99</v>
      </c>
      <c r="AA97" s="107">
        <f t="shared" si="80"/>
        <v>1488.03</v>
      </c>
      <c r="AB97" s="107">
        <f t="shared" si="80"/>
        <v>1421.89</v>
      </c>
      <c r="AC97" s="107">
        <f t="shared" si="80"/>
        <v>1389.1899999999998</v>
      </c>
      <c r="AD97" s="107">
        <f t="shared" si="80"/>
        <v>1338.8899999999999</v>
      </c>
      <c r="AE97" s="107">
        <f t="shared" si="80"/>
        <v>1222.49</v>
      </c>
      <c r="AF97" s="107">
        <f t="shared" si="80"/>
        <v>1140.3899999999999</v>
      </c>
      <c r="AG97" s="71">
        <f t="shared" si="80"/>
        <v>2231.81</v>
      </c>
      <c r="AH97" s="48">
        <f t="shared" si="69"/>
        <v>1559.8899999999999</v>
      </c>
      <c r="AI97" s="49">
        <f t="shared" si="70"/>
        <v>1011.59</v>
      </c>
      <c r="BF97" s="81"/>
      <c r="BG97" s="81">
        <v>67</v>
      </c>
      <c r="BH97" s="81">
        <v>86.5</v>
      </c>
      <c r="BI97" s="81">
        <v>486.5</v>
      </c>
      <c r="BJ97" s="81">
        <v>47.8</v>
      </c>
      <c r="BK97" s="81">
        <v>141.80000000000001</v>
      </c>
      <c r="BL97" s="81">
        <v>41.8</v>
      </c>
    </row>
    <row r="98" spans="1:64" ht="15.75" thickBot="1" x14ac:dyDescent="0.3">
      <c r="A98" s="108" t="s">
        <v>124</v>
      </c>
      <c r="B98" s="109">
        <v>300</v>
      </c>
      <c r="C98" s="109">
        <v>300</v>
      </c>
      <c r="D98" s="109">
        <v>300</v>
      </c>
      <c r="E98" s="109">
        <v>300</v>
      </c>
      <c r="F98" s="109">
        <v>300</v>
      </c>
      <c r="G98" s="109">
        <v>300</v>
      </c>
      <c r="H98" s="109">
        <v>280</v>
      </c>
      <c r="I98" s="109">
        <v>200</v>
      </c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>
        <v>300</v>
      </c>
      <c r="Z98" s="109">
        <v>300</v>
      </c>
      <c r="AA98" s="109">
        <v>300</v>
      </c>
      <c r="AB98" s="109">
        <v>290</v>
      </c>
      <c r="AC98" s="109">
        <v>280</v>
      </c>
      <c r="AD98" s="109">
        <v>280</v>
      </c>
      <c r="AE98" s="109">
        <v>280</v>
      </c>
      <c r="AF98" s="109">
        <v>280</v>
      </c>
      <c r="AG98" s="100"/>
      <c r="AH98" s="48">
        <f t="shared" si="69"/>
        <v>300</v>
      </c>
      <c r="AI98" s="49">
        <f t="shared" si="70"/>
        <v>200</v>
      </c>
      <c r="BF98" s="81"/>
      <c r="BG98" s="81">
        <v>63.4</v>
      </c>
      <c r="BH98" s="81">
        <v>84.4</v>
      </c>
      <c r="BI98" s="81">
        <v>487.5</v>
      </c>
      <c r="BJ98" s="81">
        <v>48.3</v>
      </c>
      <c r="BK98" s="81">
        <v>148.5</v>
      </c>
      <c r="BL98" s="81">
        <v>45.7</v>
      </c>
    </row>
    <row r="99" spans="1:64" ht="15.75" thickBot="1" x14ac:dyDescent="0.3">
      <c r="A99" s="86" t="s">
        <v>125</v>
      </c>
      <c r="B99" s="107">
        <f t="shared" ref="B99:C99" si="85">B97+B98</f>
        <v>1410.8899999999999</v>
      </c>
      <c r="C99" s="107">
        <f t="shared" si="85"/>
        <v>1374.8899999999999</v>
      </c>
      <c r="D99" s="107">
        <f t="shared" ref="D99" si="86">D97+D98</f>
        <v>1349.8899999999999</v>
      </c>
      <c r="E99" s="107">
        <f t="shared" ref="E99:AF99" si="87">E97+E98</f>
        <v>1324.49</v>
      </c>
      <c r="F99" s="107">
        <f t="shared" si="87"/>
        <v>1311.5900000000001</v>
      </c>
      <c r="G99" s="107">
        <f t="shared" si="87"/>
        <v>1329.59</v>
      </c>
      <c r="H99" s="107">
        <f t="shared" si="87"/>
        <v>1360.3899999999999</v>
      </c>
      <c r="I99" s="107">
        <f t="shared" si="87"/>
        <v>1408.59</v>
      </c>
      <c r="J99" s="107">
        <f t="shared" si="87"/>
        <v>1420.99</v>
      </c>
      <c r="K99" s="107">
        <f t="shared" si="87"/>
        <v>1517.8899999999999</v>
      </c>
      <c r="L99" s="107">
        <f t="shared" si="87"/>
        <v>1559.8899999999999</v>
      </c>
      <c r="M99" s="107">
        <f t="shared" si="87"/>
        <v>1551.19</v>
      </c>
      <c r="N99" s="107">
        <f t="shared" si="87"/>
        <v>1525.5900000000001</v>
      </c>
      <c r="O99" s="107">
        <f t="shared" si="87"/>
        <v>1532.99</v>
      </c>
      <c r="P99" s="107">
        <f t="shared" si="87"/>
        <v>1559.29</v>
      </c>
      <c r="Q99" s="107">
        <f t="shared" si="87"/>
        <v>1452.09</v>
      </c>
      <c r="R99" s="107">
        <f t="shared" si="87"/>
        <v>1435.69</v>
      </c>
      <c r="S99" s="107">
        <f t="shared" ref="S99:T99" si="88">S97+S98</f>
        <v>1488.0899999999997</v>
      </c>
      <c r="T99" s="107">
        <f t="shared" si="88"/>
        <v>1507.29</v>
      </c>
      <c r="U99" s="107">
        <f t="shared" ref="U99:V99" si="89">U97+U98</f>
        <v>1480.79</v>
      </c>
      <c r="V99" s="107">
        <f t="shared" si="89"/>
        <v>1460.35</v>
      </c>
      <c r="W99" s="107">
        <f t="shared" ref="W99:X99" si="90">W97+W98</f>
        <v>1400.5899999999997</v>
      </c>
      <c r="X99" s="107">
        <f t="shared" si="90"/>
        <v>1334.8899999999999</v>
      </c>
      <c r="Y99" s="107">
        <f t="shared" ref="Y99:Z99" si="91">Y97+Y98</f>
        <v>1642.04</v>
      </c>
      <c r="Z99" s="107">
        <f t="shared" si="91"/>
        <v>1790.99</v>
      </c>
      <c r="AA99" s="107">
        <f t="shared" si="87"/>
        <v>1788.03</v>
      </c>
      <c r="AB99" s="107">
        <f t="shared" si="87"/>
        <v>1711.89</v>
      </c>
      <c r="AC99" s="107">
        <f t="shared" si="87"/>
        <v>1669.1899999999998</v>
      </c>
      <c r="AD99" s="107">
        <f t="shared" si="87"/>
        <v>1618.8899999999999</v>
      </c>
      <c r="AE99" s="107">
        <f t="shared" si="87"/>
        <v>1502.49</v>
      </c>
      <c r="AF99" s="107">
        <f t="shared" si="87"/>
        <v>1420.3899999999999</v>
      </c>
      <c r="AG99" s="100">
        <f>AG96+AG92+AG80+AG76+AG58+AG98</f>
        <v>1693.71</v>
      </c>
      <c r="AH99" s="48">
        <f t="shared" si="69"/>
        <v>1790.99</v>
      </c>
      <c r="AI99" s="49">
        <f t="shared" si="70"/>
        <v>1311.5900000000001</v>
      </c>
      <c r="BF99" s="81"/>
      <c r="BG99" s="81">
        <v>70.400000000000006</v>
      </c>
      <c r="BH99" s="81">
        <v>68.099999999999994</v>
      </c>
      <c r="BI99" s="81">
        <v>487</v>
      </c>
      <c r="BJ99" s="81">
        <v>46.4</v>
      </c>
      <c r="BK99" s="81">
        <v>130.30000000000001</v>
      </c>
      <c r="BL99" s="81">
        <v>46.2</v>
      </c>
    </row>
    <row r="100" spans="1:64" ht="15.75" thickBot="1" x14ac:dyDescent="0.3">
      <c r="A100" s="86" t="s">
        <v>126</v>
      </c>
      <c r="B100" s="107">
        <f t="shared" ref="B100:C100" si="92">B99-(B107)</f>
        <v>1410.8899999999999</v>
      </c>
      <c r="C100" s="107">
        <f t="shared" si="92"/>
        <v>1374.8899999999999</v>
      </c>
      <c r="D100" s="107">
        <f t="shared" ref="D100" si="93">D99-(D107)</f>
        <v>1349.8899999999999</v>
      </c>
      <c r="E100" s="107">
        <f t="shared" ref="E100:M100" si="94">E99-(E107)</f>
        <v>1324.49</v>
      </c>
      <c r="F100" s="107">
        <f t="shared" si="94"/>
        <v>1311.5900000000001</v>
      </c>
      <c r="G100" s="107">
        <f t="shared" si="94"/>
        <v>1329.59</v>
      </c>
      <c r="H100" s="107">
        <f t="shared" si="94"/>
        <v>1360.3899999999999</v>
      </c>
      <c r="I100" s="107">
        <f t="shared" si="94"/>
        <v>1408.59</v>
      </c>
      <c r="J100" s="107">
        <f t="shared" si="94"/>
        <v>1420.99</v>
      </c>
      <c r="K100" s="107">
        <f t="shared" si="94"/>
        <v>1517.8899999999999</v>
      </c>
      <c r="L100" s="107">
        <f t="shared" si="94"/>
        <v>1559.8899999999999</v>
      </c>
      <c r="M100" s="107">
        <f t="shared" si="94"/>
        <v>1551.19</v>
      </c>
      <c r="N100" s="107">
        <f>N99-(N107)</f>
        <v>1525.5900000000001</v>
      </c>
      <c r="O100" s="107">
        <f t="shared" ref="O100:AF100" si="95">O99-(O107)</f>
        <v>1532.99</v>
      </c>
      <c r="P100" s="107">
        <f t="shared" si="95"/>
        <v>1559.29</v>
      </c>
      <c r="Q100" s="107">
        <f t="shared" si="95"/>
        <v>1452.09</v>
      </c>
      <c r="R100" s="107">
        <f t="shared" si="95"/>
        <v>1435.69</v>
      </c>
      <c r="S100" s="107">
        <f t="shared" ref="S100:T100" si="96">S99-(S107)</f>
        <v>1488.0899999999997</v>
      </c>
      <c r="T100" s="107">
        <f t="shared" si="96"/>
        <v>1507.29</v>
      </c>
      <c r="U100" s="107">
        <f t="shared" ref="U100:V100" si="97">U99-(U107)</f>
        <v>1480.79</v>
      </c>
      <c r="V100" s="107">
        <f t="shared" si="97"/>
        <v>1460.35</v>
      </c>
      <c r="W100" s="107">
        <f t="shared" ref="W100:X100" si="98">W99-(W107)</f>
        <v>1400.5899999999997</v>
      </c>
      <c r="X100" s="107">
        <f t="shared" si="98"/>
        <v>1334.8899999999999</v>
      </c>
      <c r="Y100" s="107">
        <f t="shared" ref="Y100:Z100" si="99">Y99-(Y107)</f>
        <v>1642.04</v>
      </c>
      <c r="Z100" s="107">
        <f t="shared" si="99"/>
        <v>1790.99</v>
      </c>
      <c r="AA100" s="107">
        <f t="shared" si="95"/>
        <v>1788.03</v>
      </c>
      <c r="AB100" s="107">
        <f t="shared" si="95"/>
        <v>1711.89</v>
      </c>
      <c r="AC100" s="107">
        <f t="shared" si="95"/>
        <v>1669.1899999999998</v>
      </c>
      <c r="AD100" s="107">
        <f t="shared" si="95"/>
        <v>1618.8899999999999</v>
      </c>
      <c r="AE100" s="107">
        <f t="shared" si="95"/>
        <v>1502.49</v>
      </c>
      <c r="AF100" s="107">
        <f t="shared" si="95"/>
        <v>1420.3899999999999</v>
      </c>
      <c r="AG100" s="100"/>
      <c r="AH100" s="48">
        <f t="shared" si="69"/>
        <v>1790.99</v>
      </c>
      <c r="AI100" s="49">
        <f t="shared" si="70"/>
        <v>1311.5900000000001</v>
      </c>
      <c r="BF100" s="81"/>
      <c r="BG100" s="81">
        <v>65.7</v>
      </c>
      <c r="BH100" s="81">
        <v>62.5</v>
      </c>
      <c r="BI100" s="81">
        <v>480.7</v>
      </c>
      <c r="BJ100" s="81">
        <v>48.1</v>
      </c>
      <c r="BK100" s="81">
        <v>122.8</v>
      </c>
      <c r="BL100" s="81">
        <v>47</v>
      </c>
    </row>
    <row r="101" spans="1:64" x14ac:dyDescent="0.25">
      <c r="A101" s="45" t="s">
        <v>107</v>
      </c>
      <c r="B101" s="88">
        <f t="shared" ref="B101:C101" si="100">IF(B84&lt;0,B84*-1,0)</f>
        <v>0</v>
      </c>
      <c r="C101" s="88">
        <f t="shared" si="100"/>
        <v>0</v>
      </c>
      <c r="D101" s="88">
        <f t="shared" ref="D101" si="101">IF(D84&lt;0,D84*-1,0)</f>
        <v>0</v>
      </c>
      <c r="E101" s="88">
        <f t="shared" ref="E101:AF101" si="102">IF(E84&lt;0,E84*-1,0)</f>
        <v>0</v>
      </c>
      <c r="F101" s="88">
        <f t="shared" si="102"/>
        <v>0</v>
      </c>
      <c r="G101" s="88">
        <f t="shared" si="102"/>
        <v>0</v>
      </c>
      <c r="H101" s="88">
        <f t="shared" si="102"/>
        <v>0</v>
      </c>
      <c r="I101" s="88">
        <f t="shared" si="102"/>
        <v>0</v>
      </c>
      <c r="J101" s="88">
        <f t="shared" si="102"/>
        <v>0</v>
      </c>
      <c r="K101" s="88">
        <f t="shared" si="102"/>
        <v>0</v>
      </c>
      <c r="L101" s="88">
        <f t="shared" si="102"/>
        <v>0</v>
      </c>
      <c r="M101" s="88">
        <f t="shared" si="102"/>
        <v>0</v>
      </c>
      <c r="N101" s="88">
        <f t="shared" si="102"/>
        <v>0</v>
      </c>
      <c r="O101" s="88">
        <f t="shared" si="102"/>
        <v>0</v>
      </c>
      <c r="P101" s="88">
        <f t="shared" si="102"/>
        <v>0</v>
      </c>
      <c r="Q101" s="88">
        <f t="shared" si="102"/>
        <v>0</v>
      </c>
      <c r="R101" s="88">
        <f t="shared" si="102"/>
        <v>0</v>
      </c>
      <c r="S101" s="88">
        <f t="shared" ref="S101:T101" si="103">IF(S84&lt;0,S84*-1,0)</f>
        <v>0</v>
      </c>
      <c r="T101" s="88">
        <f t="shared" si="103"/>
        <v>0</v>
      </c>
      <c r="U101" s="88">
        <f t="shared" ref="U101:V101" si="104">IF(U84&lt;0,U84*-1,0)</f>
        <v>0</v>
      </c>
      <c r="V101" s="88">
        <f t="shared" si="104"/>
        <v>0</v>
      </c>
      <c r="W101" s="88">
        <f t="shared" ref="W101:X101" si="105">IF(W84&lt;0,W84*-1,0)</f>
        <v>0</v>
      </c>
      <c r="X101" s="88">
        <f t="shared" si="105"/>
        <v>0</v>
      </c>
      <c r="Y101" s="88">
        <f t="shared" ref="Y101:Z101" si="106">IF(Y84&lt;0,Y84*-1,0)</f>
        <v>0</v>
      </c>
      <c r="Z101" s="88">
        <f t="shared" si="106"/>
        <v>0</v>
      </c>
      <c r="AA101" s="88">
        <f t="shared" si="102"/>
        <v>0</v>
      </c>
      <c r="AB101" s="88">
        <f t="shared" si="102"/>
        <v>0</v>
      </c>
      <c r="AC101" s="88">
        <f t="shared" si="102"/>
        <v>0</v>
      </c>
      <c r="AD101" s="88">
        <f t="shared" si="102"/>
        <v>0</v>
      </c>
      <c r="AE101" s="88">
        <f t="shared" si="102"/>
        <v>0</v>
      </c>
      <c r="AF101" s="88">
        <f t="shared" si="102"/>
        <v>0</v>
      </c>
      <c r="AG101" s="60"/>
      <c r="AH101" s="48">
        <f t="shared" si="69"/>
        <v>0</v>
      </c>
      <c r="AI101" s="49">
        <f t="shared" si="70"/>
        <v>0</v>
      </c>
      <c r="BF101" s="80"/>
      <c r="BG101" s="81">
        <v>52.3</v>
      </c>
      <c r="BH101" s="81">
        <v>44.7</v>
      </c>
      <c r="BI101" s="81">
        <v>381.3</v>
      </c>
      <c r="BJ101" s="81">
        <v>33.4</v>
      </c>
      <c r="BK101" s="81">
        <v>61.8</v>
      </c>
      <c r="BL101" s="81">
        <v>42</v>
      </c>
    </row>
    <row r="102" spans="1:64" x14ac:dyDescent="0.25">
      <c r="A102" s="64" t="s">
        <v>105</v>
      </c>
      <c r="B102" s="88">
        <f t="shared" ref="B102:C102" si="107">IF(B82&lt;0,B82*-1,0)</f>
        <v>0</v>
      </c>
      <c r="C102" s="88">
        <f t="shared" si="107"/>
        <v>0</v>
      </c>
      <c r="D102" s="88">
        <f t="shared" ref="D102" si="108">IF(D82&lt;0,D82*-1,0)</f>
        <v>0</v>
      </c>
      <c r="E102" s="88">
        <f t="shared" ref="E102:AF102" si="109">IF(E82&lt;0,E82*-1,0)</f>
        <v>0</v>
      </c>
      <c r="F102" s="88">
        <f t="shared" si="109"/>
        <v>0</v>
      </c>
      <c r="G102" s="88">
        <f t="shared" si="109"/>
        <v>0</v>
      </c>
      <c r="H102" s="88">
        <f t="shared" si="109"/>
        <v>0</v>
      </c>
      <c r="I102" s="88">
        <f t="shared" si="109"/>
        <v>0</v>
      </c>
      <c r="J102" s="88">
        <f t="shared" si="109"/>
        <v>0</v>
      </c>
      <c r="K102" s="88">
        <f t="shared" si="109"/>
        <v>0</v>
      </c>
      <c r="L102" s="88">
        <f t="shared" si="109"/>
        <v>0</v>
      </c>
      <c r="M102" s="88">
        <f t="shared" si="109"/>
        <v>0</v>
      </c>
      <c r="N102" s="88">
        <f t="shared" si="109"/>
        <v>0</v>
      </c>
      <c r="O102" s="88">
        <f t="shared" si="109"/>
        <v>0</v>
      </c>
      <c r="P102" s="88">
        <f t="shared" si="109"/>
        <v>0</v>
      </c>
      <c r="Q102" s="88">
        <f t="shared" si="109"/>
        <v>0</v>
      </c>
      <c r="R102" s="88">
        <f t="shared" si="109"/>
        <v>0</v>
      </c>
      <c r="S102" s="88">
        <f t="shared" ref="S102:T102" si="110">IF(S82&lt;0,S82*-1,0)</f>
        <v>0</v>
      </c>
      <c r="T102" s="88">
        <f t="shared" si="110"/>
        <v>0</v>
      </c>
      <c r="U102" s="88">
        <f t="shared" ref="U102:V102" si="111">IF(U82&lt;0,U82*-1,0)</f>
        <v>0</v>
      </c>
      <c r="V102" s="88">
        <f t="shared" si="111"/>
        <v>0</v>
      </c>
      <c r="W102" s="88">
        <f t="shared" ref="W102:X102" si="112">IF(W82&lt;0,W82*-1,0)</f>
        <v>0</v>
      </c>
      <c r="X102" s="88">
        <f t="shared" si="112"/>
        <v>0</v>
      </c>
      <c r="Y102" s="88">
        <f t="shared" ref="Y102:Z102" si="113">IF(Y82&lt;0,Y82*-1,0)</f>
        <v>0</v>
      </c>
      <c r="Z102" s="88">
        <f t="shared" si="113"/>
        <v>0</v>
      </c>
      <c r="AA102" s="88">
        <f t="shared" si="109"/>
        <v>0</v>
      </c>
      <c r="AB102" s="88">
        <f t="shared" si="109"/>
        <v>0</v>
      </c>
      <c r="AC102" s="88">
        <f t="shared" si="109"/>
        <v>0</v>
      </c>
      <c r="AD102" s="88">
        <f t="shared" si="109"/>
        <v>0</v>
      </c>
      <c r="AE102" s="88">
        <f t="shared" si="109"/>
        <v>0</v>
      </c>
      <c r="AF102" s="88">
        <f t="shared" si="109"/>
        <v>0</v>
      </c>
      <c r="AG102" s="65"/>
      <c r="AH102" s="48">
        <f t="shared" si="69"/>
        <v>0</v>
      </c>
      <c r="AI102" s="49">
        <f t="shared" si="70"/>
        <v>0</v>
      </c>
      <c r="BF102" s="80"/>
      <c r="BG102" s="81">
        <v>-11.9</v>
      </c>
      <c r="BH102" s="81">
        <v>0</v>
      </c>
      <c r="BI102" s="81">
        <v>70.8</v>
      </c>
      <c r="BJ102" s="81">
        <v>0</v>
      </c>
      <c r="BK102" s="81">
        <v>0</v>
      </c>
      <c r="BL102" s="81">
        <v>50.5</v>
      </c>
    </row>
    <row r="103" spans="1:64" x14ac:dyDescent="0.25">
      <c r="A103" s="96" t="s">
        <v>127</v>
      </c>
      <c r="B103" s="88">
        <f t="shared" ref="B103:C103" si="114">IF(B85&lt;0,B85*-1,0)</f>
        <v>0</v>
      </c>
      <c r="C103" s="88">
        <f t="shared" si="114"/>
        <v>0</v>
      </c>
      <c r="D103" s="88">
        <f t="shared" ref="D103" si="115">IF(D85&lt;0,D85*-1,0)</f>
        <v>0</v>
      </c>
      <c r="E103" s="88">
        <f t="shared" ref="E103:AF103" si="116">IF(E85&lt;0,E85*-1,0)</f>
        <v>0</v>
      </c>
      <c r="F103" s="88">
        <f t="shared" si="116"/>
        <v>0</v>
      </c>
      <c r="G103" s="88">
        <f t="shared" si="116"/>
        <v>0</v>
      </c>
      <c r="H103" s="88">
        <f t="shared" si="116"/>
        <v>0</v>
      </c>
      <c r="I103" s="88">
        <f t="shared" si="116"/>
        <v>0</v>
      </c>
      <c r="J103" s="88">
        <f t="shared" si="116"/>
        <v>0</v>
      </c>
      <c r="K103" s="88">
        <f t="shared" si="116"/>
        <v>0</v>
      </c>
      <c r="L103" s="88">
        <f t="shared" si="116"/>
        <v>0</v>
      </c>
      <c r="M103" s="88">
        <f t="shared" si="116"/>
        <v>0</v>
      </c>
      <c r="N103" s="88">
        <f t="shared" si="116"/>
        <v>0</v>
      </c>
      <c r="O103" s="88">
        <f t="shared" si="116"/>
        <v>0</v>
      </c>
      <c r="P103" s="88">
        <f t="shared" si="116"/>
        <v>0</v>
      </c>
      <c r="Q103" s="88">
        <f t="shared" si="116"/>
        <v>0</v>
      </c>
      <c r="R103" s="88">
        <f t="shared" si="116"/>
        <v>0</v>
      </c>
      <c r="S103" s="88">
        <f t="shared" ref="S103:T103" si="117">IF(S85&lt;0,S85*-1,0)</f>
        <v>0</v>
      </c>
      <c r="T103" s="88">
        <f t="shared" si="117"/>
        <v>0</v>
      </c>
      <c r="U103" s="88">
        <f t="shared" ref="U103:V103" si="118">IF(U85&lt;0,U85*-1,0)</f>
        <v>0</v>
      </c>
      <c r="V103" s="88">
        <f t="shared" si="118"/>
        <v>0</v>
      </c>
      <c r="W103" s="88">
        <f t="shared" ref="W103:X103" si="119">IF(W85&lt;0,W85*-1,0)</f>
        <v>0</v>
      </c>
      <c r="X103" s="88">
        <f t="shared" si="119"/>
        <v>0</v>
      </c>
      <c r="Y103" s="88">
        <f t="shared" ref="Y103:Z103" si="120">IF(Y85&lt;0,Y85*-1,0)</f>
        <v>0</v>
      </c>
      <c r="Z103" s="88">
        <f t="shared" si="120"/>
        <v>0</v>
      </c>
      <c r="AA103" s="88">
        <f t="shared" si="116"/>
        <v>0</v>
      </c>
      <c r="AB103" s="88">
        <f t="shared" si="116"/>
        <v>0</v>
      </c>
      <c r="AC103" s="88">
        <f t="shared" si="116"/>
        <v>0</v>
      </c>
      <c r="AD103" s="88">
        <f t="shared" si="116"/>
        <v>0</v>
      </c>
      <c r="AE103" s="88">
        <f t="shared" si="116"/>
        <v>0</v>
      </c>
      <c r="AF103" s="88">
        <f t="shared" si="116"/>
        <v>0</v>
      </c>
      <c r="AG103" s="110"/>
      <c r="AH103" s="48">
        <f t="shared" si="69"/>
        <v>0</v>
      </c>
      <c r="AI103" s="49">
        <f t="shared" si="70"/>
        <v>0</v>
      </c>
      <c r="BF103" s="80"/>
      <c r="BG103" s="81">
        <v>33.299999999999997</v>
      </c>
      <c r="BH103" s="81">
        <v>0</v>
      </c>
      <c r="BI103" s="81">
        <v>40</v>
      </c>
      <c r="BJ103" s="81">
        <v>0</v>
      </c>
      <c r="BK103" s="81">
        <v>0</v>
      </c>
      <c r="BL103" s="81">
        <v>50.6</v>
      </c>
    </row>
    <row r="104" spans="1:64" x14ac:dyDescent="0.25">
      <c r="A104" s="96" t="s">
        <v>128</v>
      </c>
      <c r="B104" s="88">
        <f t="shared" ref="B104:C104" si="121">IF(B83&lt;0,B83*-1,0)</f>
        <v>0</v>
      </c>
      <c r="C104" s="88">
        <f t="shared" si="121"/>
        <v>0</v>
      </c>
      <c r="D104" s="88">
        <f t="shared" ref="D104" si="122">IF(D83&lt;0,D83*-1,0)</f>
        <v>0</v>
      </c>
      <c r="E104" s="88">
        <f t="shared" ref="E104:AF104" si="123">IF(E83&lt;0,E83*-1,0)</f>
        <v>0</v>
      </c>
      <c r="F104" s="88">
        <f t="shared" si="123"/>
        <v>0</v>
      </c>
      <c r="G104" s="88">
        <f t="shared" si="123"/>
        <v>0</v>
      </c>
      <c r="H104" s="88">
        <f t="shared" si="123"/>
        <v>0</v>
      </c>
      <c r="I104" s="88">
        <f t="shared" si="123"/>
        <v>0</v>
      </c>
      <c r="J104" s="88">
        <f t="shared" si="123"/>
        <v>0</v>
      </c>
      <c r="K104" s="88">
        <f t="shared" si="123"/>
        <v>0</v>
      </c>
      <c r="L104" s="88">
        <f t="shared" si="123"/>
        <v>0</v>
      </c>
      <c r="M104" s="88">
        <f t="shared" si="123"/>
        <v>0</v>
      </c>
      <c r="N104" s="88">
        <f t="shared" si="123"/>
        <v>0</v>
      </c>
      <c r="O104" s="88">
        <f t="shared" si="123"/>
        <v>0</v>
      </c>
      <c r="P104" s="88">
        <f t="shared" si="123"/>
        <v>0</v>
      </c>
      <c r="Q104" s="88">
        <f t="shared" si="123"/>
        <v>0</v>
      </c>
      <c r="R104" s="88">
        <f t="shared" si="123"/>
        <v>0</v>
      </c>
      <c r="S104" s="88">
        <f t="shared" ref="S104:T104" si="124">IF(S83&lt;0,S83*-1,0)</f>
        <v>0</v>
      </c>
      <c r="T104" s="88">
        <f t="shared" si="124"/>
        <v>0</v>
      </c>
      <c r="U104" s="88">
        <f t="shared" ref="U104:V104" si="125">IF(U83&lt;0,U83*-1,0)</f>
        <v>0</v>
      </c>
      <c r="V104" s="88">
        <f t="shared" si="125"/>
        <v>0</v>
      </c>
      <c r="W104" s="88">
        <f t="shared" ref="W104:X104" si="126">IF(W83&lt;0,W83*-1,0)</f>
        <v>0</v>
      </c>
      <c r="X104" s="88">
        <f t="shared" si="126"/>
        <v>0</v>
      </c>
      <c r="Y104" s="88">
        <f t="shared" ref="Y104:Z104" si="127">IF(Y83&lt;0,Y83*-1,0)</f>
        <v>0</v>
      </c>
      <c r="Z104" s="88">
        <f t="shared" si="127"/>
        <v>0</v>
      </c>
      <c r="AA104" s="88">
        <f t="shared" si="123"/>
        <v>0</v>
      </c>
      <c r="AB104" s="88">
        <f t="shared" si="123"/>
        <v>0</v>
      </c>
      <c r="AC104" s="88">
        <f t="shared" si="123"/>
        <v>0</v>
      </c>
      <c r="AD104" s="88">
        <f t="shared" si="123"/>
        <v>0</v>
      </c>
      <c r="AE104" s="88">
        <f t="shared" si="123"/>
        <v>0</v>
      </c>
      <c r="AF104" s="88">
        <f t="shared" si="123"/>
        <v>0</v>
      </c>
      <c r="AG104" s="110"/>
      <c r="AH104" s="48">
        <f t="shared" si="69"/>
        <v>0</v>
      </c>
      <c r="AI104" s="49">
        <f t="shared" si="70"/>
        <v>0</v>
      </c>
      <c r="BF104" s="80"/>
      <c r="BG104" s="81">
        <v>23.3</v>
      </c>
      <c r="BH104" s="81">
        <v>0</v>
      </c>
      <c r="BI104" s="81">
        <v>30</v>
      </c>
      <c r="BJ104" s="81">
        <v>0</v>
      </c>
      <c r="BK104" s="81">
        <v>0</v>
      </c>
      <c r="BL104" s="81">
        <v>50.7</v>
      </c>
    </row>
    <row r="105" spans="1:64" x14ac:dyDescent="0.25">
      <c r="A105" s="96" t="s">
        <v>104</v>
      </c>
      <c r="B105" s="88">
        <f t="shared" ref="B105:C105" si="128">IF(B81&lt;0,B81*-1,0)</f>
        <v>0</v>
      </c>
      <c r="C105" s="88">
        <f t="shared" si="128"/>
        <v>0</v>
      </c>
      <c r="D105" s="88">
        <f t="shared" ref="D105" si="129">IF(D81&lt;0,D81*-1,0)</f>
        <v>0</v>
      </c>
      <c r="E105" s="88">
        <f t="shared" ref="E105:AF105" si="130">IF(E81&lt;0,E81*-1,0)</f>
        <v>0</v>
      </c>
      <c r="F105" s="88">
        <f t="shared" si="130"/>
        <v>0</v>
      </c>
      <c r="G105" s="88">
        <f t="shared" si="130"/>
        <v>0</v>
      </c>
      <c r="H105" s="88">
        <f t="shared" si="130"/>
        <v>0</v>
      </c>
      <c r="I105" s="88">
        <f t="shared" si="130"/>
        <v>0</v>
      </c>
      <c r="J105" s="88">
        <f t="shared" si="130"/>
        <v>0</v>
      </c>
      <c r="K105" s="88">
        <f t="shared" si="130"/>
        <v>0</v>
      </c>
      <c r="L105" s="88">
        <f t="shared" si="130"/>
        <v>0</v>
      </c>
      <c r="M105" s="88">
        <f t="shared" si="130"/>
        <v>0</v>
      </c>
      <c r="N105" s="88">
        <f t="shared" si="130"/>
        <v>0</v>
      </c>
      <c r="O105" s="88">
        <f t="shared" si="130"/>
        <v>0</v>
      </c>
      <c r="P105" s="88">
        <f t="shared" si="130"/>
        <v>0</v>
      </c>
      <c r="Q105" s="88">
        <f t="shared" si="130"/>
        <v>0</v>
      </c>
      <c r="R105" s="88">
        <f t="shared" si="130"/>
        <v>0</v>
      </c>
      <c r="S105" s="88">
        <f t="shared" ref="S105:T105" si="131">IF(S81&lt;0,S81*-1,0)</f>
        <v>0</v>
      </c>
      <c r="T105" s="88">
        <f t="shared" si="131"/>
        <v>0</v>
      </c>
      <c r="U105" s="88">
        <f t="shared" ref="U105:V105" si="132">IF(U81&lt;0,U81*-1,0)</f>
        <v>0</v>
      </c>
      <c r="V105" s="88">
        <f t="shared" si="132"/>
        <v>0</v>
      </c>
      <c r="W105" s="88">
        <f t="shared" ref="W105:X105" si="133">IF(W81&lt;0,W81*-1,0)</f>
        <v>0</v>
      </c>
      <c r="X105" s="88">
        <f t="shared" si="133"/>
        <v>0</v>
      </c>
      <c r="Y105" s="88">
        <f t="shared" ref="Y105" si="134">IF(Y81&lt;0,Y81*-1,0)</f>
        <v>0</v>
      </c>
      <c r="Z105" s="88">
        <v>0</v>
      </c>
      <c r="AA105" s="88">
        <f t="shared" si="130"/>
        <v>0</v>
      </c>
      <c r="AB105" s="88">
        <f t="shared" si="130"/>
        <v>0</v>
      </c>
      <c r="AC105" s="88">
        <f t="shared" si="130"/>
        <v>0</v>
      </c>
      <c r="AD105" s="88">
        <f t="shared" si="130"/>
        <v>0</v>
      </c>
      <c r="AE105" s="88">
        <f t="shared" si="130"/>
        <v>0</v>
      </c>
      <c r="AF105" s="88">
        <f t="shared" si="130"/>
        <v>0</v>
      </c>
      <c r="AG105" s="110"/>
      <c r="AH105" s="48">
        <f t="shared" si="69"/>
        <v>0</v>
      </c>
      <c r="AI105" s="49">
        <f t="shared" si="70"/>
        <v>0</v>
      </c>
      <c r="BF105" s="80"/>
      <c r="BG105" s="81">
        <v>28.8</v>
      </c>
      <c r="BH105" s="81">
        <v>0</v>
      </c>
      <c r="BI105" s="81">
        <v>126.9</v>
      </c>
      <c r="BJ105" s="81">
        <v>0</v>
      </c>
      <c r="BK105" s="81">
        <v>0</v>
      </c>
      <c r="BL105" s="81">
        <v>50.7</v>
      </c>
    </row>
    <row r="106" spans="1:64" ht="15.75" thickBot="1" x14ac:dyDescent="0.3">
      <c r="A106" s="96" t="s">
        <v>129</v>
      </c>
      <c r="B106" s="106">
        <v>0</v>
      </c>
      <c r="C106" s="106">
        <v>0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0</v>
      </c>
      <c r="Y106" s="106">
        <v>0</v>
      </c>
      <c r="Z106" s="106">
        <v>0</v>
      </c>
      <c r="AA106" s="106">
        <v>0</v>
      </c>
      <c r="AB106" s="106">
        <v>0</v>
      </c>
      <c r="AC106" s="106">
        <v>0</v>
      </c>
      <c r="AD106" s="106">
        <v>0</v>
      </c>
      <c r="AE106" s="106">
        <v>0</v>
      </c>
      <c r="AF106" s="106">
        <v>0</v>
      </c>
      <c r="AG106" s="97"/>
      <c r="AH106" s="48">
        <f t="shared" si="69"/>
        <v>0</v>
      </c>
      <c r="AI106" s="49">
        <f t="shared" si="70"/>
        <v>0</v>
      </c>
      <c r="BG106" s="81">
        <v>29.9</v>
      </c>
      <c r="BH106" s="81">
        <v>0</v>
      </c>
      <c r="BI106" s="81">
        <v>107.7</v>
      </c>
      <c r="BJ106" s="81">
        <v>0</v>
      </c>
      <c r="BK106" s="81">
        <v>0</v>
      </c>
      <c r="BL106" s="81">
        <v>49.7</v>
      </c>
    </row>
    <row r="107" spans="1:64" ht="15.75" thickBot="1" x14ac:dyDescent="0.3">
      <c r="A107" s="111" t="s">
        <v>130</v>
      </c>
      <c r="B107" s="70">
        <v>0</v>
      </c>
      <c r="C107" s="70">
        <v>0</v>
      </c>
      <c r="D107" s="70">
        <v>0</v>
      </c>
      <c r="E107" s="70">
        <f t="shared" ref="E107:AF107" si="135">SUM(E101:E106)</f>
        <v>0</v>
      </c>
      <c r="F107" s="70">
        <f t="shared" si="135"/>
        <v>0</v>
      </c>
      <c r="G107" s="70">
        <f t="shared" si="135"/>
        <v>0</v>
      </c>
      <c r="H107" s="70">
        <f t="shared" si="135"/>
        <v>0</v>
      </c>
      <c r="I107" s="70">
        <f t="shared" si="135"/>
        <v>0</v>
      </c>
      <c r="J107" s="70">
        <f t="shared" si="135"/>
        <v>0</v>
      </c>
      <c r="K107" s="70">
        <f t="shared" si="135"/>
        <v>0</v>
      </c>
      <c r="L107" s="70">
        <f t="shared" si="135"/>
        <v>0</v>
      </c>
      <c r="M107" s="70">
        <f t="shared" si="135"/>
        <v>0</v>
      </c>
      <c r="N107" s="70">
        <f t="shared" si="135"/>
        <v>0</v>
      </c>
      <c r="O107" s="70">
        <f t="shared" si="135"/>
        <v>0</v>
      </c>
      <c r="P107" s="70">
        <f t="shared" si="135"/>
        <v>0</v>
      </c>
      <c r="Q107" s="70">
        <f t="shared" si="135"/>
        <v>0</v>
      </c>
      <c r="R107" s="70">
        <f t="shared" si="135"/>
        <v>0</v>
      </c>
      <c r="S107" s="70">
        <f t="shared" ref="S107:T107" si="136">SUM(S101:S106)</f>
        <v>0</v>
      </c>
      <c r="T107" s="70">
        <f t="shared" si="136"/>
        <v>0</v>
      </c>
      <c r="U107" s="70">
        <f t="shared" ref="U107:V107" si="137">SUM(U101:U106)</f>
        <v>0</v>
      </c>
      <c r="V107" s="70">
        <f t="shared" si="137"/>
        <v>0</v>
      </c>
      <c r="W107" s="70">
        <f t="shared" ref="W107:X107" si="138">SUM(W101:W106)</f>
        <v>0</v>
      </c>
      <c r="X107" s="70">
        <f t="shared" si="138"/>
        <v>0</v>
      </c>
      <c r="Y107" s="70">
        <f t="shared" ref="Y107:Z107" si="139">SUM(Y101:Y106)</f>
        <v>0</v>
      </c>
      <c r="Z107" s="70">
        <f t="shared" si="139"/>
        <v>0</v>
      </c>
      <c r="AA107" s="70">
        <f t="shared" si="135"/>
        <v>0</v>
      </c>
      <c r="AB107" s="70">
        <f t="shared" si="135"/>
        <v>0</v>
      </c>
      <c r="AC107" s="70">
        <f t="shared" si="135"/>
        <v>0</v>
      </c>
      <c r="AD107" s="70">
        <f t="shared" si="135"/>
        <v>0</v>
      </c>
      <c r="AE107" s="70">
        <f t="shared" si="135"/>
        <v>0</v>
      </c>
      <c r="AF107" s="70">
        <f t="shared" si="135"/>
        <v>0</v>
      </c>
      <c r="AG107" s="100"/>
      <c r="AH107" s="48">
        <f t="shared" si="69"/>
        <v>0</v>
      </c>
      <c r="AI107" s="49">
        <f t="shared" si="70"/>
        <v>0</v>
      </c>
      <c r="AK107" s="51"/>
      <c r="BG107" s="81">
        <v>40</v>
      </c>
      <c r="BH107" s="81">
        <v>0</v>
      </c>
      <c r="BI107" s="81">
        <v>120</v>
      </c>
      <c r="BJ107" s="81">
        <v>0</v>
      </c>
      <c r="BK107" s="81">
        <v>0</v>
      </c>
      <c r="BL107" s="81">
        <v>50</v>
      </c>
    </row>
    <row r="108" spans="1:64" ht="15.75" thickBot="1" x14ac:dyDescent="0.3">
      <c r="A108" s="86" t="s">
        <v>131</v>
      </c>
      <c r="B108" s="70">
        <f t="shared" ref="B108:C108" si="140">B92-B107</f>
        <v>210</v>
      </c>
      <c r="C108" s="70">
        <f t="shared" si="140"/>
        <v>180</v>
      </c>
      <c r="D108" s="70">
        <f t="shared" ref="D108" si="141">D92-D107</f>
        <v>155</v>
      </c>
      <c r="E108" s="70">
        <f t="shared" ref="E108:AF108" si="142">E92-E107</f>
        <v>137.4</v>
      </c>
      <c r="F108" s="70">
        <f t="shared" si="142"/>
        <v>129.1</v>
      </c>
      <c r="G108" s="70">
        <f t="shared" si="142"/>
        <v>141</v>
      </c>
      <c r="H108" s="70">
        <f t="shared" si="142"/>
        <v>338.1</v>
      </c>
      <c r="I108" s="70">
        <f t="shared" si="142"/>
        <v>429.2</v>
      </c>
      <c r="J108" s="70">
        <f t="shared" si="142"/>
        <v>715.5</v>
      </c>
      <c r="K108" s="70">
        <f t="shared" si="142"/>
        <v>823.8</v>
      </c>
      <c r="L108" s="70">
        <f t="shared" si="142"/>
        <v>863</v>
      </c>
      <c r="M108" s="70">
        <f t="shared" si="142"/>
        <v>823.7</v>
      </c>
      <c r="N108" s="70">
        <f t="shared" si="142"/>
        <v>828.1</v>
      </c>
      <c r="O108" s="70">
        <f t="shared" si="142"/>
        <v>827</v>
      </c>
      <c r="P108" s="70">
        <f t="shared" si="142"/>
        <v>846.9</v>
      </c>
      <c r="Q108" s="70">
        <f t="shared" si="142"/>
        <v>639.70000000000005</v>
      </c>
      <c r="R108" s="70">
        <f t="shared" si="142"/>
        <v>765.7</v>
      </c>
      <c r="S108" s="70">
        <f t="shared" ref="S108:T108" si="143">S92-S107</f>
        <v>871.39999999999986</v>
      </c>
      <c r="T108" s="70">
        <f t="shared" si="143"/>
        <v>877.8</v>
      </c>
      <c r="U108" s="70">
        <f t="shared" ref="U108:V108" si="144">U92-U107</f>
        <v>848.40000000000009</v>
      </c>
      <c r="V108" s="70">
        <f t="shared" si="144"/>
        <v>826.8</v>
      </c>
      <c r="W108" s="70">
        <f t="shared" ref="W108:X108" si="145">W92-W107</f>
        <v>719.19999999999993</v>
      </c>
      <c r="X108" s="70">
        <f t="shared" si="145"/>
        <v>615.5</v>
      </c>
      <c r="Y108" s="70">
        <f t="shared" ref="Y108:Z108" si="146">Y92-Y107</f>
        <v>78.55</v>
      </c>
      <c r="Z108" s="70">
        <f t="shared" si="146"/>
        <v>121.3</v>
      </c>
      <c r="AA108" s="70">
        <f t="shared" si="142"/>
        <v>125.80000000000001</v>
      </c>
      <c r="AB108" s="70">
        <f t="shared" si="142"/>
        <v>123.9</v>
      </c>
      <c r="AC108" s="70">
        <f t="shared" si="142"/>
        <v>120.6</v>
      </c>
      <c r="AD108" s="70">
        <f t="shared" si="142"/>
        <v>104</v>
      </c>
      <c r="AE108" s="70">
        <f t="shared" si="142"/>
        <v>206.40000000000003</v>
      </c>
      <c r="AF108" s="70">
        <f t="shared" si="142"/>
        <v>187.3</v>
      </c>
      <c r="AG108" s="100"/>
      <c r="AH108" s="48">
        <f t="shared" si="69"/>
        <v>877.8</v>
      </c>
      <c r="AI108" s="49">
        <f t="shared" si="70"/>
        <v>78.55</v>
      </c>
    </row>
    <row r="109" spans="1:64" x14ac:dyDescent="0.25">
      <c r="A109" s="112" t="s">
        <v>132</v>
      </c>
      <c r="B109" s="113">
        <v>49.94</v>
      </c>
      <c r="C109" s="113">
        <v>50.03</v>
      </c>
      <c r="D109" s="113">
        <v>49.97</v>
      </c>
      <c r="E109" s="113">
        <v>49.982999999999997</v>
      </c>
      <c r="F109" s="113">
        <v>49.926000000000002</v>
      </c>
      <c r="G109" s="113">
        <v>49.987000000000002</v>
      </c>
      <c r="H109" s="113">
        <v>50.027000000000001</v>
      </c>
      <c r="I109" s="113">
        <v>50.030999999999999</v>
      </c>
      <c r="J109" s="113">
        <v>50.006999999999998</v>
      </c>
      <c r="K109" s="113">
        <v>50.052999999999997</v>
      </c>
      <c r="L109" s="113">
        <v>50.061</v>
      </c>
      <c r="M109" s="113">
        <v>50.076000000000001</v>
      </c>
      <c r="N109" s="113">
        <v>50.024000000000001</v>
      </c>
      <c r="O109" s="113">
        <v>50.024000000000001</v>
      </c>
      <c r="P109" s="113">
        <v>50.03</v>
      </c>
      <c r="Q109" s="113">
        <v>50.01</v>
      </c>
      <c r="R109" s="113">
        <v>50.01</v>
      </c>
      <c r="S109" s="113">
        <v>49.97</v>
      </c>
      <c r="T109" s="113">
        <v>49.97</v>
      </c>
      <c r="U109" s="113">
        <v>50.02</v>
      </c>
      <c r="V109" s="113">
        <v>50.01</v>
      </c>
      <c r="W109" s="113">
        <v>50.03</v>
      </c>
      <c r="X109" s="113">
        <v>50.03</v>
      </c>
      <c r="Y109" s="113">
        <v>50.1</v>
      </c>
      <c r="Z109" s="113">
        <v>49.99</v>
      </c>
      <c r="AA109" s="113">
        <v>49.929000000000002</v>
      </c>
      <c r="AB109" s="113">
        <v>50.040999999999997</v>
      </c>
      <c r="AC109" s="113">
        <v>49.972999999999999</v>
      </c>
      <c r="AD109" s="113">
        <v>49.999000000000002</v>
      </c>
      <c r="AE109" s="113">
        <v>50.000999999999998</v>
      </c>
      <c r="AF109" s="113">
        <v>49.841000000000001</v>
      </c>
      <c r="AG109" s="114"/>
      <c r="AH109" s="48">
        <f t="shared" si="69"/>
        <v>50.1</v>
      </c>
      <c r="AI109" s="49">
        <f t="shared" si="70"/>
        <v>49.841000000000001</v>
      </c>
    </row>
    <row r="110" spans="1:64" x14ac:dyDescent="0.25">
      <c r="A110" s="115" t="s">
        <v>133</v>
      </c>
      <c r="B110" s="75">
        <v>132</v>
      </c>
      <c r="C110" s="75">
        <v>132</v>
      </c>
      <c r="D110" s="75">
        <v>132</v>
      </c>
      <c r="E110" s="75">
        <v>132.1</v>
      </c>
      <c r="F110" s="75">
        <v>132.19999999999999</v>
      </c>
      <c r="G110" s="75">
        <v>131.9</v>
      </c>
      <c r="H110" s="75">
        <v>133.80000000000001</v>
      </c>
      <c r="I110" s="75">
        <v>132.5</v>
      </c>
      <c r="J110" s="75">
        <v>125.6</v>
      </c>
      <c r="K110" s="75">
        <v>125.3</v>
      </c>
      <c r="L110" s="75">
        <v>124.8</v>
      </c>
      <c r="M110" s="75">
        <v>125.4</v>
      </c>
      <c r="N110" s="75">
        <v>122.2</v>
      </c>
      <c r="O110" s="75">
        <v>122.2</v>
      </c>
      <c r="P110" s="75">
        <v>124</v>
      </c>
      <c r="Q110" s="75">
        <v>126.1</v>
      </c>
      <c r="R110" s="75">
        <v>126.1</v>
      </c>
      <c r="S110" s="75">
        <v>120.8</v>
      </c>
      <c r="T110" s="75">
        <v>124.36</v>
      </c>
      <c r="U110" s="75">
        <v>125.6</v>
      </c>
      <c r="V110" s="75">
        <v>124.2</v>
      </c>
      <c r="W110" s="75">
        <v>124.2</v>
      </c>
      <c r="X110" s="75">
        <v>130.5</v>
      </c>
      <c r="Y110" s="75">
        <v>129.80000000000001</v>
      </c>
      <c r="Z110" s="75">
        <v>126.6</v>
      </c>
      <c r="AA110" s="75">
        <v>128.69999999999999</v>
      </c>
      <c r="AB110" s="75">
        <v>129.30000000000001</v>
      </c>
      <c r="AC110" s="75">
        <v>130</v>
      </c>
      <c r="AD110" s="75">
        <v>130.30000000000001</v>
      </c>
      <c r="AE110" s="75">
        <v>131.1</v>
      </c>
      <c r="AF110" s="75">
        <v>131.4</v>
      </c>
      <c r="AG110" s="116"/>
      <c r="AH110" s="48">
        <f t="shared" si="69"/>
        <v>133.80000000000001</v>
      </c>
      <c r="AI110" s="49">
        <f t="shared" si="70"/>
        <v>120.8</v>
      </c>
    </row>
    <row r="111" spans="1:64" x14ac:dyDescent="0.25">
      <c r="A111" s="115" t="s">
        <v>134</v>
      </c>
      <c r="B111" s="75">
        <v>134</v>
      </c>
      <c r="C111" s="75">
        <v>134</v>
      </c>
      <c r="D111" s="75">
        <v>134</v>
      </c>
      <c r="E111" s="75">
        <v>134.6</v>
      </c>
      <c r="F111" s="75">
        <v>134.69999999999999</v>
      </c>
      <c r="G111" s="75">
        <v>134.4</v>
      </c>
      <c r="H111" s="75">
        <v>135.4</v>
      </c>
      <c r="I111" s="75">
        <v>134.30000000000001</v>
      </c>
      <c r="J111" s="75">
        <v>128.30000000000001</v>
      </c>
      <c r="K111" s="75">
        <v>128.1</v>
      </c>
      <c r="L111" s="75">
        <v>127.3</v>
      </c>
      <c r="M111" s="75">
        <v>128.4</v>
      </c>
      <c r="N111" s="75">
        <v>125.3</v>
      </c>
      <c r="O111" s="75">
        <v>125.3</v>
      </c>
      <c r="P111" s="75">
        <v>127</v>
      </c>
      <c r="Q111" s="75">
        <v>128.69999999999999</v>
      </c>
      <c r="R111" s="75">
        <v>128.69999999999999</v>
      </c>
      <c r="S111" s="75">
        <v>124.8</v>
      </c>
      <c r="T111" s="75">
        <v>127.5</v>
      </c>
      <c r="U111" s="75">
        <v>128.30000000000001</v>
      </c>
      <c r="V111" s="75">
        <v>127.1</v>
      </c>
      <c r="W111" s="75">
        <v>127.1</v>
      </c>
      <c r="X111" s="75">
        <v>132.4</v>
      </c>
      <c r="Y111" s="75">
        <v>131.69999999999999</v>
      </c>
      <c r="Z111" s="75">
        <v>128.9</v>
      </c>
      <c r="AA111" s="75">
        <v>130.69999999999999</v>
      </c>
      <c r="AB111" s="75">
        <v>131.6</v>
      </c>
      <c r="AC111" s="75">
        <v>132.4</v>
      </c>
      <c r="AD111" s="75">
        <v>133.1</v>
      </c>
      <c r="AE111" s="75">
        <v>134.1</v>
      </c>
      <c r="AF111" s="75">
        <v>134.6</v>
      </c>
      <c r="AG111" s="116"/>
      <c r="AH111" s="48">
        <f t="shared" si="69"/>
        <v>135.4</v>
      </c>
      <c r="AI111" s="49">
        <f t="shared" si="70"/>
        <v>124.8</v>
      </c>
    </row>
    <row r="112" spans="1:64" x14ac:dyDescent="0.25">
      <c r="A112" s="115" t="s">
        <v>135</v>
      </c>
      <c r="B112" s="75">
        <v>133</v>
      </c>
      <c r="C112" s="75">
        <v>133</v>
      </c>
      <c r="D112" s="75">
        <v>132</v>
      </c>
      <c r="E112" s="75">
        <v>133.9</v>
      </c>
      <c r="F112" s="75">
        <v>133.80000000000001</v>
      </c>
      <c r="G112" s="75">
        <v>133</v>
      </c>
      <c r="H112" s="75">
        <v>130.1</v>
      </c>
      <c r="I112" s="75">
        <v>132.4</v>
      </c>
      <c r="J112" s="75">
        <v>132.6</v>
      </c>
      <c r="K112" s="75">
        <v>125.6</v>
      </c>
      <c r="L112" s="75">
        <v>127.7</v>
      </c>
      <c r="M112" s="75">
        <v>127.5</v>
      </c>
      <c r="N112" s="75">
        <v>125.7</v>
      </c>
      <c r="O112" s="75">
        <v>125.7</v>
      </c>
      <c r="P112" s="75">
        <v>124</v>
      </c>
      <c r="Q112" s="75">
        <v>124.3</v>
      </c>
      <c r="R112" s="75">
        <v>124.3</v>
      </c>
      <c r="S112" s="75">
        <v>123.7</v>
      </c>
      <c r="T112" s="75">
        <v>122.7</v>
      </c>
      <c r="U112" s="75">
        <v>126.7</v>
      </c>
      <c r="V112" s="75">
        <v>128.30000000000001</v>
      </c>
      <c r="W112" s="75">
        <v>128.30000000000001</v>
      </c>
      <c r="X112" s="75">
        <v>128.19999999999999</v>
      </c>
      <c r="Y112" s="75">
        <v>128.9</v>
      </c>
      <c r="Z112" s="75">
        <v>127.8</v>
      </c>
      <c r="AA112" s="75">
        <v>129.9</v>
      </c>
      <c r="AB112" s="75">
        <v>130.19999999999999</v>
      </c>
      <c r="AC112" s="75">
        <v>130.69999999999999</v>
      </c>
      <c r="AD112" s="75">
        <v>128.69999999999999</v>
      </c>
      <c r="AE112" s="75">
        <v>131.4</v>
      </c>
      <c r="AF112" s="75">
        <v>131.6</v>
      </c>
      <c r="AG112" s="116"/>
      <c r="AH112" s="48">
        <f t="shared" si="69"/>
        <v>133.9</v>
      </c>
      <c r="AI112" s="49">
        <f t="shared" si="70"/>
        <v>122.7</v>
      </c>
    </row>
    <row r="113" spans="1:35" x14ac:dyDescent="0.25">
      <c r="A113" s="117" t="s">
        <v>136</v>
      </c>
      <c r="B113" s="75">
        <v>133</v>
      </c>
      <c r="C113" s="75">
        <v>133</v>
      </c>
      <c r="D113" s="75">
        <v>133</v>
      </c>
      <c r="E113" s="75">
        <v>134.4</v>
      </c>
      <c r="F113" s="75">
        <v>132.80000000000001</v>
      </c>
      <c r="G113" s="75">
        <v>131.80000000000001</v>
      </c>
      <c r="H113" s="75">
        <v>128.19999999999999</v>
      </c>
      <c r="I113" s="75">
        <v>132.80000000000001</v>
      </c>
      <c r="J113" s="75">
        <v>132.6</v>
      </c>
      <c r="K113" s="75">
        <v>129</v>
      </c>
      <c r="L113" s="75">
        <v>126.5</v>
      </c>
      <c r="M113" s="75">
        <v>127.5</v>
      </c>
      <c r="N113" s="75">
        <v>125.6</v>
      </c>
      <c r="O113" s="75">
        <v>125.6</v>
      </c>
      <c r="P113" s="75">
        <v>127</v>
      </c>
      <c r="Q113" s="75">
        <v>127.7</v>
      </c>
      <c r="R113" s="75">
        <v>127.7</v>
      </c>
      <c r="S113" s="75">
        <v>124.7</v>
      </c>
      <c r="T113" s="75">
        <v>127.7</v>
      </c>
      <c r="U113" s="75">
        <v>125.9</v>
      </c>
      <c r="V113" s="75">
        <v>125.7</v>
      </c>
      <c r="W113" s="75">
        <v>125.7</v>
      </c>
      <c r="X113" s="75">
        <v>127.7</v>
      </c>
      <c r="Y113" s="75">
        <v>123.9</v>
      </c>
      <c r="Z113" s="75">
        <v>124.9</v>
      </c>
      <c r="AA113" s="75">
        <v>128.80000000000001</v>
      </c>
      <c r="AB113" s="75">
        <v>128.80000000000001</v>
      </c>
      <c r="AC113" s="75">
        <v>129.5</v>
      </c>
      <c r="AD113" s="75">
        <v>127.7</v>
      </c>
      <c r="AE113" s="75">
        <v>131.19999999999999</v>
      </c>
      <c r="AF113" s="75">
        <v>132.1</v>
      </c>
      <c r="AG113" s="116"/>
      <c r="AH113" s="48">
        <f t="shared" si="69"/>
        <v>134.4</v>
      </c>
      <c r="AI113" s="49">
        <f t="shared" si="70"/>
        <v>123.9</v>
      </c>
    </row>
    <row r="114" spans="1:35" x14ac:dyDescent="0.25">
      <c r="A114" s="117" t="s">
        <v>137</v>
      </c>
      <c r="B114" s="118">
        <v>135</v>
      </c>
      <c r="C114" s="118">
        <v>135</v>
      </c>
      <c r="D114" s="118">
        <v>136</v>
      </c>
      <c r="E114" s="118">
        <v>136</v>
      </c>
      <c r="F114" s="118">
        <v>135.4</v>
      </c>
      <c r="G114" s="118">
        <v>135.80000000000001</v>
      </c>
      <c r="H114" s="118">
        <v>137</v>
      </c>
      <c r="I114" s="118">
        <v>136.19999999999999</v>
      </c>
      <c r="J114" s="118">
        <v>129.19999999999999</v>
      </c>
      <c r="K114" s="118">
        <v>132.5</v>
      </c>
      <c r="L114" s="118">
        <v>131.4</v>
      </c>
      <c r="M114" s="118">
        <v>133.30000000000001</v>
      </c>
      <c r="N114" s="118">
        <v>132.4</v>
      </c>
      <c r="O114" s="118">
        <v>132.4</v>
      </c>
      <c r="P114" s="118">
        <v>129.4</v>
      </c>
      <c r="Q114" s="118">
        <v>134.1</v>
      </c>
      <c r="R114" s="118">
        <v>134.1</v>
      </c>
      <c r="S114" s="118">
        <v>126.1</v>
      </c>
      <c r="T114" s="118">
        <v>131</v>
      </c>
      <c r="U114" s="118">
        <v>131.69999999999999</v>
      </c>
      <c r="V114" s="118">
        <v>129.1</v>
      </c>
      <c r="W114" s="118">
        <v>129.1</v>
      </c>
      <c r="X114" s="118">
        <v>138.1</v>
      </c>
      <c r="Y114" s="118">
        <v>138.1</v>
      </c>
      <c r="Z114" s="118">
        <v>130.9</v>
      </c>
      <c r="AA114" s="118">
        <v>133.6</v>
      </c>
      <c r="AB114" s="118">
        <v>133.4</v>
      </c>
      <c r="AC114" s="118">
        <v>135.5</v>
      </c>
      <c r="AD114" s="118">
        <v>134.9</v>
      </c>
      <c r="AE114" s="118">
        <v>136.6</v>
      </c>
      <c r="AF114" s="118">
        <v>136.80000000000001</v>
      </c>
      <c r="AG114" s="119"/>
      <c r="AH114" s="48">
        <f t="shared" si="69"/>
        <v>138.1</v>
      </c>
      <c r="AI114" s="49">
        <f t="shared" si="70"/>
        <v>126.1</v>
      </c>
    </row>
    <row r="115" spans="1:35" x14ac:dyDescent="0.25">
      <c r="A115" s="115" t="s">
        <v>138</v>
      </c>
      <c r="B115" s="75">
        <v>136</v>
      </c>
      <c r="C115" s="75">
        <v>136</v>
      </c>
      <c r="D115" s="75">
        <v>136</v>
      </c>
      <c r="E115" s="75">
        <v>134.1</v>
      </c>
      <c r="F115" s="75">
        <v>134.1</v>
      </c>
      <c r="G115" s="75">
        <v>131.9</v>
      </c>
      <c r="H115" s="75">
        <v>130.9</v>
      </c>
      <c r="I115" s="75">
        <v>129.1</v>
      </c>
      <c r="J115" s="75">
        <v>126.8</v>
      </c>
      <c r="K115" s="75">
        <v>130.6</v>
      </c>
      <c r="L115" s="75">
        <v>129.69999999999999</v>
      </c>
      <c r="M115" s="75">
        <v>128.6</v>
      </c>
      <c r="N115" s="75">
        <v>130.6</v>
      </c>
      <c r="O115" s="75">
        <v>130.6</v>
      </c>
      <c r="P115" s="75">
        <v>128.9</v>
      </c>
      <c r="Q115" s="75"/>
      <c r="R115" s="75"/>
      <c r="S115" s="75">
        <v>130.4</v>
      </c>
      <c r="T115" s="75">
        <v>134.4</v>
      </c>
      <c r="U115" s="75">
        <v>128.5</v>
      </c>
      <c r="V115" s="75">
        <v>132.4</v>
      </c>
      <c r="W115" s="75">
        <v>132.4</v>
      </c>
      <c r="X115" s="75">
        <v>131.1</v>
      </c>
      <c r="Y115" s="75">
        <v>131.1</v>
      </c>
      <c r="Z115" s="75">
        <v>123.9</v>
      </c>
      <c r="AA115" s="75">
        <v>133.9</v>
      </c>
      <c r="AB115" s="75">
        <v>134.30000000000001</v>
      </c>
      <c r="AC115" s="75">
        <v>134.5</v>
      </c>
      <c r="AD115" s="75">
        <v>134.1</v>
      </c>
      <c r="AE115" s="75">
        <v>136.1</v>
      </c>
      <c r="AF115" s="75">
        <v>135.69999999999999</v>
      </c>
      <c r="AG115" s="116"/>
      <c r="AH115" s="48">
        <f t="shared" si="69"/>
        <v>136.1</v>
      </c>
      <c r="AI115" s="49">
        <f t="shared" si="70"/>
        <v>123.9</v>
      </c>
    </row>
    <row r="116" spans="1:35" ht="15.75" thickBot="1" x14ac:dyDescent="0.3">
      <c r="A116" s="115" t="s">
        <v>139</v>
      </c>
      <c r="B116" s="104">
        <v>67.5</v>
      </c>
      <c r="C116" s="104">
        <v>67.5</v>
      </c>
      <c r="D116" s="104">
        <v>67.5</v>
      </c>
      <c r="E116" s="104">
        <v>67.5</v>
      </c>
      <c r="F116" s="104">
        <v>67.5</v>
      </c>
      <c r="G116" s="104">
        <v>67.3</v>
      </c>
      <c r="H116" s="104">
        <v>67.8</v>
      </c>
      <c r="I116" s="104">
        <v>67.2</v>
      </c>
      <c r="J116" s="104">
        <v>64.2</v>
      </c>
      <c r="K116" s="104">
        <v>64.3</v>
      </c>
      <c r="L116" s="104">
        <v>64.099999999999994</v>
      </c>
      <c r="M116" s="104">
        <v>64.599999999999994</v>
      </c>
      <c r="N116" s="104">
        <v>63.1</v>
      </c>
      <c r="O116" s="104">
        <v>63.1</v>
      </c>
      <c r="P116" s="104">
        <v>64.599999999999994</v>
      </c>
      <c r="Q116" s="104">
        <v>65</v>
      </c>
      <c r="R116" s="104">
        <v>65</v>
      </c>
      <c r="S116" s="104">
        <v>62.6</v>
      </c>
      <c r="T116" s="104">
        <v>64.400000000000006</v>
      </c>
      <c r="U116" s="104">
        <v>64.8</v>
      </c>
      <c r="V116" s="104">
        <v>64.3</v>
      </c>
      <c r="W116" s="104">
        <v>64.3</v>
      </c>
      <c r="X116" s="104">
        <v>66.099999999999994</v>
      </c>
      <c r="Y116" s="104">
        <v>66.099999999999994</v>
      </c>
      <c r="Z116" s="104">
        <v>64.7</v>
      </c>
      <c r="AA116" s="104">
        <v>65.599999999999994</v>
      </c>
      <c r="AB116" s="104">
        <v>66</v>
      </c>
      <c r="AC116" s="104">
        <v>66.5</v>
      </c>
      <c r="AD116" s="104">
        <v>66.900000000000006</v>
      </c>
      <c r="AE116" s="104">
        <v>67.3</v>
      </c>
      <c r="AF116" s="104">
        <v>67.599999999999994</v>
      </c>
      <c r="AG116" s="120"/>
      <c r="AH116" s="48">
        <f t="shared" si="69"/>
        <v>67.8</v>
      </c>
      <c r="AI116" s="49">
        <f t="shared" si="70"/>
        <v>62.6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69"/>
        <v>0</v>
      </c>
      <c r="AI117" s="49">
        <f t="shared" si="70"/>
        <v>0</v>
      </c>
    </row>
    <row r="118" spans="1:35" ht="15.75" thickBot="1" x14ac:dyDescent="0.3">
      <c r="A118" s="122" t="s">
        <v>141</v>
      </c>
      <c r="B118" s="123">
        <f t="shared" ref="B118:C118" si="147">SUM(B22,B28,B31:B32,B66,B68:B69,B71,B73,B119:B123,B155,B161,B167,B176,B178,B190,B197,B200:B201,B208,B210,B212,B216:B218,B220:B222,B227,B233:B234,B236:B238,B246,B251)</f>
        <v>121.74000000000001</v>
      </c>
      <c r="C118" s="123">
        <f t="shared" si="147"/>
        <v>77.740000000000009</v>
      </c>
      <c r="D118" s="123">
        <f t="shared" ref="D118" si="148">SUM(D22,D28,D31:D32,D66,D68:D69,D71,D73,D119:D123,D155,D161,D167,D176,D178,D190,D197,D200:D201,D208,D210,D212,D216:D218,D220:D222,D227,D233:D234,D236:D238,D246,D251)</f>
        <v>71.740000000000009</v>
      </c>
      <c r="E118" s="123">
        <f t="shared" ref="E118:O118" si="149">SUM(E22,E28,E31:E32,E66,E68:E69,E71,E73,E119:E123,E155,E161,E167,E176,E178,E190,E197,E200:E201,E208,E210,E212,E216:E218,E220:E222,E227,E233:E234,E236:E238,E246,E251)</f>
        <v>108.63999999999999</v>
      </c>
      <c r="F118" s="123">
        <f t="shared" si="149"/>
        <v>114.03999999999999</v>
      </c>
      <c r="G118" s="123">
        <f t="shared" si="149"/>
        <v>136.03999999999996</v>
      </c>
      <c r="H118" s="123">
        <f t="shared" si="149"/>
        <v>157.54</v>
      </c>
      <c r="I118" s="123">
        <f t="shared" si="149"/>
        <v>189.73999999999998</v>
      </c>
      <c r="J118" s="123">
        <f t="shared" si="149"/>
        <v>88.74</v>
      </c>
      <c r="K118" s="123">
        <f t="shared" si="149"/>
        <v>265.33999999999997</v>
      </c>
      <c r="L118" s="123">
        <f t="shared" si="149"/>
        <v>311.03999999999996</v>
      </c>
      <c r="M118" s="123">
        <f t="shared" si="149"/>
        <v>297.74</v>
      </c>
      <c r="N118" s="123">
        <f t="shared" si="149"/>
        <v>288.24</v>
      </c>
      <c r="O118" s="123">
        <f t="shared" si="149"/>
        <v>261.24</v>
      </c>
      <c r="P118" s="123">
        <v>42</v>
      </c>
      <c r="Q118" s="123">
        <f t="shared" ref="Q118:AF118" si="150">SUM(Q22,Q28,Q31:Q32,Q66,Q68:Q69,Q71,Q73,Q119:Q123,Q155,Q161,Q167,Q176,Q178,Q190,Q197,Q200:Q201,Q208,Q210,Q212,Q216:Q218,Q220:Q222,Q227,Q233:Q234,Q236:Q238,Q246,Q251)</f>
        <v>237.84</v>
      </c>
      <c r="R118" s="123">
        <f t="shared" si="150"/>
        <v>237.34</v>
      </c>
      <c r="S118" s="123">
        <f t="shared" ref="S118:T118" si="151">SUM(S22,S28,S31:S32,S66,S68:S69,S71,S73,S119:S123,S155,S161,S167,S176,S178,S190,S197,S200:S201,S208,S210,S212,S216:S218,S220:S222,S227,S233:S234,S236:S238,S246,S251)</f>
        <v>228.44</v>
      </c>
      <c r="T118" s="123">
        <f t="shared" si="151"/>
        <v>226.84</v>
      </c>
      <c r="U118" s="123">
        <f t="shared" ref="U118:V118" si="152">SUM(U22,U28,U31:U32,U66,U68:U69,U71,U73,U119:U123,U155,U161,U167,U176,U178,U190,U197,U200:U201,U208,U210,U212,U216:U218,U220:U222,U227,U233:U234,U236:U238,U246,U251)</f>
        <v>237.24</v>
      </c>
      <c r="V118" s="123">
        <f t="shared" si="152"/>
        <v>238.54</v>
      </c>
      <c r="W118" s="123">
        <f t="shared" ref="W118:X118" si="153">SUM(W22,W28,W31:W32,W66,W68:W69,W71,W73,W119:W123,W155,W161,W167,W176,W178,W190,W197,W200:W201,W208,W210,W212,W216:W218,W220:W222,W227,W233:W234,W236:W238,W246,W251)</f>
        <v>258.33999999999997</v>
      </c>
      <c r="X118" s="123">
        <f t="shared" si="153"/>
        <v>257.44</v>
      </c>
      <c r="Y118" s="123">
        <f t="shared" ref="Y118:Z118" si="154">SUM(Y22,Y28,Y31:Y32,Y66,Y68:Y69,Y71,Y73,Y119:Y123,Y155,Y161,Y167,Y176,Y178,Y190,Y197,Y200:Y201,Y208,Y210,Y212,Y216:Y218,Y220:Y222,Y227,Y233:Y234,Y236:Y238,Y246,Y251)</f>
        <v>290.44</v>
      </c>
      <c r="Z118" s="123">
        <f t="shared" si="154"/>
        <v>338.73999999999995</v>
      </c>
      <c r="AA118" s="123">
        <f t="shared" si="150"/>
        <v>286.14000000000004</v>
      </c>
      <c r="AB118" s="123">
        <f t="shared" si="150"/>
        <v>261.33999999999997</v>
      </c>
      <c r="AC118" s="123">
        <f t="shared" si="150"/>
        <v>243.54000000000002</v>
      </c>
      <c r="AD118" s="123">
        <f t="shared" si="150"/>
        <v>212.54000000000002</v>
      </c>
      <c r="AE118" s="123">
        <f t="shared" si="150"/>
        <v>153.83999999999997</v>
      </c>
      <c r="AF118" s="123">
        <f t="shared" si="150"/>
        <v>116.14</v>
      </c>
      <c r="AG118" s="124"/>
      <c r="AH118" s="48">
        <f t="shared" si="69"/>
        <v>338.73999999999995</v>
      </c>
      <c r="AI118" s="49">
        <f t="shared" si="70"/>
        <v>42</v>
      </c>
    </row>
    <row r="119" spans="1:35" x14ac:dyDescent="0.25">
      <c r="A119" s="125" t="s">
        <v>142</v>
      </c>
      <c r="B119" s="126">
        <v>20</v>
      </c>
      <c r="C119" s="126">
        <v>20</v>
      </c>
      <c r="D119" s="126">
        <v>19</v>
      </c>
      <c r="E119" s="126">
        <v>20.3</v>
      </c>
      <c r="F119" s="126">
        <v>19</v>
      </c>
      <c r="G119" s="126">
        <v>18.399999999999999</v>
      </c>
      <c r="H119" s="126">
        <v>14.6</v>
      </c>
      <c r="I119" s="126">
        <v>15.3</v>
      </c>
      <c r="J119" s="126"/>
      <c r="K119" s="126">
        <v>6</v>
      </c>
      <c r="L119" s="126">
        <v>4.2</v>
      </c>
      <c r="M119" s="126">
        <v>6</v>
      </c>
      <c r="N119" s="126">
        <v>9.1999999999999993</v>
      </c>
      <c r="O119" s="126">
        <v>7.9</v>
      </c>
      <c r="P119" s="126">
        <v>-0.7</v>
      </c>
      <c r="Q119" s="126">
        <v>-1.6</v>
      </c>
      <c r="R119" s="126">
        <v>-1.6</v>
      </c>
      <c r="S119" s="126">
        <v>-12.2</v>
      </c>
      <c r="T119" s="126">
        <v>-14.7</v>
      </c>
      <c r="U119" s="126">
        <v>-14.7</v>
      </c>
      <c r="V119" s="126">
        <v>-17.3</v>
      </c>
      <c r="W119" s="126">
        <v>-14.4</v>
      </c>
      <c r="X119" s="126">
        <v>5.5</v>
      </c>
      <c r="Y119" s="126">
        <v>23</v>
      </c>
      <c r="Z119" s="126">
        <v>33.6</v>
      </c>
      <c r="AA119" s="126">
        <v>39.200000000000003</v>
      </c>
      <c r="AB119" s="126">
        <v>38.5</v>
      </c>
      <c r="AC119" s="126">
        <v>37.9</v>
      </c>
      <c r="AD119" s="126">
        <v>29.1</v>
      </c>
      <c r="AE119" s="126">
        <v>42.3</v>
      </c>
      <c r="AF119" s="126">
        <v>29.4</v>
      </c>
      <c r="AG119" s="127">
        <v>75</v>
      </c>
      <c r="AH119" s="48">
        <f t="shared" si="69"/>
        <v>42.3</v>
      </c>
      <c r="AI119" s="49">
        <f t="shared" si="70"/>
        <v>-17.3</v>
      </c>
    </row>
    <row r="120" spans="1:35" x14ac:dyDescent="0.25">
      <c r="A120" s="128" t="s">
        <v>143</v>
      </c>
      <c r="B120" s="129">
        <v>32</v>
      </c>
      <c r="C120" s="129">
        <v>32</v>
      </c>
      <c r="D120" s="129">
        <v>31</v>
      </c>
      <c r="E120" s="129">
        <v>33</v>
      </c>
      <c r="F120" s="129">
        <v>31.8</v>
      </c>
      <c r="G120" s="129">
        <v>30.2</v>
      </c>
      <c r="H120" s="129">
        <v>23.2</v>
      </c>
      <c r="I120" s="129">
        <v>21.6</v>
      </c>
      <c r="J120" s="129"/>
      <c r="K120" s="129">
        <v>2.6</v>
      </c>
      <c r="L120" s="129">
        <v>-2.4</v>
      </c>
      <c r="M120" s="129">
        <v>0.7</v>
      </c>
      <c r="N120" s="129">
        <v>7</v>
      </c>
      <c r="O120" s="129">
        <v>4.3</v>
      </c>
      <c r="P120" s="129">
        <v>-7</v>
      </c>
      <c r="Q120" s="129">
        <v>-6.5</v>
      </c>
      <c r="R120" s="129">
        <v>-6.5</v>
      </c>
      <c r="S120" s="129">
        <v>-21.6</v>
      </c>
      <c r="T120" s="129">
        <v>-26.7</v>
      </c>
      <c r="U120" s="129">
        <v>-26.8</v>
      </c>
      <c r="V120" s="129">
        <v>-31</v>
      </c>
      <c r="W120" s="129">
        <v>-26.7</v>
      </c>
      <c r="X120" s="129">
        <v>9.6999999999999993</v>
      </c>
      <c r="Y120" s="129">
        <v>32.4</v>
      </c>
      <c r="Z120" s="129">
        <v>49.2</v>
      </c>
      <c r="AA120" s="129">
        <v>57.1</v>
      </c>
      <c r="AB120" s="129">
        <v>56</v>
      </c>
      <c r="AC120" s="129">
        <v>56.3</v>
      </c>
      <c r="AD120" s="129">
        <v>41.9</v>
      </c>
      <c r="AE120" s="129">
        <v>61.3</v>
      </c>
      <c r="AF120" s="129">
        <v>44</v>
      </c>
      <c r="AG120" s="127">
        <v>240</v>
      </c>
      <c r="AH120" s="48">
        <f t="shared" si="69"/>
        <v>61.3</v>
      </c>
      <c r="AI120" s="49">
        <f t="shared" si="70"/>
        <v>-31</v>
      </c>
    </row>
    <row r="121" spans="1:35" x14ac:dyDescent="0.25">
      <c r="A121" s="128" t="s">
        <v>144</v>
      </c>
      <c r="B121" s="129">
        <v>-40</v>
      </c>
      <c r="C121" s="129">
        <v>-80</v>
      </c>
      <c r="D121" s="129">
        <v>-83</v>
      </c>
      <c r="E121" s="129">
        <v>-50</v>
      </c>
      <c r="F121" s="129">
        <v>-44</v>
      </c>
      <c r="G121" s="129">
        <v>-30</v>
      </c>
      <c r="H121" s="129">
        <v>2</v>
      </c>
      <c r="I121" s="129">
        <v>3</v>
      </c>
      <c r="J121" s="129"/>
      <c r="K121" s="129">
        <v>24</v>
      </c>
      <c r="L121" s="129">
        <v>54</v>
      </c>
      <c r="M121" s="129">
        <f>21+18</f>
        <v>39</v>
      </c>
      <c r="N121" s="129">
        <f>28</f>
        <v>28</v>
      </c>
      <c r="O121" s="129">
        <v>19</v>
      </c>
      <c r="P121" s="129">
        <v>23</v>
      </c>
      <c r="Q121" s="129">
        <v>18</v>
      </c>
      <c r="R121" s="129">
        <v>18</v>
      </c>
      <c r="S121" s="129">
        <v>20</v>
      </c>
      <c r="T121" s="129">
        <v>26.5</v>
      </c>
      <c r="U121" s="129">
        <v>34</v>
      </c>
      <c r="V121" s="129">
        <v>40</v>
      </c>
      <c r="W121" s="129">
        <v>43.5</v>
      </c>
      <c r="X121" s="129">
        <v>30.1</v>
      </c>
      <c r="Y121" s="129">
        <v>9.4</v>
      </c>
      <c r="Z121" s="129">
        <v>14.1</v>
      </c>
      <c r="AA121" s="129">
        <v>-28</v>
      </c>
      <c r="AB121" s="129">
        <v>-41</v>
      </c>
      <c r="AC121" s="129">
        <v>-48</v>
      </c>
      <c r="AD121" s="129">
        <v>-49.2</v>
      </c>
      <c r="AE121" s="129">
        <v>-75</v>
      </c>
      <c r="AF121" s="129">
        <v>-78</v>
      </c>
      <c r="AG121" s="127">
        <v>240</v>
      </c>
      <c r="AH121" s="48">
        <f t="shared" si="69"/>
        <v>54</v>
      </c>
      <c r="AI121" s="49">
        <f t="shared" si="70"/>
        <v>-83</v>
      </c>
    </row>
    <row r="122" spans="1:35" ht="15.75" thickBot="1" x14ac:dyDescent="0.3">
      <c r="A122" s="128" t="s">
        <v>145</v>
      </c>
      <c r="B122" s="129">
        <v>26</v>
      </c>
      <c r="C122" s="129">
        <v>26</v>
      </c>
      <c r="D122" s="129">
        <v>26</v>
      </c>
      <c r="E122" s="129">
        <v>25.3</v>
      </c>
      <c r="F122" s="129">
        <v>26.1</v>
      </c>
      <c r="G122" s="129">
        <v>28.7</v>
      </c>
      <c r="H122" s="129">
        <v>22</v>
      </c>
      <c r="I122" s="129">
        <v>18.600000000000001</v>
      </c>
      <c r="J122" s="129"/>
      <c r="K122" s="129">
        <v>6.2</v>
      </c>
      <c r="L122" s="129">
        <v>14.2</v>
      </c>
      <c r="M122" s="129">
        <v>18</v>
      </c>
      <c r="N122" s="129">
        <v>5</v>
      </c>
      <c r="O122" s="129">
        <v>4</v>
      </c>
      <c r="P122" s="129">
        <v>2</v>
      </c>
      <c r="Q122" s="129">
        <v>5.0999999999999996</v>
      </c>
      <c r="R122" s="129">
        <v>5.0999999999999996</v>
      </c>
      <c r="S122" s="129">
        <v>0</v>
      </c>
      <c r="T122" s="129">
        <v>5.6</v>
      </c>
      <c r="U122" s="129">
        <v>11.9</v>
      </c>
      <c r="V122" s="129">
        <v>13.5</v>
      </c>
      <c r="W122" s="129">
        <v>18.399999999999999</v>
      </c>
      <c r="X122" s="129">
        <v>19.399999999999999</v>
      </c>
      <c r="Y122" s="129">
        <v>41.9</v>
      </c>
      <c r="Z122" s="129">
        <v>45.8</v>
      </c>
      <c r="AA122" s="129">
        <v>43.8</v>
      </c>
      <c r="AB122" s="129">
        <v>42.2</v>
      </c>
      <c r="AC122" s="129">
        <v>40.9</v>
      </c>
      <c r="AD122" s="129">
        <v>38.6</v>
      </c>
      <c r="AE122" s="129">
        <v>33.6</v>
      </c>
      <c r="AF122" s="129">
        <v>29.9</v>
      </c>
      <c r="AG122" s="127">
        <v>60</v>
      </c>
      <c r="AH122" s="48">
        <f t="shared" si="69"/>
        <v>45.8</v>
      </c>
      <c r="AI122" s="49">
        <f t="shared" si="70"/>
        <v>0</v>
      </c>
    </row>
    <row r="123" spans="1:35" x14ac:dyDescent="0.25">
      <c r="A123" s="125" t="s">
        <v>146</v>
      </c>
      <c r="B123" s="130">
        <v>-2</v>
      </c>
      <c r="C123" s="130">
        <v>-6</v>
      </c>
      <c r="D123" s="130">
        <v>-7</v>
      </c>
      <c r="E123" s="130">
        <v>-7.7</v>
      </c>
      <c r="F123" s="130">
        <v>-6.6</v>
      </c>
      <c r="G123" s="130">
        <v>1</v>
      </c>
      <c r="H123" s="130">
        <v>8</v>
      </c>
      <c r="I123" s="130">
        <v>43.5</v>
      </c>
      <c r="J123" s="130"/>
      <c r="K123" s="130">
        <v>136.30000000000001</v>
      </c>
      <c r="L123" s="130">
        <v>148</v>
      </c>
      <c r="M123" s="130">
        <v>141</v>
      </c>
      <c r="N123" s="130">
        <v>146</v>
      </c>
      <c r="O123" s="130">
        <v>133</v>
      </c>
      <c r="P123" s="130">
        <v>141.5</v>
      </c>
      <c r="Q123" s="130">
        <v>117</v>
      </c>
      <c r="R123" s="130">
        <v>117</v>
      </c>
      <c r="S123" s="130">
        <v>141</v>
      </c>
      <c r="T123" s="130">
        <v>141.30000000000001</v>
      </c>
      <c r="U123" s="130">
        <v>142.19999999999999</v>
      </c>
      <c r="V123" s="130">
        <v>144.19999999999999</v>
      </c>
      <c r="W123" s="130">
        <v>149.5</v>
      </c>
      <c r="X123" s="130">
        <v>105.4</v>
      </c>
      <c r="Y123" s="130">
        <v>96.6</v>
      </c>
      <c r="Z123" s="130">
        <v>108.9</v>
      </c>
      <c r="AA123" s="130">
        <v>87.3</v>
      </c>
      <c r="AB123" s="130">
        <v>72.599999999999994</v>
      </c>
      <c r="AC123" s="130">
        <v>63.4</v>
      </c>
      <c r="AD123" s="130">
        <v>61.6</v>
      </c>
      <c r="AE123" s="130">
        <v>1.1000000000000001</v>
      </c>
      <c r="AF123" s="130">
        <v>-4.2</v>
      </c>
      <c r="AG123" s="131">
        <v>120</v>
      </c>
      <c r="AH123" s="48">
        <f t="shared" si="69"/>
        <v>149.5</v>
      </c>
      <c r="AI123" s="49">
        <f t="shared" si="70"/>
        <v>-7.7</v>
      </c>
    </row>
    <row r="124" spans="1:35" x14ac:dyDescent="0.25">
      <c r="A124" s="128" t="s">
        <v>147</v>
      </c>
      <c r="B124" s="130">
        <v>20</v>
      </c>
      <c r="C124" s="130">
        <v>18</v>
      </c>
      <c r="D124" s="130">
        <v>18</v>
      </c>
      <c r="E124" s="130">
        <v>17</v>
      </c>
      <c r="F124" s="130">
        <v>17.2</v>
      </c>
      <c r="G124" s="130">
        <v>21.1</v>
      </c>
      <c r="H124" s="130">
        <v>25</v>
      </c>
      <c r="I124" s="130">
        <v>43.4</v>
      </c>
      <c r="J124" s="130"/>
      <c r="K124" s="130">
        <v>89</v>
      </c>
      <c r="L124" s="130">
        <v>94</v>
      </c>
      <c r="M124" s="130">
        <v>91</v>
      </c>
      <c r="N124" s="130">
        <v>92.6</v>
      </c>
      <c r="O124" s="130">
        <v>87</v>
      </c>
      <c r="P124" s="130">
        <v>90.5</v>
      </c>
      <c r="Q124" s="130">
        <v>78</v>
      </c>
      <c r="R124" s="130">
        <v>78</v>
      </c>
      <c r="S124" s="130">
        <v>84.7</v>
      </c>
      <c r="T124" s="130">
        <v>85.1</v>
      </c>
      <c r="U124" s="130">
        <v>85.3</v>
      </c>
      <c r="V124" s="130">
        <v>85.2</v>
      </c>
      <c r="W124" s="130">
        <v>88</v>
      </c>
      <c r="X124" s="130">
        <v>67.3</v>
      </c>
      <c r="Y124" s="130">
        <v>64</v>
      </c>
      <c r="Z124" s="130">
        <v>68.5</v>
      </c>
      <c r="AA124" s="130">
        <v>69.2</v>
      </c>
      <c r="AB124" s="130">
        <v>56.1</v>
      </c>
      <c r="AC124" s="130">
        <v>51.7</v>
      </c>
      <c r="AD124" s="130">
        <v>50.6</v>
      </c>
      <c r="AE124" s="130">
        <v>19.600000000000001</v>
      </c>
      <c r="AF124" s="130">
        <v>18</v>
      </c>
      <c r="AG124" s="131"/>
      <c r="AH124" s="48">
        <f t="shared" si="69"/>
        <v>94</v>
      </c>
      <c r="AI124" s="49">
        <f t="shared" si="70"/>
        <v>17</v>
      </c>
    </row>
    <row r="125" spans="1:35" x14ac:dyDescent="0.25">
      <c r="A125" s="128" t="s">
        <v>148</v>
      </c>
      <c r="B125" s="130">
        <v>-32</v>
      </c>
      <c r="C125" s="130">
        <v>-29</v>
      </c>
      <c r="D125" s="130">
        <v>-26</v>
      </c>
      <c r="E125" s="130">
        <v>-25</v>
      </c>
      <c r="F125" s="130">
        <v>-25.3</v>
      </c>
      <c r="G125" s="130">
        <v>-31.6</v>
      </c>
      <c r="H125" s="130">
        <v>-40.299999999999997</v>
      </c>
      <c r="I125" s="130">
        <v>-24</v>
      </c>
      <c r="J125" s="130"/>
      <c r="K125" s="130">
        <v>19</v>
      </c>
      <c r="L125" s="130">
        <v>20.100000000000001</v>
      </c>
      <c r="M125" s="130">
        <v>10</v>
      </c>
      <c r="N125" s="130">
        <v>42</v>
      </c>
      <c r="O125" s="130">
        <v>50</v>
      </c>
      <c r="P125" s="130">
        <v>61.6</v>
      </c>
      <c r="Q125" s="130">
        <v>56</v>
      </c>
      <c r="R125" s="130">
        <v>56</v>
      </c>
      <c r="S125" s="130">
        <v>79.8</v>
      </c>
      <c r="T125" s="130">
        <v>55.5</v>
      </c>
      <c r="U125" s="130">
        <v>50.2</v>
      </c>
      <c r="V125" s="130">
        <v>46.2</v>
      </c>
      <c r="W125" s="130">
        <v>43</v>
      </c>
      <c r="X125" s="130">
        <v>-6.2</v>
      </c>
      <c r="Y125" s="130">
        <v>-23.5</v>
      </c>
      <c r="Z125" s="130">
        <v>-43.7</v>
      </c>
      <c r="AA125" s="130">
        <v>48.2</v>
      </c>
      <c r="AB125" s="130">
        <v>-46.2</v>
      </c>
      <c r="AC125" s="130">
        <v>-47.6</v>
      </c>
      <c r="AD125" s="130">
        <v>-29.1</v>
      </c>
      <c r="AE125" s="130">
        <v>-52.9</v>
      </c>
      <c r="AF125" s="130">
        <v>-34.6</v>
      </c>
      <c r="AG125" s="131"/>
      <c r="AH125" s="48">
        <f t="shared" si="69"/>
        <v>79.8</v>
      </c>
      <c r="AI125" s="49">
        <f t="shared" si="70"/>
        <v>-52.9</v>
      </c>
    </row>
    <row r="126" spans="1:35" ht="15.75" thickBot="1" x14ac:dyDescent="0.3">
      <c r="A126" s="128" t="s">
        <v>149</v>
      </c>
      <c r="B126" s="130">
        <v>24</v>
      </c>
      <c r="C126" s="130">
        <v>20</v>
      </c>
      <c r="D126" s="130">
        <v>14</v>
      </c>
      <c r="E126" s="130">
        <v>5.2</v>
      </c>
      <c r="F126" s="130">
        <v>10.9</v>
      </c>
      <c r="G126" s="130">
        <v>17</v>
      </c>
      <c r="H126" s="130">
        <v>27</v>
      </c>
      <c r="I126" s="130">
        <v>32.1</v>
      </c>
      <c r="J126" s="130"/>
      <c r="K126" s="130">
        <v>102</v>
      </c>
      <c r="L126" s="130">
        <v>105</v>
      </c>
      <c r="M126" s="130">
        <v>98</v>
      </c>
      <c r="N126" s="130">
        <v>110</v>
      </c>
      <c r="O126" s="130">
        <v>102</v>
      </c>
      <c r="P126" s="130">
        <v>105</v>
      </c>
      <c r="Q126" s="130">
        <v>90</v>
      </c>
      <c r="R126" s="130">
        <v>90</v>
      </c>
      <c r="S126" s="130">
        <v>102.4</v>
      </c>
      <c r="T126" s="130">
        <v>96.1</v>
      </c>
      <c r="U126" s="130">
        <v>99.7</v>
      </c>
      <c r="V126" s="130">
        <v>94.1</v>
      </c>
      <c r="W126" s="130">
        <v>102.7</v>
      </c>
      <c r="X126" s="130">
        <v>70.599999999999994</v>
      </c>
      <c r="Y126" s="130">
        <v>48.4</v>
      </c>
      <c r="Z126" s="130">
        <v>56.1</v>
      </c>
      <c r="AA126" s="130">
        <v>44.8</v>
      </c>
      <c r="AB126" s="130">
        <v>36.700000000000003</v>
      </c>
      <c r="AC126" s="130">
        <v>34.6</v>
      </c>
      <c r="AD126" s="130">
        <v>35.799999999999997</v>
      </c>
      <c r="AE126" s="130">
        <v>10.1</v>
      </c>
      <c r="AF126" s="130">
        <v>10.7</v>
      </c>
      <c r="AG126" s="127"/>
      <c r="AH126" s="48">
        <f>MAX(B126:AF126)</f>
        <v>110</v>
      </c>
      <c r="AI126" s="49">
        <f>MIN(B126:AF126)</f>
        <v>5.2</v>
      </c>
    </row>
    <row r="127" spans="1:35" x14ac:dyDescent="0.25">
      <c r="A127" s="125" t="s">
        <v>305</v>
      </c>
      <c r="B127" s="130">
        <v>-70</v>
      </c>
      <c r="C127" s="130">
        <v>-70</v>
      </c>
      <c r="D127" s="130">
        <v>-71</v>
      </c>
      <c r="E127" s="130">
        <v>-71.2</v>
      </c>
      <c r="F127" s="130">
        <v>-70.400000000000006</v>
      </c>
      <c r="G127" s="130">
        <v>-69</v>
      </c>
      <c r="H127" s="130">
        <v>-35</v>
      </c>
      <c r="I127" s="130">
        <v>-38.5</v>
      </c>
      <c r="J127" s="130"/>
      <c r="K127" s="130">
        <v>35</v>
      </c>
      <c r="L127" s="130">
        <v>43</v>
      </c>
      <c r="M127" s="130">
        <v>40</v>
      </c>
      <c r="N127" s="130">
        <v>43</v>
      </c>
      <c r="O127" s="130">
        <v>37</v>
      </c>
      <c r="P127" s="130">
        <v>42.3</v>
      </c>
      <c r="Q127" s="130">
        <v>27.5</v>
      </c>
      <c r="R127" s="130">
        <v>27.5</v>
      </c>
      <c r="S127" s="130">
        <v>40.299999999999997</v>
      </c>
      <c r="T127" s="130">
        <v>41.2</v>
      </c>
      <c r="U127" s="130">
        <v>39.700000000000003</v>
      </c>
      <c r="V127" s="130">
        <v>42.8</v>
      </c>
      <c r="W127" s="130">
        <v>44.7</v>
      </c>
      <c r="X127" s="130">
        <v>22.5</v>
      </c>
      <c r="Y127" s="130">
        <v>-166.7</v>
      </c>
      <c r="Z127" s="130">
        <v>-163.30000000000001</v>
      </c>
      <c r="AA127" s="130">
        <v>-172.5</v>
      </c>
      <c r="AB127" s="130">
        <v>-151.4</v>
      </c>
      <c r="AC127" s="130">
        <v>-146.19999999999999</v>
      </c>
      <c r="AD127" s="130">
        <v>-147.30000000000001</v>
      </c>
      <c r="AE127" s="130">
        <v>-65.400000000000006</v>
      </c>
      <c r="AF127" s="130">
        <v>-67.099999999999994</v>
      </c>
      <c r="AG127" s="127"/>
      <c r="AH127" s="48">
        <f>MAX(B127:AF127)</f>
        <v>44.7</v>
      </c>
      <c r="AI127" s="49">
        <f>MIN(B127:AF127)</f>
        <v>-172.5</v>
      </c>
    </row>
    <row r="128" spans="1:35" x14ac:dyDescent="0.25">
      <c r="A128" s="128" t="s">
        <v>151</v>
      </c>
      <c r="B128" s="118">
        <v>-34</v>
      </c>
      <c r="C128" s="118">
        <v>-33</v>
      </c>
      <c r="D128" s="118">
        <v>-28</v>
      </c>
      <c r="E128" s="118">
        <v>-23.5</v>
      </c>
      <c r="F128" s="118">
        <v>-13.1</v>
      </c>
      <c r="G128" s="118">
        <v>-16</v>
      </c>
      <c r="H128" s="118">
        <v>-20</v>
      </c>
      <c r="I128" s="118">
        <v>-15.6</v>
      </c>
      <c r="J128" s="118"/>
      <c r="K128" s="118">
        <v>-31</v>
      </c>
      <c r="L128" s="118">
        <v>-36</v>
      </c>
      <c r="M128" s="118">
        <v>-36</v>
      </c>
      <c r="N128" s="118">
        <v>-31</v>
      </c>
      <c r="O128" s="118">
        <v>-35</v>
      </c>
      <c r="P128" s="118">
        <v>-32.1</v>
      </c>
      <c r="Q128" s="118">
        <v>-32</v>
      </c>
      <c r="R128" s="118">
        <v>-32</v>
      </c>
      <c r="S128" s="118">
        <v>-34.700000000000003</v>
      </c>
      <c r="T128" s="118">
        <v>-35.799999999999997</v>
      </c>
      <c r="U128" s="118">
        <v>-38.799999999999997</v>
      </c>
      <c r="V128" s="118">
        <v>-41.6</v>
      </c>
      <c r="W128" s="118">
        <v>-47.9</v>
      </c>
      <c r="X128" s="118">
        <v>-52.1</v>
      </c>
      <c r="Y128" s="118">
        <v>-64.5</v>
      </c>
      <c r="Z128" s="118">
        <v>-64.2</v>
      </c>
      <c r="AA128" s="118">
        <v>-58.1</v>
      </c>
      <c r="AB128" s="118">
        <v>-54.6</v>
      </c>
      <c r="AC128" s="118">
        <v>-51.6</v>
      </c>
      <c r="AD128" s="118">
        <v>-46.2</v>
      </c>
      <c r="AE128" s="118">
        <v>-34.5</v>
      </c>
      <c r="AF128" s="118">
        <v>-28.2</v>
      </c>
      <c r="AG128" s="127"/>
      <c r="AH128" s="48">
        <f>MAX(B128:AF128)</f>
        <v>-13.1</v>
      </c>
      <c r="AI128" s="49">
        <f>MIN(B128:AF128)</f>
        <v>-64.5</v>
      </c>
    </row>
    <row r="129" spans="1:37" x14ac:dyDescent="0.25">
      <c r="A129" s="128" t="s">
        <v>306</v>
      </c>
      <c r="B129" s="118">
        <v>73</v>
      </c>
      <c r="C129" s="118">
        <v>70</v>
      </c>
      <c r="D129" s="118">
        <v>64</v>
      </c>
      <c r="E129" s="118">
        <v>60</v>
      </c>
      <c r="F129" s="118">
        <v>53.7</v>
      </c>
      <c r="G129" s="118">
        <v>53.4</v>
      </c>
      <c r="H129" s="118">
        <v>-0.7</v>
      </c>
      <c r="I129" s="118">
        <v>4.3</v>
      </c>
      <c r="J129" s="118"/>
      <c r="K129" s="118">
        <v>63</v>
      </c>
      <c r="L129" s="118">
        <v>72</v>
      </c>
      <c r="M129" s="118">
        <v>73</v>
      </c>
      <c r="N129" s="118">
        <v>71</v>
      </c>
      <c r="O129" s="118">
        <v>77</v>
      </c>
      <c r="P129" s="118">
        <v>75.599999999999994</v>
      </c>
      <c r="Q129" s="118">
        <v>68</v>
      </c>
      <c r="R129" s="118">
        <v>68</v>
      </c>
      <c r="S129" s="118">
        <v>81.5</v>
      </c>
      <c r="T129" s="118">
        <v>77.8</v>
      </c>
      <c r="U129" s="118">
        <v>81.099999999999994</v>
      </c>
      <c r="V129" s="118">
        <v>75.3</v>
      </c>
      <c r="W129" s="118">
        <v>76.099999999999994</v>
      </c>
      <c r="X129" s="118">
        <v>72.400000000000006</v>
      </c>
      <c r="Y129" s="118">
        <v>96.6</v>
      </c>
      <c r="Z129" s="118">
        <v>106.4</v>
      </c>
      <c r="AA129" s="118">
        <v>104.7</v>
      </c>
      <c r="AB129" s="118">
        <v>99.9</v>
      </c>
      <c r="AC129" s="118">
        <v>101.4</v>
      </c>
      <c r="AD129" s="118">
        <v>97</v>
      </c>
      <c r="AE129" s="118">
        <v>83.1</v>
      </c>
      <c r="AF129" s="118">
        <v>79</v>
      </c>
      <c r="AG129" s="127"/>
      <c r="AH129" s="48">
        <f>MAX(B129:AF129)</f>
        <v>106.4</v>
      </c>
      <c r="AI129" s="49">
        <f>MIN(B129:AF129)</f>
        <v>-0.7</v>
      </c>
    </row>
    <row r="130" spans="1:37" ht="15.75" thickBot="1" x14ac:dyDescent="0.3">
      <c r="A130" s="128" t="s">
        <v>153</v>
      </c>
      <c r="B130" s="118">
        <v>86</v>
      </c>
      <c r="C130" s="118">
        <v>81</v>
      </c>
      <c r="D130" s="118">
        <v>76</v>
      </c>
      <c r="E130" s="118">
        <v>73.7</v>
      </c>
      <c r="F130" s="118">
        <v>65.7</v>
      </c>
      <c r="G130" s="118">
        <v>67</v>
      </c>
      <c r="H130" s="118">
        <v>10.3</v>
      </c>
      <c r="I130" s="118">
        <v>8.5</v>
      </c>
      <c r="J130" s="118"/>
      <c r="K130" s="118">
        <v>64</v>
      </c>
      <c r="L130" s="118">
        <v>74</v>
      </c>
      <c r="M130" s="118">
        <v>73</v>
      </c>
      <c r="N130" s="118">
        <v>68</v>
      </c>
      <c r="O130" s="118">
        <v>77</v>
      </c>
      <c r="P130" s="118">
        <v>75.599999999999994</v>
      </c>
      <c r="Q130" s="118">
        <v>77</v>
      </c>
      <c r="R130" s="118">
        <v>77</v>
      </c>
      <c r="S130" s="118">
        <v>83.1</v>
      </c>
      <c r="T130" s="118">
        <v>80.2</v>
      </c>
      <c r="U130" s="118">
        <v>81.400000000000006</v>
      </c>
      <c r="V130" s="118">
        <v>79.2</v>
      </c>
      <c r="W130" s="118">
        <v>79.5</v>
      </c>
      <c r="X130" s="118">
        <v>79.900000000000006</v>
      </c>
      <c r="Y130" s="118">
        <v>108.3</v>
      </c>
      <c r="Z130" s="118">
        <v>116.1</v>
      </c>
      <c r="AA130" s="118">
        <v>114.1</v>
      </c>
      <c r="AB130" s="118">
        <v>110.9</v>
      </c>
      <c r="AC130" s="118">
        <v>113</v>
      </c>
      <c r="AD130" s="118">
        <v>108.7</v>
      </c>
      <c r="AE130" s="118">
        <v>95</v>
      </c>
      <c r="AF130" s="118">
        <v>91.1</v>
      </c>
      <c r="AG130" s="127"/>
      <c r="AH130" s="48">
        <f>MAX(B130:AF130)</f>
        <v>116.1</v>
      </c>
      <c r="AI130" s="49">
        <f>MIN(B130:AF130)</f>
        <v>8.5</v>
      </c>
    </row>
    <row r="131" spans="1:37" x14ac:dyDescent="0.25">
      <c r="A131" s="132" t="s">
        <v>154</v>
      </c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4"/>
      <c r="AG131" s="44"/>
      <c r="AH131" s="48"/>
      <c r="AI131" s="49"/>
    </row>
    <row r="132" spans="1:37" x14ac:dyDescent="0.25">
      <c r="A132" s="135" t="s">
        <v>155</v>
      </c>
      <c r="B132" s="136">
        <v>1982.5</v>
      </c>
      <c r="C132" s="136">
        <v>1982.58</v>
      </c>
      <c r="D132" s="136">
        <v>1982.59</v>
      </c>
      <c r="E132" s="136">
        <v>1982.62</v>
      </c>
      <c r="F132" s="136">
        <v>1982.62</v>
      </c>
      <c r="G132" s="136">
        <v>1982.62</v>
      </c>
      <c r="H132" s="136"/>
      <c r="I132" s="136">
        <v>1982.7</v>
      </c>
      <c r="J132" s="136"/>
      <c r="K132" s="136">
        <v>1982.85</v>
      </c>
      <c r="L132" s="136"/>
      <c r="M132" s="136">
        <v>1983.15</v>
      </c>
      <c r="N132" s="136">
        <v>1983.4</v>
      </c>
      <c r="O132" s="136">
        <v>1983.65</v>
      </c>
      <c r="P132" s="136">
        <v>1983.89</v>
      </c>
      <c r="Q132" s="136">
        <v>1984.09</v>
      </c>
      <c r="R132" s="136">
        <v>1984.3</v>
      </c>
      <c r="S132" s="136">
        <v>1984.49</v>
      </c>
      <c r="T132" s="136">
        <v>1984.68</v>
      </c>
      <c r="U132" s="136">
        <v>1984.86</v>
      </c>
      <c r="V132" s="136">
        <v>1985.1</v>
      </c>
      <c r="W132" s="136"/>
      <c r="X132" s="136">
        <v>1985.23</v>
      </c>
      <c r="Y132" s="136"/>
      <c r="Z132" s="136">
        <v>1984.7</v>
      </c>
      <c r="AA132" s="136"/>
      <c r="AB132" s="136">
        <v>1983.8</v>
      </c>
      <c r="AC132" s="136"/>
      <c r="AD132" s="136">
        <v>1982.88</v>
      </c>
      <c r="AE132" s="136">
        <v>1982.5</v>
      </c>
      <c r="AF132" s="137">
        <v>1982.55</v>
      </c>
      <c r="AG132" s="138"/>
      <c r="AH132" s="48"/>
      <c r="AI132" s="49"/>
    </row>
    <row r="133" spans="1:37" x14ac:dyDescent="0.25">
      <c r="A133" s="135" t="s">
        <v>156</v>
      </c>
      <c r="B133" s="139">
        <v>518.67999999999995</v>
      </c>
      <c r="C133" s="139">
        <v>518.65</v>
      </c>
      <c r="D133" s="139">
        <v>518.6</v>
      </c>
      <c r="E133" s="139">
        <v>518.64</v>
      </c>
      <c r="F133" s="139">
        <v>518.76</v>
      </c>
      <c r="G133" s="139">
        <v>518.86</v>
      </c>
      <c r="H133" s="139"/>
      <c r="I133" s="139">
        <v>519.05999999999995</v>
      </c>
      <c r="J133" s="139"/>
      <c r="K133" s="139">
        <v>519.29999999999995</v>
      </c>
      <c r="L133" s="139"/>
      <c r="M133" s="139">
        <v>519.52</v>
      </c>
      <c r="N133" s="139">
        <v>519.74</v>
      </c>
      <c r="O133" s="139">
        <v>519.96</v>
      </c>
      <c r="P133" s="139">
        <v>520.14</v>
      </c>
      <c r="Q133" s="139">
        <v>520.30999999999995</v>
      </c>
      <c r="R133" s="139">
        <v>520.4</v>
      </c>
      <c r="S133" s="139">
        <v>520.64</v>
      </c>
      <c r="T133" s="139">
        <v>521.04</v>
      </c>
      <c r="U133" s="139">
        <v>521.4</v>
      </c>
      <c r="V133" s="139">
        <v>521.72</v>
      </c>
      <c r="W133" s="139"/>
      <c r="X133" s="139">
        <v>521.84</v>
      </c>
      <c r="Y133" s="139"/>
      <c r="Z133" s="139">
        <v>521.62</v>
      </c>
      <c r="AA133" s="139"/>
      <c r="AB133" s="139">
        <v>520.91999999999996</v>
      </c>
      <c r="AC133" s="139"/>
      <c r="AD133" s="139">
        <v>520.51</v>
      </c>
      <c r="AE133" s="139">
        <v>520.1</v>
      </c>
      <c r="AF133" s="140">
        <v>519.5</v>
      </c>
      <c r="AG133" s="138"/>
      <c r="AH133" s="48"/>
      <c r="AI133" s="49"/>
    </row>
    <row r="134" spans="1:37" x14ac:dyDescent="0.25">
      <c r="A134" s="135" t="s">
        <v>158</v>
      </c>
      <c r="B134" s="139">
        <v>621.70000000000005</v>
      </c>
      <c r="C134" s="139">
        <v>621.87</v>
      </c>
      <c r="D134" s="139">
        <v>621.89</v>
      </c>
      <c r="E134" s="139">
        <v>621.99</v>
      </c>
      <c r="F134" s="139">
        <v>622</v>
      </c>
      <c r="G134" s="139">
        <v>622.12</v>
      </c>
      <c r="H134" s="139"/>
      <c r="I134" s="139">
        <v>622.24</v>
      </c>
      <c r="J134" s="139"/>
      <c r="K134" s="139">
        <v>622.39</v>
      </c>
      <c r="L134" s="139"/>
      <c r="M134" s="139">
        <v>622.5</v>
      </c>
      <c r="N134" s="139">
        <v>622.65</v>
      </c>
      <c r="O134" s="139">
        <v>622.74</v>
      </c>
      <c r="P134" s="139">
        <v>622.69000000000005</v>
      </c>
      <c r="Q134" s="139">
        <v>622.69000000000005</v>
      </c>
      <c r="R134" s="139">
        <v>622.69000000000005</v>
      </c>
      <c r="S134" s="139">
        <v>622.79999999999995</v>
      </c>
      <c r="T134" s="139">
        <v>623.21</v>
      </c>
      <c r="U134" s="139">
        <v>623.54999999999995</v>
      </c>
      <c r="V134" s="139">
        <v>624.04</v>
      </c>
      <c r="W134" s="139"/>
      <c r="X134" s="139">
        <v>624.4</v>
      </c>
      <c r="Y134" s="139"/>
      <c r="Z134" s="139">
        <v>624.29</v>
      </c>
      <c r="AA134" s="139"/>
      <c r="AB134" s="139">
        <v>623.64</v>
      </c>
      <c r="AC134" s="139"/>
      <c r="AD134" s="139">
        <v>623.20000000000005</v>
      </c>
      <c r="AE134" s="139">
        <v>622.74</v>
      </c>
      <c r="AF134" s="140">
        <v>621.87</v>
      </c>
      <c r="AG134" s="138"/>
      <c r="AH134" s="48"/>
      <c r="AI134" s="49"/>
    </row>
    <row r="135" spans="1:37" x14ac:dyDescent="0.25">
      <c r="A135" s="135" t="s">
        <v>159</v>
      </c>
      <c r="B135" s="139">
        <v>334.9</v>
      </c>
      <c r="C135" s="139">
        <v>335.1</v>
      </c>
      <c r="D135" s="139">
        <v>335.24</v>
      </c>
      <c r="E135" s="139">
        <v>335.39</v>
      </c>
      <c r="F135" s="139">
        <v>335.46</v>
      </c>
      <c r="G135" s="139">
        <v>335.39</v>
      </c>
      <c r="H135" s="139"/>
      <c r="I135" s="139">
        <v>335.34</v>
      </c>
      <c r="J135" s="139"/>
      <c r="K135" s="139">
        <v>335.29</v>
      </c>
      <c r="L135" s="139"/>
      <c r="M135" s="139">
        <v>335.28</v>
      </c>
      <c r="N135" s="139">
        <v>335.38</v>
      </c>
      <c r="O135" s="139">
        <v>335.38</v>
      </c>
      <c r="P135" s="139">
        <v>335.5</v>
      </c>
      <c r="Q135" s="139">
        <v>335.6</v>
      </c>
      <c r="R135" s="139">
        <v>335.58</v>
      </c>
      <c r="S135" s="139">
        <v>335.8</v>
      </c>
      <c r="T135" s="139">
        <v>336.05</v>
      </c>
      <c r="U135" s="139">
        <v>336.33</v>
      </c>
      <c r="V135" s="139">
        <v>336.64</v>
      </c>
      <c r="W135" s="139"/>
      <c r="X135" s="139">
        <v>336.87</v>
      </c>
      <c r="Y135" s="139"/>
      <c r="Z135" s="139">
        <v>336.77</v>
      </c>
      <c r="AA135" s="139"/>
      <c r="AB135" s="139">
        <v>336.34</v>
      </c>
      <c r="AC135" s="139"/>
      <c r="AD135" s="139">
        <v>335.94</v>
      </c>
      <c r="AE135" s="139">
        <v>335.58</v>
      </c>
      <c r="AF135" s="140">
        <v>335.02</v>
      </c>
      <c r="AG135" s="138"/>
      <c r="AH135" s="48"/>
      <c r="AI135" s="49"/>
    </row>
    <row r="136" spans="1:37" x14ac:dyDescent="0.25">
      <c r="A136" s="135" t="s">
        <v>160</v>
      </c>
      <c r="B136" s="139">
        <v>882.6</v>
      </c>
      <c r="C136" s="139">
        <v>883.5</v>
      </c>
      <c r="D136" s="139">
        <v>884.3</v>
      </c>
      <c r="E136" s="139">
        <v>885</v>
      </c>
      <c r="F136" s="139">
        <v>885.6</v>
      </c>
      <c r="G136" s="139">
        <v>886.1</v>
      </c>
      <c r="H136" s="139"/>
      <c r="I136" s="139">
        <v>886.6</v>
      </c>
      <c r="J136" s="139"/>
      <c r="K136" s="139">
        <v>887</v>
      </c>
      <c r="L136" s="139"/>
      <c r="M136" s="139">
        <v>887.5</v>
      </c>
      <c r="N136" s="139">
        <v>887.4</v>
      </c>
      <c r="O136" s="139">
        <v>886.5</v>
      </c>
      <c r="P136" s="139">
        <v>885.5</v>
      </c>
      <c r="Q136" s="139"/>
      <c r="R136" s="139"/>
      <c r="S136" s="139">
        <v>884.4</v>
      </c>
      <c r="T136" s="139">
        <v>884</v>
      </c>
      <c r="U136" s="139">
        <v>883.7</v>
      </c>
      <c r="V136" s="139">
        <v>884.1</v>
      </c>
      <c r="W136" s="139"/>
      <c r="X136" s="139">
        <v>884.9</v>
      </c>
      <c r="Y136" s="139"/>
      <c r="Z136" s="139">
        <v>884.3</v>
      </c>
      <c r="AA136" s="139"/>
      <c r="AB136" s="139">
        <v>883.5</v>
      </c>
      <c r="AC136" s="139"/>
      <c r="AD136" s="139">
        <v>883.2</v>
      </c>
      <c r="AE136" s="139">
        <v>883.2</v>
      </c>
      <c r="AF136" s="140">
        <v>883.9</v>
      </c>
      <c r="AG136" s="138"/>
      <c r="AH136" s="48"/>
      <c r="AI136" s="49"/>
    </row>
    <row r="137" spans="1:37" ht="15.75" thickBot="1" x14ac:dyDescent="0.3">
      <c r="A137" s="135" t="s">
        <v>161</v>
      </c>
      <c r="B137" s="141">
        <v>1518.38</v>
      </c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>
        <v>1518.13</v>
      </c>
      <c r="AC137" s="141"/>
      <c r="AD137" s="141"/>
      <c r="AE137" s="141"/>
      <c r="AF137" s="142"/>
      <c r="AG137" s="138"/>
      <c r="AH137" s="48"/>
      <c r="AI137" s="49"/>
    </row>
    <row r="138" spans="1:37" ht="15.75" thickBot="1" x14ac:dyDescent="0.3">
      <c r="A138" s="143" t="s">
        <v>162</v>
      </c>
      <c r="B138" s="144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155">SUM(B139:B243)</f>
        <v>0</v>
      </c>
      <c r="C244" s="160">
        <f t="shared" si="155"/>
        <v>0</v>
      </c>
      <c r="D244" s="160">
        <f t="shared" si="155"/>
        <v>0</v>
      </c>
      <c r="E244" s="160">
        <f t="shared" si="155"/>
        <v>0</v>
      </c>
      <c r="F244" s="160">
        <f t="shared" si="155"/>
        <v>0</v>
      </c>
      <c r="G244" s="160">
        <f t="shared" si="155"/>
        <v>0</v>
      </c>
      <c r="H244" s="160">
        <f t="shared" si="155"/>
        <v>0</v>
      </c>
      <c r="I244" s="160">
        <f t="shared" si="155"/>
        <v>0</v>
      </c>
      <c r="J244" s="160">
        <f t="shared" si="155"/>
        <v>0</v>
      </c>
      <c r="K244" s="160">
        <f t="shared" si="155"/>
        <v>0</v>
      </c>
      <c r="L244" s="160">
        <f t="shared" si="155"/>
        <v>0</v>
      </c>
      <c r="M244" s="160">
        <f t="shared" si="155"/>
        <v>0</v>
      </c>
      <c r="N244" s="160">
        <f t="shared" si="155"/>
        <v>0</v>
      </c>
      <c r="O244" s="160">
        <f t="shared" si="155"/>
        <v>0</v>
      </c>
      <c r="P244" s="160">
        <f t="shared" si="155"/>
        <v>0</v>
      </c>
      <c r="Q244" s="160">
        <f t="shared" si="155"/>
        <v>0</v>
      </c>
      <c r="R244" s="160">
        <f t="shared" si="155"/>
        <v>0</v>
      </c>
      <c r="S244" s="160">
        <f t="shared" si="155"/>
        <v>0</v>
      </c>
      <c r="T244" s="160">
        <f t="shared" si="155"/>
        <v>0</v>
      </c>
      <c r="U244" s="160">
        <f t="shared" si="155"/>
        <v>0</v>
      </c>
      <c r="V244" s="160">
        <f t="shared" si="155"/>
        <v>0</v>
      </c>
      <c r="W244" s="160">
        <f t="shared" si="155"/>
        <v>0</v>
      </c>
      <c r="X244" s="160">
        <f t="shared" si="155"/>
        <v>0</v>
      </c>
      <c r="Y244" s="160">
        <f t="shared" si="155"/>
        <v>0</v>
      </c>
      <c r="Z244" s="160">
        <f t="shared" si="155"/>
        <v>0</v>
      </c>
      <c r="AA244" s="160">
        <f t="shared" si="155"/>
        <v>0</v>
      </c>
      <c r="AB244" s="160">
        <f t="shared" si="155"/>
        <v>0</v>
      </c>
      <c r="AC244" s="160">
        <f t="shared" si="155"/>
        <v>0</v>
      </c>
      <c r="AD244" s="160">
        <f t="shared" si="155"/>
        <v>0</v>
      </c>
      <c r="AE244" s="160">
        <f t="shared" si="155"/>
        <v>0</v>
      </c>
      <c r="AF244" s="161">
        <f t="shared" si="155"/>
        <v>0</v>
      </c>
      <c r="AG244" s="162">
        <f t="shared" si="155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156">AF246</f>
        <v>0.3</v>
      </c>
      <c r="C246" s="165">
        <v>0.3</v>
      </c>
      <c r="D246" s="165">
        <f t="shared" ref="D246:S251" si="157">C246</f>
        <v>0.3</v>
      </c>
      <c r="E246" s="165">
        <f t="shared" si="157"/>
        <v>0.3</v>
      </c>
      <c r="F246" s="165">
        <f t="shared" si="157"/>
        <v>0.3</v>
      </c>
      <c r="G246" s="165">
        <f t="shared" si="157"/>
        <v>0.3</v>
      </c>
      <c r="H246" s="165">
        <f t="shared" si="157"/>
        <v>0.3</v>
      </c>
      <c r="I246" s="165">
        <f t="shared" si="157"/>
        <v>0.3</v>
      </c>
      <c r="J246" s="165">
        <f t="shared" si="157"/>
        <v>0.3</v>
      </c>
      <c r="K246" s="165">
        <f t="shared" si="157"/>
        <v>0.3</v>
      </c>
      <c r="L246" s="165">
        <f t="shared" si="157"/>
        <v>0.3</v>
      </c>
      <c r="M246" s="165">
        <f t="shared" si="157"/>
        <v>0.3</v>
      </c>
      <c r="N246" s="165">
        <f t="shared" si="157"/>
        <v>0.3</v>
      </c>
      <c r="O246" s="165">
        <f t="shared" si="157"/>
        <v>0.3</v>
      </c>
      <c r="P246" s="165">
        <f t="shared" si="157"/>
        <v>0.3</v>
      </c>
      <c r="Q246" s="165">
        <f t="shared" si="157"/>
        <v>0.3</v>
      </c>
      <c r="R246" s="165">
        <f t="shared" si="157"/>
        <v>0.3</v>
      </c>
      <c r="S246" s="165">
        <f t="shared" si="157"/>
        <v>0.3</v>
      </c>
      <c r="T246" s="165">
        <f t="shared" ref="T246:AF251" si="158">S246</f>
        <v>0.3</v>
      </c>
      <c r="U246" s="165">
        <f t="shared" si="158"/>
        <v>0.3</v>
      </c>
      <c r="V246" s="165">
        <f t="shared" si="158"/>
        <v>0.3</v>
      </c>
      <c r="W246" s="165">
        <f t="shared" si="158"/>
        <v>0.3</v>
      </c>
      <c r="X246" s="165">
        <f t="shared" si="158"/>
        <v>0.3</v>
      </c>
      <c r="Y246" s="165">
        <f t="shared" si="158"/>
        <v>0.3</v>
      </c>
      <c r="Z246" s="165">
        <f t="shared" si="158"/>
        <v>0.3</v>
      </c>
      <c r="AA246" s="165">
        <f t="shared" si="158"/>
        <v>0.3</v>
      </c>
      <c r="AB246" s="165">
        <f t="shared" si="158"/>
        <v>0.3</v>
      </c>
      <c r="AC246" s="165">
        <f t="shared" si="158"/>
        <v>0.3</v>
      </c>
      <c r="AD246" s="165">
        <f t="shared" si="158"/>
        <v>0.3</v>
      </c>
      <c r="AE246" s="165">
        <f t="shared" si="158"/>
        <v>0.3</v>
      </c>
      <c r="AF246" s="165">
        <f t="shared" si="158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156"/>
        <v>0.4</v>
      </c>
      <c r="C247" s="151">
        <v>0.4</v>
      </c>
      <c r="D247" s="151">
        <f t="shared" si="157"/>
        <v>0.4</v>
      </c>
      <c r="E247" s="151">
        <f t="shared" si="157"/>
        <v>0.4</v>
      </c>
      <c r="F247" s="151">
        <f t="shared" si="157"/>
        <v>0.4</v>
      </c>
      <c r="G247" s="151">
        <f t="shared" si="157"/>
        <v>0.4</v>
      </c>
      <c r="H247" s="151">
        <f t="shared" si="157"/>
        <v>0.4</v>
      </c>
      <c r="I247" s="151">
        <f t="shared" si="157"/>
        <v>0.4</v>
      </c>
      <c r="J247" s="151">
        <f t="shared" si="157"/>
        <v>0.4</v>
      </c>
      <c r="K247" s="151">
        <f t="shared" si="157"/>
        <v>0.4</v>
      </c>
      <c r="L247" s="151">
        <f t="shared" si="157"/>
        <v>0.4</v>
      </c>
      <c r="M247" s="151">
        <f t="shared" si="157"/>
        <v>0.4</v>
      </c>
      <c r="N247" s="151">
        <f t="shared" si="157"/>
        <v>0.4</v>
      </c>
      <c r="O247" s="151">
        <f t="shared" si="157"/>
        <v>0.4</v>
      </c>
      <c r="P247" s="151">
        <f t="shared" si="157"/>
        <v>0.4</v>
      </c>
      <c r="Q247" s="151">
        <f t="shared" si="157"/>
        <v>0.4</v>
      </c>
      <c r="R247" s="151">
        <f t="shared" si="157"/>
        <v>0.4</v>
      </c>
      <c r="S247" s="151">
        <f t="shared" si="157"/>
        <v>0.4</v>
      </c>
      <c r="T247" s="151">
        <f t="shared" si="158"/>
        <v>0.4</v>
      </c>
      <c r="U247" s="151">
        <f t="shared" si="158"/>
        <v>0.4</v>
      </c>
      <c r="V247" s="151">
        <f t="shared" si="158"/>
        <v>0.4</v>
      </c>
      <c r="W247" s="151">
        <f t="shared" si="158"/>
        <v>0.4</v>
      </c>
      <c r="X247" s="151">
        <f t="shared" si="158"/>
        <v>0.4</v>
      </c>
      <c r="Y247" s="151">
        <f t="shared" si="158"/>
        <v>0.4</v>
      </c>
      <c r="Z247" s="151">
        <f t="shared" si="158"/>
        <v>0.4</v>
      </c>
      <c r="AA247" s="151">
        <f t="shared" si="158"/>
        <v>0.4</v>
      </c>
      <c r="AB247" s="151">
        <f t="shared" si="158"/>
        <v>0.4</v>
      </c>
      <c r="AC247" s="151">
        <f t="shared" si="158"/>
        <v>0.4</v>
      </c>
      <c r="AD247" s="151">
        <f t="shared" si="158"/>
        <v>0.4</v>
      </c>
      <c r="AE247" s="151">
        <f t="shared" si="158"/>
        <v>0.4</v>
      </c>
      <c r="AF247" s="151">
        <f t="shared" si="158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156"/>
        <v>1.5</v>
      </c>
      <c r="C248" s="151">
        <v>1.5</v>
      </c>
      <c r="D248" s="151">
        <f t="shared" si="157"/>
        <v>1.5</v>
      </c>
      <c r="E248" s="151">
        <f t="shared" si="157"/>
        <v>1.5</v>
      </c>
      <c r="F248" s="151">
        <f t="shared" si="157"/>
        <v>1.5</v>
      </c>
      <c r="G248" s="151">
        <f t="shared" si="157"/>
        <v>1.5</v>
      </c>
      <c r="H248" s="151">
        <f t="shared" si="157"/>
        <v>1.5</v>
      </c>
      <c r="I248" s="151">
        <f t="shared" si="157"/>
        <v>1.5</v>
      </c>
      <c r="J248" s="151">
        <f t="shared" si="157"/>
        <v>1.5</v>
      </c>
      <c r="K248" s="151">
        <f t="shared" si="157"/>
        <v>1.5</v>
      </c>
      <c r="L248" s="151">
        <f t="shared" si="157"/>
        <v>1.5</v>
      </c>
      <c r="M248" s="151">
        <f t="shared" si="157"/>
        <v>1.5</v>
      </c>
      <c r="N248" s="151">
        <f t="shared" si="157"/>
        <v>1.5</v>
      </c>
      <c r="O248" s="151">
        <f t="shared" si="157"/>
        <v>1.5</v>
      </c>
      <c r="P248" s="151">
        <f t="shared" si="157"/>
        <v>1.5</v>
      </c>
      <c r="Q248" s="151">
        <f t="shared" si="157"/>
        <v>1.5</v>
      </c>
      <c r="R248" s="151">
        <f t="shared" si="157"/>
        <v>1.5</v>
      </c>
      <c r="S248" s="151">
        <f t="shared" si="157"/>
        <v>1.5</v>
      </c>
      <c r="T248" s="151">
        <f t="shared" si="158"/>
        <v>1.5</v>
      </c>
      <c r="U248" s="151">
        <f t="shared" si="158"/>
        <v>1.5</v>
      </c>
      <c r="V248" s="151">
        <f t="shared" si="158"/>
        <v>1.5</v>
      </c>
      <c r="W248" s="151">
        <f t="shared" si="158"/>
        <v>1.5</v>
      </c>
      <c r="X248" s="151">
        <f t="shared" si="158"/>
        <v>1.5</v>
      </c>
      <c r="Y248" s="151">
        <f t="shared" si="158"/>
        <v>1.5</v>
      </c>
      <c r="Z248" s="151">
        <f t="shared" si="158"/>
        <v>1.5</v>
      </c>
      <c r="AA248" s="151">
        <f t="shared" si="158"/>
        <v>1.5</v>
      </c>
      <c r="AB248" s="151">
        <f t="shared" si="158"/>
        <v>1.5</v>
      </c>
      <c r="AC248" s="151">
        <f t="shared" si="158"/>
        <v>1.5</v>
      </c>
      <c r="AD248" s="151">
        <f t="shared" si="158"/>
        <v>1.5</v>
      </c>
      <c r="AE248" s="151">
        <f t="shared" si="158"/>
        <v>1.5</v>
      </c>
      <c r="AF248" s="151">
        <f t="shared" si="158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156"/>
        <v>0.3</v>
      </c>
      <c r="C249" s="151">
        <v>0.3</v>
      </c>
      <c r="D249" s="151">
        <f t="shared" si="157"/>
        <v>0.3</v>
      </c>
      <c r="E249" s="151">
        <f t="shared" si="157"/>
        <v>0.3</v>
      </c>
      <c r="F249" s="151">
        <f t="shared" si="157"/>
        <v>0.3</v>
      </c>
      <c r="G249" s="151">
        <f t="shared" si="157"/>
        <v>0.3</v>
      </c>
      <c r="H249" s="151">
        <f t="shared" si="157"/>
        <v>0.3</v>
      </c>
      <c r="I249" s="151">
        <f t="shared" si="157"/>
        <v>0.3</v>
      </c>
      <c r="J249" s="151">
        <f t="shared" si="157"/>
        <v>0.3</v>
      </c>
      <c r="K249" s="151">
        <f t="shared" si="157"/>
        <v>0.3</v>
      </c>
      <c r="L249" s="151">
        <f t="shared" si="157"/>
        <v>0.3</v>
      </c>
      <c r="M249" s="151">
        <f t="shared" si="157"/>
        <v>0.3</v>
      </c>
      <c r="N249" s="151">
        <f t="shared" si="157"/>
        <v>0.3</v>
      </c>
      <c r="O249" s="151">
        <f t="shared" si="157"/>
        <v>0.3</v>
      </c>
      <c r="P249" s="151">
        <f t="shared" si="157"/>
        <v>0.3</v>
      </c>
      <c r="Q249" s="151">
        <f t="shared" si="157"/>
        <v>0.3</v>
      </c>
      <c r="R249" s="151">
        <f t="shared" si="157"/>
        <v>0.3</v>
      </c>
      <c r="S249" s="151">
        <f t="shared" si="157"/>
        <v>0.3</v>
      </c>
      <c r="T249" s="151">
        <f t="shared" si="158"/>
        <v>0.3</v>
      </c>
      <c r="U249" s="151">
        <f t="shared" si="158"/>
        <v>0.3</v>
      </c>
      <c r="V249" s="151">
        <f t="shared" si="158"/>
        <v>0.3</v>
      </c>
      <c r="W249" s="151">
        <f t="shared" si="158"/>
        <v>0.3</v>
      </c>
      <c r="X249" s="151">
        <f t="shared" si="158"/>
        <v>0.3</v>
      </c>
      <c r="Y249" s="151">
        <f t="shared" si="158"/>
        <v>0.3</v>
      </c>
      <c r="Z249" s="151">
        <f t="shared" si="158"/>
        <v>0.3</v>
      </c>
      <c r="AA249" s="151">
        <f t="shared" si="158"/>
        <v>0.3</v>
      </c>
      <c r="AB249" s="151">
        <f t="shared" si="158"/>
        <v>0.3</v>
      </c>
      <c r="AC249" s="151">
        <f t="shared" si="158"/>
        <v>0.3</v>
      </c>
      <c r="AD249" s="151">
        <f t="shared" si="158"/>
        <v>0.3</v>
      </c>
      <c r="AE249" s="151">
        <f t="shared" si="158"/>
        <v>0.3</v>
      </c>
      <c r="AF249" s="151">
        <f t="shared" si="158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156"/>
        <v>0.4</v>
      </c>
      <c r="C250" s="151">
        <v>0.4</v>
      </c>
      <c r="D250" s="151">
        <f t="shared" si="157"/>
        <v>0.4</v>
      </c>
      <c r="E250" s="151">
        <f t="shared" si="157"/>
        <v>0.4</v>
      </c>
      <c r="F250" s="151">
        <f t="shared" si="157"/>
        <v>0.4</v>
      </c>
      <c r="G250" s="151">
        <f t="shared" si="157"/>
        <v>0.4</v>
      </c>
      <c r="H250" s="151">
        <f t="shared" si="157"/>
        <v>0.4</v>
      </c>
      <c r="I250" s="151">
        <f t="shared" si="157"/>
        <v>0.4</v>
      </c>
      <c r="J250" s="151">
        <f t="shared" si="157"/>
        <v>0.4</v>
      </c>
      <c r="K250" s="151">
        <f t="shared" si="157"/>
        <v>0.4</v>
      </c>
      <c r="L250" s="151">
        <f t="shared" si="157"/>
        <v>0.4</v>
      </c>
      <c r="M250" s="151">
        <f t="shared" si="157"/>
        <v>0.4</v>
      </c>
      <c r="N250" s="151">
        <f t="shared" si="157"/>
        <v>0.4</v>
      </c>
      <c r="O250" s="151">
        <f t="shared" si="157"/>
        <v>0.4</v>
      </c>
      <c r="P250" s="151">
        <f t="shared" si="157"/>
        <v>0.4</v>
      </c>
      <c r="Q250" s="151">
        <f t="shared" si="157"/>
        <v>0.4</v>
      </c>
      <c r="R250" s="151">
        <f t="shared" si="157"/>
        <v>0.4</v>
      </c>
      <c r="S250" s="151">
        <f t="shared" si="157"/>
        <v>0.4</v>
      </c>
      <c r="T250" s="151">
        <f t="shared" si="158"/>
        <v>0.4</v>
      </c>
      <c r="U250" s="151">
        <f t="shared" si="158"/>
        <v>0.4</v>
      </c>
      <c r="V250" s="151">
        <f t="shared" si="158"/>
        <v>0.4</v>
      </c>
      <c r="W250" s="151">
        <f t="shared" si="158"/>
        <v>0.4</v>
      </c>
      <c r="X250" s="151">
        <f t="shared" si="158"/>
        <v>0.4</v>
      </c>
      <c r="Y250" s="151">
        <f t="shared" si="158"/>
        <v>0.4</v>
      </c>
      <c r="Z250" s="151">
        <f t="shared" si="158"/>
        <v>0.4</v>
      </c>
      <c r="AA250" s="151">
        <f t="shared" si="158"/>
        <v>0.4</v>
      </c>
      <c r="AB250" s="151">
        <f t="shared" si="158"/>
        <v>0.4</v>
      </c>
      <c r="AC250" s="151">
        <f t="shared" si="158"/>
        <v>0.4</v>
      </c>
      <c r="AD250" s="151">
        <f t="shared" si="158"/>
        <v>0.4</v>
      </c>
      <c r="AE250" s="151">
        <f t="shared" si="158"/>
        <v>0.4</v>
      </c>
      <c r="AF250" s="151">
        <f t="shared" si="158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156"/>
        <v>0.64</v>
      </c>
      <c r="C251" s="156">
        <v>0.64</v>
      </c>
      <c r="D251" s="156">
        <f t="shared" si="157"/>
        <v>0.64</v>
      </c>
      <c r="E251" s="156">
        <f t="shared" si="157"/>
        <v>0.64</v>
      </c>
      <c r="F251" s="156">
        <f t="shared" si="157"/>
        <v>0.64</v>
      </c>
      <c r="G251" s="156">
        <f t="shared" si="157"/>
        <v>0.64</v>
      </c>
      <c r="H251" s="156">
        <f t="shared" si="157"/>
        <v>0.64</v>
      </c>
      <c r="I251" s="156">
        <f t="shared" si="157"/>
        <v>0.64</v>
      </c>
      <c r="J251" s="156">
        <f t="shared" si="157"/>
        <v>0.64</v>
      </c>
      <c r="K251" s="156">
        <f t="shared" si="157"/>
        <v>0.64</v>
      </c>
      <c r="L251" s="156">
        <f t="shared" si="157"/>
        <v>0.64</v>
      </c>
      <c r="M251" s="156">
        <f t="shared" si="157"/>
        <v>0.64</v>
      </c>
      <c r="N251" s="156">
        <f t="shared" si="157"/>
        <v>0.64</v>
      </c>
      <c r="O251" s="156">
        <f t="shared" si="157"/>
        <v>0.64</v>
      </c>
      <c r="P251" s="156">
        <f t="shared" si="157"/>
        <v>0.64</v>
      </c>
      <c r="Q251" s="156">
        <f t="shared" si="157"/>
        <v>0.64</v>
      </c>
      <c r="R251" s="156">
        <f t="shared" si="157"/>
        <v>0.64</v>
      </c>
      <c r="S251" s="156">
        <f t="shared" si="157"/>
        <v>0.64</v>
      </c>
      <c r="T251" s="156">
        <f t="shared" si="158"/>
        <v>0.64</v>
      </c>
      <c r="U251" s="156">
        <f t="shared" si="158"/>
        <v>0.64</v>
      </c>
      <c r="V251" s="156">
        <f t="shared" si="158"/>
        <v>0.64</v>
      </c>
      <c r="W251" s="156">
        <f t="shared" si="158"/>
        <v>0.64</v>
      </c>
      <c r="X251" s="156">
        <f t="shared" si="158"/>
        <v>0.64</v>
      </c>
      <c r="Y251" s="156">
        <f t="shared" si="158"/>
        <v>0.64</v>
      </c>
      <c r="Z251" s="156">
        <f t="shared" si="158"/>
        <v>0.64</v>
      </c>
      <c r="AA251" s="156">
        <f t="shared" si="158"/>
        <v>0.64</v>
      </c>
      <c r="AB251" s="156">
        <f t="shared" si="158"/>
        <v>0.64</v>
      </c>
      <c r="AC251" s="156">
        <f t="shared" si="158"/>
        <v>0.64</v>
      </c>
      <c r="AD251" s="156">
        <f t="shared" si="158"/>
        <v>0.64</v>
      </c>
      <c r="AE251" s="156">
        <f t="shared" si="158"/>
        <v>0.64</v>
      </c>
      <c r="AF251" s="156">
        <f t="shared" si="158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159">SUM(B246:B251)</f>
        <v>3.54</v>
      </c>
      <c r="C252" s="160">
        <f t="shared" si="159"/>
        <v>3.54</v>
      </c>
      <c r="D252" s="160">
        <f t="shared" si="159"/>
        <v>3.54</v>
      </c>
      <c r="E252" s="160">
        <f t="shared" si="159"/>
        <v>3.54</v>
      </c>
      <c r="F252" s="160">
        <f t="shared" si="159"/>
        <v>3.54</v>
      </c>
      <c r="G252" s="160">
        <f t="shared" si="159"/>
        <v>3.54</v>
      </c>
      <c r="H252" s="160">
        <f t="shared" si="159"/>
        <v>3.54</v>
      </c>
      <c r="I252" s="160">
        <f t="shared" si="159"/>
        <v>3.54</v>
      </c>
      <c r="J252" s="160">
        <f t="shared" si="159"/>
        <v>3.54</v>
      </c>
      <c r="K252" s="160">
        <f t="shared" si="159"/>
        <v>3.54</v>
      </c>
      <c r="L252" s="160">
        <f t="shared" si="159"/>
        <v>3.54</v>
      </c>
      <c r="M252" s="160">
        <f t="shared" si="159"/>
        <v>3.54</v>
      </c>
      <c r="N252" s="160">
        <f t="shared" si="159"/>
        <v>3.54</v>
      </c>
      <c r="O252" s="160">
        <f t="shared" si="159"/>
        <v>3.54</v>
      </c>
      <c r="P252" s="160">
        <f t="shared" si="159"/>
        <v>3.54</v>
      </c>
      <c r="Q252" s="160">
        <f t="shared" si="159"/>
        <v>3.54</v>
      </c>
      <c r="R252" s="160">
        <f t="shared" si="159"/>
        <v>3.54</v>
      </c>
      <c r="S252" s="160">
        <f t="shared" si="159"/>
        <v>3.54</v>
      </c>
      <c r="T252" s="160">
        <f t="shared" si="159"/>
        <v>3.54</v>
      </c>
      <c r="U252" s="160">
        <f t="shared" si="159"/>
        <v>3.54</v>
      </c>
      <c r="V252" s="160">
        <f t="shared" si="159"/>
        <v>3.54</v>
      </c>
      <c r="W252" s="160">
        <f t="shared" si="159"/>
        <v>3.54</v>
      </c>
      <c r="X252" s="160">
        <f t="shared" si="159"/>
        <v>3.54</v>
      </c>
      <c r="Y252" s="160">
        <f t="shared" si="159"/>
        <v>3.54</v>
      </c>
      <c r="Z252" s="160">
        <f t="shared" si="159"/>
        <v>3.54</v>
      </c>
      <c r="AA252" s="160">
        <f t="shared" si="159"/>
        <v>3.54</v>
      </c>
      <c r="AB252" s="160">
        <f t="shared" si="159"/>
        <v>3.54</v>
      </c>
      <c r="AC252" s="160">
        <f t="shared" si="159"/>
        <v>3.54</v>
      </c>
      <c r="AD252" s="160">
        <f t="shared" si="159"/>
        <v>3.54</v>
      </c>
      <c r="AE252" s="160">
        <f t="shared" si="159"/>
        <v>3.54</v>
      </c>
      <c r="AF252" s="160">
        <f t="shared" si="159"/>
        <v>3.54</v>
      </c>
      <c r="AG252" s="170">
        <f t="shared" si="159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1559.8899999999999</v>
      </c>
      <c r="C256" s="173">
        <f>INDEX(G9:N9,1,MATCH(MAX(G99:N99),G99:N99,0))</f>
        <v>0.3125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2080/10/24)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923" priority="162">
      <formula>$AH11=0</formula>
    </cfRule>
  </conditionalFormatting>
  <conditionalFormatting sqref="A132:A253">
    <cfRule type="expression" dxfId="922" priority="163">
      <formula>$AH132=0</formula>
    </cfRule>
  </conditionalFormatting>
  <conditionalFormatting sqref="B8">
    <cfRule type="expression" dxfId="921" priority="221">
      <formula>AND(C$9&gt;=14/24,C$9&lt;20/24)</formula>
    </cfRule>
    <cfRule type="expression" dxfId="920" priority="223">
      <formula>C$9&lt;8/24</formula>
    </cfRule>
    <cfRule type="expression" dxfId="919" priority="222">
      <formula>AND(C$9&gt;=8/24,C$9&lt;14/24)</formula>
    </cfRule>
    <cfRule type="expression" dxfId="918" priority="224">
      <formula>C$9&gt;=20/24</formula>
    </cfRule>
  </conditionalFormatting>
  <conditionalFormatting sqref="B11:Y52 E59:O61 B59:D74 E63:O74 E69:AF74 B77:AF99 B9:AF10 B101:AF117 B119:AF137 B244:AF244 B246:B252">
    <cfRule type="expression" dxfId="917" priority="113">
      <formula>B$9&gt;=20/24</formula>
    </cfRule>
  </conditionalFormatting>
  <conditionalFormatting sqref="B11:Y80 Z56:AF61 Z62:AG62 Z63:AF80 AG80">
    <cfRule type="expression" dxfId="916" priority="112">
      <formula>B11&gt;$AG11</formula>
    </cfRule>
  </conditionalFormatting>
  <conditionalFormatting sqref="B9:AF10 B11:Y52 E59:O61 B59:D74 E63:O74 E69:AF74 B77:AF99 B101:AF117 B119:AF137 B244:AF244 B246:B252">
    <cfRule type="expression" dxfId="915" priority="115">
      <formula>AND(B$9&gt;=8/24,B$9&lt;14/24)</formula>
    </cfRule>
    <cfRule type="expression" dxfId="914" priority="114">
      <formula>AND(B$9&gt;=14/24,B$9&lt;20/24)</formula>
    </cfRule>
  </conditionalFormatting>
  <conditionalFormatting sqref="B9:AF10 B11:Y57 E59:O61 B59:D74 E63:O74 E69:AF74 B77:AF99 B101:AF117 B119:AF137 B244:AF244 B246:B252">
    <cfRule type="expression" dxfId="913" priority="116">
      <formula>B$9&lt;8/24</formula>
    </cfRule>
  </conditionalFormatting>
  <conditionalFormatting sqref="D246:AF252">
    <cfRule type="expression" dxfId="912" priority="206">
      <formula>D$9&gt;=20/24</formula>
    </cfRule>
    <cfRule type="expression" dxfId="911" priority="208">
      <formula>AND(D$9&gt;=8/24,D$9&lt;14/24)</formula>
    </cfRule>
    <cfRule type="expression" dxfId="910" priority="209">
      <formula>D$9&lt;8/24</formula>
    </cfRule>
    <cfRule type="expression" dxfId="909" priority="207">
      <formula>AND(D$9&gt;=14/24,D$9&lt;20/24)</formula>
    </cfRule>
  </conditionalFormatting>
  <conditionalFormatting sqref="E63:O68">
    <cfRule type="expression" dxfId="908" priority="122">
      <formula>AND(E$9&gt;=14/24,E$9&lt;20/24)</formula>
    </cfRule>
    <cfRule type="expression" dxfId="907" priority="123">
      <formula>AND(E$9&gt;=8/24,E$9&lt;14/24)</formula>
    </cfRule>
    <cfRule type="expression" dxfId="906" priority="124">
      <formula>E$9&lt;8/24</formula>
    </cfRule>
    <cfRule type="expression" dxfId="905" priority="121">
      <formula>E$9&gt;=20/24</formula>
    </cfRule>
  </conditionalFormatting>
  <conditionalFormatting sqref="E59:AF62">
    <cfRule type="expression" dxfId="904" priority="143">
      <formula>E$9&lt;8/24</formula>
    </cfRule>
    <cfRule type="expression" dxfId="903" priority="142">
      <formula>AND(E$9&gt;=8/24,E$9&lt;14/24)</formula>
    </cfRule>
    <cfRule type="expression" dxfId="902" priority="141">
      <formula>AND(E$9&gt;=14/24,E$9&lt;20/24)</formula>
    </cfRule>
    <cfRule type="expression" dxfId="901" priority="140">
      <formula>E$9&gt;=20/24</formula>
    </cfRule>
  </conditionalFormatting>
  <conditionalFormatting sqref="F63:O65">
    <cfRule type="expression" dxfId="900" priority="154">
      <formula>F$9&gt;=20/24</formula>
    </cfRule>
    <cfRule type="expression" dxfId="899" priority="155">
      <formula>AND(F$9&gt;=14/24,F$9&lt;20/24)</formula>
    </cfRule>
    <cfRule type="expression" dxfId="898" priority="156">
      <formula>AND(F$9&gt;=8/24,F$9&lt;14/24)</formula>
    </cfRule>
    <cfRule type="expression" dxfId="897" priority="157">
      <formula>F$9&lt;8/24</formula>
    </cfRule>
  </conditionalFormatting>
  <conditionalFormatting sqref="L68:Y68">
    <cfRule type="expression" dxfId="896" priority="153">
      <formula>L$9&lt;8/24</formula>
    </cfRule>
    <cfRule type="expression" dxfId="895" priority="152">
      <formula>AND(L$9&gt;=8/24,L$9&lt;14/24)</formula>
    </cfRule>
    <cfRule type="expression" dxfId="894" priority="151">
      <formula>AND(L$9&gt;=14/24,L$9&lt;20/24)</formula>
    </cfRule>
    <cfRule type="expression" dxfId="893" priority="150">
      <formula>L$9&gt;=20/24</formula>
    </cfRule>
  </conditionalFormatting>
  <conditionalFormatting sqref="M8 S8 AB8">
    <cfRule type="expression" dxfId="892" priority="215">
      <formula>N$9&lt;8/24</formula>
    </cfRule>
    <cfRule type="expression" dxfId="891" priority="214">
      <formula>AND(N$9&gt;=8/24,N$9&lt;14/24)</formula>
    </cfRule>
    <cfRule type="expression" dxfId="890" priority="213">
      <formula>AND(N$9&gt;=14/24,N$9&lt;20/24)</formula>
    </cfRule>
  </conditionalFormatting>
  <conditionalFormatting sqref="M63:Y67">
    <cfRule type="expression" dxfId="889" priority="158">
      <formula>M$9&gt;=20/24</formula>
    </cfRule>
    <cfRule type="expression" dxfId="888" priority="159">
      <formula>AND(M$9&gt;=14/24,M$9&lt;20/24)</formula>
    </cfRule>
    <cfRule type="expression" dxfId="887" priority="160">
      <formula>AND(M$9&gt;=8/24,M$9&lt;14/24)</formula>
    </cfRule>
    <cfRule type="expression" dxfId="886" priority="161">
      <formula>M$9&lt;8/24</formula>
    </cfRule>
  </conditionalFormatting>
  <conditionalFormatting sqref="O3:P3">
    <cfRule type="iconSet" priority="210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885" priority="212">
      <formula>N$9&gt;=20/24</formula>
    </cfRule>
  </conditionalFormatting>
  <conditionalFormatting sqref="S8">
    <cfRule type="expression" dxfId="884" priority="202">
      <formula>U$9&lt;8/24</formula>
    </cfRule>
    <cfRule type="expression" dxfId="883" priority="201">
      <formula>AND(U$9&gt;=8/24,U$9&lt;14/24)</formula>
    </cfRule>
    <cfRule type="expression" dxfId="882" priority="199">
      <formula>U$9&gt;=20/24</formula>
    </cfRule>
    <cfRule type="expression" dxfId="881" priority="200">
      <formula>AND(U$9&gt;=14/24,U$9&lt;20/24)</formula>
    </cfRule>
  </conditionalFormatting>
  <conditionalFormatting sqref="V3 AB3">
    <cfRule type="iconSet" priority="211">
      <iconSet iconSet="3TrafficLights2" reverse="1">
        <cfvo type="percent" val="0"/>
        <cfvo type="num" val="1"/>
        <cfvo type="num" val="1"/>
      </iconSet>
    </cfRule>
  </conditionalFormatting>
  <conditionalFormatting sqref="Z11:AF52">
    <cfRule type="expression" dxfId="880" priority="131">
      <formula>Z$9&gt;=20/24</formula>
    </cfRule>
    <cfRule type="expression" dxfId="879" priority="132">
      <formula>AND(Z$9&gt;=14/24,Z$9&lt;20/24)</formula>
    </cfRule>
    <cfRule type="expression" dxfId="878" priority="134">
      <formula>Z$9&lt;8/24</formula>
    </cfRule>
    <cfRule type="expression" dxfId="877" priority="133">
      <formula>AND(Z$9&gt;=8/24,Z$9&lt;14/24)</formula>
    </cfRule>
    <cfRule type="expression" dxfId="876" priority="130">
      <formula>Z11&gt;$AG11</formula>
    </cfRule>
  </conditionalFormatting>
  <conditionalFormatting sqref="Z53:AF54 B53:Y57">
    <cfRule type="expression" dxfId="875" priority="109">
      <formula>B$9&gt;=20/24</formula>
    </cfRule>
    <cfRule type="expression" dxfId="874" priority="111">
      <formula>AND(B$9&gt;=8/24,B$9&lt;14/24)</formula>
    </cfRule>
    <cfRule type="expression" dxfId="873" priority="110">
      <formula>AND(B$9&gt;=14/24,B$9&lt;20/24)</formula>
    </cfRule>
  </conditionalFormatting>
  <conditionalFormatting sqref="Z53:AF55">
    <cfRule type="expression" dxfId="872" priority="149">
      <formula>Z53&gt;$AG53</formula>
    </cfRule>
  </conditionalFormatting>
  <conditionalFormatting sqref="Z53:AF57">
    <cfRule type="expression" dxfId="871" priority="148">
      <formula>Z$9&lt;8/24</formula>
    </cfRule>
  </conditionalFormatting>
  <conditionalFormatting sqref="Z55:AF57">
    <cfRule type="expression" dxfId="870" priority="136">
      <formula>Z$9&gt;=20/24</formula>
    </cfRule>
    <cfRule type="expression" dxfId="869" priority="137">
      <formula>AND(Z$9&gt;=14/24,Z$9&lt;20/24)</formula>
    </cfRule>
    <cfRule type="expression" dxfId="868" priority="138">
      <formula>AND(Z$9&gt;=8/24,Z$9&lt;14/24)</formula>
    </cfRule>
  </conditionalFormatting>
  <conditionalFormatting sqref="Z63:AF68">
    <cfRule type="expression" dxfId="867" priority="144">
      <formula>Z$9&gt;=20/24</formula>
    </cfRule>
    <cfRule type="expression" dxfId="866" priority="145">
      <formula>AND(Z$9&gt;=14/24,Z$9&lt;20/24)</formula>
    </cfRule>
    <cfRule type="expression" dxfId="865" priority="146">
      <formula>AND(Z$9&gt;=8/24,Z$9&lt;14/24)</formula>
    </cfRule>
    <cfRule type="expression" dxfId="864" priority="147">
      <formula>Z$9&lt;8/24</formula>
    </cfRule>
  </conditionalFormatting>
  <conditionalFormatting sqref="AB8">
    <cfRule type="expression" dxfId="863" priority="195">
      <formula>AD$9&gt;=20/24</formula>
    </cfRule>
    <cfRule type="expression" dxfId="862" priority="198">
      <formula>AD$9&lt;8/24</formula>
    </cfRule>
    <cfRule type="expression" dxfId="861" priority="197">
      <formula>AND(AD$9&gt;=8/24,AD$9&lt;14/24)</formula>
    </cfRule>
    <cfRule type="expression" dxfId="860" priority="196">
      <formula>AND(AD$9&gt;=14/24,AD$9&lt;20/24)</formula>
    </cfRule>
  </conditionalFormatting>
  <conditionalFormatting sqref="AG58">
    <cfRule type="expression" dxfId="859" priority="190">
      <formula>AG58&gt;$AG58</formula>
    </cfRule>
  </conditionalFormatting>
  <conditionalFormatting sqref="AG62">
    <cfRule type="expression" dxfId="858" priority="176">
      <formula>AG$9&lt;8/24</formula>
    </cfRule>
    <cfRule type="expression" dxfId="857" priority="173">
      <formula>AG$9&gt;=20/24</formula>
    </cfRule>
    <cfRule type="expression" dxfId="856" priority="174">
      <formula>AND(AG$9&gt;=14/24,AG$9&lt;20/24)</formula>
    </cfRule>
    <cfRule type="expression" dxfId="855" priority="175">
      <formula>AND(AG$9&gt;=8/24,AG$9&lt;14/24)</formula>
    </cfRule>
  </conditionalFormatting>
  <conditionalFormatting sqref="AG75:AG76">
    <cfRule type="expression" dxfId="854" priority="168">
      <formula>AG75&gt;$AG75</formula>
    </cfRule>
  </conditionalFormatting>
  <conditionalFormatting sqref="AG80">
    <cfRule type="expression" dxfId="853" priority="169">
      <formula>AG$9&gt;=20/24</formula>
    </cfRule>
    <cfRule type="expression" dxfId="852" priority="170">
      <formula>AND(AG$9&gt;=14/24,AG$9&lt;20/24)</formula>
    </cfRule>
    <cfRule type="expression" dxfId="851" priority="171">
      <formula>AND(AG$9&gt;=8/24,AG$9&lt;14/24)</formula>
    </cfRule>
    <cfRule type="expression" dxfId="850" priority="172">
      <formula>AG$9&lt;8/24</formula>
    </cfRule>
  </conditionalFormatting>
  <conditionalFormatting sqref="AG97">
    <cfRule type="expression" dxfId="849" priority="191">
      <formula>AG$9&gt;=20/24</formula>
    </cfRule>
    <cfRule type="expression" dxfId="848" priority="193">
      <formula>AND(AG$9&gt;=8/24,AG$9&lt;14/24)</formula>
    </cfRule>
    <cfRule type="expression" dxfId="847" priority="194">
      <formula>AG$9&lt;8/24</formula>
    </cfRule>
    <cfRule type="expression" dxfId="846" priority="192">
      <formula>AND(AG$9&gt;=14/24,AG$9&lt;20/24)</formula>
    </cfRule>
  </conditionalFormatting>
  <conditionalFormatting sqref="AL4:AL6">
    <cfRule type="iconSet" priority="205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87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89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220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204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203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845" priority="218">
      <formula>AND(AJ$9&gt;=8/24,AJ$9&lt;14/24)</formula>
    </cfRule>
    <cfRule type="expression" dxfId="844" priority="216">
      <formula>AJ$9&gt;=20/24</formula>
    </cfRule>
    <cfRule type="expression" dxfId="843" priority="217">
      <formula>AND(AJ$9&gt;=14/24,AJ$9&lt;20/24)</formula>
    </cfRule>
    <cfRule type="expression" dxfId="842" priority="219">
      <formula>AJ$9&lt;8/24</formula>
    </cfRule>
  </conditionalFormatting>
  <conditionalFormatting sqref="AL88:AN88 AL94:AN94">
    <cfRule type="expression" dxfId="841" priority="183">
      <formula>AL$9&gt;=20/24</formula>
    </cfRule>
    <cfRule type="expression" dxfId="840" priority="184">
      <formula>AND(AL$9&gt;=14/24,AL$9&lt;20/24)</formula>
    </cfRule>
    <cfRule type="expression" dxfId="839" priority="185">
      <formula>AND(AL$9&gt;=8/24,AL$9&lt;14/24)</formula>
    </cfRule>
    <cfRule type="expression" dxfId="838" priority="186">
      <formula>AL$9&lt;8/24</formula>
    </cfRule>
  </conditionalFormatting>
  <conditionalFormatting sqref="AM15:AM21 AN16:AR21">
    <cfRule type="expression" dxfId="837" priority="16">
      <formula>AX$9&lt;8/24</formula>
    </cfRule>
    <cfRule type="expression" dxfId="836" priority="15">
      <formula>AND(AX$9&gt;=8/24,AX$9&lt;14/24)</formula>
    </cfRule>
    <cfRule type="expression" dxfId="835" priority="14">
      <formula>AND(AX$9&gt;=14/24,AX$9&lt;20/24)</formula>
    </cfRule>
    <cfRule type="expression" dxfId="834" priority="13">
      <formula>AX$9&gt;=20/24</formula>
    </cfRule>
  </conditionalFormatting>
  <conditionalFormatting sqref="AN89:AN92">
    <cfRule type="expression" dxfId="833" priority="180">
      <formula>AND(AN$9&gt;=14/24,AN$9&lt;20/24)</formula>
    </cfRule>
    <cfRule type="expression" dxfId="832" priority="181">
      <formula>AND(AN$9&gt;=8/24,AN$9&lt;14/24)</formula>
    </cfRule>
    <cfRule type="expression" dxfId="831" priority="182">
      <formula>AN$9&lt;8/24</formula>
    </cfRule>
    <cfRule type="expression" dxfId="830" priority="179">
      <formula>AN$9&gt;=20/24</formula>
    </cfRule>
  </conditionalFormatting>
  <conditionalFormatting sqref="AN15:AR15">
    <cfRule type="expression" dxfId="829" priority="3">
      <formula>AND(U$9&gt;=8/24,U$9&lt;14/24)</formula>
    </cfRule>
    <cfRule type="expression" dxfId="828" priority="4">
      <formula>U$9&lt;8/24</formula>
    </cfRule>
    <cfRule type="expression" dxfId="827" priority="2">
      <formula>AND(U$9&gt;=14/24,U$9&lt;20/24)</formula>
    </cfRule>
    <cfRule type="expression" dxfId="826" priority="1">
      <formula>U$9&gt;=20/24</formula>
    </cfRule>
  </conditionalFormatting>
  <conditionalFormatting sqref="AS15">
    <cfRule type="expression" dxfId="825" priority="10">
      <formula>AND(AA$9&gt;=14/24,AA$9&lt;20/24)</formula>
    </cfRule>
    <cfRule type="expression" dxfId="824" priority="12">
      <formula>AA$9&lt;8/24</formula>
    </cfRule>
    <cfRule type="expression" dxfId="823" priority="11">
      <formula>AND(AA$9&gt;=8/24,AA$9&lt;14/24)</formula>
    </cfRule>
    <cfRule type="expression" dxfId="822" priority="9">
      <formula>AA$9&gt;=20/24</formula>
    </cfRule>
  </conditionalFormatting>
  <conditionalFormatting sqref="AS16:AS21">
    <cfRule type="expression" dxfId="821" priority="19">
      <formula>AND(BE$9&gt;=8/24,BE$9&lt;14/24)</formula>
    </cfRule>
    <cfRule type="expression" dxfId="820" priority="17">
      <formula>BE$9&gt;=20/24</formula>
    </cfRule>
    <cfRule type="expression" dxfId="819" priority="18">
      <formula>AND(BE$9&gt;=14/24,BE$9&lt;20/24)</formula>
    </cfRule>
    <cfRule type="expression" dxfId="818" priority="20">
      <formula>BE$9&lt;8/24</formula>
    </cfRule>
  </conditionalFormatting>
  <conditionalFormatting sqref="AT15 AX15:BJ15">
    <cfRule type="expression" dxfId="817" priority="24">
      <formula>AC$9&lt;8/24</formula>
    </cfRule>
    <cfRule type="expression" dxfId="816" priority="23">
      <formula>AND(AC$9&gt;=8/24,AC$9&lt;14/24)</formula>
    </cfRule>
    <cfRule type="expression" dxfId="815" priority="22">
      <formula>AND(AC$9&gt;=14/24,AC$9&lt;20/24)</formula>
    </cfRule>
    <cfRule type="expression" dxfId="814" priority="21">
      <formula>AC$9&gt;=20/24</formula>
    </cfRule>
  </conditionalFormatting>
  <conditionalFormatting sqref="AT16:AT21">
    <cfRule type="expression" dxfId="813" priority="27">
      <formula>AND(BG$9&gt;=8/24,BG$9&lt;14/24)</formula>
    </cfRule>
    <cfRule type="expression" dxfId="812" priority="28">
      <formula>BG$9&lt;8/24</formula>
    </cfRule>
    <cfRule type="expression" dxfId="811" priority="26">
      <formula>AND(BG$9&gt;=14/24,BG$9&lt;20/24)</formula>
    </cfRule>
    <cfRule type="expression" dxfId="810" priority="25">
      <formula>BG$9&gt;=20/24</formula>
    </cfRule>
  </conditionalFormatting>
  <conditionalFormatting sqref="AU15:AV15">
    <cfRule type="expression" dxfId="809" priority="32">
      <formula>AE$9&lt;8/24</formula>
    </cfRule>
    <cfRule type="expression" dxfId="808" priority="31">
      <formula>AND(AE$9&gt;=8/24,AE$9&lt;14/24)</formula>
    </cfRule>
    <cfRule type="expression" dxfId="807" priority="30">
      <formula>AND(AE$9&gt;=14/24,AE$9&lt;20/24)</formula>
    </cfRule>
    <cfRule type="expression" dxfId="806" priority="29">
      <formula>AE$9&gt;=20/24</formula>
    </cfRule>
  </conditionalFormatting>
  <conditionalFormatting sqref="AU16:BJ21">
    <cfRule type="expression" dxfId="805" priority="33">
      <formula>BI$9&gt;=20/24</formula>
    </cfRule>
    <cfRule type="expression" dxfId="804" priority="36">
      <formula>BI$9&lt;8/24</formula>
    </cfRule>
    <cfRule type="expression" dxfId="803" priority="35">
      <formula>AND(BI$9&gt;=8/24,BI$9&lt;14/24)</formula>
    </cfRule>
    <cfRule type="expression" dxfId="802" priority="34">
      <formula>AND(BI$9&gt;=14/24,BI$9&lt;20/24)</formula>
    </cfRule>
  </conditionalFormatting>
  <conditionalFormatting sqref="AW15">
    <cfRule type="expression" dxfId="801" priority="8">
      <formula>B$9&lt;8/24</formula>
    </cfRule>
    <cfRule type="expression" dxfId="800" priority="7">
      <formula>AND(B$9&gt;=8/24,B$9&lt;14/24)</formula>
    </cfRule>
    <cfRule type="expression" dxfId="799" priority="6">
      <formula>AND(B$9&gt;=14/24,B$9&lt;20/24)</formula>
    </cfRule>
    <cfRule type="expression" dxfId="798" priority="5">
      <formula>B$9&gt;=20/24</formula>
    </cfRule>
  </conditionalFormatting>
  <pageMargins left="0.7" right="0.7" top="0.75" bottom="0.75" header="0.3" footer="0.3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39B52-B936-4E66-A886-970B41F615FE}">
  <sheetPr codeName="Sheet29"/>
  <dimension ref="A1:CJ294"/>
  <sheetViews>
    <sheetView zoomScale="85" zoomScaleNormal="85" workbookViewId="0">
      <pane xSplit="1" ySplit="10" topLeftCell="AH13" activePane="bottomRight" state="frozen"/>
      <selection activeCell="Z63" sqref="Z63"/>
      <selection pane="topRight" activeCell="Z63" sqref="Z63"/>
      <selection pane="bottomLeft" activeCell="Z63" sqref="Z63"/>
      <selection pane="bottomRight" activeCell="BC19" sqref="BC19:BC21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2080/10/25</v>
      </c>
      <c r="C4" s="214"/>
      <c r="D4" s="214"/>
      <c r="E4" s="215" t="str">
        <f ca="1">"2080/"&amp;"10/"&amp;INT(MID(CELL("filename",G6),FIND("]",CELL("filename",G6))+1,200))</f>
        <v>2080/10/25</v>
      </c>
      <c r="F4" s="215"/>
      <c r="G4" s="215"/>
      <c r="H4" s="215" t="str">
        <f ca="1">TEXT(E4,"dddd")</f>
        <v>Friday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195.4</v>
      </c>
      <c r="C5" s="30">
        <f t="shared" ref="C5:AE5" si="0">D92</f>
        <v>171.70000000000002</v>
      </c>
      <c r="D5" s="30">
        <f t="shared" si="0"/>
        <v>201.2</v>
      </c>
      <c r="E5" s="30">
        <f t="shared" si="0"/>
        <v>191.10000000000002</v>
      </c>
      <c r="F5" s="30">
        <f t="shared" si="0"/>
        <v>225.7</v>
      </c>
      <c r="G5" s="30">
        <f t="shared" si="0"/>
        <v>203</v>
      </c>
      <c r="H5" s="30">
        <f t="shared" si="0"/>
        <v>267</v>
      </c>
      <c r="I5" s="30">
        <f t="shared" si="0"/>
        <v>714.5</v>
      </c>
      <c r="J5" s="30">
        <f t="shared" si="0"/>
        <v>803.5</v>
      </c>
      <c r="K5" s="30">
        <f t="shared" si="0"/>
        <v>820.6</v>
      </c>
      <c r="L5" s="30">
        <f t="shared" si="0"/>
        <v>898.5</v>
      </c>
      <c r="M5" s="30">
        <f t="shared" si="0"/>
        <v>875.6</v>
      </c>
      <c r="N5" s="30">
        <f t="shared" si="0"/>
        <v>864.2</v>
      </c>
      <c r="O5" s="30">
        <f t="shared" si="0"/>
        <v>826</v>
      </c>
      <c r="P5" s="30">
        <f t="shared" si="0"/>
        <v>892.6</v>
      </c>
      <c r="Q5" s="30">
        <f t="shared" si="0"/>
        <v>898.19999999999982</v>
      </c>
      <c r="R5" s="30">
        <f t="shared" si="0"/>
        <v>895.5</v>
      </c>
      <c r="S5" s="30">
        <f t="shared" si="0"/>
        <v>873.5</v>
      </c>
      <c r="T5" s="30">
        <f t="shared" si="0"/>
        <v>0</v>
      </c>
      <c r="U5" s="30">
        <f t="shared" si="0"/>
        <v>852.5</v>
      </c>
      <c r="V5" s="30">
        <f t="shared" si="0"/>
        <v>787.59999999999991</v>
      </c>
      <c r="W5" s="30">
        <f t="shared" si="0"/>
        <v>585.6</v>
      </c>
      <c r="X5" s="30">
        <f t="shared" si="0"/>
        <v>131.69999999999999</v>
      </c>
      <c r="Y5" s="30">
        <f t="shared" si="0"/>
        <v>158.80000000000001</v>
      </c>
      <c r="Z5" s="30">
        <f t="shared" si="0"/>
        <v>156</v>
      </c>
      <c r="AA5" s="30">
        <f t="shared" si="0"/>
        <v>247.70000000000002</v>
      </c>
      <c r="AB5" s="30">
        <f t="shared" si="0"/>
        <v>325.7</v>
      </c>
      <c r="AC5" s="30">
        <f t="shared" si="0"/>
        <v>353.3</v>
      </c>
      <c r="AD5" s="30">
        <f t="shared" si="0"/>
        <v>320</v>
      </c>
      <c r="AE5" s="30">
        <f t="shared" si="0"/>
        <v>326.7</v>
      </c>
      <c r="AF5" s="30">
        <f>B92</f>
        <v>153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1704MW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Load=154</v>
      </c>
      <c r="B7" s="35">
        <f>B100</f>
        <v>1354.49</v>
      </c>
      <c r="C7" s="35">
        <f t="shared" ref="C7:AF7" si="1">C100</f>
        <v>1330.69</v>
      </c>
      <c r="D7" s="35">
        <f t="shared" si="1"/>
        <v>1297.0899999999999</v>
      </c>
      <c r="E7" s="35">
        <f t="shared" si="1"/>
        <v>1277.5899999999999</v>
      </c>
      <c r="F7" s="35">
        <f t="shared" si="1"/>
        <v>1267.49</v>
      </c>
      <c r="G7" s="35">
        <f t="shared" si="1"/>
        <v>1300.3899999999999</v>
      </c>
      <c r="H7" s="35">
        <f t="shared" si="1"/>
        <v>1379.19</v>
      </c>
      <c r="I7" s="35">
        <f t="shared" si="1"/>
        <v>1423.19</v>
      </c>
      <c r="J7" s="35">
        <f t="shared" si="1"/>
        <v>1441.9899999999998</v>
      </c>
      <c r="K7" s="35">
        <f t="shared" si="1"/>
        <v>1560.79</v>
      </c>
      <c r="L7" s="35">
        <f t="shared" si="1"/>
        <v>1642.49</v>
      </c>
      <c r="M7" s="35">
        <f t="shared" si="1"/>
        <v>1703.79</v>
      </c>
      <c r="N7" s="35">
        <f t="shared" si="1"/>
        <v>1698.79</v>
      </c>
      <c r="O7" s="35">
        <f t="shared" si="1"/>
        <v>1713.5900000000001</v>
      </c>
      <c r="P7" s="35">
        <f t="shared" si="1"/>
        <v>1650.19</v>
      </c>
      <c r="Q7" s="35">
        <f t="shared" si="1"/>
        <v>1723.8899999999999</v>
      </c>
      <c r="R7" s="35">
        <f t="shared" si="1"/>
        <v>1699.7899999999997</v>
      </c>
      <c r="S7" s="35">
        <f t="shared" si="1"/>
        <v>1720.29</v>
      </c>
      <c r="T7" s="35">
        <f t="shared" si="1"/>
        <v>1681.8899999999999</v>
      </c>
      <c r="U7" s="35">
        <f t="shared" si="1"/>
        <v>153.54</v>
      </c>
      <c r="V7" s="35">
        <f t="shared" si="1"/>
        <v>1564.79</v>
      </c>
      <c r="W7" s="35">
        <f t="shared" si="1"/>
        <v>1536.29</v>
      </c>
      <c r="X7" s="35">
        <f t="shared" si="1"/>
        <v>1414.0900000000001</v>
      </c>
      <c r="Y7" s="35">
        <f t="shared" si="1"/>
        <v>1700.99</v>
      </c>
      <c r="Z7" s="35">
        <f t="shared" si="1"/>
        <v>1835.49</v>
      </c>
      <c r="AA7" s="35">
        <f t="shared" si="1"/>
        <v>1871.69</v>
      </c>
      <c r="AB7" s="35">
        <f t="shared" si="1"/>
        <v>1871.5900000000001</v>
      </c>
      <c r="AC7" s="35">
        <f t="shared" si="1"/>
        <v>1783.99</v>
      </c>
      <c r="AD7" s="35">
        <f t="shared" si="1"/>
        <v>1636.59</v>
      </c>
      <c r="AE7" s="35">
        <f t="shared" si="1"/>
        <v>1599.09</v>
      </c>
      <c r="AF7" s="35">
        <f t="shared" si="1"/>
        <v>1556.79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1871.59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1871.59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23.8</v>
      </c>
      <c r="C11" s="46">
        <v>22.4</v>
      </c>
      <c r="D11" s="46">
        <v>21.9</v>
      </c>
      <c r="E11" s="46">
        <v>21.9</v>
      </c>
      <c r="F11" s="46">
        <v>21.9</v>
      </c>
      <c r="G11" s="46">
        <v>21.9</v>
      </c>
      <c r="H11" s="46">
        <v>21.9</v>
      </c>
      <c r="I11" s="46">
        <v>21.9</v>
      </c>
      <c r="J11" s="46">
        <v>21.9</v>
      </c>
      <c r="K11" s="46">
        <v>21.9</v>
      </c>
      <c r="L11" s="46">
        <v>21.9</v>
      </c>
      <c r="M11" s="46">
        <v>21.3</v>
      </c>
      <c r="N11" s="46">
        <v>22.8</v>
      </c>
      <c r="O11" s="46">
        <v>21.9</v>
      </c>
      <c r="P11" s="46">
        <v>22.4</v>
      </c>
      <c r="Q11" s="46">
        <v>22.3</v>
      </c>
      <c r="R11" s="46">
        <v>21.7</v>
      </c>
      <c r="S11" s="46">
        <v>21.7</v>
      </c>
      <c r="T11" s="46">
        <v>21.7</v>
      </c>
      <c r="U11" s="46" t="s">
        <v>295</v>
      </c>
      <c r="V11" s="46">
        <v>21.7</v>
      </c>
      <c r="W11" s="46">
        <v>21.7</v>
      </c>
      <c r="X11" s="46">
        <v>21.7</v>
      </c>
      <c r="Y11" s="46">
        <v>21.7</v>
      </c>
      <c r="Z11" s="46">
        <v>21.7</v>
      </c>
      <c r="AA11" s="46">
        <v>21.7</v>
      </c>
      <c r="AB11" s="46">
        <v>21.7</v>
      </c>
      <c r="AC11" s="46">
        <v>21.7</v>
      </c>
      <c r="AD11" s="46">
        <v>21.7</v>
      </c>
      <c r="AE11" s="46">
        <v>21.7</v>
      </c>
      <c r="AF11" s="46">
        <v>21.7</v>
      </c>
      <c r="AG11" s="47">
        <v>86</v>
      </c>
      <c r="AH11" s="48">
        <f t="shared" ref="AH11:AH16" si="2">MAX(B11:AF11)</f>
        <v>23.8</v>
      </c>
      <c r="AI11" s="49">
        <f t="shared" ref="AI11:AI16" si="3">MIN(B11:AF11)</f>
        <v>21.3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10</v>
      </c>
      <c r="C12" s="46">
        <v>10</v>
      </c>
      <c r="D12" s="46">
        <v>10</v>
      </c>
      <c r="E12" s="46">
        <v>10</v>
      </c>
      <c r="F12" s="46">
        <v>10</v>
      </c>
      <c r="G12" s="46">
        <v>10</v>
      </c>
      <c r="H12" s="46">
        <v>10</v>
      </c>
      <c r="I12" s="46">
        <v>10</v>
      </c>
      <c r="J12" s="46">
        <v>10</v>
      </c>
      <c r="K12" s="46">
        <v>10</v>
      </c>
      <c r="L12" s="46">
        <v>10</v>
      </c>
      <c r="M12" s="46">
        <v>10</v>
      </c>
      <c r="N12" s="46">
        <v>10</v>
      </c>
      <c r="O12" s="46">
        <v>10</v>
      </c>
      <c r="P12" s="46">
        <v>10</v>
      </c>
      <c r="Q12" s="46">
        <v>10</v>
      </c>
      <c r="R12" s="46">
        <v>10</v>
      </c>
      <c r="S12" s="46">
        <v>10</v>
      </c>
      <c r="T12" s="46">
        <v>10</v>
      </c>
      <c r="U12" s="46" t="s">
        <v>296</v>
      </c>
      <c r="V12" s="46">
        <v>10</v>
      </c>
      <c r="W12" s="46">
        <v>10</v>
      </c>
      <c r="X12" s="46">
        <v>10</v>
      </c>
      <c r="Y12" s="46">
        <v>10</v>
      </c>
      <c r="Z12" s="46">
        <v>10</v>
      </c>
      <c r="AA12" s="46">
        <v>10</v>
      </c>
      <c r="AB12" s="46">
        <v>10</v>
      </c>
      <c r="AC12" s="46">
        <v>10</v>
      </c>
      <c r="AD12" s="46">
        <v>10</v>
      </c>
      <c r="AE12" s="46">
        <v>10</v>
      </c>
      <c r="AF12" s="46">
        <v>10</v>
      </c>
      <c r="AG12" s="50">
        <v>54</v>
      </c>
      <c r="AH12" s="48">
        <f t="shared" si="2"/>
        <v>10</v>
      </c>
      <c r="AI12" s="49">
        <f t="shared" si="3"/>
        <v>10</v>
      </c>
      <c r="AK12" s="51"/>
      <c r="AL12" s="52" t="str">
        <f ca="1">MID(CELL("filename",C7),FIND("]",CELL("filename",C7))+1,600)</f>
        <v>25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13</v>
      </c>
      <c r="C13" s="46">
        <v>13</v>
      </c>
      <c r="D13" s="46">
        <v>12.5</v>
      </c>
      <c r="E13" s="46">
        <v>12.5</v>
      </c>
      <c r="F13" s="46">
        <v>12.5</v>
      </c>
      <c r="G13" s="46">
        <v>12.5</v>
      </c>
      <c r="H13" s="46">
        <v>12.5</v>
      </c>
      <c r="I13" s="46">
        <v>12.5</v>
      </c>
      <c r="J13" s="46">
        <v>12.5</v>
      </c>
      <c r="K13" s="46">
        <v>12.5</v>
      </c>
      <c r="L13" s="46">
        <v>12.5</v>
      </c>
      <c r="M13" s="46">
        <v>12.5</v>
      </c>
      <c r="N13" s="46">
        <v>12.5</v>
      </c>
      <c r="O13" s="46">
        <v>12.5</v>
      </c>
      <c r="P13" s="46">
        <v>12.5</v>
      </c>
      <c r="Q13" s="46">
        <v>12.5</v>
      </c>
      <c r="R13" s="46">
        <v>12.5</v>
      </c>
      <c r="S13" s="46">
        <v>12.5</v>
      </c>
      <c r="T13" s="46">
        <v>12.5</v>
      </c>
      <c r="U13" s="46" t="s">
        <v>295</v>
      </c>
      <c r="V13" s="46">
        <v>12.5</v>
      </c>
      <c r="W13" s="46">
        <v>12.5</v>
      </c>
      <c r="X13" s="46">
        <v>12.5</v>
      </c>
      <c r="Y13" s="46">
        <v>12.5</v>
      </c>
      <c r="Z13" s="46">
        <v>12.5</v>
      </c>
      <c r="AA13" s="46">
        <v>12.5</v>
      </c>
      <c r="AB13" s="46">
        <v>12.5</v>
      </c>
      <c r="AC13" s="46">
        <v>12.5</v>
      </c>
      <c r="AD13" s="46">
        <v>12.5</v>
      </c>
      <c r="AE13" s="46">
        <v>12.5</v>
      </c>
      <c r="AF13" s="46">
        <v>12.5</v>
      </c>
      <c r="AG13" s="50">
        <v>54</v>
      </c>
      <c r="AH13" s="48">
        <f t="shared" si="2"/>
        <v>13</v>
      </c>
      <c r="AI13" s="49">
        <f t="shared" si="3"/>
        <v>12.5</v>
      </c>
      <c r="AK13" s="51"/>
      <c r="AL13" s="52" t="str">
        <f ca="1">"Daily Load Curve(Excluding of Export) of Nepal ("&amp;A4&amp;" "&amp;B4&amp;")"</f>
        <v>Daily Load Curve(Excluding of Export) of Nepal (Nepali Date: 2080/10/25)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12.2</v>
      </c>
      <c r="C14" s="46">
        <v>12.2</v>
      </c>
      <c r="D14" s="46">
        <v>12.2</v>
      </c>
      <c r="E14" s="46">
        <v>12.2</v>
      </c>
      <c r="F14" s="46">
        <v>12.2</v>
      </c>
      <c r="G14" s="46">
        <v>12.2</v>
      </c>
      <c r="H14" s="46">
        <v>12.2</v>
      </c>
      <c r="I14" s="46">
        <v>12.2</v>
      </c>
      <c r="J14" s="46">
        <v>12.2</v>
      </c>
      <c r="K14" s="46">
        <v>12.2</v>
      </c>
      <c r="L14" s="46">
        <v>12.2</v>
      </c>
      <c r="M14" s="46">
        <v>12.2</v>
      </c>
      <c r="N14" s="46">
        <v>12.2</v>
      </c>
      <c r="O14" s="46">
        <v>12.2</v>
      </c>
      <c r="P14" s="46">
        <v>12.2</v>
      </c>
      <c r="Q14" s="46">
        <v>12.2</v>
      </c>
      <c r="R14" s="46">
        <v>12.2</v>
      </c>
      <c r="S14" s="46">
        <v>12.2</v>
      </c>
      <c r="T14" s="46">
        <v>12.2</v>
      </c>
      <c r="U14" s="46" t="s">
        <v>297</v>
      </c>
      <c r="V14" s="46">
        <v>12.2</v>
      </c>
      <c r="W14" s="46">
        <v>12.2</v>
      </c>
      <c r="X14" s="46">
        <v>12.2</v>
      </c>
      <c r="Y14" s="46">
        <v>12.2</v>
      </c>
      <c r="Z14" s="46">
        <v>12.2</v>
      </c>
      <c r="AA14" s="46">
        <v>12.2</v>
      </c>
      <c r="AB14" s="46">
        <v>12.2</v>
      </c>
      <c r="AC14" s="46">
        <v>12.2</v>
      </c>
      <c r="AD14" s="46">
        <v>12.2</v>
      </c>
      <c r="AE14" s="46">
        <v>12.2</v>
      </c>
      <c r="AF14" s="46">
        <v>12.2</v>
      </c>
      <c r="AG14" s="47">
        <v>52.4</v>
      </c>
      <c r="AH14" s="48">
        <f t="shared" si="2"/>
        <v>12.2</v>
      </c>
      <c r="AI14" s="49">
        <f t="shared" si="3"/>
        <v>12.2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30.5</v>
      </c>
      <c r="C15" s="46">
        <v>30.5</v>
      </c>
      <c r="D15" s="46">
        <v>31</v>
      </c>
      <c r="E15" s="46">
        <v>31</v>
      </c>
      <c r="F15" s="46">
        <v>31</v>
      </c>
      <c r="G15" s="46">
        <v>31</v>
      </c>
      <c r="H15" s="46">
        <v>31</v>
      </c>
      <c r="I15" s="46">
        <v>31</v>
      </c>
      <c r="J15" s="46">
        <v>31</v>
      </c>
      <c r="K15" s="46">
        <v>31</v>
      </c>
      <c r="L15" s="46">
        <v>31</v>
      </c>
      <c r="M15" s="46">
        <v>31</v>
      </c>
      <c r="N15" s="46">
        <v>31</v>
      </c>
      <c r="O15" s="46">
        <v>31</v>
      </c>
      <c r="P15" s="46">
        <v>31</v>
      </c>
      <c r="Q15" s="46">
        <v>31</v>
      </c>
      <c r="R15" s="46">
        <v>31</v>
      </c>
      <c r="S15" s="46">
        <v>31</v>
      </c>
      <c r="T15" s="46">
        <v>31</v>
      </c>
      <c r="U15" s="46" t="s">
        <v>298</v>
      </c>
      <c r="V15" s="46">
        <v>31</v>
      </c>
      <c r="W15" s="46">
        <v>31</v>
      </c>
      <c r="X15" s="46">
        <v>31</v>
      </c>
      <c r="Y15" s="46">
        <v>31</v>
      </c>
      <c r="Z15" s="53">
        <v>31</v>
      </c>
      <c r="AA15" s="53">
        <v>31</v>
      </c>
      <c r="AB15" s="53">
        <v>31</v>
      </c>
      <c r="AC15" s="53">
        <v>31</v>
      </c>
      <c r="AD15" s="53">
        <v>31</v>
      </c>
      <c r="AE15" s="53">
        <v>31</v>
      </c>
      <c r="AF15" s="53">
        <v>31</v>
      </c>
      <c r="AG15" s="50">
        <v>50</v>
      </c>
      <c r="AH15" s="48">
        <f t="shared" si="2"/>
        <v>31</v>
      </c>
      <c r="AI15" s="49">
        <f t="shared" si="3"/>
        <v>30.5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15</v>
      </c>
      <c r="C16" s="46">
        <v>15</v>
      </c>
      <c r="D16" s="46">
        <v>15</v>
      </c>
      <c r="E16" s="46">
        <v>15</v>
      </c>
      <c r="F16" s="46">
        <v>15</v>
      </c>
      <c r="G16" s="46">
        <v>15</v>
      </c>
      <c r="H16" s="46">
        <v>15</v>
      </c>
      <c r="I16" s="46">
        <v>15</v>
      </c>
      <c r="J16" s="46">
        <v>15</v>
      </c>
      <c r="K16" s="46">
        <v>15</v>
      </c>
      <c r="L16" s="46">
        <v>15</v>
      </c>
      <c r="M16" s="46">
        <v>15</v>
      </c>
      <c r="N16" s="46">
        <v>15</v>
      </c>
      <c r="O16" s="46">
        <v>15</v>
      </c>
      <c r="P16" s="46">
        <v>15</v>
      </c>
      <c r="Q16" s="46">
        <v>15</v>
      </c>
      <c r="R16" s="46">
        <v>15</v>
      </c>
      <c r="S16" s="46">
        <v>15</v>
      </c>
      <c r="T16" s="46">
        <v>15</v>
      </c>
      <c r="U16" s="46" t="s">
        <v>299</v>
      </c>
      <c r="V16" s="46">
        <v>15</v>
      </c>
      <c r="W16" s="46">
        <v>15</v>
      </c>
      <c r="X16" s="46">
        <v>15</v>
      </c>
      <c r="Y16" s="46">
        <v>15</v>
      </c>
      <c r="Z16" s="46">
        <v>15</v>
      </c>
      <c r="AA16" s="46">
        <v>15</v>
      </c>
      <c r="AB16" s="46">
        <v>15</v>
      </c>
      <c r="AC16" s="46">
        <v>15</v>
      </c>
      <c r="AD16" s="46">
        <v>15</v>
      </c>
      <c r="AE16" s="46">
        <v>15</v>
      </c>
      <c r="AF16" s="46">
        <v>15</v>
      </c>
      <c r="AG16" s="50">
        <v>45</v>
      </c>
      <c r="AH16" s="48">
        <f t="shared" si="2"/>
        <v>15</v>
      </c>
      <c r="AI16" s="49">
        <f t="shared" si="3"/>
        <v>15</v>
      </c>
      <c r="AK16" s="51"/>
      <c r="AL16" s="54" t="s">
        <v>7</v>
      </c>
      <c r="AM16" s="59">
        <f>B58</f>
        <v>479.04999999999995</v>
      </c>
      <c r="AN16" s="59">
        <f t="shared" ref="AN16:AR16" si="4">C58</f>
        <v>477.65</v>
      </c>
      <c r="AO16" s="59">
        <f t="shared" si="4"/>
        <v>477.15</v>
      </c>
      <c r="AP16" s="59">
        <f t="shared" si="4"/>
        <v>477.15</v>
      </c>
      <c r="AQ16" s="59">
        <f t="shared" si="4"/>
        <v>477.15</v>
      </c>
      <c r="AR16" s="59">
        <f t="shared" si="4"/>
        <v>477.15</v>
      </c>
      <c r="AS16" s="59">
        <f>I58</f>
        <v>477.15</v>
      </c>
      <c r="AT16" s="59">
        <f>K58</f>
        <v>477.15</v>
      </c>
      <c r="AU16" s="59">
        <f t="shared" ref="AU16:BD16" si="5">M58</f>
        <v>476.54999999999995</v>
      </c>
      <c r="AV16" s="59">
        <f t="shared" si="5"/>
        <v>478.04999999999995</v>
      </c>
      <c r="AW16" s="59">
        <f t="shared" si="5"/>
        <v>477.15</v>
      </c>
      <c r="AX16" s="59">
        <f t="shared" si="5"/>
        <v>477.65</v>
      </c>
      <c r="AY16" s="59">
        <f t="shared" si="5"/>
        <v>477.54999999999995</v>
      </c>
      <c r="AZ16" s="59">
        <f t="shared" si="5"/>
        <v>476.95</v>
      </c>
      <c r="BA16" s="59">
        <f t="shared" si="5"/>
        <v>476.95</v>
      </c>
      <c r="BB16" s="59">
        <f t="shared" si="5"/>
        <v>476.95</v>
      </c>
      <c r="BC16" s="59">
        <f t="shared" si="5"/>
        <v>150</v>
      </c>
      <c r="BD16" s="59">
        <f t="shared" si="5"/>
        <v>476.95</v>
      </c>
      <c r="BE16" s="197">
        <f>X58</f>
        <v>476.95</v>
      </c>
      <c r="BF16" s="197">
        <f>Z58</f>
        <v>476.95</v>
      </c>
      <c r="BG16" s="197">
        <f>AB58</f>
        <v>476.95</v>
      </c>
      <c r="BH16" s="197">
        <f>AD58</f>
        <v>476.95</v>
      </c>
      <c r="BI16" s="197">
        <f t="shared" ref="BI16:BJ16" si="6">AE58</f>
        <v>476.95</v>
      </c>
      <c r="BJ16" s="197">
        <f t="shared" si="6"/>
        <v>476.95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15.2</v>
      </c>
      <c r="C17" s="46">
        <v>15.2</v>
      </c>
      <c r="D17" s="46">
        <v>15.2</v>
      </c>
      <c r="E17" s="46">
        <v>15.2</v>
      </c>
      <c r="F17" s="46">
        <v>15.2</v>
      </c>
      <c r="G17" s="46">
        <v>15.2</v>
      </c>
      <c r="H17" s="46">
        <v>15.2</v>
      </c>
      <c r="I17" s="46">
        <v>15.2</v>
      </c>
      <c r="J17" s="46">
        <v>15.2</v>
      </c>
      <c r="K17" s="46">
        <v>15.2</v>
      </c>
      <c r="L17" s="46">
        <v>15.2</v>
      </c>
      <c r="M17" s="46">
        <v>15.2</v>
      </c>
      <c r="N17" s="46">
        <v>15.2</v>
      </c>
      <c r="O17" s="46">
        <v>15.2</v>
      </c>
      <c r="P17" s="46">
        <v>15.2</v>
      </c>
      <c r="Q17" s="46">
        <v>15.2</v>
      </c>
      <c r="R17" s="46">
        <v>15.2</v>
      </c>
      <c r="S17" s="46">
        <v>15.2</v>
      </c>
      <c r="T17" s="46">
        <v>15.2</v>
      </c>
      <c r="U17" s="46"/>
      <c r="V17" s="46">
        <v>15.2</v>
      </c>
      <c r="W17" s="46">
        <v>15.2</v>
      </c>
      <c r="X17" s="46">
        <v>15.2</v>
      </c>
      <c r="Y17" s="46">
        <v>15.2</v>
      </c>
      <c r="Z17" s="46">
        <v>15.2</v>
      </c>
      <c r="AA17" s="46">
        <v>15.2</v>
      </c>
      <c r="AB17" s="46">
        <v>15.2</v>
      </c>
      <c r="AC17" s="46">
        <v>15.2</v>
      </c>
      <c r="AD17" s="46">
        <v>15.2</v>
      </c>
      <c r="AE17" s="46">
        <v>15.2</v>
      </c>
      <c r="AF17" s="46">
        <v>15.2</v>
      </c>
      <c r="AG17" s="50">
        <v>44</v>
      </c>
      <c r="AH17" s="48">
        <f>MAX(B17:AG17)</f>
        <v>44</v>
      </c>
      <c r="AI17" s="49">
        <f>MIN(B17:AG17)</f>
        <v>15.2</v>
      </c>
      <c r="AK17" s="51"/>
      <c r="AL17" s="54" t="s">
        <v>27</v>
      </c>
      <c r="AM17" s="59">
        <f>B62</f>
        <v>102.7</v>
      </c>
      <c r="AN17" s="59">
        <f t="shared" ref="AN17:AR17" si="7">C62</f>
        <v>102.7</v>
      </c>
      <c r="AO17" s="59">
        <f t="shared" si="7"/>
        <v>103</v>
      </c>
      <c r="AP17" s="59">
        <f t="shared" si="7"/>
        <v>108.4</v>
      </c>
      <c r="AQ17" s="59">
        <f t="shared" si="7"/>
        <v>108.4</v>
      </c>
      <c r="AR17" s="59">
        <f t="shared" si="7"/>
        <v>108.4</v>
      </c>
      <c r="AS17" s="59">
        <f>I62</f>
        <v>108.4</v>
      </c>
      <c r="AT17" s="59">
        <f>K62</f>
        <v>32.4</v>
      </c>
      <c r="AU17" s="59">
        <f t="shared" ref="AU17:BD17" si="8">M62</f>
        <v>32.299999999999997</v>
      </c>
      <c r="AV17" s="59">
        <f t="shared" si="8"/>
        <v>32.299999999999997</v>
      </c>
      <c r="AW17" s="59">
        <f t="shared" si="8"/>
        <v>32.4</v>
      </c>
      <c r="AX17" s="59">
        <f t="shared" si="8"/>
        <v>32.4</v>
      </c>
      <c r="AY17" s="59">
        <f t="shared" si="8"/>
        <v>32.299999999999997</v>
      </c>
      <c r="AZ17" s="59">
        <f t="shared" si="8"/>
        <v>31.4</v>
      </c>
      <c r="BA17" s="59">
        <f t="shared" si="8"/>
        <v>31.4</v>
      </c>
      <c r="BB17" s="59">
        <f t="shared" si="8"/>
        <v>31.4</v>
      </c>
      <c r="BC17" s="59">
        <f t="shared" si="8"/>
        <v>0</v>
      </c>
      <c r="BD17" s="59">
        <f t="shared" si="8"/>
        <v>31.4</v>
      </c>
      <c r="BE17" s="197">
        <f>X62</f>
        <v>76.7</v>
      </c>
      <c r="BF17" s="197">
        <f>Z62</f>
        <v>418</v>
      </c>
      <c r="BG17" s="197">
        <f>AB62</f>
        <v>329</v>
      </c>
      <c r="BH17" s="197">
        <f>AD62</f>
        <v>105.9</v>
      </c>
      <c r="BI17" s="197">
        <f t="shared" ref="BI17:BJ17" si="9">AE62</f>
        <v>105.9</v>
      </c>
      <c r="BJ17" s="197">
        <f t="shared" si="9"/>
        <v>105.9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8</v>
      </c>
      <c r="C18" s="46">
        <v>8</v>
      </c>
      <c r="D18" s="46">
        <v>8</v>
      </c>
      <c r="E18" s="46">
        <v>8</v>
      </c>
      <c r="F18" s="46">
        <v>8</v>
      </c>
      <c r="G18" s="46">
        <v>8</v>
      </c>
      <c r="H18" s="46">
        <v>8</v>
      </c>
      <c r="I18" s="46">
        <v>8</v>
      </c>
      <c r="J18" s="46">
        <v>8</v>
      </c>
      <c r="K18" s="46">
        <v>8</v>
      </c>
      <c r="L18" s="46">
        <v>8</v>
      </c>
      <c r="M18" s="46">
        <v>8</v>
      </c>
      <c r="N18" s="46">
        <v>8</v>
      </c>
      <c r="O18" s="46">
        <v>8</v>
      </c>
      <c r="P18" s="46">
        <v>8</v>
      </c>
      <c r="Q18" s="46">
        <v>8</v>
      </c>
      <c r="R18" s="46">
        <v>8</v>
      </c>
      <c r="S18" s="46">
        <v>8</v>
      </c>
      <c r="T18" s="46">
        <v>8</v>
      </c>
      <c r="U18" s="46" t="s">
        <v>300</v>
      </c>
      <c r="V18" s="46">
        <v>8</v>
      </c>
      <c r="W18" s="46">
        <v>8</v>
      </c>
      <c r="X18" s="46">
        <v>8</v>
      </c>
      <c r="Y18" s="46">
        <v>8</v>
      </c>
      <c r="Z18" s="46">
        <v>8</v>
      </c>
      <c r="AA18" s="46">
        <v>8</v>
      </c>
      <c r="AB18" s="46">
        <v>8</v>
      </c>
      <c r="AC18" s="46">
        <v>8</v>
      </c>
      <c r="AD18" s="46">
        <v>8</v>
      </c>
      <c r="AE18" s="46">
        <v>8</v>
      </c>
      <c r="AF18" s="46">
        <v>8</v>
      </c>
      <c r="AG18" s="50">
        <v>42</v>
      </c>
      <c r="AH18" s="48">
        <f t="shared" ref="AH18:AH81" si="10">MAX(B18:AF18)</f>
        <v>8</v>
      </c>
      <c r="AI18" s="49">
        <f t="shared" ref="AI18:AI81" si="11">MIN(B18:AF18)</f>
        <v>8</v>
      </c>
      <c r="AK18" s="51"/>
      <c r="AL18" s="54" t="s">
        <v>29</v>
      </c>
      <c r="AM18" s="59">
        <f>B76</f>
        <v>246.84</v>
      </c>
      <c r="AN18" s="59">
        <f t="shared" ref="AN18:AR18" si="12">C76</f>
        <v>180.94</v>
      </c>
      <c r="AO18" s="59">
        <f t="shared" si="12"/>
        <v>171.33999999999997</v>
      </c>
      <c r="AP18" s="59">
        <f t="shared" si="12"/>
        <v>116.94000000000001</v>
      </c>
      <c r="AQ18" s="59">
        <f t="shared" si="12"/>
        <v>116.94000000000001</v>
      </c>
      <c r="AR18" s="59">
        <f t="shared" si="12"/>
        <v>115.24000000000001</v>
      </c>
      <c r="AS18" s="59">
        <f>I76</f>
        <v>216.73999999999998</v>
      </c>
      <c r="AT18" s="59">
        <f>K76</f>
        <v>212.73999999999995</v>
      </c>
      <c r="AU18" s="59">
        <f t="shared" ref="AU18:BD18" si="13">M76</f>
        <v>265.94</v>
      </c>
      <c r="AV18" s="59">
        <f t="shared" si="13"/>
        <v>264.84000000000003</v>
      </c>
      <c r="AW18" s="59">
        <f t="shared" si="13"/>
        <v>253.34</v>
      </c>
      <c r="AX18" s="59">
        <f t="shared" si="13"/>
        <v>236.93999999999997</v>
      </c>
      <c r="AY18" s="59">
        <f t="shared" si="13"/>
        <v>243.84</v>
      </c>
      <c r="AZ18" s="59">
        <f t="shared" si="13"/>
        <v>233.93999999999997</v>
      </c>
      <c r="BA18" s="59">
        <f t="shared" si="13"/>
        <v>228.43999999999997</v>
      </c>
      <c r="BB18" s="59">
        <f t="shared" si="13"/>
        <v>209.94</v>
      </c>
      <c r="BC18" s="59">
        <f t="shared" si="13"/>
        <v>3.54</v>
      </c>
      <c r="BD18" s="59">
        <f t="shared" si="13"/>
        <v>153.83999999999997</v>
      </c>
      <c r="BE18" s="197">
        <f>X76</f>
        <v>214.94</v>
      </c>
      <c r="BF18" s="197">
        <f>Z76</f>
        <v>316.33999999999997</v>
      </c>
      <c r="BG18" s="197">
        <f>AB76</f>
        <v>353.54</v>
      </c>
      <c r="BH18" s="197">
        <f>AD76</f>
        <v>236.03999999999996</v>
      </c>
      <c r="BI18" s="197">
        <f t="shared" ref="BI18:BJ18" si="14">AE76</f>
        <v>231.83999999999997</v>
      </c>
      <c r="BJ18" s="197">
        <f t="shared" si="14"/>
        <v>182.83999999999997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14</v>
      </c>
      <c r="C19" s="46">
        <v>14</v>
      </c>
      <c r="D19" s="46">
        <v>14</v>
      </c>
      <c r="E19" s="46">
        <v>14</v>
      </c>
      <c r="F19" s="46">
        <v>14</v>
      </c>
      <c r="G19" s="46">
        <v>14</v>
      </c>
      <c r="H19" s="46">
        <v>14</v>
      </c>
      <c r="I19" s="46">
        <v>14</v>
      </c>
      <c r="J19" s="46">
        <v>14</v>
      </c>
      <c r="K19" s="46">
        <v>14</v>
      </c>
      <c r="L19" s="46">
        <v>14</v>
      </c>
      <c r="M19" s="46">
        <v>14</v>
      </c>
      <c r="N19" s="46">
        <v>14</v>
      </c>
      <c r="O19" s="46">
        <v>14</v>
      </c>
      <c r="P19" s="46">
        <v>14</v>
      </c>
      <c r="Q19" s="46">
        <v>14</v>
      </c>
      <c r="R19" s="46">
        <v>14</v>
      </c>
      <c r="S19" s="46">
        <v>14</v>
      </c>
      <c r="T19" s="46">
        <v>14</v>
      </c>
      <c r="U19" s="46" t="s">
        <v>301</v>
      </c>
      <c r="V19" s="46">
        <v>14</v>
      </c>
      <c r="W19" s="46">
        <v>14</v>
      </c>
      <c r="X19" s="46">
        <v>14</v>
      </c>
      <c r="Y19" s="46">
        <v>14</v>
      </c>
      <c r="Z19" s="46">
        <v>14</v>
      </c>
      <c r="AA19" s="46">
        <v>14</v>
      </c>
      <c r="AB19" s="46">
        <v>14</v>
      </c>
      <c r="AC19" s="46">
        <v>14</v>
      </c>
      <c r="AD19" s="46">
        <v>14</v>
      </c>
      <c r="AE19" s="46">
        <v>14</v>
      </c>
      <c r="AF19" s="46">
        <v>14</v>
      </c>
      <c r="AG19" s="50">
        <v>38.46</v>
      </c>
      <c r="AH19" s="48">
        <f t="shared" si="10"/>
        <v>14</v>
      </c>
      <c r="AI19" s="49">
        <f t="shared" si="11"/>
        <v>14</v>
      </c>
      <c r="AK19" s="51"/>
      <c r="AL19" s="54" t="s">
        <v>31</v>
      </c>
      <c r="AM19" s="59">
        <f>B92</f>
        <v>153</v>
      </c>
      <c r="AN19" s="59">
        <f t="shared" ref="AN19:AR19" si="15">C92</f>
        <v>195.4</v>
      </c>
      <c r="AO19" s="59">
        <f t="shared" si="15"/>
        <v>171.70000000000002</v>
      </c>
      <c r="AP19" s="59">
        <f t="shared" si="15"/>
        <v>201.2</v>
      </c>
      <c r="AQ19" s="59">
        <f t="shared" si="15"/>
        <v>191.10000000000002</v>
      </c>
      <c r="AR19" s="59">
        <f t="shared" si="15"/>
        <v>225.7</v>
      </c>
      <c r="AS19" s="59">
        <f>I92</f>
        <v>267</v>
      </c>
      <c r="AT19" s="59">
        <f>K92</f>
        <v>803.5</v>
      </c>
      <c r="AU19" s="59">
        <f t="shared" ref="AU19:BD19" si="16">M92</f>
        <v>898.5</v>
      </c>
      <c r="AV19" s="59">
        <f t="shared" si="16"/>
        <v>875.6</v>
      </c>
      <c r="AW19" s="59">
        <f t="shared" si="16"/>
        <v>864.2</v>
      </c>
      <c r="AX19" s="59">
        <f t="shared" si="16"/>
        <v>826</v>
      </c>
      <c r="AY19" s="59">
        <f t="shared" si="16"/>
        <v>892.6</v>
      </c>
      <c r="AZ19" s="59">
        <f t="shared" si="16"/>
        <v>898.19999999999982</v>
      </c>
      <c r="BA19" s="59">
        <f t="shared" si="16"/>
        <v>895.5</v>
      </c>
      <c r="BB19" s="59">
        <f t="shared" si="16"/>
        <v>873.5</v>
      </c>
      <c r="BC19" s="59">
        <f t="shared" si="16"/>
        <v>0</v>
      </c>
      <c r="BD19" s="59">
        <f t="shared" si="16"/>
        <v>852.5</v>
      </c>
      <c r="BE19" s="197">
        <f>X92</f>
        <v>585.6</v>
      </c>
      <c r="BF19" s="197">
        <f>Z92</f>
        <v>158.80000000000001</v>
      </c>
      <c r="BG19" s="197">
        <f>AB92</f>
        <v>247.70000000000002</v>
      </c>
      <c r="BH19" s="197">
        <f>AD92</f>
        <v>353.3</v>
      </c>
      <c r="BI19" s="197">
        <f t="shared" ref="BI19:BJ19" si="17">AE92</f>
        <v>320</v>
      </c>
      <c r="BJ19" s="197">
        <f t="shared" si="17"/>
        <v>326.7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7.8</v>
      </c>
      <c r="C20" s="46">
        <v>7.8</v>
      </c>
      <c r="D20" s="46">
        <v>7.8</v>
      </c>
      <c r="E20" s="46">
        <v>7.8</v>
      </c>
      <c r="F20" s="46">
        <v>7.8</v>
      </c>
      <c r="G20" s="46">
        <v>7.8</v>
      </c>
      <c r="H20" s="46">
        <v>7.8</v>
      </c>
      <c r="I20" s="46">
        <v>7.8</v>
      </c>
      <c r="J20" s="46">
        <v>7.8</v>
      </c>
      <c r="K20" s="46">
        <v>7.8</v>
      </c>
      <c r="L20" s="46">
        <v>7.8</v>
      </c>
      <c r="M20" s="46">
        <v>7.8</v>
      </c>
      <c r="N20" s="46">
        <v>7.8</v>
      </c>
      <c r="O20" s="46">
        <v>7.8</v>
      </c>
      <c r="P20" s="46">
        <v>7.8</v>
      </c>
      <c r="Q20" s="46">
        <v>7.8</v>
      </c>
      <c r="R20" s="46">
        <v>7.8</v>
      </c>
      <c r="S20" s="46">
        <v>7.8</v>
      </c>
      <c r="T20" s="46">
        <v>7.8</v>
      </c>
      <c r="U20" s="46" t="s">
        <v>302</v>
      </c>
      <c r="V20" s="46">
        <v>7.8</v>
      </c>
      <c r="W20" s="46">
        <v>7.8</v>
      </c>
      <c r="X20" s="46">
        <v>7.8</v>
      </c>
      <c r="Y20" s="46">
        <v>7.8</v>
      </c>
      <c r="Z20" s="46">
        <v>7.8</v>
      </c>
      <c r="AA20" s="46">
        <v>7.8</v>
      </c>
      <c r="AB20" s="46">
        <v>7.8</v>
      </c>
      <c r="AC20" s="46">
        <v>7.8</v>
      </c>
      <c r="AD20" s="46">
        <v>7.8</v>
      </c>
      <c r="AE20" s="46">
        <v>7.8</v>
      </c>
      <c r="AF20" s="46">
        <v>7.8</v>
      </c>
      <c r="AG20" s="50">
        <v>38.46</v>
      </c>
      <c r="AH20" s="48">
        <f t="shared" si="10"/>
        <v>7.8</v>
      </c>
      <c r="AI20" s="49">
        <f t="shared" si="11"/>
        <v>7.8</v>
      </c>
      <c r="AK20" s="51"/>
      <c r="AL20" s="54" t="s">
        <v>33</v>
      </c>
      <c r="AM20" s="59">
        <f>B80</f>
        <v>92.899999999999991</v>
      </c>
      <c r="AN20" s="59">
        <f t="shared" ref="AN20:AR20" si="18">C80</f>
        <v>94</v>
      </c>
      <c r="AO20" s="59">
        <f t="shared" si="18"/>
        <v>93.9</v>
      </c>
      <c r="AP20" s="59">
        <f t="shared" si="18"/>
        <v>93.9</v>
      </c>
      <c r="AQ20" s="59">
        <f t="shared" si="18"/>
        <v>93.9</v>
      </c>
      <c r="AR20" s="59">
        <f t="shared" si="18"/>
        <v>93.9</v>
      </c>
      <c r="AS20" s="59">
        <f>I80</f>
        <v>93.9</v>
      </c>
      <c r="AT20" s="59">
        <f>K80</f>
        <v>35</v>
      </c>
      <c r="AU20" s="59">
        <f t="shared" ref="AU20:BD20" si="19">M80</f>
        <v>30.500000000000004</v>
      </c>
      <c r="AV20" s="59">
        <f t="shared" si="19"/>
        <v>48</v>
      </c>
      <c r="AW20" s="59">
        <f t="shared" si="19"/>
        <v>86.5</v>
      </c>
      <c r="AX20" s="59">
        <f t="shared" si="19"/>
        <v>77.2</v>
      </c>
      <c r="AY20" s="59">
        <f t="shared" si="19"/>
        <v>77.600000000000009</v>
      </c>
      <c r="AZ20" s="59">
        <f t="shared" si="19"/>
        <v>59.3</v>
      </c>
      <c r="BA20" s="59">
        <f t="shared" si="19"/>
        <v>88</v>
      </c>
      <c r="BB20" s="59">
        <f t="shared" si="19"/>
        <v>90.1</v>
      </c>
      <c r="BC20" s="59">
        <f t="shared" si="19"/>
        <v>0</v>
      </c>
      <c r="BD20" s="59">
        <f t="shared" si="19"/>
        <v>50.099999999999994</v>
      </c>
      <c r="BE20" s="197">
        <f>X80</f>
        <v>59.9</v>
      </c>
      <c r="BF20" s="197">
        <f>Z80</f>
        <v>95.399999999999991</v>
      </c>
      <c r="BG20" s="197">
        <f>AB80</f>
        <v>94.4</v>
      </c>
      <c r="BH20" s="197">
        <f>AD80</f>
        <v>94.4</v>
      </c>
      <c r="BI20" s="197">
        <f t="shared" ref="BI20:BJ20" si="20">AE80</f>
        <v>94.4</v>
      </c>
      <c r="BJ20" s="197">
        <f t="shared" si="20"/>
        <v>94.4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11</v>
      </c>
      <c r="C21" s="46">
        <v>11</v>
      </c>
      <c r="D21" s="46">
        <v>11</v>
      </c>
      <c r="E21" s="46">
        <v>11</v>
      </c>
      <c r="F21" s="46">
        <v>11</v>
      </c>
      <c r="G21" s="46">
        <v>11</v>
      </c>
      <c r="H21" s="46">
        <v>11</v>
      </c>
      <c r="I21" s="46">
        <v>11</v>
      </c>
      <c r="J21" s="46">
        <v>11</v>
      </c>
      <c r="K21" s="46">
        <v>11</v>
      </c>
      <c r="L21" s="46">
        <v>11</v>
      </c>
      <c r="M21" s="46">
        <v>11</v>
      </c>
      <c r="N21" s="46">
        <v>11</v>
      </c>
      <c r="O21" s="46">
        <v>11</v>
      </c>
      <c r="P21" s="46">
        <v>11</v>
      </c>
      <c r="Q21" s="46">
        <v>11</v>
      </c>
      <c r="R21" s="46">
        <v>11</v>
      </c>
      <c r="S21" s="46">
        <v>11</v>
      </c>
      <c r="T21" s="46">
        <v>11</v>
      </c>
      <c r="U21" s="46" t="s">
        <v>302</v>
      </c>
      <c r="V21" s="46">
        <v>11</v>
      </c>
      <c r="W21" s="46">
        <v>11</v>
      </c>
      <c r="X21" s="46">
        <v>11</v>
      </c>
      <c r="Y21" s="46">
        <v>11</v>
      </c>
      <c r="Z21" s="46">
        <v>11</v>
      </c>
      <c r="AA21" s="46">
        <v>11</v>
      </c>
      <c r="AB21" s="46">
        <v>11</v>
      </c>
      <c r="AC21" s="46">
        <v>11</v>
      </c>
      <c r="AD21" s="46">
        <v>11</v>
      </c>
      <c r="AE21" s="46">
        <v>11</v>
      </c>
      <c r="AF21" s="46">
        <v>11</v>
      </c>
      <c r="AG21" s="50">
        <v>36</v>
      </c>
      <c r="AH21" s="48">
        <f t="shared" si="10"/>
        <v>11</v>
      </c>
      <c r="AI21" s="49">
        <f t="shared" si="11"/>
        <v>11</v>
      </c>
      <c r="AK21" s="51"/>
      <c r="AL21" s="54" t="s">
        <v>35</v>
      </c>
      <c r="AM21" s="59">
        <f>B98</f>
        <v>280</v>
      </c>
      <c r="AN21" s="59">
        <f t="shared" ref="AN21:AR21" si="21">C98</f>
        <v>280</v>
      </c>
      <c r="AO21" s="59">
        <f t="shared" si="21"/>
        <v>280</v>
      </c>
      <c r="AP21" s="59">
        <f t="shared" si="21"/>
        <v>280</v>
      </c>
      <c r="AQ21" s="59">
        <f t="shared" si="21"/>
        <v>280</v>
      </c>
      <c r="AR21" s="59">
        <f t="shared" si="21"/>
        <v>280</v>
      </c>
      <c r="AS21" s="59">
        <f>I98</f>
        <v>260</v>
      </c>
      <c r="AT21" s="59">
        <f>K98</f>
        <v>0</v>
      </c>
      <c r="AU21" s="59">
        <f t="shared" ref="AU21:BD21" si="22">M98</f>
        <v>0</v>
      </c>
      <c r="AV21" s="59">
        <f t="shared" si="22"/>
        <v>0</v>
      </c>
      <c r="AW21" s="59">
        <f t="shared" si="22"/>
        <v>0</v>
      </c>
      <c r="AX21" s="59">
        <f t="shared" si="22"/>
        <v>0</v>
      </c>
      <c r="AY21" s="59">
        <f t="shared" si="22"/>
        <v>0</v>
      </c>
      <c r="AZ21" s="59">
        <f t="shared" si="22"/>
        <v>0</v>
      </c>
      <c r="BA21" s="59">
        <f t="shared" si="22"/>
        <v>0</v>
      </c>
      <c r="BB21" s="59">
        <f t="shared" si="22"/>
        <v>0</v>
      </c>
      <c r="BC21" s="59">
        <f t="shared" si="22"/>
        <v>0</v>
      </c>
      <c r="BD21" s="59">
        <f t="shared" si="22"/>
        <v>0</v>
      </c>
      <c r="BE21" s="197">
        <f>X98</f>
        <v>0</v>
      </c>
      <c r="BF21" s="197">
        <f>Z98</f>
        <v>370</v>
      </c>
      <c r="BG21" s="197">
        <f>AB98</f>
        <v>370</v>
      </c>
      <c r="BH21" s="197">
        <f>AD98</f>
        <v>370</v>
      </c>
      <c r="BI21" s="197">
        <f t="shared" ref="BI21:BJ21" si="23">AE98</f>
        <v>370</v>
      </c>
      <c r="BJ21" s="197">
        <f t="shared" si="23"/>
        <v>370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8.5</v>
      </c>
      <c r="C22" s="46">
        <v>8.5</v>
      </c>
      <c r="D22" s="46">
        <v>8.5</v>
      </c>
      <c r="E22" s="46">
        <v>8.5</v>
      </c>
      <c r="F22" s="46">
        <v>8.5</v>
      </c>
      <c r="G22" s="46">
        <v>8.5</v>
      </c>
      <c r="H22" s="46">
        <v>8.5</v>
      </c>
      <c r="I22" s="46">
        <v>8.5</v>
      </c>
      <c r="J22" s="46">
        <v>8.5</v>
      </c>
      <c r="K22" s="46">
        <v>8.5</v>
      </c>
      <c r="L22" s="46">
        <v>8.5</v>
      </c>
      <c r="M22" s="46">
        <v>8.5</v>
      </c>
      <c r="N22" s="46">
        <v>8.5</v>
      </c>
      <c r="O22" s="46">
        <v>8.5</v>
      </c>
      <c r="P22" s="46">
        <v>8.5</v>
      </c>
      <c r="Q22" s="46">
        <v>8.5</v>
      </c>
      <c r="R22" s="46">
        <v>8.5</v>
      </c>
      <c r="S22" s="46">
        <v>8.5</v>
      </c>
      <c r="T22" s="46">
        <v>8.5</v>
      </c>
      <c r="U22" s="46" t="s">
        <v>303</v>
      </c>
      <c r="V22" s="46">
        <v>8.5</v>
      </c>
      <c r="W22" s="46">
        <v>8.5</v>
      </c>
      <c r="X22" s="46">
        <v>8.5</v>
      </c>
      <c r="Y22" s="46">
        <v>8.5</v>
      </c>
      <c r="Z22" s="46">
        <v>8.5</v>
      </c>
      <c r="AA22" s="46">
        <v>8.5</v>
      </c>
      <c r="AB22" s="46">
        <v>8.5</v>
      </c>
      <c r="AC22" s="46">
        <v>8.5</v>
      </c>
      <c r="AD22" s="46">
        <v>8.5</v>
      </c>
      <c r="AE22" s="46">
        <v>8.5</v>
      </c>
      <c r="AF22" s="46">
        <v>8.5</v>
      </c>
      <c r="AG22" s="60">
        <v>30</v>
      </c>
      <c r="AH22" s="48">
        <f t="shared" si="10"/>
        <v>8.5</v>
      </c>
      <c r="AI22" s="49">
        <f t="shared" si="11"/>
        <v>8.5</v>
      </c>
      <c r="AK22" s="51"/>
      <c r="AL22" s="61" t="s">
        <v>37</v>
      </c>
      <c r="AM22" s="62">
        <f>SUM(AM16:AM21)</f>
        <v>1354.49</v>
      </c>
      <c r="AN22" s="62">
        <f t="shared" ref="AN22:BJ22" si="24">SUM(AN16:AN21)</f>
        <v>1330.69</v>
      </c>
      <c r="AO22" s="62">
        <f t="shared" si="24"/>
        <v>1297.0900000000001</v>
      </c>
      <c r="AP22" s="62">
        <f t="shared" si="24"/>
        <v>1277.5900000000001</v>
      </c>
      <c r="AQ22" s="62">
        <f t="shared" si="24"/>
        <v>1267.49</v>
      </c>
      <c r="AR22" s="62">
        <f t="shared" si="24"/>
        <v>1300.3899999999999</v>
      </c>
      <c r="AS22" s="62">
        <f t="shared" si="24"/>
        <v>1423.19</v>
      </c>
      <c r="AT22" s="62">
        <f t="shared" si="24"/>
        <v>1560.79</v>
      </c>
      <c r="AU22" s="62">
        <f t="shared" si="24"/>
        <v>1703.79</v>
      </c>
      <c r="AV22" s="62">
        <f t="shared" si="24"/>
        <v>1698.79</v>
      </c>
      <c r="AW22" s="62">
        <f t="shared" si="24"/>
        <v>1713.5900000000001</v>
      </c>
      <c r="AX22" s="62">
        <f t="shared" si="24"/>
        <v>1650.1899999999998</v>
      </c>
      <c r="AY22" s="62">
        <f t="shared" si="24"/>
        <v>1723.8899999999999</v>
      </c>
      <c r="AZ22" s="62">
        <f t="shared" si="24"/>
        <v>1699.7899999999997</v>
      </c>
      <c r="BA22" s="62">
        <f t="shared" si="24"/>
        <v>1720.29</v>
      </c>
      <c r="BB22" s="62">
        <f t="shared" si="24"/>
        <v>1681.8899999999999</v>
      </c>
      <c r="BC22" s="62">
        <f t="shared" si="24"/>
        <v>153.54</v>
      </c>
      <c r="BD22" s="62">
        <f t="shared" si="24"/>
        <v>1564.79</v>
      </c>
      <c r="BE22" s="62">
        <f t="shared" si="24"/>
        <v>1414.0900000000001</v>
      </c>
      <c r="BF22" s="62">
        <f t="shared" si="24"/>
        <v>1835.49</v>
      </c>
      <c r="BG22" s="62">
        <f t="shared" si="24"/>
        <v>1871.5900000000001</v>
      </c>
      <c r="BH22" s="62">
        <f t="shared" si="24"/>
        <v>1636.5900000000001</v>
      </c>
      <c r="BI22" s="62">
        <f t="shared" si="24"/>
        <v>1599.0900000000001</v>
      </c>
      <c r="BJ22" s="62">
        <f t="shared" si="24"/>
        <v>1556.7900000000002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4.5</v>
      </c>
      <c r="C23" s="46">
        <v>4.5</v>
      </c>
      <c r="D23" s="46">
        <v>4.5</v>
      </c>
      <c r="E23" s="46">
        <v>4.5</v>
      </c>
      <c r="F23" s="46">
        <v>4.5</v>
      </c>
      <c r="G23" s="46">
        <v>4.5</v>
      </c>
      <c r="H23" s="46">
        <v>4.5</v>
      </c>
      <c r="I23" s="46">
        <v>4.5</v>
      </c>
      <c r="J23" s="46">
        <v>4.5</v>
      </c>
      <c r="K23" s="46">
        <v>4.5</v>
      </c>
      <c r="L23" s="46">
        <v>4.5</v>
      </c>
      <c r="M23" s="46">
        <v>4.5</v>
      </c>
      <c r="N23" s="46">
        <v>4.5</v>
      </c>
      <c r="O23" s="46">
        <v>4.5</v>
      </c>
      <c r="P23" s="46">
        <v>4.5</v>
      </c>
      <c r="Q23" s="46">
        <v>4.5</v>
      </c>
      <c r="R23" s="46">
        <v>4.5</v>
      </c>
      <c r="S23" s="46">
        <v>4.5</v>
      </c>
      <c r="T23" s="46">
        <v>4.5</v>
      </c>
      <c r="U23" s="46" t="s">
        <v>295</v>
      </c>
      <c r="V23" s="46">
        <v>4.5</v>
      </c>
      <c r="W23" s="46">
        <v>4.5</v>
      </c>
      <c r="X23" s="46">
        <v>4.5</v>
      </c>
      <c r="Y23" s="46">
        <v>4.5</v>
      </c>
      <c r="Z23" s="46">
        <v>4.5</v>
      </c>
      <c r="AA23" s="46">
        <v>4.5</v>
      </c>
      <c r="AB23" s="46">
        <v>4.5</v>
      </c>
      <c r="AC23" s="46">
        <v>4.5</v>
      </c>
      <c r="AD23" s="46">
        <v>4.5</v>
      </c>
      <c r="AE23" s="46">
        <v>4.5</v>
      </c>
      <c r="AF23" s="46">
        <v>4.5</v>
      </c>
      <c r="AG23" s="50">
        <v>24.2</v>
      </c>
      <c r="AH23" s="48">
        <f t="shared" si="10"/>
        <v>4.5</v>
      </c>
      <c r="AI23" s="49">
        <f t="shared" si="11"/>
        <v>4.5</v>
      </c>
      <c r="AK23" s="51"/>
      <c r="AL23" s="61" t="s">
        <v>39</v>
      </c>
      <c r="AM23" s="62">
        <f>B107*-1</f>
        <v>0</v>
      </c>
      <c r="AN23" s="62">
        <f t="shared" ref="AN23:AR23" si="25">C107*-1</f>
        <v>0</v>
      </c>
      <c r="AO23" s="62">
        <f t="shared" si="25"/>
        <v>0</v>
      </c>
      <c r="AP23" s="62">
        <f t="shared" si="25"/>
        <v>0</v>
      </c>
      <c r="AQ23" s="62">
        <f t="shared" si="25"/>
        <v>0</v>
      </c>
      <c r="AR23" s="62">
        <f t="shared" si="25"/>
        <v>0</v>
      </c>
      <c r="AS23" s="62">
        <f>I107*-1</f>
        <v>0</v>
      </c>
      <c r="AT23" s="62">
        <f>K107*-1</f>
        <v>0</v>
      </c>
      <c r="AU23" s="62">
        <f t="shared" ref="AU23:BD23" si="26">M107*-1</f>
        <v>0</v>
      </c>
      <c r="AV23" s="62">
        <f t="shared" si="26"/>
        <v>0</v>
      </c>
      <c r="AW23" s="62">
        <f t="shared" si="26"/>
        <v>0</v>
      </c>
      <c r="AX23" s="62">
        <f t="shared" si="26"/>
        <v>0</v>
      </c>
      <c r="AY23" s="62">
        <f t="shared" si="26"/>
        <v>0</v>
      </c>
      <c r="AZ23" s="62">
        <f t="shared" si="26"/>
        <v>0</v>
      </c>
      <c r="BA23" s="62">
        <f t="shared" si="26"/>
        <v>0</v>
      </c>
      <c r="BB23" s="62">
        <f t="shared" si="26"/>
        <v>0</v>
      </c>
      <c r="BC23" s="62">
        <f t="shared" si="26"/>
        <v>0</v>
      </c>
      <c r="BD23" s="62">
        <f t="shared" si="26"/>
        <v>0</v>
      </c>
      <c r="BE23" s="62">
        <f>X107*-1</f>
        <v>0</v>
      </c>
      <c r="BF23" s="62">
        <f>Z107*-1</f>
        <v>0</v>
      </c>
      <c r="BG23" s="62">
        <f>AB107*-1</f>
        <v>0</v>
      </c>
      <c r="BH23" s="62">
        <f>AD107*-1</f>
        <v>0</v>
      </c>
      <c r="BI23" s="62">
        <f t="shared" ref="BI23:BJ23" si="27">AE107*-1</f>
        <v>0</v>
      </c>
      <c r="BJ23" s="62">
        <f t="shared" si="27"/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6.5</v>
      </c>
      <c r="C24" s="46">
        <v>6.5</v>
      </c>
      <c r="D24" s="46">
        <v>6.5</v>
      </c>
      <c r="E24" s="46">
        <v>6.5</v>
      </c>
      <c r="F24" s="46">
        <v>6.5</v>
      </c>
      <c r="G24" s="46">
        <v>6.5</v>
      </c>
      <c r="H24" s="46">
        <v>6.5</v>
      </c>
      <c r="I24" s="46">
        <v>6.5</v>
      </c>
      <c r="J24" s="46">
        <v>6.5</v>
      </c>
      <c r="K24" s="46">
        <v>6.5</v>
      </c>
      <c r="L24" s="46">
        <v>6.5</v>
      </c>
      <c r="M24" s="46">
        <v>6.5</v>
      </c>
      <c r="N24" s="46">
        <v>6.5</v>
      </c>
      <c r="O24" s="46">
        <v>6.5</v>
      </c>
      <c r="P24" s="46">
        <v>6.5</v>
      </c>
      <c r="Q24" s="46">
        <v>6.5</v>
      </c>
      <c r="R24" s="46">
        <v>6.5</v>
      </c>
      <c r="S24" s="46">
        <v>6.5</v>
      </c>
      <c r="T24" s="46">
        <v>6.5</v>
      </c>
      <c r="U24" s="46" t="s">
        <v>304</v>
      </c>
      <c r="V24" s="46">
        <v>6.5</v>
      </c>
      <c r="W24" s="46">
        <v>6.5</v>
      </c>
      <c r="X24" s="46">
        <v>6.5</v>
      </c>
      <c r="Y24" s="46">
        <v>6.5</v>
      </c>
      <c r="Z24" s="46">
        <v>6.5</v>
      </c>
      <c r="AA24" s="46">
        <v>6.5</v>
      </c>
      <c r="AB24" s="46">
        <v>6.5</v>
      </c>
      <c r="AC24" s="46">
        <v>6.5</v>
      </c>
      <c r="AD24" s="46">
        <v>6.5</v>
      </c>
      <c r="AE24" s="46">
        <v>6.5</v>
      </c>
      <c r="AF24" s="46">
        <v>6.5</v>
      </c>
      <c r="AG24" s="50">
        <v>28</v>
      </c>
      <c r="AH24" s="48">
        <f t="shared" si="10"/>
        <v>6.5</v>
      </c>
      <c r="AI24" s="49">
        <f t="shared" si="11"/>
        <v>6.5</v>
      </c>
      <c r="AK24" s="51"/>
      <c r="AL24" s="61" t="s">
        <v>41</v>
      </c>
      <c r="AM24" s="62">
        <f>AM22+AM23</f>
        <v>1354.49</v>
      </c>
      <c r="AN24" s="62">
        <f t="shared" ref="AN24:BJ24" si="28">AN22+AN23</f>
        <v>1330.69</v>
      </c>
      <c r="AO24" s="62">
        <f t="shared" si="28"/>
        <v>1297.0900000000001</v>
      </c>
      <c r="AP24" s="62">
        <f t="shared" si="28"/>
        <v>1277.5900000000001</v>
      </c>
      <c r="AQ24" s="62">
        <f t="shared" si="28"/>
        <v>1267.49</v>
      </c>
      <c r="AR24" s="62">
        <f t="shared" si="28"/>
        <v>1300.3899999999999</v>
      </c>
      <c r="AS24" s="62">
        <f t="shared" si="28"/>
        <v>1423.19</v>
      </c>
      <c r="AT24" s="62">
        <f t="shared" si="28"/>
        <v>1560.79</v>
      </c>
      <c r="AU24" s="62">
        <f t="shared" si="28"/>
        <v>1703.79</v>
      </c>
      <c r="AV24" s="62">
        <f t="shared" si="28"/>
        <v>1698.79</v>
      </c>
      <c r="AW24" s="62">
        <f t="shared" si="28"/>
        <v>1713.5900000000001</v>
      </c>
      <c r="AX24" s="62">
        <f t="shared" si="28"/>
        <v>1650.1899999999998</v>
      </c>
      <c r="AY24" s="62">
        <f t="shared" si="28"/>
        <v>1723.8899999999999</v>
      </c>
      <c r="AZ24" s="62">
        <f t="shared" si="28"/>
        <v>1699.7899999999997</v>
      </c>
      <c r="BA24" s="62">
        <f t="shared" si="28"/>
        <v>1720.29</v>
      </c>
      <c r="BB24" s="62">
        <f t="shared" si="28"/>
        <v>1681.8899999999999</v>
      </c>
      <c r="BC24" s="62">
        <f t="shared" si="28"/>
        <v>153.54</v>
      </c>
      <c r="BD24" s="62">
        <f t="shared" si="28"/>
        <v>1564.79</v>
      </c>
      <c r="BE24" s="62">
        <f t="shared" si="28"/>
        <v>1414.0900000000001</v>
      </c>
      <c r="BF24" s="62">
        <f t="shared" si="28"/>
        <v>1835.49</v>
      </c>
      <c r="BG24" s="62">
        <f t="shared" si="28"/>
        <v>1871.5900000000001</v>
      </c>
      <c r="BH24" s="62">
        <f t="shared" si="28"/>
        <v>1636.5900000000001</v>
      </c>
      <c r="BI24" s="62">
        <f t="shared" si="28"/>
        <v>1599.0900000000001</v>
      </c>
      <c r="BJ24" s="62">
        <f t="shared" si="28"/>
        <v>1556.7900000000002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6.8</v>
      </c>
      <c r="C25" s="46">
        <v>6.8</v>
      </c>
      <c r="D25" s="46">
        <v>6.8</v>
      </c>
      <c r="E25" s="46">
        <v>6.8</v>
      </c>
      <c r="F25" s="46">
        <v>6.8</v>
      </c>
      <c r="G25" s="46">
        <v>6.8</v>
      </c>
      <c r="H25" s="46">
        <v>6.8</v>
      </c>
      <c r="I25" s="46">
        <v>6.8</v>
      </c>
      <c r="J25" s="46">
        <v>6.8</v>
      </c>
      <c r="K25" s="46">
        <v>6.8</v>
      </c>
      <c r="L25" s="46">
        <v>6.8</v>
      </c>
      <c r="M25" s="46">
        <v>6.8</v>
      </c>
      <c r="N25" s="46">
        <v>6.8</v>
      </c>
      <c r="O25" s="46">
        <v>6.8</v>
      </c>
      <c r="P25" s="46">
        <v>6.8</v>
      </c>
      <c r="Q25" s="46">
        <v>6.8</v>
      </c>
      <c r="R25" s="46">
        <v>6.8</v>
      </c>
      <c r="S25" s="46">
        <v>6.8</v>
      </c>
      <c r="T25" s="46">
        <v>6.8</v>
      </c>
      <c r="U25" s="46" t="s">
        <v>298</v>
      </c>
      <c r="V25" s="46">
        <v>6.8</v>
      </c>
      <c r="W25" s="46">
        <v>6.8</v>
      </c>
      <c r="X25" s="46">
        <v>6.8</v>
      </c>
      <c r="Y25" s="46">
        <v>6.8</v>
      </c>
      <c r="Z25" s="46">
        <v>6.8</v>
      </c>
      <c r="AA25" s="46">
        <v>6.8</v>
      </c>
      <c r="AB25" s="46">
        <v>6.8</v>
      </c>
      <c r="AC25" s="46">
        <v>6.8</v>
      </c>
      <c r="AD25" s="46">
        <v>6.8</v>
      </c>
      <c r="AE25" s="46">
        <v>6.8</v>
      </c>
      <c r="AF25" s="46">
        <v>6.8</v>
      </c>
      <c r="AG25" s="60">
        <v>30</v>
      </c>
      <c r="AH25" s="48">
        <f t="shared" si="10"/>
        <v>6.8</v>
      </c>
      <c r="AI25" s="49">
        <f t="shared" si="11"/>
        <v>6.8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11.1</v>
      </c>
      <c r="C26" s="46">
        <v>11.1</v>
      </c>
      <c r="D26" s="46">
        <v>11.1</v>
      </c>
      <c r="E26" s="46">
        <v>11.1</v>
      </c>
      <c r="F26" s="46">
        <v>11.1</v>
      </c>
      <c r="G26" s="46">
        <v>11.1</v>
      </c>
      <c r="H26" s="46">
        <v>11.1</v>
      </c>
      <c r="I26" s="46">
        <v>11.1</v>
      </c>
      <c r="J26" s="46">
        <v>11.1</v>
      </c>
      <c r="K26" s="46">
        <v>11.1</v>
      </c>
      <c r="L26" s="46">
        <v>11.1</v>
      </c>
      <c r="M26" s="46">
        <v>11.1</v>
      </c>
      <c r="N26" s="46">
        <v>11.1</v>
      </c>
      <c r="O26" s="46">
        <v>11.1</v>
      </c>
      <c r="P26" s="46">
        <v>11.1</v>
      </c>
      <c r="Q26" s="46">
        <v>11.1</v>
      </c>
      <c r="R26" s="46">
        <v>11.1</v>
      </c>
      <c r="S26" s="46">
        <v>11.1</v>
      </c>
      <c r="T26" s="46">
        <v>11.1</v>
      </c>
      <c r="U26" s="46"/>
      <c r="V26" s="46">
        <v>11.1</v>
      </c>
      <c r="W26" s="46">
        <v>11.1</v>
      </c>
      <c r="X26" s="46">
        <v>11.1</v>
      </c>
      <c r="Y26" s="46">
        <v>11.1</v>
      </c>
      <c r="Z26" s="46">
        <v>11.1</v>
      </c>
      <c r="AA26" s="46">
        <v>11.1</v>
      </c>
      <c r="AB26" s="46">
        <v>11.1</v>
      </c>
      <c r="AC26" s="46">
        <v>11.1</v>
      </c>
      <c r="AD26" s="46">
        <v>11.1</v>
      </c>
      <c r="AE26" s="46">
        <v>11.1</v>
      </c>
      <c r="AF26" s="46">
        <v>11.1</v>
      </c>
      <c r="AG26" s="50">
        <v>25</v>
      </c>
      <c r="AH26" s="48">
        <f t="shared" si="10"/>
        <v>11.1</v>
      </c>
      <c r="AI26" s="49">
        <f t="shared" si="11"/>
        <v>11.1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5</v>
      </c>
      <c r="N27" s="46">
        <v>5</v>
      </c>
      <c r="O27" s="46">
        <v>5</v>
      </c>
      <c r="P27" s="46">
        <v>5</v>
      </c>
      <c r="Q27" s="46">
        <v>5</v>
      </c>
      <c r="R27" s="46">
        <v>5</v>
      </c>
      <c r="S27" s="46">
        <v>5</v>
      </c>
      <c r="T27" s="46">
        <v>5</v>
      </c>
      <c r="U27" s="46"/>
      <c r="V27" s="46">
        <v>5</v>
      </c>
      <c r="W27" s="46">
        <v>5</v>
      </c>
      <c r="X27" s="46">
        <v>5</v>
      </c>
      <c r="Y27" s="46">
        <v>5</v>
      </c>
      <c r="Z27" s="46">
        <v>5</v>
      </c>
      <c r="AA27" s="46">
        <v>5</v>
      </c>
      <c r="AB27" s="46">
        <v>5</v>
      </c>
      <c r="AC27" s="46">
        <v>5</v>
      </c>
      <c r="AD27" s="46">
        <v>5</v>
      </c>
      <c r="AE27" s="46">
        <v>5</v>
      </c>
      <c r="AF27" s="46">
        <v>5</v>
      </c>
      <c r="AG27" s="50">
        <v>25</v>
      </c>
      <c r="AH27" s="48">
        <f t="shared" si="10"/>
        <v>5</v>
      </c>
      <c r="AI27" s="49">
        <f t="shared" si="11"/>
        <v>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10</v>
      </c>
      <c r="C28" s="46">
        <v>10</v>
      </c>
      <c r="D28" s="46">
        <v>10</v>
      </c>
      <c r="E28" s="46">
        <v>10</v>
      </c>
      <c r="F28" s="46">
        <v>10</v>
      </c>
      <c r="G28" s="46">
        <v>10</v>
      </c>
      <c r="H28" s="46">
        <v>10</v>
      </c>
      <c r="I28" s="46">
        <v>10</v>
      </c>
      <c r="J28" s="46">
        <v>10</v>
      </c>
      <c r="K28" s="46">
        <v>10</v>
      </c>
      <c r="L28" s="46">
        <v>10</v>
      </c>
      <c r="M28" s="46">
        <v>10</v>
      </c>
      <c r="N28" s="46">
        <v>10</v>
      </c>
      <c r="O28" s="46">
        <v>10</v>
      </c>
      <c r="P28" s="46">
        <v>10</v>
      </c>
      <c r="Q28" s="46">
        <v>10</v>
      </c>
      <c r="R28" s="46">
        <v>10</v>
      </c>
      <c r="S28" s="46">
        <v>10</v>
      </c>
      <c r="T28" s="46">
        <v>10</v>
      </c>
      <c r="U28" s="46"/>
      <c r="V28" s="46">
        <v>10</v>
      </c>
      <c r="W28" s="46">
        <v>10</v>
      </c>
      <c r="X28" s="46">
        <v>10</v>
      </c>
      <c r="Y28" s="46">
        <v>10</v>
      </c>
      <c r="Z28" s="46">
        <v>10</v>
      </c>
      <c r="AA28" s="46">
        <v>10</v>
      </c>
      <c r="AB28" s="46">
        <v>10</v>
      </c>
      <c r="AC28" s="46">
        <v>10</v>
      </c>
      <c r="AD28" s="46">
        <v>10</v>
      </c>
      <c r="AE28" s="46">
        <v>10</v>
      </c>
      <c r="AF28" s="46">
        <v>10</v>
      </c>
      <c r="AG28" s="50">
        <v>25</v>
      </c>
      <c r="AH28" s="48">
        <f t="shared" si="10"/>
        <v>10</v>
      </c>
      <c r="AI28" s="49">
        <f t="shared" si="11"/>
        <v>10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8.6999999999999993</v>
      </c>
      <c r="C29" s="46">
        <v>8.6999999999999993</v>
      </c>
      <c r="D29" s="46">
        <v>8.6999999999999993</v>
      </c>
      <c r="E29" s="46">
        <v>8.6999999999999993</v>
      </c>
      <c r="F29" s="46">
        <v>8.6999999999999993</v>
      </c>
      <c r="G29" s="46">
        <v>8.6999999999999993</v>
      </c>
      <c r="H29" s="46">
        <v>8.6999999999999993</v>
      </c>
      <c r="I29" s="46">
        <v>8.6999999999999993</v>
      </c>
      <c r="J29" s="46">
        <v>8.6999999999999993</v>
      </c>
      <c r="K29" s="46">
        <v>8.6999999999999993</v>
      </c>
      <c r="L29" s="46">
        <v>8.6999999999999993</v>
      </c>
      <c r="M29" s="46">
        <v>8.6999999999999993</v>
      </c>
      <c r="N29" s="46">
        <v>8.6999999999999993</v>
      </c>
      <c r="O29" s="46">
        <v>8.6999999999999993</v>
      </c>
      <c r="P29" s="46">
        <v>8.6999999999999993</v>
      </c>
      <c r="Q29" s="46">
        <v>8.6999999999999993</v>
      </c>
      <c r="R29" s="46">
        <v>8.6999999999999993</v>
      </c>
      <c r="S29" s="46">
        <v>8.6999999999999993</v>
      </c>
      <c r="T29" s="46">
        <v>8.6999999999999993</v>
      </c>
      <c r="U29" s="46"/>
      <c r="V29" s="46">
        <v>8.6999999999999993</v>
      </c>
      <c r="W29" s="46">
        <v>8.6999999999999993</v>
      </c>
      <c r="X29" s="46">
        <v>8.6999999999999993</v>
      </c>
      <c r="Y29" s="46">
        <v>8.6999999999999993</v>
      </c>
      <c r="Z29" s="46">
        <v>8.6999999999999993</v>
      </c>
      <c r="AA29" s="46">
        <v>8.6999999999999993</v>
      </c>
      <c r="AB29" s="46">
        <v>8.6999999999999993</v>
      </c>
      <c r="AC29" s="46">
        <v>8.6999999999999993</v>
      </c>
      <c r="AD29" s="46">
        <v>8.6999999999999993</v>
      </c>
      <c r="AE29" s="46">
        <v>8.6999999999999993</v>
      </c>
      <c r="AF29" s="46">
        <v>8.6999999999999993</v>
      </c>
      <c r="AG29" s="50">
        <v>25</v>
      </c>
      <c r="AH29" s="48">
        <f t="shared" si="10"/>
        <v>8.6999999999999993</v>
      </c>
      <c r="AI29" s="49">
        <f t="shared" si="11"/>
        <v>8.6999999999999993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5.6</v>
      </c>
      <c r="C30" s="46">
        <v>5.6</v>
      </c>
      <c r="D30" s="46">
        <v>5.6</v>
      </c>
      <c r="E30" s="46">
        <v>5.6</v>
      </c>
      <c r="F30" s="46">
        <v>5.6</v>
      </c>
      <c r="G30" s="46">
        <v>5.6</v>
      </c>
      <c r="H30" s="46">
        <v>5.6</v>
      </c>
      <c r="I30" s="46">
        <v>5.6</v>
      </c>
      <c r="J30" s="46">
        <v>5.6</v>
      </c>
      <c r="K30" s="46">
        <v>5.6</v>
      </c>
      <c r="L30" s="46">
        <v>5.6</v>
      </c>
      <c r="M30" s="46">
        <v>5.6</v>
      </c>
      <c r="N30" s="46">
        <v>5.6</v>
      </c>
      <c r="O30" s="46">
        <v>5.6</v>
      </c>
      <c r="P30" s="46">
        <v>5.6</v>
      </c>
      <c r="Q30" s="46">
        <v>5.6</v>
      </c>
      <c r="R30" s="46">
        <v>5.6</v>
      </c>
      <c r="S30" s="46">
        <v>5.6</v>
      </c>
      <c r="T30" s="46">
        <v>5.6</v>
      </c>
      <c r="U30" s="46"/>
      <c r="V30" s="46">
        <v>5.6</v>
      </c>
      <c r="W30" s="46">
        <v>5.6</v>
      </c>
      <c r="X30" s="46">
        <v>5.6</v>
      </c>
      <c r="Y30" s="46">
        <v>5.6</v>
      </c>
      <c r="Z30" s="46">
        <v>5.6</v>
      </c>
      <c r="AA30" s="46">
        <v>5.6</v>
      </c>
      <c r="AB30" s="46">
        <v>5.6</v>
      </c>
      <c r="AC30" s="46">
        <v>5.6</v>
      </c>
      <c r="AD30" s="46">
        <v>5.6</v>
      </c>
      <c r="AE30" s="46">
        <v>5.6</v>
      </c>
      <c r="AF30" s="46">
        <v>5.6</v>
      </c>
      <c r="AG30" s="50">
        <v>23.5</v>
      </c>
      <c r="AH30" s="48">
        <f t="shared" si="10"/>
        <v>5.6</v>
      </c>
      <c r="AI30" s="49">
        <f t="shared" si="11"/>
        <v>5.6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/>
      <c r="V31" s="46">
        <v>3</v>
      </c>
      <c r="W31" s="46">
        <v>3</v>
      </c>
      <c r="X31" s="46">
        <v>3</v>
      </c>
      <c r="Y31" s="46">
        <v>3</v>
      </c>
      <c r="Z31" s="46">
        <v>3</v>
      </c>
      <c r="AA31" s="46">
        <v>3</v>
      </c>
      <c r="AB31" s="46">
        <v>3</v>
      </c>
      <c r="AC31" s="46">
        <v>3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10"/>
        <v>3</v>
      </c>
      <c r="AI31" s="49">
        <f t="shared" si="11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5.5</v>
      </c>
      <c r="Q32" s="46">
        <v>5.5</v>
      </c>
      <c r="R32" s="46">
        <v>5.5</v>
      </c>
      <c r="S32" s="46">
        <v>5.5</v>
      </c>
      <c r="T32" s="46">
        <v>5.5</v>
      </c>
      <c r="U32" s="46"/>
      <c r="V32" s="46">
        <v>5.5</v>
      </c>
      <c r="W32" s="46">
        <v>5.5</v>
      </c>
      <c r="X32" s="46">
        <v>5.5</v>
      </c>
      <c r="Y32" s="46">
        <v>5.5</v>
      </c>
      <c r="Z32" s="46">
        <v>5.5</v>
      </c>
      <c r="AA32" s="46">
        <v>5.5</v>
      </c>
      <c r="AB32" s="46">
        <v>5.5</v>
      </c>
      <c r="AC32" s="46">
        <v>5.5</v>
      </c>
      <c r="AD32" s="46">
        <v>5.5</v>
      </c>
      <c r="AE32" s="46">
        <v>5.5</v>
      </c>
      <c r="AF32" s="46">
        <v>5.5</v>
      </c>
      <c r="AG32" s="50">
        <v>22.1</v>
      </c>
      <c r="AH32" s="48">
        <f t="shared" si="10"/>
        <v>5.5</v>
      </c>
      <c r="AI32" s="49">
        <f t="shared" si="11"/>
        <v>5.5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5</v>
      </c>
      <c r="C33" s="46">
        <v>5</v>
      </c>
      <c r="D33" s="46">
        <v>5</v>
      </c>
      <c r="E33" s="46">
        <v>5</v>
      </c>
      <c r="F33" s="46">
        <v>5</v>
      </c>
      <c r="G33" s="46">
        <v>5</v>
      </c>
      <c r="H33" s="46">
        <v>5</v>
      </c>
      <c r="I33" s="46">
        <v>5</v>
      </c>
      <c r="J33" s="46">
        <v>5</v>
      </c>
      <c r="K33" s="46">
        <v>5</v>
      </c>
      <c r="L33" s="46">
        <v>5</v>
      </c>
      <c r="M33" s="46">
        <v>5</v>
      </c>
      <c r="N33" s="46">
        <v>5</v>
      </c>
      <c r="O33" s="46">
        <v>5</v>
      </c>
      <c r="P33" s="46">
        <v>5</v>
      </c>
      <c r="Q33" s="46">
        <v>5</v>
      </c>
      <c r="R33" s="46">
        <v>5</v>
      </c>
      <c r="S33" s="46">
        <v>5</v>
      </c>
      <c r="T33" s="46">
        <v>5</v>
      </c>
      <c r="U33" s="46"/>
      <c r="V33" s="46">
        <v>5</v>
      </c>
      <c r="W33" s="46">
        <v>5</v>
      </c>
      <c r="X33" s="46">
        <v>5</v>
      </c>
      <c r="Y33" s="46">
        <v>5</v>
      </c>
      <c r="Z33" s="46">
        <v>5</v>
      </c>
      <c r="AA33" s="46">
        <v>5</v>
      </c>
      <c r="AB33" s="46">
        <v>5</v>
      </c>
      <c r="AC33" s="46">
        <v>5</v>
      </c>
      <c r="AD33" s="46">
        <v>5</v>
      </c>
      <c r="AE33" s="46">
        <v>5</v>
      </c>
      <c r="AF33" s="46">
        <v>5</v>
      </c>
      <c r="AG33" s="50">
        <v>22</v>
      </c>
      <c r="AH33" s="48">
        <f t="shared" si="10"/>
        <v>5</v>
      </c>
      <c r="AI33" s="49">
        <f t="shared" si="11"/>
        <v>5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6</v>
      </c>
      <c r="C34" s="46">
        <v>6</v>
      </c>
      <c r="D34" s="46">
        <v>6</v>
      </c>
      <c r="E34" s="46">
        <v>6</v>
      </c>
      <c r="F34" s="46">
        <v>6</v>
      </c>
      <c r="G34" s="46">
        <v>6</v>
      </c>
      <c r="H34" s="46">
        <v>6</v>
      </c>
      <c r="I34" s="46">
        <v>6</v>
      </c>
      <c r="J34" s="46">
        <v>6</v>
      </c>
      <c r="K34" s="46">
        <v>6</v>
      </c>
      <c r="L34" s="46">
        <v>6</v>
      </c>
      <c r="M34" s="46">
        <v>6</v>
      </c>
      <c r="N34" s="46">
        <v>6</v>
      </c>
      <c r="O34" s="46">
        <v>6</v>
      </c>
      <c r="P34" s="46">
        <v>6</v>
      </c>
      <c r="Q34" s="46">
        <v>6</v>
      </c>
      <c r="R34" s="46">
        <v>6</v>
      </c>
      <c r="S34" s="46">
        <v>6</v>
      </c>
      <c r="T34" s="46">
        <v>6</v>
      </c>
      <c r="U34" s="46"/>
      <c r="V34" s="46">
        <v>6</v>
      </c>
      <c r="W34" s="46">
        <v>6</v>
      </c>
      <c r="X34" s="46">
        <v>6</v>
      </c>
      <c r="Y34" s="46">
        <v>6</v>
      </c>
      <c r="Z34" s="46">
        <v>6</v>
      </c>
      <c r="AA34" s="46">
        <v>6</v>
      </c>
      <c r="AB34" s="46">
        <v>6</v>
      </c>
      <c r="AC34" s="46">
        <v>6</v>
      </c>
      <c r="AD34" s="46">
        <v>6</v>
      </c>
      <c r="AE34" s="46">
        <v>6</v>
      </c>
      <c r="AF34" s="46">
        <v>6</v>
      </c>
      <c r="AG34" s="50">
        <v>22</v>
      </c>
      <c r="AH34" s="48">
        <f t="shared" si="10"/>
        <v>6</v>
      </c>
      <c r="AI34" s="49">
        <f t="shared" si="11"/>
        <v>6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/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10"/>
        <v>4</v>
      </c>
      <c r="AI35" s="49">
        <f t="shared" si="11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/>
      <c r="V36" s="46">
        <v>4</v>
      </c>
      <c r="W36" s="46">
        <v>4</v>
      </c>
      <c r="X36" s="46">
        <v>4</v>
      </c>
      <c r="Y36" s="46">
        <v>4</v>
      </c>
      <c r="Z36" s="46">
        <v>4</v>
      </c>
      <c r="AA36" s="46">
        <v>4</v>
      </c>
      <c r="AB36" s="46">
        <v>4</v>
      </c>
      <c r="AC36" s="46">
        <v>4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10"/>
        <v>4</v>
      </c>
      <c r="AI36" s="49">
        <f t="shared" si="11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/>
      <c r="V37" s="46">
        <v>5.7</v>
      </c>
      <c r="W37" s="46">
        <v>5.7</v>
      </c>
      <c r="X37" s="46">
        <v>5.7</v>
      </c>
      <c r="Y37" s="46">
        <v>5.7</v>
      </c>
      <c r="Z37" s="46">
        <v>5.7</v>
      </c>
      <c r="AA37" s="46">
        <v>5.7</v>
      </c>
      <c r="AB37" s="46">
        <v>5.7</v>
      </c>
      <c r="AC37" s="46">
        <v>5.7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10"/>
        <v>5.7</v>
      </c>
      <c r="AI37" s="49">
        <f t="shared" si="11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7.2</v>
      </c>
      <c r="Q38" s="46">
        <v>7.2</v>
      </c>
      <c r="R38" s="46">
        <v>7.2</v>
      </c>
      <c r="S38" s="46">
        <v>7.2</v>
      </c>
      <c r="T38" s="46">
        <v>7.2</v>
      </c>
      <c r="U38" s="46"/>
      <c r="V38" s="46">
        <v>7.2</v>
      </c>
      <c r="W38" s="46">
        <v>7.2</v>
      </c>
      <c r="X38" s="46">
        <v>7.2</v>
      </c>
      <c r="Y38" s="46">
        <v>7.2</v>
      </c>
      <c r="Z38" s="46">
        <v>7.2</v>
      </c>
      <c r="AA38" s="46">
        <v>7.2</v>
      </c>
      <c r="AB38" s="46">
        <v>7.2</v>
      </c>
      <c r="AC38" s="46">
        <v>7.2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10"/>
        <v>7.2</v>
      </c>
      <c r="AI38" s="49">
        <f t="shared" si="11"/>
        <v>7.2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/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10"/>
        <v>0</v>
      </c>
      <c r="AI39" s="49">
        <f t="shared" si="11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8</v>
      </c>
      <c r="C40" s="46">
        <v>8</v>
      </c>
      <c r="D40" s="46">
        <v>8</v>
      </c>
      <c r="E40" s="46">
        <v>8</v>
      </c>
      <c r="F40" s="46">
        <v>8</v>
      </c>
      <c r="G40" s="46">
        <v>8</v>
      </c>
      <c r="H40" s="46">
        <v>8</v>
      </c>
      <c r="I40" s="46">
        <v>8</v>
      </c>
      <c r="J40" s="46">
        <v>8</v>
      </c>
      <c r="K40" s="46">
        <v>8</v>
      </c>
      <c r="L40" s="46">
        <v>8</v>
      </c>
      <c r="M40" s="46">
        <v>8</v>
      </c>
      <c r="N40" s="46">
        <v>8</v>
      </c>
      <c r="O40" s="46">
        <v>8</v>
      </c>
      <c r="P40" s="46">
        <v>8</v>
      </c>
      <c r="Q40" s="46">
        <v>8</v>
      </c>
      <c r="R40" s="46">
        <v>8</v>
      </c>
      <c r="S40" s="46">
        <v>8</v>
      </c>
      <c r="T40" s="46">
        <v>8</v>
      </c>
      <c r="U40" s="46"/>
      <c r="V40" s="46">
        <v>8</v>
      </c>
      <c r="W40" s="46">
        <v>8</v>
      </c>
      <c r="X40" s="46">
        <v>8</v>
      </c>
      <c r="Y40" s="46">
        <v>8</v>
      </c>
      <c r="Z40" s="46">
        <v>8</v>
      </c>
      <c r="AA40" s="46">
        <v>8</v>
      </c>
      <c r="AB40" s="46">
        <v>8</v>
      </c>
      <c r="AC40" s="46">
        <v>8</v>
      </c>
      <c r="AD40" s="46">
        <v>8</v>
      </c>
      <c r="AE40" s="46">
        <v>8</v>
      </c>
      <c r="AF40" s="46">
        <v>8</v>
      </c>
      <c r="AG40" s="50">
        <v>14.9</v>
      </c>
      <c r="AH40" s="48">
        <f t="shared" si="10"/>
        <v>8</v>
      </c>
      <c r="AI40" s="49">
        <f t="shared" si="11"/>
        <v>8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/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10"/>
        <v>4</v>
      </c>
      <c r="AI41" s="49">
        <f t="shared" si="11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/>
      <c r="V42" s="46">
        <v>1.8</v>
      </c>
      <c r="W42" s="46">
        <v>1.8</v>
      </c>
      <c r="X42" s="46">
        <v>1.8</v>
      </c>
      <c r="Y42" s="46">
        <v>1.8</v>
      </c>
      <c r="Z42" s="46">
        <v>1.8</v>
      </c>
      <c r="AA42" s="46">
        <v>1.8</v>
      </c>
      <c r="AB42" s="46">
        <v>1.8</v>
      </c>
      <c r="AC42" s="46">
        <v>1.8</v>
      </c>
      <c r="AD42" s="46">
        <v>1.8</v>
      </c>
      <c r="AE42" s="46">
        <v>1.8</v>
      </c>
      <c r="AF42" s="46">
        <v>1.8</v>
      </c>
      <c r="AG42" s="50">
        <v>13.6</v>
      </c>
      <c r="AH42" s="48">
        <f t="shared" si="10"/>
        <v>1.8</v>
      </c>
      <c r="AI42" s="49">
        <f t="shared" si="11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/>
      <c r="V43" s="46">
        <v>3.8</v>
      </c>
      <c r="W43" s="46">
        <v>3.8</v>
      </c>
      <c r="X43" s="46">
        <v>3.8</v>
      </c>
      <c r="Y43" s="46">
        <v>3.8</v>
      </c>
      <c r="Z43" s="46">
        <v>3.8</v>
      </c>
      <c r="AA43" s="46">
        <v>3.8</v>
      </c>
      <c r="AB43" s="46">
        <v>3.8</v>
      </c>
      <c r="AC43" s="46">
        <v>3.8</v>
      </c>
      <c r="AD43" s="46">
        <v>3.8</v>
      </c>
      <c r="AE43" s="46">
        <v>3.8</v>
      </c>
      <c r="AF43" s="46">
        <v>3.8</v>
      </c>
      <c r="AG43" s="50">
        <v>13</v>
      </c>
      <c r="AH43" s="48">
        <f t="shared" si="10"/>
        <v>3.8</v>
      </c>
      <c r="AI43" s="49">
        <f t="shared" si="11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6.4</v>
      </c>
      <c r="C44" s="46">
        <v>6.4</v>
      </c>
      <c r="D44" s="46">
        <v>6.4</v>
      </c>
      <c r="E44" s="46">
        <v>6.4</v>
      </c>
      <c r="F44" s="46">
        <v>6.4</v>
      </c>
      <c r="G44" s="46">
        <v>6.4</v>
      </c>
      <c r="H44" s="46">
        <v>6.4</v>
      </c>
      <c r="I44" s="46">
        <v>6.4</v>
      </c>
      <c r="J44" s="46">
        <v>6.4</v>
      </c>
      <c r="K44" s="46">
        <v>6.4</v>
      </c>
      <c r="L44" s="46">
        <v>6.4</v>
      </c>
      <c r="M44" s="46">
        <v>6.4</v>
      </c>
      <c r="N44" s="46">
        <v>6.4</v>
      </c>
      <c r="O44" s="46">
        <v>6.4</v>
      </c>
      <c r="P44" s="46">
        <v>6.4</v>
      </c>
      <c r="Q44" s="46">
        <v>6.4</v>
      </c>
      <c r="R44" s="46">
        <v>6.4</v>
      </c>
      <c r="S44" s="46">
        <v>6.4</v>
      </c>
      <c r="T44" s="46">
        <v>6.4</v>
      </c>
      <c r="U44" s="46"/>
      <c r="V44" s="46">
        <v>6.4</v>
      </c>
      <c r="W44" s="46">
        <v>6.4</v>
      </c>
      <c r="X44" s="46">
        <v>6.4</v>
      </c>
      <c r="Y44" s="46">
        <v>6.4</v>
      </c>
      <c r="Z44" s="46">
        <v>6.4</v>
      </c>
      <c r="AA44" s="46">
        <v>6.4</v>
      </c>
      <c r="AB44" s="46">
        <v>6.4</v>
      </c>
      <c r="AC44" s="46">
        <v>6.4</v>
      </c>
      <c r="AD44" s="46">
        <v>6.4</v>
      </c>
      <c r="AE44" s="46">
        <v>6.4</v>
      </c>
      <c r="AF44" s="46">
        <v>6.4</v>
      </c>
      <c r="AG44" s="50">
        <v>12</v>
      </c>
      <c r="AH44" s="48">
        <f t="shared" si="10"/>
        <v>6.4</v>
      </c>
      <c r="AI44" s="49">
        <f t="shared" si="11"/>
        <v>6.4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/>
      <c r="V45" s="46">
        <v>9</v>
      </c>
      <c r="W45" s="46">
        <v>9</v>
      </c>
      <c r="X45" s="46">
        <v>9</v>
      </c>
      <c r="Y45" s="46">
        <v>9</v>
      </c>
      <c r="Z45" s="46">
        <v>9</v>
      </c>
      <c r="AA45" s="46">
        <v>9</v>
      </c>
      <c r="AB45" s="46">
        <v>9</v>
      </c>
      <c r="AC45" s="46">
        <v>9</v>
      </c>
      <c r="AD45" s="46">
        <v>9</v>
      </c>
      <c r="AE45" s="46">
        <v>9</v>
      </c>
      <c r="AF45" s="46">
        <v>9</v>
      </c>
      <c r="AG45" s="50">
        <v>12</v>
      </c>
      <c r="AH45" s="48">
        <f t="shared" si="10"/>
        <v>9</v>
      </c>
      <c r="AI45" s="49">
        <f t="shared" si="11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/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10"/>
        <v>3</v>
      </c>
      <c r="AI46" s="49">
        <f t="shared" si="11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/>
      <c r="V47" s="46">
        <v>3.5</v>
      </c>
      <c r="W47" s="46">
        <v>3.5</v>
      </c>
      <c r="X47" s="46">
        <v>3.5</v>
      </c>
      <c r="Y47" s="46">
        <v>3.5</v>
      </c>
      <c r="Z47" s="46">
        <v>3.5</v>
      </c>
      <c r="AA47" s="46">
        <v>3.5</v>
      </c>
      <c r="AB47" s="46">
        <v>3.5</v>
      </c>
      <c r="AC47" s="46">
        <v>3.5</v>
      </c>
      <c r="AD47" s="46">
        <v>3.5</v>
      </c>
      <c r="AE47" s="46">
        <v>3.5</v>
      </c>
      <c r="AF47" s="46">
        <v>3.5</v>
      </c>
      <c r="AG47" s="63">
        <v>22</v>
      </c>
      <c r="AH47" s="48">
        <f t="shared" si="10"/>
        <v>3.5</v>
      </c>
      <c r="AI47" s="49">
        <f t="shared" si="11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/>
      <c r="V48" s="46">
        <v>5</v>
      </c>
      <c r="W48" s="46">
        <v>5</v>
      </c>
      <c r="X48" s="46">
        <v>5</v>
      </c>
      <c r="Y48" s="46">
        <v>5</v>
      </c>
      <c r="Z48" s="46">
        <v>5</v>
      </c>
      <c r="AA48" s="46">
        <v>5</v>
      </c>
      <c r="AB48" s="46">
        <v>5</v>
      </c>
      <c r="AC48" s="46">
        <v>5</v>
      </c>
      <c r="AD48" s="46">
        <v>5</v>
      </c>
      <c r="AE48" s="46">
        <v>5</v>
      </c>
      <c r="AF48" s="46">
        <v>5</v>
      </c>
      <c r="AG48" s="60">
        <v>11.88</v>
      </c>
      <c r="AH48" s="48">
        <f t="shared" si="10"/>
        <v>5</v>
      </c>
      <c r="AI48" s="49">
        <f t="shared" si="11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/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5">
        <v>11</v>
      </c>
      <c r="AH49" s="48">
        <f t="shared" si="10"/>
        <v>3</v>
      </c>
      <c r="AI49" s="49">
        <f t="shared" si="11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4" t="s">
        <v>67</v>
      </c>
      <c r="B50" s="46">
        <v>2.4500000000000002</v>
      </c>
      <c r="C50" s="46">
        <v>2.4500000000000002</v>
      </c>
      <c r="D50" s="46">
        <v>2.4500000000000002</v>
      </c>
      <c r="E50" s="46">
        <v>2.4500000000000002</v>
      </c>
      <c r="F50" s="46">
        <v>2.4500000000000002</v>
      </c>
      <c r="G50" s="46">
        <v>2.4500000000000002</v>
      </c>
      <c r="H50" s="46">
        <v>2.4500000000000002</v>
      </c>
      <c r="I50" s="46">
        <v>2.4500000000000002</v>
      </c>
      <c r="J50" s="46">
        <v>2.4500000000000002</v>
      </c>
      <c r="K50" s="46">
        <v>2.4500000000000002</v>
      </c>
      <c r="L50" s="46">
        <v>2.4500000000000002</v>
      </c>
      <c r="M50" s="46">
        <v>2.4500000000000002</v>
      </c>
      <c r="N50" s="46">
        <v>2.4500000000000002</v>
      </c>
      <c r="O50" s="46">
        <v>2.4500000000000002</v>
      </c>
      <c r="P50" s="46">
        <v>2.4500000000000002</v>
      </c>
      <c r="Q50" s="46">
        <v>2.4500000000000002</v>
      </c>
      <c r="R50" s="46">
        <v>2.4500000000000002</v>
      </c>
      <c r="S50" s="46">
        <v>2.4500000000000002</v>
      </c>
      <c r="T50" s="46">
        <v>2.4500000000000002</v>
      </c>
      <c r="U50" s="46"/>
      <c r="V50" s="46">
        <v>2.4500000000000002</v>
      </c>
      <c r="W50" s="46">
        <v>2.4500000000000002</v>
      </c>
      <c r="X50" s="46">
        <v>2.4500000000000002</v>
      </c>
      <c r="Y50" s="46">
        <v>2.4500000000000002</v>
      </c>
      <c r="Z50" s="46">
        <v>2.4500000000000002</v>
      </c>
      <c r="AA50" s="46">
        <v>2.4500000000000002</v>
      </c>
      <c r="AB50" s="46">
        <v>2.4500000000000002</v>
      </c>
      <c r="AC50" s="46">
        <v>2.4500000000000002</v>
      </c>
      <c r="AD50" s="46">
        <v>2.4500000000000002</v>
      </c>
      <c r="AE50" s="46">
        <v>2.4500000000000002</v>
      </c>
      <c r="AF50" s="46">
        <v>2.4500000000000002</v>
      </c>
      <c r="AG50" s="65">
        <v>11</v>
      </c>
      <c r="AH50" s="48">
        <f t="shared" si="10"/>
        <v>2.4500000000000002</v>
      </c>
      <c r="AI50" s="49">
        <f t="shared" si="11"/>
        <v>2.4500000000000002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/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65">
        <v>11</v>
      </c>
      <c r="AH51" s="48">
        <f t="shared" si="10"/>
        <v>3</v>
      </c>
      <c r="AI51" s="49">
        <f t="shared" si="11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/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5">
        <v>10</v>
      </c>
      <c r="AH52" s="48">
        <f t="shared" si="10"/>
        <v>4</v>
      </c>
      <c r="AI52" s="49">
        <f t="shared" si="11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/>
      <c r="V53" s="46">
        <v>4.5</v>
      </c>
      <c r="W53" s="46">
        <v>4.5</v>
      </c>
      <c r="X53" s="46">
        <v>4.5</v>
      </c>
      <c r="Y53" s="46">
        <v>4.5</v>
      </c>
      <c r="Z53" s="46">
        <v>4.5</v>
      </c>
      <c r="AA53" s="46">
        <v>4.5</v>
      </c>
      <c r="AB53" s="46">
        <v>4.5</v>
      </c>
      <c r="AC53" s="46">
        <v>4.5</v>
      </c>
      <c r="AD53" s="46">
        <v>4.5</v>
      </c>
      <c r="AE53" s="46">
        <v>4.5</v>
      </c>
      <c r="AF53" s="46">
        <v>4.5</v>
      </c>
      <c r="AG53" s="65">
        <v>10</v>
      </c>
      <c r="AH53" s="48">
        <f t="shared" si="10"/>
        <v>4.5</v>
      </c>
      <c r="AI53" s="49">
        <f t="shared" si="11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/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5">
        <v>10</v>
      </c>
      <c r="AH54" s="48">
        <f t="shared" si="10"/>
        <v>0</v>
      </c>
      <c r="AI54" s="49">
        <f t="shared" si="11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/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5">
        <v>10</v>
      </c>
      <c r="AH55" s="48">
        <f t="shared" si="10"/>
        <v>0</v>
      </c>
      <c r="AI55" s="49">
        <f t="shared" si="11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>
        <v>150</v>
      </c>
      <c r="W56" s="67">
        <v>150</v>
      </c>
      <c r="X56" s="67">
        <v>150</v>
      </c>
      <c r="Y56" s="67">
        <v>150</v>
      </c>
      <c r="Z56" s="67">
        <v>150</v>
      </c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10"/>
        <v>150</v>
      </c>
      <c r="AI56" s="49">
        <f t="shared" si="11"/>
        <v>150</v>
      </c>
      <c r="AK56" s="51"/>
    </row>
    <row r="57" spans="1:88" ht="15.75" thickBot="1" x14ac:dyDescent="0.3">
      <c r="A57" s="68" t="s">
        <v>74</v>
      </c>
      <c r="B57" s="67">
        <v>31</v>
      </c>
      <c r="C57" s="67">
        <v>31</v>
      </c>
      <c r="D57" s="67">
        <v>31</v>
      </c>
      <c r="E57" s="67">
        <v>31</v>
      </c>
      <c r="F57" s="67">
        <v>31</v>
      </c>
      <c r="G57" s="67">
        <v>31</v>
      </c>
      <c r="H57" s="67">
        <v>31</v>
      </c>
      <c r="I57" s="67">
        <v>31</v>
      </c>
      <c r="J57" s="67">
        <v>29</v>
      </c>
      <c r="K57" s="67">
        <v>29</v>
      </c>
      <c r="L57" s="67">
        <v>19.600000000000001</v>
      </c>
      <c r="M57" s="53">
        <f>17.7+11.2</f>
        <v>28.9</v>
      </c>
      <c r="N57" s="53">
        <f>18.6+12.1</f>
        <v>30.700000000000003</v>
      </c>
      <c r="O57" s="53">
        <f>20.2+13.9</f>
        <v>34.1</v>
      </c>
      <c r="P57" s="53">
        <f>16.3+9.5</f>
        <v>25.8</v>
      </c>
      <c r="Q57" s="53">
        <f>17.7+11.4</f>
        <v>29.1</v>
      </c>
      <c r="R57" s="53">
        <f>18+12</f>
        <v>30</v>
      </c>
      <c r="S57" s="53">
        <v>23</v>
      </c>
      <c r="T57" s="53">
        <v>28.6</v>
      </c>
      <c r="U57" s="53"/>
      <c r="V57" s="53">
        <v>28.6</v>
      </c>
      <c r="W57" s="53">
        <v>22.5</v>
      </c>
      <c r="X57" s="53">
        <v>22.2</v>
      </c>
      <c r="Y57" s="53">
        <v>22.2</v>
      </c>
      <c r="Z57" s="67">
        <v>22.2</v>
      </c>
      <c r="AA57" s="67">
        <v>22.2</v>
      </c>
      <c r="AB57" s="67">
        <v>22.2</v>
      </c>
      <c r="AC57" s="67">
        <v>22.2</v>
      </c>
      <c r="AD57" s="67">
        <v>22.2</v>
      </c>
      <c r="AE57" s="67">
        <v>22.2</v>
      </c>
      <c r="AF57" s="67">
        <v>22.2</v>
      </c>
      <c r="AG57" s="65">
        <v>240</v>
      </c>
      <c r="AH57" s="48">
        <f t="shared" si="10"/>
        <v>34.1</v>
      </c>
      <c r="AI57" s="49">
        <f t="shared" si="11"/>
        <v>19.600000000000001</v>
      </c>
      <c r="AK57" s="51"/>
    </row>
    <row r="58" spans="1:88" ht="15.75" thickBot="1" x14ac:dyDescent="0.3">
      <c r="A58" s="69" t="s">
        <v>75</v>
      </c>
      <c r="B58" s="70">
        <f t="shared" ref="B58:AF58" si="29">SUM(B11:B56)</f>
        <v>479.04999999999995</v>
      </c>
      <c r="C58" s="70">
        <f t="shared" si="29"/>
        <v>477.65</v>
      </c>
      <c r="D58" s="70">
        <f t="shared" si="29"/>
        <v>477.15</v>
      </c>
      <c r="E58" s="70">
        <f t="shared" si="29"/>
        <v>477.15</v>
      </c>
      <c r="F58" s="70">
        <f t="shared" si="29"/>
        <v>477.15</v>
      </c>
      <c r="G58" s="70">
        <f t="shared" si="29"/>
        <v>477.15</v>
      </c>
      <c r="H58" s="70">
        <f t="shared" si="29"/>
        <v>477.15</v>
      </c>
      <c r="I58" s="70">
        <f t="shared" si="29"/>
        <v>477.15</v>
      </c>
      <c r="J58" s="70">
        <f t="shared" si="29"/>
        <v>477.15</v>
      </c>
      <c r="K58" s="70">
        <f t="shared" si="29"/>
        <v>477.15</v>
      </c>
      <c r="L58" s="70">
        <f t="shared" si="29"/>
        <v>477.15</v>
      </c>
      <c r="M58" s="70">
        <f t="shared" si="29"/>
        <v>476.54999999999995</v>
      </c>
      <c r="N58" s="70">
        <f t="shared" si="29"/>
        <v>478.04999999999995</v>
      </c>
      <c r="O58" s="70">
        <f t="shared" si="29"/>
        <v>477.15</v>
      </c>
      <c r="P58" s="70">
        <f t="shared" si="29"/>
        <v>477.65</v>
      </c>
      <c r="Q58" s="70">
        <f t="shared" si="29"/>
        <v>477.54999999999995</v>
      </c>
      <c r="R58" s="70">
        <f t="shared" si="29"/>
        <v>476.95</v>
      </c>
      <c r="S58" s="70">
        <f t="shared" ref="S58:T58" si="30">SUM(S11:S56)</f>
        <v>476.95</v>
      </c>
      <c r="T58" s="70">
        <f t="shared" si="30"/>
        <v>476.95</v>
      </c>
      <c r="U58" s="70">
        <f t="shared" si="29"/>
        <v>150</v>
      </c>
      <c r="V58" s="70">
        <f t="shared" si="29"/>
        <v>476.95</v>
      </c>
      <c r="W58" s="70">
        <f t="shared" ref="W58:X58" si="31">SUM(W11:W56)</f>
        <v>476.95</v>
      </c>
      <c r="X58" s="70">
        <f t="shared" si="31"/>
        <v>476.95</v>
      </c>
      <c r="Y58" s="70">
        <f t="shared" ref="Y58:Z58" si="32">SUM(Y11:Y56)</f>
        <v>476.95</v>
      </c>
      <c r="Z58" s="70">
        <f t="shared" si="32"/>
        <v>476.95</v>
      </c>
      <c r="AA58" s="70">
        <f t="shared" ref="AA58" si="33">SUM(AA11:AA56)</f>
        <v>476.95</v>
      </c>
      <c r="AB58" s="70">
        <f t="shared" si="29"/>
        <v>476.95</v>
      </c>
      <c r="AC58" s="70">
        <f t="shared" si="29"/>
        <v>476.95</v>
      </c>
      <c r="AD58" s="70">
        <f t="shared" si="29"/>
        <v>476.95</v>
      </c>
      <c r="AE58" s="70">
        <f t="shared" si="29"/>
        <v>476.95</v>
      </c>
      <c r="AF58" s="70">
        <f t="shared" si="29"/>
        <v>476.95</v>
      </c>
      <c r="AG58" s="71">
        <f>SUM(AG14:AG56)</f>
        <v>1042.4000000000001</v>
      </c>
      <c r="AH58" s="48">
        <f t="shared" si="10"/>
        <v>479.04999999999995</v>
      </c>
      <c r="AI58" s="49">
        <f t="shared" si="11"/>
        <v>150</v>
      </c>
      <c r="AK58" s="51"/>
    </row>
    <row r="59" spans="1:88" x14ac:dyDescent="0.25">
      <c r="A59" s="72" t="s">
        <v>76</v>
      </c>
      <c r="B59" s="46">
        <v>70.5</v>
      </c>
      <c r="C59" s="46">
        <v>70.400000000000006</v>
      </c>
      <c r="D59" s="46">
        <v>70.599999999999994</v>
      </c>
      <c r="E59" s="46">
        <v>76</v>
      </c>
      <c r="F59" s="46">
        <v>76</v>
      </c>
      <c r="G59" s="46">
        <v>76</v>
      </c>
      <c r="H59" s="46">
        <v>76</v>
      </c>
      <c r="I59" s="46">
        <v>76</v>
      </c>
      <c r="J59" s="46">
        <v>0</v>
      </c>
      <c r="K59" s="46">
        <v>0</v>
      </c>
      <c r="L59" s="46">
        <v>0</v>
      </c>
      <c r="M59" s="46">
        <v>0</v>
      </c>
      <c r="N59" s="73">
        <v>0</v>
      </c>
      <c r="O59" s="73">
        <v>0</v>
      </c>
      <c r="P59" s="73">
        <v>0</v>
      </c>
      <c r="Q59" s="73">
        <v>0</v>
      </c>
      <c r="R59" s="73">
        <v>0</v>
      </c>
      <c r="S59" s="73">
        <v>0</v>
      </c>
      <c r="T59" s="73">
        <v>0</v>
      </c>
      <c r="U59" s="73"/>
      <c r="V59" s="73">
        <v>0</v>
      </c>
      <c r="W59" s="73">
        <v>0</v>
      </c>
      <c r="X59" s="73">
        <v>45.3</v>
      </c>
      <c r="Y59" s="73">
        <v>381.6</v>
      </c>
      <c r="Z59" s="46">
        <v>381.6</v>
      </c>
      <c r="AA59" s="46">
        <v>381.6</v>
      </c>
      <c r="AB59" s="46">
        <v>293.10000000000002</v>
      </c>
      <c r="AC59" s="46">
        <v>219</v>
      </c>
      <c r="AD59" s="46">
        <v>70</v>
      </c>
      <c r="AE59" s="46">
        <v>70</v>
      </c>
      <c r="AF59" s="46">
        <v>70</v>
      </c>
      <c r="AG59" s="60">
        <v>456</v>
      </c>
      <c r="AH59" s="48">
        <f t="shared" si="10"/>
        <v>381.6</v>
      </c>
      <c r="AI59" s="49">
        <f t="shared" si="11"/>
        <v>0</v>
      </c>
      <c r="AK59" s="51"/>
    </row>
    <row r="60" spans="1:88" x14ac:dyDescent="0.25">
      <c r="A60" s="74" t="s">
        <v>77</v>
      </c>
      <c r="B60" s="75">
        <v>21</v>
      </c>
      <c r="C60" s="75">
        <v>21.1</v>
      </c>
      <c r="D60" s="75">
        <v>21.2</v>
      </c>
      <c r="E60" s="75">
        <v>21.2</v>
      </c>
      <c r="F60" s="75">
        <v>21.2</v>
      </c>
      <c r="G60" s="75">
        <v>21.2</v>
      </c>
      <c r="H60" s="75">
        <v>21.2</v>
      </c>
      <c r="I60" s="75">
        <v>21.2</v>
      </c>
      <c r="J60" s="75">
        <v>21.2</v>
      </c>
      <c r="K60" s="75">
        <v>21.2</v>
      </c>
      <c r="L60" s="75">
        <v>21.2</v>
      </c>
      <c r="M60" s="75">
        <v>21.2</v>
      </c>
      <c r="N60" s="75">
        <v>21.2</v>
      </c>
      <c r="O60" s="75">
        <v>21.2</v>
      </c>
      <c r="P60" s="75">
        <v>21.2</v>
      </c>
      <c r="Q60" s="75">
        <v>21.2</v>
      </c>
      <c r="R60" s="75">
        <v>21.2</v>
      </c>
      <c r="S60" s="75">
        <v>21.2</v>
      </c>
      <c r="T60" s="75">
        <v>21.2</v>
      </c>
      <c r="U60" s="75"/>
      <c r="V60" s="75">
        <v>21.2</v>
      </c>
      <c r="W60" s="75">
        <v>21.2</v>
      </c>
      <c r="X60" s="75">
        <v>21.2</v>
      </c>
      <c r="Y60" s="75">
        <v>21.2</v>
      </c>
      <c r="Z60" s="75">
        <v>21.2</v>
      </c>
      <c r="AA60" s="75">
        <v>21.2</v>
      </c>
      <c r="AB60" s="75">
        <v>20.7</v>
      </c>
      <c r="AC60" s="75">
        <v>20.7</v>
      </c>
      <c r="AD60" s="75">
        <v>20.7</v>
      </c>
      <c r="AE60" s="75">
        <v>20.7</v>
      </c>
      <c r="AF60" s="75">
        <v>20.7</v>
      </c>
      <c r="AG60" s="65">
        <v>60</v>
      </c>
      <c r="AH60" s="48">
        <f t="shared" si="10"/>
        <v>21.2</v>
      </c>
      <c r="AI60" s="49">
        <f t="shared" si="11"/>
        <v>20.7</v>
      </c>
      <c r="AK60" s="51"/>
    </row>
    <row r="61" spans="1:88" ht="15.75" thickBot="1" x14ac:dyDescent="0.3">
      <c r="A61" s="76" t="s">
        <v>78</v>
      </c>
      <c r="B61" s="77">
        <v>11.2</v>
      </c>
      <c r="C61" s="77">
        <v>11.2</v>
      </c>
      <c r="D61" s="77">
        <v>11.2</v>
      </c>
      <c r="E61" s="77">
        <v>11.2</v>
      </c>
      <c r="F61" s="77">
        <v>11.2</v>
      </c>
      <c r="G61" s="77">
        <v>11.2</v>
      </c>
      <c r="H61" s="77">
        <v>11.2</v>
      </c>
      <c r="I61" s="77">
        <v>11.2</v>
      </c>
      <c r="J61" s="77">
        <v>11.2</v>
      </c>
      <c r="K61" s="77">
        <v>11.2</v>
      </c>
      <c r="L61" s="77">
        <v>11.2</v>
      </c>
      <c r="M61" s="77">
        <v>11.1</v>
      </c>
      <c r="N61" s="77">
        <v>11.1</v>
      </c>
      <c r="O61" s="77">
        <v>11.2</v>
      </c>
      <c r="P61" s="77">
        <v>11.2</v>
      </c>
      <c r="Q61" s="77">
        <v>11.1</v>
      </c>
      <c r="R61" s="77">
        <v>10.199999999999999</v>
      </c>
      <c r="S61" s="77">
        <v>10.199999999999999</v>
      </c>
      <c r="T61" s="77">
        <v>10.199999999999999</v>
      </c>
      <c r="U61" s="77"/>
      <c r="V61" s="77">
        <v>10.199999999999999</v>
      </c>
      <c r="W61" s="77">
        <v>10.199999999999999</v>
      </c>
      <c r="X61" s="77">
        <v>10.199999999999999</v>
      </c>
      <c r="Y61" s="77">
        <v>10.199999999999999</v>
      </c>
      <c r="Z61" s="77">
        <v>15.2</v>
      </c>
      <c r="AA61" s="77">
        <v>15.2</v>
      </c>
      <c r="AB61" s="77">
        <v>15.2</v>
      </c>
      <c r="AC61" s="77">
        <v>15.2</v>
      </c>
      <c r="AD61" s="77">
        <v>15.2</v>
      </c>
      <c r="AE61" s="77">
        <v>15.2</v>
      </c>
      <c r="AF61" s="77">
        <v>15.2</v>
      </c>
      <c r="AG61" s="78">
        <v>22.1</v>
      </c>
      <c r="AH61" s="48">
        <f t="shared" si="10"/>
        <v>15.2</v>
      </c>
      <c r="AI61" s="49">
        <f t="shared" si="11"/>
        <v>10.199999999999999</v>
      </c>
      <c r="AK61" s="51"/>
    </row>
    <row r="62" spans="1:88" ht="15.75" thickBot="1" x14ac:dyDescent="0.3">
      <c r="A62" s="79" t="s">
        <v>79</v>
      </c>
      <c r="B62" s="70">
        <f t="shared" ref="B62:AG62" si="34">SUM(B59:B61)</f>
        <v>102.7</v>
      </c>
      <c r="C62" s="70">
        <f t="shared" si="34"/>
        <v>102.7</v>
      </c>
      <c r="D62" s="70">
        <f t="shared" si="34"/>
        <v>103</v>
      </c>
      <c r="E62" s="70">
        <f t="shared" si="34"/>
        <v>108.4</v>
      </c>
      <c r="F62" s="70">
        <f t="shared" si="34"/>
        <v>108.4</v>
      </c>
      <c r="G62" s="70">
        <f t="shared" si="34"/>
        <v>108.4</v>
      </c>
      <c r="H62" s="70">
        <f t="shared" si="34"/>
        <v>108.4</v>
      </c>
      <c r="I62" s="70">
        <f t="shared" si="34"/>
        <v>108.4</v>
      </c>
      <c r="J62" s="70">
        <f t="shared" si="34"/>
        <v>32.4</v>
      </c>
      <c r="K62" s="70">
        <f t="shared" si="34"/>
        <v>32.4</v>
      </c>
      <c r="L62" s="70">
        <f t="shared" si="34"/>
        <v>32.4</v>
      </c>
      <c r="M62" s="70">
        <f t="shared" si="34"/>
        <v>32.299999999999997</v>
      </c>
      <c r="N62" s="70">
        <f t="shared" si="34"/>
        <v>32.299999999999997</v>
      </c>
      <c r="O62" s="70">
        <f t="shared" si="34"/>
        <v>32.4</v>
      </c>
      <c r="P62" s="70">
        <f t="shared" si="34"/>
        <v>32.4</v>
      </c>
      <c r="Q62" s="70">
        <f t="shared" si="34"/>
        <v>32.299999999999997</v>
      </c>
      <c r="R62" s="70">
        <f t="shared" si="34"/>
        <v>31.4</v>
      </c>
      <c r="S62" s="70">
        <f t="shared" ref="S62:T62" si="35">SUM(S59:S61)</f>
        <v>31.4</v>
      </c>
      <c r="T62" s="70">
        <f t="shared" si="35"/>
        <v>31.4</v>
      </c>
      <c r="U62" s="70">
        <f t="shared" si="34"/>
        <v>0</v>
      </c>
      <c r="V62" s="70">
        <f t="shared" si="34"/>
        <v>31.4</v>
      </c>
      <c r="W62" s="70">
        <f t="shared" ref="W62:X62" si="36">SUM(W59:W61)</f>
        <v>31.4</v>
      </c>
      <c r="X62" s="70">
        <f t="shared" si="36"/>
        <v>76.7</v>
      </c>
      <c r="Y62" s="70">
        <f t="shared" ref="Y62:Z62" si="37">SUM(Y59:Y61)</f>
        <v>413</v>
      </c>
      <c r="Z62" s="70">
        <f t="shared" si="37"/>
        <v>418</v>
      </c>
      <c r="AA62" s="70">
        <f t="shared" ref="AA62" si="38">SUM(AA59:AA61)</f>
        <v>418</v>
      </c>
      <c r="AB62" s="70">
        <f t="shared" si="34"/>
        <v>329</v>
      </c>
      <c r="AC62" s="70">
        <f t="shared" si="34"/>
        <v>254.89999999999998</v>
      </c>
      <c r="AD62" s="70">
        <f t="shared" si="34"/>
        <v>105.9</v>
      </c>
      <c r="AE62" s="70">
        <f t="shared" si="34"/>
        <v>105.9</v>
      </c>
      <c r="AF62" s="70">
        <f t="shared" si="34"/>
        <v>105.9</v>
      </c>
      <c r="AG62" s="71">
        <f t="shared" si="34"/>
        <v>538.1</v>
      </c>
      <c r="AH62" s="48">
        <f t="shared" si="10"/>
        <v>418</v>
      </c>
      <c r="AI62" s="49">
        <f t="shared" si="11"/>
        <v>0</v>
      </c>
      <c r="AK62" s="51"/>
    </row>
    <row r="63" spans="1:88" x14ac:dyDescent="0.25">
      <c r="A63" s="45" t="s">
        <v>80</v>
      </c>
      <c r="B63" s="46">
        <v>80</v>
      </c>
      <c r="C63" s="46">
        <v>36.1</v>
      </c>
      <c r="D63" s="46">
        <v>35.200000000000003</v>
      </c>
      <c r="E63" s="46">
        <v>0</v>
      </c>
      <c r="F63" s="46">
        <v>0</v>
      </c>
      <c r="G63" s="46">
        <v>0</v>
      </c>
      <c r="H63" s="46">
        <v>48.2</v>
      </c>
      <c r="I63" s="46">
        <v>48.2</v>
      </c>
      <c r="J63" s="46">
        <v>32.5</v>
      </c>
      <c r="K63" s="46">
        <v>44.3</v>
      </c>
      <c r="L63" s="46">
        <v>70.5</v>
      </c>
      <c r="M63" s="46">
        <v>71</v>
      </c>
      <c r="N63" s="46">
        <v>71</v>
      </c>
      <c r="O63" s="46">
        <v>70.8</v>
      </c>
      <c r="P63" s="46">
        <v>71</v>
      </c>
      <c r="Q63" s="46">
        <v>70.8</v>
      </c>
      <c r="R63" s="46">
        <v>60.7</v>
      </c>
      <c r="S63" s="46">
        <v>60.8</v>
      </c>
      <c r="T63" s="46">
        <v>47.5</v>
      </c>
      <c r="U63" s="46"/>
      <c r="V63" s="46">
        <v>32.6</v>
      </c>
      <c r="W63" s="46">
        <v>48.7</v>
      </c>
      <c r="X63" s="46">
        <v>48.7</v>
      </c>
      <c r="Y63" s="46">
        <v>67</v>
      </c>
      <c r="Z63" s="46">
        <v>98.2</v>
      </c>
      <c r="AA63" s="46">
        <v>141</v>
      </c>
      <c r="AB63" s="46">
        <v>138.69999999999999</v>
      </c>
      <c r="AC63" s="46">
        <v>122</v>
      </c>
      <c r="AD63" s="46">
        <v>96</v>
      </c>
      <c r="AE63" s="46">
        <v>91</v>
      </c>
      <c r="AF63" s="46">
        <v>61</v>
      </c>
      <c r="AG63" s="60">
        <v>144</v>
      </c>
      <c r="AH63" s="48">
        <f t="shared" si="10"/>
        <v>141</v>
      </c>
      <c r="AI63" s="49">
        <f t="shared" si="11"/>
        <v>0</v>
      </c>
      <c r="AK63" s="51"/>
    </row>
    <row r="64" spans="1:88" x14ac:dyDescent="0.25">
      <c r="A64" s="64" t="s">
        <v>81</v>
      </c>
      <c r="B64" s="75">
        <v>34.200000000000003</v>
      </c>
      <c r="C64" s="75">
        <v>33.700000000000003</v>
      </c>
      <c r="D64" s="75">
        <v>25.1</v>
      </c>
      <c r="E64" s="75">
        <v>25</v>
      </c>
      <c r="F64" s="75">
        <v>25</v>
      </c>
      <c r="G64" s="75">
        <v>20</v>
      </c>
      <c r="H64" s="75">
        <v>33.799999999999997</v>
      </c>
      <c r="I64" s="75">
        <v>33.799999999999997</v>
      </c>
      <c r="J64" s="75">
        <v>25</v>
      </c>
      <c r="K64" s="75">
        <v>33.4</v>
      </c>
      <c r="L64" s="75">
        <v>49.6</v>
      </c>
      <c r="M64" s="75">
        <v>48.3</v>
      </c>
      <c r="N64" s="75">
        <v>42.7</v>
      </c>
      <c r="O64" s="75">
        <v>29.9</v>
      </c>
      <c r="P64" s="75">
        <v>24.8</v>
      </c>
      <c r="Q64" s="75">
        <v>24.8</v>
      </c>
      <c r="R64" s="75">
        <v>24.9</v>
      </c>
      <c r="S64" s="75">
        <v>24.8</v>
      </c>
      <c r="T64" s="75">
        <v>31.3</v>
      </c>
      <c r="U64" s="75"/>
      <c r="V64" s="75">
        <v>0</v>
      </c>
      <c r="W64" s="75">
        <v>0</v>
      </c>
      <c r="X64" s="75">
        <v>35</v>
      </c>
      <c r="Y64" s="75">
        <v>66.2</v>
      </c>
      <c r="Z64" s="46">
        <v>67.7</v>
      </c>
      <c r="AA64" s="46">
        <v>64</v>
      </c>
      <c r="AB64" s="46">
        <v>64</v>
      </c>
      <c r="AC64" s="46">
        <v>26.8</v>
      </c>
      <c r="AD64" s="46">
        <v>26.8</v>
      </c>
      <c r="AE64" s="46">
        <v>27.4</v>
      </c>
      <c r="AF64" s="46">
        <v>27.4</v>
      </c>
      <c r="AG64" s="65">
        <v>70</v>
      </c>
      <c r="AH64" s="48">
        <f t="shared" si="10"/>
        <v>67.7</v>
      </c>
      <c r="AI64" s="49">
        <f t="shared" si="11"/>
        <v>0</v>
      </c>
      <c r="AK64" s="51"/>
    </row>
    <row r="65" spans="1:75" x14ac:dyDescent="0.25">
      <c r="A65" s="64" t="s">
        <v>82</v>
      </c>
      <c r="B65" s="75">
        <v>54.8</v>
      </c>
      <c r="C65" s="75">
        <v>33.299999999999997</v>
      </c>
      <c r="D65" s="75">
        <v>33.6</v>
      </c>
      <c r="E65" s="75">
        <v>16.5</v>
      </c>
      <c r="F65" s="75">
        <v>16.5</v>
      </c>
      <c r="G65" s="75">
        <v>21.1</v>
      </c>
      <c r="H65" s="75">
        <v>45.6</v>
      </c>
      <c r="I65" s="75">
        <v>45.6</v>
      </c>
      <c r="J65" s="75">
        <v>33.9</v>
      </c>
      <c r="K65" s="75">
        <v>40.1</v>
      </c>
      <c r="L65" s="75">
        <v>46</v>
      </c>
      <c r="M65" s="75">
        <v>46</v>
      </c>
      <c r="N65" s="75">
        <v>45.8</v>
      </c>
      <c r="O65" s="75">
        <v>45.5</v>
      </c>
      <c r="P65" s="75">
        <v>32.299999999999997</v>
      </c>
      <c r="Q65" s="75">
        <v>32.9</v>
      </c>
      <c r="R65" s="75">
        <v>33</v>
      </c>
      <c r="S65" s="75">
        <v>33.1</v>
      </c>
      <c r="T65" s="75">
        <v>33.200000000000003</v>
      </c>
      <c r="U65" s="75"/>
      <c r="V65" s="75">
        <v>34.9</v>
      </c>
      <c r="W65" s="75">
        <v>46.6</v>
      </c>
      <c r="X65" s="75">
        <v>46.6</v>
      </c>
      <c r="Y65" s="75">
        <v>66.099999999999994</v>
      </c>
      <c r="Z65" s="46">
        <v>65.8</v>
      </c>
      <c r="AA65" s="46">
        <v>65.8</v>
      </c>
      <c r="AB65" s="46">
        <v>65.8</v>
      </c>
      <c r="AC65" s="46">
        <v>37.799999999999997</v>
      </c>
      <c r="AD65" s="46">
        <v>37.799999999999997</v>
      </c>
      <c r="AE65" s="46">
        <v>38</v>
      </c>
      <c r="AF65" s="46">
        <v>19</v>
      </c>
      <c r="AG65" s="65">
        <v>69</v>
      </c>
      <c r="AH65" s="48">
        <f t="shared" si="10"/>
        <v>66.099999999999994</v>
      </c>
      <c r="AI65" s="49">
        <f t="shared" si="11"/>
        <v>16.5</v>
      </c>
      <c r="AK65" s="51"/>
    </row>
    <row r="66" spans="1:75" x14ac:dyDescent="0.25">
      <c r="A66" s="64" t="s">
        <v>83</v>
      </c>
      <c r="B66" s="75">
        <v>38.299999999999997</v>
      </c>
      <c r="C66" s="75">
        <v>38.299999999999997</v>
      </c>
      <c r="D66" s="75">
        <v>38.299999999999997</v>
      </c>
      <c r="E66" s="75">
        <v>36.299999999999997</v>
      </c>
      <c r="F66" s="75">
        <v>36.299999999999997</v>
      </c>
      <c r="G66" s="75">
        <v>35</v>
      </c>
      <c r="H66" s="75">
        <v>35</v>
      </c>
      <c r="I66" s="75">
        <v>35</v>
      </c>
      <c r="J66" s="75">
        <v>38.299999999999997</v>
      </c>
      <c r="K66" s="67">
        <v>38.299999999999997</v>
      </c>
      <c r="L66" s="67">
        <v>38.299999999999997</v>
      </c>
      <c r="M66" s="75">
        <v>38.299999999999997</v>
      </c>
      <c r="N66" s="75">
        <v>38.299999999999997</v>
      </c>
      <c r="O66" s="75">
        <v>37.299999999999997</v>
      </c>
      <c r="P66" s="75">
        <v>37.1</v>
      </c>
      <c r="Q66" s="75">
        <v>35.299999999999997</v>
      </c>
      <c r="R66" s="75">
        <v>35.299999999999997</v>
      </c>
      <c r="S66" s="75">
        <v>35.299999999999997</v>
      </c>
      <c r="T66" s="75">
        <v>35.299999999999997</v>
      </c>
      <c r="U66" s="75"/>
      <c r="V66" s="75">
        <v>36</v>
      </c>
      <c r="W66" s="75">
        <v>36</v>
      </c>
      <c r="X66" s="75">
        <v>36</v>
      </c>
      <c r="Y66" s="75">
        <v>36</v>
      </c>
      <c r="Z66" s="46">
        <v>36</v>
      </c>
      <c r="AA66" s="46">
        <v>36</v>
      </c>
      <c r="AB66" s="46">
        <v>36.299999999999997</v>
      </c>
      <c r="AC66" s="46">
        <v>36.299999999999997</v>
      </c>
      <c r="AD66" s="46">
        <v>36.299999999999997</v>
      </c>
      <c r="AE66" s="46">
        <v>36.299999999999997</v>
      </c>
      <c r="AF66" s="46">
        <v>36.299999999999997</v>
      </c>
      <c r="AG66" s="65">
        <v>60</v>
      </c>
      <c r="AH66" s="48">
        <f t="shared" si="10"/>
        <v>38.299999999999997</v>
      </c>
      <c r="AI66" s="49">
        <f t="shared" si="11"/>
        <v>35</v>
      </c>
      <c r="AK66" s="51"/>
    </row>
    <row r="67" spans="1:75" x14ac:dyDescent="0.25">
      <c r="A67" s="64" t="s">
        <v>84</v>
      </c>
      <c r="B67" s="46">
        <v>0</v>
      </c>
      <c r="C67" s="46">
        <v>0</v>
      </c>
      <c r="D67" s="46">
        <v>0</v>
      </c>
      <c r="E67" s="46">
        <v>0</v>
      </c>
      <c r="F67" s="46">
        <v>0</v>
      </c>
      <c r="G67" s="46">
        <v>0</v>
      </c>
      <c r="H67" s="75">
        <v>15</v>
      </c>
      <c r="I67" s="75">
        <v>15</v>
      </c>
      <c r="J67" s="75">
        <v>15</v>
      </c>
      <c r="K67" s="75">
        <v>15</v>
      </c>
      <c r="L67" s="67">
        <v>15</v>
      </c>
      <c r="M67" s="75">
        <v>15</v>
      </c>
      <c r="N67" s="75">
        <v>14.9</v>
      </c>
      <c r="O67" s="75">
        <v>14.8</v>
      </c>
      <c r="P67" s="75">
        <v>14.7</v>
      </c>
      <c r="Q67" s="75">
        <v>22.4</v>
      </c>
      <c r="R67" s="75">
        <v>22.4</v>
      </c>
      <c r="S67" s="75">
        <v>21.2</v>
      </c>
      <c r="T67" s="75">
        <v>14.3</v>
      </c>
      <c r="U67" s="75"/>
      <c r="V67" s="75">
        <v>9.5</v>
      </c>
      <c r="W67" s="75">
        <v>9.5</v>
      </c>
      <c r="X67" s="75">
        <v>9.5</v>
      </c>
      <c r="Y67" s="75">
        <v>9.5</v>
      </c>
      <c r="Z67" s="46">
        <v>9.5</v>
      </c>
      <c r="AA67" s="46">
        <v>9.5</v>
      </c>
      <c r="AB67" s="46">
        <v>9.6</v>
      </c>
      <c r="AC67" s="46">
        <v>0</v>
      </c>
      <c r="AD67" s="46">
        <v>0</v>
      </c>
      <c r="AE67" s="46">
        <v>0</v>
      </c>
      <c r="AF67" s="46">
        <v>0</v>
      </c>
      <c r="AG67" s="65">
        <v>30</v>
      </c>
      <c r="AH67" s="48">
        <f t="shared" si="10"/>
        <v>22.4</v>
      </c>
      <c r="AI67" s="49">
        <f t="shared" si="11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</row>
    <row r="68" spans="1:75" x14ac:dyDescent="0.25">
      <c r="A68" s="64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1.1000000000000001</v>
      </c>
      <c r="K68" s="46">
        <v>2.5</v>
      </c>
      <c r="L68" s="46">
        <v>6.3</v>
      </c>
      <c r="M68" s="75">
        <v>8.1999999999999993</v>
      </c>
      <c r="N68" s="75">
        <v>13</v>
      </c>
      <c r="O68" s="75">
        <v>15.9</v>
      </c>
      <c r="P68" s="75">
        <v>17.899999999999999</v>
      </c>
      <c r="Q68" s="75">
        <v>18.5</v>
      </c>
      <c r="R68" s="75">
        <v>18.5</v>
      </c>
      <c r="S68" s="75">
        <v>14.1</v>
      </c>
      <c r="T68" s="75">
        <v>9.1999999999999993</v>
      </c>
      <c r="U68" s="75"/>
      <c r="V68" s="75">
        <v>1.7</v>
      </c>
      <c r="W68" s="75">
        <v>0.5</v>
      </c>
      <c r="X68" s="75">
        <v>0</v>
      </c>
      <c r="Y68" s="75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5">
        <v>25</v>
      </c>
      <c r="AH68" s="48">
        <f t="shared" si="10"/>
        <v>18.5</v>
      </c>
      <c r="AI68" s="49">
        <f t="shared" si="11"/>
        <v>0</v>
      </c>
      <c r="AK68" s="51"/>
      <c r="AY68" s="1" t="s">
        <v>86</v>
      </c>
      <c r="AZ68" s="81">
        <f>ROUND(C81,0)</f>
        <v>39</v>
      </c>
      <c r="BA68" s="80">
        <f t="shared" ref="BA68:BD72" si="39">D81</f>
        <v>37.1</v>
      </c>
      <c r="BB68" s="80">
        <f t="shared" si="39"/>
        <v>40.5</v>
      </c>
      <c r="BC68" s="80">
        <f t="shared" si="39"/>
        <v>38.9</v>
      </c>
      <c r="BD68" s="80">
        <f t="shared" si="39"/>
        <v>40.799999999999997</v>
      </c>
      <c r="BE68" s="81">
        <f>I81</f>
        <v>32.1</v>
      </c>
      <c r="BF68" s="81">
        <f>K81</f>
        <v>63.4</v>
      </c>
      <c r="BG68" s="81">
        <f t="shared" ref="BG68:BP72" si="40">M81</f>
        <v>70</v>
      </c>
      <c r="BH68" s="81">
        <f t="shared" si="40"/>
        <v>55.3</v>
      </c>
      <c r="BI68" s="81">
        <f t="shared" si="40"/>
        <v>55</v>
      </c>
      <c r="BJ68" s="81">
        <f t="shared" si="40"/>
        <v>67.7</v>
      </c>
      <c r="BK68" s="81">
        <f t="shared" si="40"/>
        <v>60</v>
      </c>
      <c r="BL68" s="81">
        <f t="shared" si="40"/>
        <v>55</v>
      </c>
      <c r="BM68" s="81">
        <f t="shared" si="40"/>
        <v>57.6</v>
      </c>
      <c r="BN68" s="81">
        <f t="shared" si="40"/>
        <v>68.8</v>
      </c>
      <c r="BO68" s="81">
        <f t="shared" si="40"/>
        <v>0</v>
      </c>
      <c r="BP68" s="81">
        <f t="shared" si="40"/>
        <v>61.6</v>
      </c>
      <c r="BQ68" s="81">
        <f>X81</f>
        <v>62.6</v>
      </c>
      <c r="BR68" s="81">
        <f>Z81</f>
        <v>31.4</v>
      </c>
      <c r="BS68" s="80">
        <f>AB81</f>
        <v>31.5</v>
      </c>
      <c r="BT68" s="80">
        <f>AD81</f>
        <v>31.5</v>
      </c>
      <c r="BU68" s="80">
        <f>AE81</f>
        <v>28</v>
      </c>
      <c r="BV68" s="80">
        <f>AF81</f>
        <v>22.7</v>
      </c>
      <c r="BW68" s="80">
        <f>B81</f>
        <v>20.399999999999999</v>
      </c>
    </row>
    <row r="69" spans="1:75" x14ac:dyDescent="0.25">
      <c r="A69" s="64" t="s">
        <v>87</v>
      </c>
      <c r="B69" s="75">
        <v>15</v>
      </c>
      <c r="C69" s="75">
        <v>15</v>
      </c>
      <c r="D69" s="75">
        <v>15</v>
      </c>
      <c r="E69" s="75">
        <v>15</v>
      </c>
      <c r="F69" s="75">
        <v>15</v>
      </c>
      <c r="G69" s="75">
        <v>15</v>
      </c>
      <c r="H69" s="75">
        <v>15</v>
      </c>
      <c r="I69" s="75">
        <v>15</v>
      </c>
      <c r="J69" s="75">
        <v>15</v>
      </c>
      <c r="K69" s="75">
        <v>15</v>
      </c>
      <c r="L69" s="75">
        <v>15</v>
      </c>
      <c r="M69" s="75">
        <v>15</v>
      </c>
      <c r="N69" s="75">
        <v>15</v>
      </c>
      <c r="O69" s="75">
        <v>15</v>
      </c>
      <c r="P69" s="75">
        <v>15</v>
      </c>
      <c r="Q69" s="75">
        <v>15</v>
      </c>
      <c r="R69" s="75">
        <v>15</v>
      </c>
      <c r="S69" s="75">
        <v>15</v>
      </c>
      <c r="T69" s="75">
        <v>15</v>
      </c>
      <c r="U69" s="75"/>
      <c r="V69" s="75">
        <v>15</v>
      </c>
      <c r="W69" s="75">
        <v>15</v>
      </c>
      <c r="X69" s="75">
        <v>15</v>
      </c>
      <c r="Y69" s="75">
        <v>15</v>
      </c>
      <c r="Z69" s="75">
        <v>15</v>
      </c>
      <c r="AA69" s="75">
        <v>15</v>
      </c>
      <c r="AB69" s="75">
        <v>15</v>
      </c>
      <c r="AC69" s="75">
        <v>15</v>
      </c>
      <c r="AD69" s="75">
        <v>15</v>
      </c>
      <c r="AE69" s="75">
        <v>15</v>
      </c>
      <c r="AF69" s="75">
        <v>15</v>
      </c>
      <c r="AG69" s="65">
        <v>24</v>
      </c>
      <c r="AH69" s="48">
        <f t="shared" si="10"/>
        <v>15</v>
      </c>
      <c r="AI69" s="49">
        <f t="shared" si="11"/>
        <v>15</v>
      </c>
      <c r="AK69" s="51"/>
      <c r="AY69" s="1" t="s">
        <v>88</v>
      </c>
      <c r="AZ69" s="81">
        <f>ROUND(C82,0)</f>
        <v>0</v>
      </c>
      <c r="BA69" s="80">
        <f t="shared" si="39"/>
        <v>0</v>
      </c>
      <c r="BB69" s="80">
        <f t="shared" si="39"/>
        <v>0</v>
      </c>
      <c r="BC69" s="80">
        <f t="shared" si="39"/>
        <v>0</v>
      </c>
      <c r="BD69" s="80">
        <f t="shared" si="39"/>
        <v>0</v>
      </c>
      <c r="BE69" s="81">
        <f t="shared" ref="BE69:BE72" si="41">I82</f>
        <v>0</v>
      </c>
      <c r="BF69" s="81">
        <f t="shared" ref="BF69:BF72" si="42">K82</f>
        <v>74.7</v>
      </c>
      <c r="BG69" s="81">
        <f t="shared" si="40"/>
        <v>92</v>
      </c>
      <c r="BH69" s="81">
        <f t="shared" si="40"/>
        <v>107.6</v>
      </c>
      <c r="BI69" s="81">
        <f t="shared" si="40"/>
        <v>107.6</v>
      </c>
      <c r="BJ69" s="81">
        <f t="shared" si="40"/>
        <v>109.4</v>
      </c>
      <c r="BK69" s="81">
        <f t="shared" si="40"/>
        <v>114</v>
      </c>
      <c r="BL69" s="81">
        <f t="shared" si="40"/>
        <v>98</v>
      </c>
      <c r="BM69" s="81">
        <f t="shared" si="40"/>
        <v>114.4</v>
      </c>
      <c r="BN69" s="81">
        <f t="shared" si="40"/>
        <v>110.7</v>
      </c>
      <c r="BO69" s="81">
        <f t="shared" si="40"/>
        <v>0</v>
      </c>
      <c r="BP69" s="81">
        <f t="shared" si="40"/>
        <v>98.5</v>
      </c>
      <c r="BQ69" s="81">
        <f t="shared" ref="BQ69:BQ72" si="43">X82</f>
        <v>102.1</v>
      </c>
      <c r="BR69" s="81">
        <f t="shared" ref="BR69:BR72" si="44">Z82</f>
        <v>0</v>
      </c>
      <c r="BS69" s="80">
        <f t="shared" ref="BS69:BS72" si="45">AB82</f>
        <v>0</v>
      </c>
      <c r="BT69" s="80">
        <f t="shared" ref="BT69:BV72" si="46">AD82</f>
        <v>0</v>
      </c>
      <c r="BU69" s="80">
        <f t="shared" si="46"/>
        <v>0</v>
      </c>
      <c r="BV69" s="80">
        <f t="shared" si="46"/>
        <v>0</v>
      </c>
      <c r="BW69" s="80">
        <f t="shared" ref="BW69:BW72" si="47">B82</f>
        <v>0</v>
      </c>
    </row>
    <row r="70" spans="1:75" x14ac:dyDescent="0.25">
      <c r="A70" s="64" t="s">
        <v>89</v>
      </c>
      <c r="B70" s="75">
        <v>0</v>
      </c>
      <c r="C70" s="75">
        <v>0</v>
      </c>
      <c r="D70" s="75">
        <v>0</v>
      </c>
      <c r="E70" s="75">
        <v>0</v>
      </c>
      <c r="F70" s="75">
        <v>0</v>
      </c>
      <c r="G70" s="75">
        <v>0</v>
      </c>
      <c r="H70" s="75">
        <v>0</v>
      </c>
      <c r="I70" s="75">
        <v>0</v>
      </c>
      <c r="J70" s="75">
        <v>0</v>
      </c>
      <c r="K70" s="75">
        <v>0</v>
      </c>
      <c r="L70" s="75">
        <v>0</v>
      </c>
      <c r="M70" s="75">
        <v>0</v>
      </c>
      <c r="N70" s="75">
        <v>0</v>
      </c>
      <c r="O70" s="75">
        <v>0</v>
      </c>
      <c r="P70" s="75">
        <v>0</v>
      </c>
      <c r="Q70" s="75">
        <v>0</v>
      </c>
      <c r="R70" s="75">
        <v>0</v>
      </c>
      <c r="S70" s="75">
        <v>0</v>
      </c>
      <c r="T70" s="75">
        <v>0</v>
      </c>
      <c r="U70" s="75"/>
      <c r="V70" s="75">
        <v>0</v>
      </c>
      <c r="W70" s="75">
        <v>0</v>
      </c>
      <c r="X70" s="75">
        <v>0</v>
      </c>
      <c r="Y70" s="75">
        <v>0</v>
      </c>
      <c r="Z70" s="75">
        <v>0</v>
      </c>
      <c r="AA70" s="75">
        <v>0</v>
      </c>
      <c r="AB70" s="75">
        <v>0</v>
      </c>
      <c r="AC70" s="75">
        <v>0</v>
      </c>
      <c r="AD70" s="75">
        <v>0</v>
      </c>
      <c r="AE70" s="75">
        <v>0</v>
      </c>
      <c r="AF70" s="75">
        <v>0</v>
      </c>
      <c r="AG70" s="65">
        <v>15</v>
      </c>
      <c r="AH70" s="48">
        <f t="shared" si="10"/>
        <v>0</v>
      </c>
      <c r="AI70" s="49">
        <f t="shared" si="11"/>
        <v>0</v>
      </c>
      <c r="AK70" s="51"/>
      <c r="AL70" s="82"/>
      <c r="AO70" s="82"/>
      <c r="AY70" s="1" t="s">
        <v>90</v>
      </c>
      <c r="AZ70" s="81">
        <f>ROUND(C83,0)</f>
        <v>108</v>
      </c>
      <c r="BA70" s="80">
        <f t="shared" si="39"/>
        <v>85.2</v>
      </c>
      <c r="BB70" s="80">
        <f t="shared" si="39"/>
        <v>111.7</v>
      </c>
      <c r="BC70" s="80">
        <f t="shared" si="39"/>
        <v>103.9</v>
      </c>
      <c r="BD70" s="80">
        <f t="shared" si="39"/>
        <v>138.4</v>
      </c>
      <c r="BE70" s="81">
        <f t="shared" si="41"/>
        <v>149.9</v>
      </c>
      <c r="BF70" s="81">
        <f t="shared" si="42"/>
        <v>487</v>
      </c>
      <c r="BG70" s="81">
        <f t="shared" si="40"/>
        <v>513</v>
      </c>
      <c r="BH70" s="81">
        <f t="shared" si="40"/>
        <v>502.6</v>
      </c>
      <c r="BI70" s="81">
        <f t="shared" si="40"/>
        <v>478</v>
      </c>
      <c r="BJ70" s="81">
        <f t="shared" si="40"/>
        <v>470.7</v>
      </c>
      <c r="BK70" s="81">
        <f t="shared" si="40"/>
        <v>489</v>
      </c>
      <c r="BL70" s="81">
        <f t="shared" si="40"/>
        <v>508.9</v>
      </c>
      <c r="BM70" s="81">
        <f t="shared" si="40"/>
        <v>492.6</v>
      </c>
      <c r="BN70" s="81">
        <f t="shared" si="40"/>
        <v>465.6</v>
      </c>
      <c r="BO70" s="81">
        <f t="shared" si="40"/>
        <v>0</v>
      </c>
      <c r="BP70" s="81">
        <f t="shared" si="40"/>
        <v>456.6</v>
      </c>
      <c r="BQ70" s="81">
        <f t="shared" si="43"/>
        <v>313</v>
      </c>
      <c r="BR70" s="81">
        <f t="shared" si="44"/>
        <v>82.9</v>
      </c>
      <c r="BS70" s="80">
        <f t="shared" si="45"/>
        <v>69.5</v>
      </c>
      <c r="BT70" s="80">
        <f t="shared" si="46"/>
        <v>177</v>
      </c>
      <c r="BU70" s="80">
        <f t="shared" si="46"/>
        <v>137</v>
      </c>
      <c r="BV70" s="80">
        <f t="shared" si="46"/>
        <v>135</v>
      </c>
      <c r="BW70" s="80">
        <f t="shared" si="47"/>
        <v>82.8</v>
      </c>
    </row>
    <row r="71" spans="1:75" s="82" customFormat="1" x14ac:dyDescent="0.25">
      <c r="A71" s="64" t="s">
        <v>91</v>
      </c>
      <c r="B71" s="75">
        <v>10.4</v>
      </c>
      <c r="C71" s="75">
        <v>10.4</v>
      </c>
      <c r="D71" s="75">
        <v>10</v>
      </c>
      <c r="E71" s="75">
        <v>10</v>
      </c>
      <c r="F71" s="75">
        <v>10</v>
      </c>
      <c r="G71" s="75">
        <v>10</v>
      </c>
      <c r="H71" s="75">
        <v>10</v>
      </c>
      <c r="I71" s="75">
        <v>10</v>
      </c>
      <c r="J71" s="75">
        <v>10</v>
      </c>
      <c r="K71" s="75">
        <v>10</v>
      </c>
      <c r="L71" s="75">
        <v>10</v>
      </c>
      <c r="M71" s="75">
        <v>10</v>
      </c>
      <c r="N71" s="75">
        <v>10</v>
      </c>
      <c r="O71" s="75">
        <v>10</v>
      </c>
      <c r="P71" s="75">
        <v>10</v>
      </c>
      <c r="Q71" s="75">
        <v>10</v>
      </c>
      <c r="R71" s="75">
        <v>10</v>
      </c>
      <c r="S71" s="75">
        <v>10</v>
      </c>
      <c r="T71" s="75">
        <v>10</v>
      </c>
      <c r="U71" s="75"/>
      <c r="V71" s="75">
        <v>10</v>
      </c>
      <c r="W71" s="75">
        <v>10</v>
      </c>
      <c r="X71" s="75">
        <v>10</v>
      </c>
      <c r="Y71" s="75">
        <v>10</v>
      </c>
      <c r="Z71" s="75">
        <v>10</v>
      </c>
      <c r="AA71" s="75">
        <v>10</v>
      </c>
      <c r="AB71" s="75">
        <v>10</v>
      </c>
      <c r="AC71" s="75">
        <v>10</v>
      </c>
      <c r="AD71" s="75">
        <v>10</v>
      </c>
      <c r="AE71" s="75">
        <v>10</v>
      </c>
      <c r="AF71" s="75">
        <v>10</v>
      </c>
      <c r="AG71" s="65">
        <v>14.1</v>
      </c>
      <c r="AH71" s="48">
        <f t="shared" si="10"/>
        <v>10.4</v>
      </c>
      <c r="AI71" s="49">
        <f t="shared" si="11"/>
        <v>10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0</v>
      </c>
      <c r="BA71" s="80">
        <f t="shared" si="39"/>
        <v>0</v>
      </c>
      <c r="BB71" s="80">
        <f t="shared" si="39"/>
        <v>0</v>
      </c>
      <c r="BC71" s="80">
        <f t="shared" si="39"/>
        <v>0</v>
      </c>
      <c r="BD71" s="80">
        <f t="shared" si="39"/>
        <v>0</v>
      </c>
      <c r="BE71" s="81">
        <f t="shared" si="41"/>
        <v>41.6</v>
      </c>
      <c r="BF71" s="81">
        <f t="shared" si="42"/>
        <v>37.299999999999997</v>
      </c>
      <c r="BG71" s="81">
        <f t="shared" si="40"/>
        <v>48.4</v>
      </c>
      <c r="BH71" s="81">
        <f t="shared" si="40"/>
        <v>52.7</v>
      </c>
      <c r="BI71" s="81">
        <f t="shared" si="40"/>
        <v>50.4</v>
      </c>
      <c r="BJ71" s="81">
        <f t="shared" si="40"/>
        <v>51.6</v>
      </c>
      <c r="BK71" s="81">
        <f t="shared" si="40"/>
        <v>44</v>
      </c>
      <c r="BL71" s="81">
        <f t="shared" si="40"/>
        <v>46.8</v>
      </c>
      <c r="BM71" s="81">
        <f t="shared" si="40"/>
        <v>50.4</v>
      </c>
      <c r="BN71" s="81">
        <f t="shared" si="40"/>
        <v>50.6</v>
      </c>
      <c r="BO71" s="81">
        <f t="shared" si="40"/>
        <v>0</v>
      </c>
      <c r="BP71" s="81">
        <f t="shared" si="40"/>
        <v>47</v>
      </c>
      <c r="BQ71" s="81">
        <f t="shared" si="43"/>
        <v>0</v>
      </c>
      <c r="BR71" s="81">
        <f t="shared" si="44"/>
        <v>0</v>
      </c>
      <c r="BS71" s="80">
        <f t="shared" si="45"/>
        <v>34.799999999999997</v>
      </c>
      <c r="BT71" s="80">
        <f t="shared" si="46"/>
        <v>24</v>
      </c>
      <c r="BU71" s="80">
        <f t="shared" si="46"/>
        <v>24</v>
      </c>
      <c r="BV71" s="80">
        <f t="shared" si="46"/>
        <v>35</v>
      </c>
      <c r="BW71" s="80">
        <f t="shared" si="47"/>
        <v>0</v>
      </c>
    </row>
    <row r="72" spans="1:75" x14ac:dyDescent="0.25">
      <c r="A72" s="83" t="s">
        <v>93</v>
      </c>
      <c r="B72" s="75">
        <v>4.9000000000000004</v>
      </c>
      <c r="C72" s="75">
        <v>4.9000000000000004</v>
      </c>
      <c r="D72" s="75">
        <v>4.9000000000000004</v>
      </c>
      <c r="E72" s="75">
        <v>4.9000000000000004</v>
      </c>
      <c r="F72" s="75">
        <v>4.9000000000000004</v>
      </c>
      <c r="G72" s="75">
        <v>4.9000000000000004</v>
      </c>
      <c r="H72" s="75">
        <v>4.9000000000000004</v>
      </c>
      <c r="I72" s="75">
        <v>4.9000000000000004</v>
      </c>
      <c r="J72" s="75">
        <v>4.9000000000000004</v>
      </c>
      <c r="K72" s="75">
        <v>4.9000000000000004</v>
      </c>
      <c r="L72" s="75">
        <v>4.9000000000000004</v>
      </c>
      <c r="M72" s="75">
        <v>4.9000000000000004</v>
      </c>
      <c r="N72" s="75">
        <v>4.9000000000000004</v>
      </c>
      <c r="O72" s="75">
        <v>4.9000000000000004</v>
      </c>
      <c r="P72" s="75">
        <v>4.9000000000000004</v>
      </c>
      <c r="Q72" s="75">
        <v>4.9000000000000004</v>
      </c>
      <c r="R72" s="75">
        <v>4.9000000000000004</v>
      </c>
      <c r="S72" s="75">
        <v>4.9000000000000004</v>
      </c>
      <c r="T72" s="75">
        <v>4.9000000000000004</v>
      </c>
      <c r="U72" s="75"/>
      <c r="V72" s="75">
        <v>4.9000000000000004</v>
      </c>
      <c r="W72" s="75">
        <v>4.9000000000000004</v>
      </c>
      <c r="X72" s="75">
        <v>4.9000000000000004</v>
      </c>
      <c r="Y72" s="75">
        <v>4.9000000000000004</v>
      </c>
      <c r="Z72" s="75">
        <v>4.9000000000000004</v>
      </c>
      <c r="AA72" s="75">
        <v>4.9000000000000004</v>
      </c>
      <c r="AB72" s="75">
        <v>4.9000000000000004</v>
      </c>
      <c r="AC72" s="75">
        <v>4.9000000000000004</v>
      </c>
      <c r="AD72" s="75">
        <v>4.9000000000000004</v>
      </c>
      <c r="AE72" s="75">
        <v>4.9000000000000004</v>
      </c>
      <c r="AF72" s="75">
        <v>4.9000000000000004</v>
      </c>
      <c r="AG72" s="65">
        <v>14</v>
      </c>
      <c r="AH72" s="48">
        <f t="shared" si="10"/>
        <v>4.9000000000000004</v>
      </c>
      <c r="AI72" s="49">
        <f t="shared" si="11"/>
        <v>4.9000000000000004</v>
      </c>
      <c r="AK72" s="51"/>
      <c r="AY72" s="1" t="s">
        <v>94</v>
      </c>
      <c r="AZ72" s="81">
        <f>ROUND(C85,0)</f>
        <v>0</v>
      </c>
      <c r="BA72" s="80">
        <f t="shared" si="39"/>
        <v>0</v>
      </c>
      <c r="BB72" s="80">
        <f t="shared" si="39"/>
        <v>0</v>
      </c>
      <c r="BC72" s="80">
        <f t="shared" si="39"/>
        <v>0</v>
      </c>
      <c r="BD72" s="80">
        <f t="shared" si="39"/>
        <v>0</v>
      </c>
      <c r="BE72" s="81">
        <f t="shared" si="41"/>
        <v>0</v>
      </c>
      <c r="BF72" s="81">
        <f t="shared" si="42"/>
        <v>97.9</v>
      </c>
      <c r="BG72" s="81">
        <f t="shared" si="40"/>
        <v>132.4</v>
      </c>
      <c r="BH72" s="81">
        <f t="shared" si="40"/>
        <v>114.4</v>
      </c>
      <c r="BI72" s="81">
        <f t="shared" si="40"/>
        <v>128.19999999999999</v>
      </c>
      <c r="BJ72" s="81">
        <f t="shared" si="40"/>
        <v>80</v>
      </c>
      <c r="BK72" s="81">
        <f t="shared" si="40"/>
        <v>140.5</v>
      </c>
      <c r="BL72" s="81">
        <f t="shared" si="40"/>
        <v>145.69999999999999</v>
      </c>
      <c r="BM72" s="81">
        <f t="shared" si="40"/>
        <v>133.5</v>
      </c>
      <c r="BN72" s="81">
        <f t="shared" si="40"/>
        <v>131.4</v>
      </c>
      <c r="BO72" s="81">
        <f t="shared" si="40"/>
        <v>0</v>
      </c>
      <c r="BP72" s="81">
        <f t="shared" si="40"/>
        <v>141</v>
      </c>
      <c r="BQ72" s="81">
        <f t="shared" si="43"/>
        <v>68.8</v>
      </c>
      <c r="BR72" s="81">
        <f t="shared" si="44"/>
        <v>0</v>
      </c>
      <c r="BS72" s="80">
        <f t="shared" si="45"/>
        <v>67</v>
      </c>
      <c r="BT72" s="80">
        <f t="shared" si="46"/>
        <v>75</v>
      </c>
      <c r="BU72" s="80">
        <f t="shared" si="46"/>
        <v>77</v>
      </c>
      <c r="BV72" s="80">
        <f t="shared" si="46"/>
        <v>80</v>
      </c>
      <c r="BW72" s="80">
        <f t="shared" si="47"/>
        <v>0</v>
      </c>
    </row>
    <row r="73" spans="1:75" x14ac:dyDescent="0.25">
      <c r="A73" s="64" t="s">
        <v>95</v>
      </c>
      <c r="B73" s="75">
        <v>3.7</v>
      </c>
      <c r="C73" s="75">
        <v>3.7</v>
      </c>
      <c r="D73" s="75">
        <v>3.7</v>
      </c>
      <c r="E73" s="75">
        <v>3.7</v>
      </c>
      <c r="F73" s="75">
        <v>3.7</v>
      </c>
      <c r="G73" s="75">
        <v>3.7</v>
      </c>
      <c r="H73" s="75">
        <v>3.7</v>
      </c>
      <c r="I73" s="75">
        <v>3.7</v>
      </c>
      <c r="J73" s="75">
        <v>3.7</v>
      </c>
      <c r="K73" s="75">
        <v>3.7</v>
      </c>
      <c r="L73" s="75">
        <v>3.7</v>
      </c>
      <c r="M73" s="75">
        <v>3.7</v>
      </c>
      <c r="N73" s="75">
        <v>3.7</v>
      </c>
      <c r="O73" s="75">
        <v>3.7</v>
      </c>
      <c r="P73" s="75">
        <v>3.7</v>
      </c>
      <c r="Q73" s="75">
        <v>3.7</v>
      </c>
      <c r="R73" s="75">
        <v>3.7</v>
      </c>
      <c r="S73" s="75">
        <v>3.7</v>
      </c>
      <c r="T73" s="75">
        <v>3.7</v>
      </c>
      <c r="U73" s="75"/>
      <c r="V73" s="75">
        <v>3.7</v>
      </c>
      <c r="W73" s="75">
        <v>3.7</v>
      </c>
      <c r="X73" s="75">
        <v>3.7</v>
      </c>
      <c r="Y73" s="75">
        <v>3.7</v>
      </c>
      <c r="Z73" s="75">
        <v>3.7</v>
      </c>
      <c r="AA73" s="75">
        <v>3.7</v>
      </c>
      <c r="AB73" s="75">
        <v>3.7</v>
      </c>
      <c r="AC73" s="75">
        <v>3.7</v>
      </c>
      <c r="AD73" s="75">
        <v>3.7</v>
      </c>
      <c r="AE73" s="75">
        <v>3.7</v>
      </c>
      <c r="AF73" s="75">
        <v>3.7</v>
      </c>
      <c r="AG73" s="65">
        <v>10.050000000000001</v>
      </c>
      <c r="AH73" s="48">
        <f t="shared" si="10"/>
        <v>3.7</v>
      </c>
      <c r="AI73" s="49">
        <f t="shared" si="11"/>
        <v>3.7</v>
      </c>
      <c r="AK73" s="51"/>
      <c r="AY73" s="1" t="s">
        <v>96</v>
      </c>
      <c r="AZ73" s="81">
        <f>ROUND(C91,0)</f>
        <v>49</v>
      </c>
      <c r="BA73" s="81">
        <f>D91</f>
        <v>49.4</v>
      </c>
      <c r="BB73" s="81">
        <f>E91</f>
        <v>49</v>
      </c>
      <c r="BC73" s="81">
        <f>F91</f>
        <v>48.3</v>
      </c>
      <c r="BD73" s="81">
        <f>G91</f>
        <v>46.5</v>
      </c>
      <c r="BE73" s="81">
        <f>I91</f>
        <v>43.4</v>
      </c>
      <c r="BF73" s="81">
        <f>K91</f>
        <v>43.2</v>
      </c>
      <c r="BG73" s="81">
        <f t="shared" ref="BG73:BP73" si="48">M91</f>
        <v>42.7</v>
      </c>
      <c r="BH73" s="81">
        <f t="shared" si="48"/>
        <v>43</v>
      </c>
      <c r="BI73" s="81">
        <f t="shared" si="48"/>
        <v>45</v>
      </c>
      <c r="BJ73" s="81">
        <f t="shared" si="48"/>
        <v>46.6</v>
      </c>
      <c r="BK73" s="81">
        <f t="shared" si="48"/>
        <v>45.1</v>
      </c>
      <c r="BL73" s="81">
        <f t="shared" si="48"/>
        <v>43.8</v>
      </c>
      <c r="BM73" s="81">
        <f t="shared" si="48"/>
        <v>47</v>
      </c>
      <c r="BN73" s="81">
        <f t="shared" si="48"/>
        <v>46.4</v>
      </c>
      <c r="BO73" s="81">
        <f t="shared" si="48"/>
        <v>0</v>
      </c>
      <c r="BP73" s="81">
        <f t="shared" si="48"/>
        <v>47.8</v>
      </c>
      <c r="BQ73" s="81">
        <f>X91</f>
        <v>39.1</v>
      </c>
      <c r="BR73" s="81">
        <f>Z91</f>
        <v>44.5</v>
      </c>
      <c r="BS73" s="81">
        <f>AB91</f>
        <v>44.9</v>
      </c>
      <c r="BT73" s="81">
        <f>AD91</f>
        <v>45.8</v>
      </c>
      <c r="BU73" s="81">
        <f>AE91</f>
        <v>54</v>
      </c>
      <c r="BV73" s="81">
        <f>AF91</f>
        <v>54</v>
      </c>
      <c r="BW73" s="81">
        <f>B91</f>
        <v>49.8</v>
      </c>
    </row>
    <row r="74" spans="1:75" x14ac:dyDescent="0.25">
      <c r="A74" s="64" t="s">
        <v>97</v>
      </c>
      <c r="B74" s="75">
        <v>2</v>
      </c>
      <c r="C74" s="75">
        <v>2</v>
      </c>
      <c r="D74" s="75">
        <v>2</v>
      </c>
      <c r="E74" s="75">
        <v>2</v>
      </c>
      <c r="F74" s="75">
        <v>2</v>
      </c>
      <c r="G74" s="75">
        <v>2</v>
      </c>
      <c r="H74" s="75">
        <v>2</v>
      </c>
      <c r="I74" s="75">
        <v>2</v>
      </c>
      <c r="J74" s="75">
        <v>2</v>
      </c>
      <c r="K74" s="75">
        <v>2</v>
      </c>
      <c r="L74" s="75">
        <v>2</v>
      </c>
      <c r="M74" s="75">
        <v>2</v>
      </c>
      <c r="N74" s="75">
        <v>2</v>
      </c>
      <c r="O74" s="75">
        <v>2</v>
      </c>
      <c r="P74" s="75">
        <v>2</v>
      </c>
      <c r="Q74" s="75">
        <v>2</v>
      </c>
      <c r="R74" s="75">
        <v>2</v>
      </c>
      <c r="S74" s="75">
        <v>2</v>
      </c>
      <c r="T74" s="75">
        <v>2</v>
      </c>
      <c r="U74" s="75"/>
      <c r="V74" s="75">
        <v>2</v>
      </c>
      <c r="W74" s="75">
        <v>2</v>
      </c>
      <c r="X74" s="75">
        <v>2</v>
      </c>
      <c r="Y74" s="75">
        <v>2</v>
      </c>
      <c r="Z74" s="75">
        <v>2</v>
      </c>
      <c r="AA74" s="75">
        <v>2</v>
      </c>
      <c r="AB74" s="75">
        <v>2</v>
      </c>
      <c r="AC74" s="75">
        <v>2</v>
      </c>
      <c r="AD74" s="75">
        <v>2</v>
      </c>
      <c r="AE74" s="75">
        <v>2</v>
      </c>
      <c r="AF74" s="75">
        <v>2</v>
      </c>
      <c r="AG74" s="65">
        <v>6.2</v>
      </c>
      <c r="AH74" s="48">
        <f t="shared" si="10"/>
        <v>2</v>
      </c>
      <c r="AI74" s="49">
        <f t="shared" si="11"/>
        <v>2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</row>
    <row r="75" spans="1:75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>
        <v>3.54</v>
      </c>
      <c r="W75" s="84">
        <v>3.54</v>
      </c>
      <c r="X75" s="84">
        <v>3.54</v>
      </c>
      <c r="Y75" s="84">
        <v>3.54</v>
      </c>
      <c r="Z75" s="84">
        <v>3.54</v>
      </c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10"/>
        <v>3.54</v>
      </c>
      <c r="AI75" s="49">
        <f t="shared" si="11"/>
        <v>3.54</v>
      </c>
      <c r="AK75" s="51"/>
      <c r="AZ75" s="81">
        <f>VALUE(AZ68)</f>
        <v>39</v>
      </c>
      <c r="BA75" s="81">
        <f t="shared" ref="BA75:BW75" si="49">VALUE(BA68)</f>
        <v>37.1</v>
      </c>
      <c r="BB75" s="81">
        <f t="shared" si="49"/>
        <v>40.5</v>
      </c>
      <c r="BC75" s="81">
        <f t="shared" si="49"/>
        <v>38.9</v>
      </c>
      <c r="BD75" s="81">
        <f t="shared" si="49"/>
        <v>40.799999999999997</v>
      </c>
      <c r="BE75" s="81">
        <f t="shared" si="49"/>
        <v>32.1</v>
      </c>
      <c r="BF75" s="81">
        <f t="shared" si="49"/>
        <v>63.4</v>
      </c>
      <c r="BG75" s="81">
        <f t="shared" si="49"/>
        <v>70</v>
      </c>
      <c r="BH75" s="81">
        <f t="shared" si="49"/>
        <v>55.3</v>
      </c>
      <c r="BI75" s="81">
        <f t="shared" si="49"/>
        <v>55</v>
      </c>
      <c r="BJ75" s="81">
        <f t="shared" si="49"/>
        <v>67.7</v>
      </c>
      <c r="BK75" s="81">
        <f t="shared" si="49"/>
        <v>60</v>
      </c>
      <c r="BL75" s="81">
        <f t="shared" si="49"/>
        <v>55</v>
      </c>
      <c r="BM75" s="81">
        <f t="shared" si="49"/>
        <v>57.6</v>
      </c>
      <c r="BN75" s="81">
        <f t="shared" si="49"/>
        <v>68.8</v>
      </c>
      <c r="BO75" s="81">
        <f t="shared" si="49"/>
        <v>0</v>
      </c>
      <c r="BP75" s="81">
        <f t="shared" si="49"/>
        <v>61.6</v>
      </c>
      <c r="BQ75" s="81">
        <f t="shared" si="49"/>
        <v>62.6</v>
      </c>
      <c r="BR75" s="81">
        <f t="shared" si="49"/>
        <v>31.4</v>
      </c>
      <c r="BS75" s="81">
        <f t="shared" si="49"/>
        <v>31.5</v>
      </c>
      <c r="BT75" s="81">
        <f t="shared" si="49"/>
        <v>31.5</v>
      </c>
      <c r="BU75" s="81">
        <f t="shared" si="49"/>
        <v>28</v>
      </c>
      <c r="BV75" s="81">
        <f t="shared" si="49"/>
        <v>22.7</v>
      </c>
      <c r="BW75" s="81">
        <f t="shared" si="49"/>
        <v>20.399999999999999</v>
      </c>
    </row>
    <row r="76" spans="1:75" ht="15.75" thickBot="1" x14ac:dyDescent="0.3">
      <c r="A76" s="86" t="s">
        <v>99</v>
      </c>
      <c r="B76" s="70">
        <f t="shared" ref="B76:AG76" si="50">SUM(B63:B75)</f>
        <v>246.84</v>
      </c>
      <c r="C76" s="70">
        <f t="shared" si="50"/>
        <v>180.94</v>
      </c>
      <c r="D76" s="70">
        <f t="shared" si="50"/>
        <v>171.33999999999997</v>
      </c>
      <c r="E76" s="70">
        <f t="shared" si="50"/>
        <v>116.94000000000001</v>
      </c>
      <c r="F76" s="70">
        <f t="shared" si="50"/>
        <v>116.94000000000001</v>
      </c>
      <c r="G76" s="70">
        <f t="shared" si="50"/>
        <v>115.24000000000001</v>
      </c>
      <c r="H76" s="70">
        <f t="shared" si="50"/>
        <v>216.73999999999998</v>
      </c>
      <c r="I76" s="70">
        <f t="shared" si="50"/>
        <v>216.73999999999998</v>
      </c>
      <c r="J76" s="70">
        <f t="shared" si="50"/>
        <v>184.93999999999997</v>
      </c>
      <c r="K76" s="70">
        <f t="shared" si="50"/>
        <v>212.73999999999995</v>
      </c>
      <c r="L76" s="70">
        <f t="shared" si="50"/>
        <v>264.84000000000003</v>
      </c>
      <c r="M76" s="70">
        <f t="shared" si="50"/>
        <v>265.94</v>
      </c>
      <c r="N76" s="70">
        <f t="shared" si="50"/>
        <v>264.84000000000003</v>
      </c>
      <c r="O76" s="70">
        <f t="shared" si="50"/>
        <v>253.34</v>
      </c>
      <c r="P76" s="70">
        <f t="shared" si="50"/>
        <v>236.93999999999997</v>
      </c>
      <c r="Q76" s="70">
        <f t="shared" si="50"/>
        <v>243.84</v>
      </c>
      <c r="R76" s="70">
        <f t="shared" si="50"/>
        <v>233.93999999999997</v>
      </c>
      <c r="S76" s="70">
        <f t="shared" ref="S76:T76" si="51">SUM(S63:S75)</f>
        <v>228.43999999999997</v>
      </c>
      <c r="T76" s="70">
        <f t="shared" si="51"/>
        <v>209.94</v>
      </c>
      <c r="U76" s="70">
        <f t="shared" si="50"/>
        <v>3.54</v>
      </c>
      <c r="V76" s="70">
        <f t="shared" si="50"/>
        <v>153.83999999999997</v>
      </c>
      <c r="W76" s="70">
        <f t="shared" ref="W76:X76" si="52">SUM(W63:W75)</f>
        <v>180.44</v>
      </c>
      <c r="X76" s="70">
        <f t="shared" si="52"/>
        <v>214.94</v>
      </c>
      <c r="Y76" s="70">
        <f t="shared" ref="Y76:Z76" si="53">SUM(Y63:Y75)</f>
        <v>283.93999999999994</v>
      </c>
      <c r="Z76" s="70">
        <f t="shared" si="53"/>
        <v>316.33999999999997</v>
      </c>
      <c r="AA76" s="70">
        <f t="shared" ref="AA76" si="54">SUM(AA63:AA75)</f>
        <v>355.44</v>
      </c>
      <c r="AB76" s="70">
        <f t="shared" si="50"/>
        <v>353.54</v>
      </c>
      <c r="AC76" s="70">
        <f t="shared" si="50"/>
        <v>262.04000000000008</v>
      </c>
      <c r="AD76" s="70">
        <f t="shared" si="50"/>
        <v>236.03999999999996</v>
      </c>
      <c r="AE76" s="70">
        <f t="shared" si="50"/>
        <v>231.83999999999997</v>
      </c>
      <c r="AF76" s="70">
        <f t="shared" si="50"/>
        <v>182.83999999999997</v>
      </c>
      <c r="AG76" s="71">
        <f t="shared" si="50"/>
        <v>489.91</v>
      </c>
      <c r="AH76" s="48">
        <f t="shared" si="10"/>
        <v>355.44</v>
      </c>
      <c r="AI76" s="49">
        <f t="shared" si="11"/>
        <v>3.54</v>
      </c>
      <c r="AK76" s="51"/>
      <c r="AZ76" s="81">
        <f t="shared" ref="AZ76:BW80" si="55">VALUE(AZ69)</f>
        <v>0</v>
      </c>
      <c r="BA76" s="81">
        <f t="shared" si="55"/>
        <v>0</v>
      </c>
      <c r="BB76" s="81">
        <f t="shared" si="55"/>
        <v>0</v>
      </c>
      <c r="BC76" s="81">
        <f t="shared" si="55"/>
        <v>0</v>
      </c>
      <c r="BD76" s="81">
        <f t="shared" si="55"/>
        <v>0</v>
      </c>
      <c r="BE76" s="81">
        <f t="shared" si="55"/>
        <v>0</v>
      </c>
      <c r="BF76" s="81">
        <f t="shared" si="55"/>
        <v>74.7</v>
      </c>
      <c r="BG76" s="81">
        <f t="shared" si="55"/>
        <v>92</v>
      </c>
      <c r="BH76" s="81">
        <f t="shared" si="55"/>
        <v>107.6</v>
      </c>
      <c r="BI76" s="81">
        <f t="shared" si="55"/>
        <v>107.6</v>
      </c>
      <c r="BJ76" s="81">
        <f t="shared" si="55"/>
        <v>109.4</v>
      </c>
      <c r="BK76" s="81">
        <f t="shared" si="55"/>
        <v>114</v>
      </c>
      <c r="BL76" s="81">
        <f t="shared" si="55"/>
        <v>98</v>
      </c>
      <c r="BM76" s="81">
        <f t="shared" si="55"/>
        <v>114.4</v>
      </c>
      <c r="BN76" s="81">
        <f t="shared" si="55"/>
        <v>110.7</v>
      </c>
      <c r="BO76" s="81">
        <f t="shared" si="55"/>
        <v>0</v>
      </c>
      <c r="BP76" s="81">
        <f t="shared" si="55"/>
        <v>98.5</v>
      </c>
      <c r="BQ76" s="81">
        <f t="shared" si="55"/>
        <v>102.1</v>
      </c>
      <c r="BR76" s="81">
        <f t="shared" si="55"/>
        <v>0</v>
      </c>
      <c r="BS76" s="81">
        <f t="shared" si="55"/>
        <v>0</v>
      </c>
      <c r="BT76" s="81">
        <f t="shared" si="55"/>
        <v>0</v>
      </c>
      <c r="BU76" s="81">
        <f t="shared" si="55"/>
        <v>0</v>
      </c>
      <c r="BV76" s="81">
        <f t="shared" si="55"/>
        <v>0</v>
      </c>
      <c r="BW76" s="81">
        <f t="shared" si="55"/>
        <v>0</v>
      </c>
    </row>
    <row r="77" spans="1:75" x14ac:dyDescent="0.25">
      <c r="A77" s="45" t="s">
        <v>100</v>
      </c>
      <c r="B77" s="46">
        <v>57.1</v>
      </c>
      <c r="C77" s="46">
        <v>57.8</v>
      </c>
      <c r="D77" s="46">
        <v>57.6</v>
      </c>
      <c r="E77" s="46">
        <v>57.6</v>
      </c>
      <c r="F77" s="46">
        <v>57.6</v>
      </c>
      <c r="G77" s="46">
        <v>57.6</v>
      </c>
      <c r="H77" s="46">
        <v>57.6</v>
      </c>
      <c r="I77" s="46">
        <v>57.6</v>
      </c>
      <c r="J77" s="46">
        <v>11.7</v>
      </c>
      <c r="K77" s="46">
        <v>22.5</v>
      </c>
      <c r="L77" s="46">
        <v>27.2</v>
      </c>
      <c r="M77" s="46">
        <v>17.100000000000001</v>
      </c>
      <c r="N77" s="46">
        <v>30</v>
      </c>
      <c r="O77" s="46">
        <v>52.4</v>
      </c>
      <c r="P77" s="46">
        <v>48</v>
      </c>
      <c r="Q77" s="46">
        <v>48</v>
      </c>
      <c r="R77" s="46">
        <v>37.6</v>
      </c>
      <c r="S77" s="46">
        <v>58.5</v>
      </c>
      <c r="T77" s="46">
        <v>58.5</v>
      </c>
      <c r="U77" s="46"/>
      <c r="V77" s="46">
        <v>32.1</v>
      </c>
      <c r="W77" s="46">
        <v>37</v>
      </c>
      <c r="X77" s="46">
        <v>37</v>
      </c>
      <c r="Y77" s="46">
        <v>57.3</v>
      </c>
      <c r="Z77" s="46">
        <v>57.3</v>
      </c>
      <c r="AA77" s="46">
        <v>57.2</v>
      </c>
      <c r="AB77" s="46">
        <v>57.2</v>
      </c>
      <c r="AC77" s="46">
        <v>57.2</v>
      </c>
      <c r="AD77" s="46">
        <v>57.2</v>
      </c>
      <c r="AE77" s="46">
        <v>57.2</v>
      </c>
      <c r="AF77" s="46">
        <v>57.2</v>
      </c>
      <c r="AG77" s="60">
        <v>60</v>
      </c>
      <c r="AH77" s="48">
        <f t="shared" si="10"/>
        <v>58.5</v>
      </c>
      <c r="AI77" s="49">
        <f t="shared" si="11"/>
        <v>11.7</v>
      </c>
      <c r="AK77" s="51"/>
      <c r="AZ77" s="81">
        <f t="shared" si="55"/>
        <v>108</v>
      </c>
      <c r="BA77" s="81">
        <f t="shared" si="55"/>
        <v>85.2</v>
      </c>
      <c r="BB77" s="81">
        <f t="shared" si="55"/>
        <v>111.7</v>
      </c>
      <c r="BC77" s="81">
        <f t="shared" si="55"/>
        <v>103.9</v>
      </c>
      <c r="BD77" s="81">
        <f t="shared" si="55"/>
        <v>138.4</v>
      </c>
      <c r="BE77" s="81">
        <f t="shared" si="55"/>
        <v>149.9</v>
      </c>
      <c r="BF77" s="81">
        <f t="shared" si="55"/>
        <v>487</v>
      </c>
      <c r="BG77" s="81">
        <f t="shared" si="55"/>
        <v>513</v>
      </c>
      <c r="BH77" s="81">
        <f t="shared" si="55"/>
        <v>502.6</v>
      </c>
      <c r="BI77" s="81">
        <f t="shared" si="55"/>
        <v>478</v>
      </c>
      <c r="BJ77" s="81">
        <f t="shared" si="55"/>
        <v>470.7</v>
      </c>
      <c r="BK77" s="81">
        <f t="shared" si="55"/>
        <v>489</v>
      </c>
      <c r="BL77" s="81">
        <f t="shared" si="55"/>
        <v>508.9</v>
      </c>
      <c r="BM77" s="81">
        <f t="shared" si="55"/>
        <v>492.6</v>
      </c>
      <c r="BN77" s="81">
        <f t="shared" si="55"/>
        <v>465.6</v>
      </c>
      <c r="BO77" s="81">
        <f t="shared" si="55"/>
        <v>0</v>
      </c>
      <c r="BP77" s="81">
        <f t="shared" si="55"/>
        <v>456.6</v>
      </c>
      <c r="BQ77" s="81">
        <f t="shared" si="55"/>
        <v>313</v>
      </c>
      <c r="BR77" s="81">
        <f t="shared" si="55"/>
        <v>82.9</v>
      </c>
      <c r="BS77" s="81">
        <f t="shared" si="55"/>
        <v>69.5</v>
      </c>
      <c r="BT77" s="81">
        <f t="shared" si="55"/>
        <v>177</v>
      </c>
      <c r="BU77" s="81">
        <f t="shared" si="55"/>
        <v>137</v>
      </c>
      <c r="BV77" s="81">
        <f t="shared" si="55"/>
        <v>135</v>
      </c>
      <c r="BW77" s="81">
        <f t="shared" si="55"/>
        <v>82.8</v>
      </c>
    </row>
    <row r="78" spans="1:75" x14ac:dyDescent="0.25">
      <c r="A78" s="64" t="s">
        <v>101</v>
      </c>
      <c r="B78" s="75">
        <v>26.2</v>
      </c>
      <c r="C78" s="75">
        <v>26.5</v>
      </c>
      <c r="D78" s="75">
        <v>26.6</v>
      </c>
      <c r="E78" s="75">
        <v>26.6</v>
      </c>
      <c r="F78" s="75">
        <v>26.6</v>
      </c>
      <c r="G78" s="75">
        <v>26.6</v>
      </c>
      <c r="H78" s="75">
        <v>26.6</v>
      </c>
      <c r="I78" s="75">
        <v>26.6</v>
      </c>
      <c r="J78" s="75">
        <v>15.6</v>
      </c>
      <c r="K78" s="75">
        <v>9.1999999999999993</v>
      </c>
      <c r="L78" s="75">
        <v>14.9</v>
      </c>
      <c r="M78" s="75">
        <v>9.8000000000000007</v>
      </c>
      <c r="N78" s="75">
        <v>13.2</v>
      </c>
      <c r="O78" s="75">
        <v>25</v>
      </c>
      <c r="P78" s="75">
        <v>21.4</v>
      </c>
      <c r="Q78" s="75">
        <v>21.7</v>
      </c>
      <c r="R78" s="75">
        <v>15.9</v>
      </c>
      <c r="S78" s="75">
        <v>21.6</v>
      </c>
      <c r="T78" s="75">
        <v>21.6</v>
      </c>
      <c r="U78" s="75"/>
      <c r="V78" s="75">
        <v>13.2</v>
      </c>
      <c r="W78" s="75">
        <v>16.8</v>
      </c>
      <c r="X78" s="75">
        <v>16.8</v>
      </c>
      <c r="Y78" s="75">
        <v>27.9</v>
      </c>
      <c r="Z78" s="75">
        <v>27.9</v>
      </c>
      <c r="AA78" s="75">
        <v>27.9</v>
      </c>
      <c r="AB78" s="75">
        <v>27.3</v>
      </c>
      <c r="AC78" s="75">
        <v>27.3</v>
      </c>
      <c r="AD78" s="75">
        <v>27.3</v>
      </c>
      <c r="AE78" s="75">
        <v>27.3</v>
      </c>
      <c r="AF78" s="75">
        <v>27.3</v>
      </c>
      <c r="AG78" s="65">
        <v>32</v>
      </c>
      <c r="AH78" s="48">
        <f t="shared" si="10"/>
        <v>27.9</v>
      </c>
      <c r="AI78" s="49">
        <f t="shared" si="11"/>
        <v>9.1999999999999993</v>
      </c>
      <c r="AK78" s="51"/>
      <c r="AZ78" s="81">
        <f t="shared" si="55"/>
        <v>0</v>
      </c>
      <c r="BA78" s="81">
        <f t="shared" si="55"/>
        <v>0</v>
      </c>
      <c r="BB78" s="81">
        <f t="shared" si="55"/>
        <v>0</v>
      </c>
      <c r="BC78" s="81">
        <f t="shared" si="55"/>
        <v>0</v>
      </c>
      <c r="BD78" s="81">
        <f t="shared" si="55"/>
        <v>0</v>
      </c>
      <c r="BE78" s="81">
        <f t="shared" si="55"/>
        <v>41.6</v>
      </c>
      <c r="BF78" s="81">
        <f t="shared" si="55"/>
        <v>37.299999999999997</v>
      </c>
      <c r="BG78" s="81">
        <f t="shared" si="55"/>
        <v>48.4</v>
      </c>
      <c r="BH78" s="81">
        <f t="shared" si="55"/>
        <v>52.7</v>
      </c>
      <c r="BI78" s="81">
        <f t="shared" si="55"/>
        <v>50.4</v>
      </c>
      <c r="BJ78" s="81">
        <f t="shared" si="55"/>
        <v>51.6</v>
      </c>
      <c r="BK78" s="81">
        <f t="shared" si="55"/>
        <v>44</v>
      </c>
      <c r="BL78" s="81">
        <f t="shared" si="55"/>
        <v>46.8</v>
      </c>
      <c r="BM78" s="81">
        <f t="shared" si="55"/>
        <v>50.4</v>
      </c>
      <c r="BN78" s="81">
        <f t="shared" si="55"/>
        <v>50.6</v>
      </c>
      <c r="BO78" s="81">
        <f t="shared" si="55"/>
        <v>0</v>
      </c>
      <c r="BP78" s="81">
        <f t="shared" si="55"/>
        <v>47</v>
      </c>
      <c r="BQ78" s="81">
        <f t="shared" si="55"/>
        <v>0</v>
      </c>
      <c r="BR78" s="81">
        <f t="shared" si="55"/>
        <v>0</v>
      </c>
      <c r="BS78" s="81">
        <f t="shared" si="55"/>
        <v>34.799999999999997</v>
      </c>
      <c r="BT78" s="81">
        <f t="shared" si="55"/>
        <v>24</v>
      </c>
      <c r="BU78" s="81">
        <f t="shared" si="55"/>
        <v>24</v>
      </c>
      <c r="BV78" s="81">
        <f t="shared" si="55"/>
        <v>35</v>
      </c>
      <c r="BW78" s="81">
        <f t="shared" si="55"/>
        <v>0</v>
      </c>
    </row>
    <row r="79" spans="1:75" ht="15.75" thickBot="1" x14ac:dyDescent="0.3">
      <c r="A79" s="83" t="s">
        <v>102</v>
      </c>
      <c r="B79" s="77">
        <v>9.6</v>
      </c>
      <c r="C79" s="77">
        <v>9.6999999999999993</v>
      </c>
      <c r="D79" s="77">
        <v>9.6999999999999993</v>
      </c>
      <c r="E79" s="77">
        <v>9.6999999999999993</v>
      </c>
      <c r="F79" s="77">
        <v>9.6999999999999993</v>
      </c>
      <c r="G79" s="77">
        <v>9.6999999999999993</v>
      </c>
      <c r="H79" s="77">
        <v>9.6999999999999993</v>
      </c>
      <c r="I79" s="77">
        <v>9.6999999999999993</v>
      </c>
      <c r="J79" s="77">
        <v>5.7</v>
      </c>
      <c r="K79" s="77">
        <v>3.3</v>
      </c>
      <c r="L79" s="77">
        <v>5.4</v>
      </c>
      <c r="M79" s="77">
        <v>3.6</v>
      </c>
      <c r="N79" s="77">
        <v>4.8</v>
      </c>
      <c r="O79" s="77">
        <v>9.1</v>
      </c>
      <c r="P79" s="77">
        <v>7.8</v>
      </c>
      <c r="Q79" s="77">
        <v>7.9</v>
      </c>
      <c r="R79" s="77">
        <v>5.8</v>
      </c>
      <c r="S79" s="77">
        <v>7.9</v>
      </c>
      <c r="T79" s="77">
        <v>10</v>
      </c>
      <c r="U79" s="77"/>
      <c r="V79" s="77">
        <v>4.8</v>
      </c>
      <c r="W79" s="77">
        <v>6.1</v>
      </c>
      <c r="X79" s="77">
        <v>6.1</v>
      </c>
      <c r="Y79" s="77">
        <v>10.199999999999999</v>
      </c>
      <c r="Z79" s="77">
        <v>10.199999999999999</v>
      </c>
      <c r="AA79" s="77">
        <v>10.199999999999999</v>
      </c>
      <c r="AB79" s="77">
        <v>9.9</v>
      </c>
      <c r="AC79" s="77">
        <v>9.9</v>
      </c>
      <c r="AD79" s="77">
        <v>9.9</v>
      </c>
      <c r="AE79" s="77">
        <v>9.9</v>
      </c>
      <c r="AF79" s="77">
        <v>9.9</v>
      </c>
      <c r="AG79" s="78">
        <v>14</v>
      </c>
      <c r="AH79" s="48">
        <f t="shared" si="10"/>
        <v>10.199999999999999</v>
      </c>
      <c r="AI79" s="49">
        <f t="shared" si="11"/>
        <v>3.3</v>
      </c>
      <c r="AK79" s="51"/>
      <c r="AZ79" s="81">
        <f t="shared" si="55"/>
        <v>0</v>
      </c>
      <c r="BA79" s="81">
        <f t="shared" si="55"/>
        <v>0</v>
      </c>
      <c r="BB79" s="81">
        <f t="shared" si="55"/>
        <v>0</v>
      </c>
      <c r="BC79" s="81">
        <f t="shared" si="55"/>
        <v>0</v>
      </c>
      <c r="BD79" s="81">
        <f t="shared" si="55"/>
        <v>0</v>
      </c>
      <c r="BE79" s="81">
        <f t="shared" si="55"/>
        <v>0</v>
      </c>
      <c r="BF79" s="81">
        <f t="shared" si="55"/>
        <v>97.9</v>
      </c>
      <c r="BG79" s="81">
        <f t="shared" si="55"/>
        <v>132.4</v>
      </c>
      <c r="BH79" s="81">
        <f t="shared" si="55"/>
        <v>114.4</v>
      </c>
      <c r="BI79" s="81">
        <f t="shared" si="55"/>
        <v>128.19999999999999</v>
      </c>
      <c r="BJ79" s="81">
        <f t="shared" si="55"/>
        <v>80</v>
      </c>
      <c r="BK79" s="81">
        <f t="shared" si="55"/>
        <v>140.5</v>
      </c>
      <c r="BL79" s="81">
        <f t="shared" si="55"/>
        <v>145.69999999999999</v>
      </c>
      <c r="BM79" s="81">
        <f t="shared" si="55"/>
        <v>133.5</v>
      </c>
      <c r="BN79" s="81">
        <f t="shared" si="55"/>
        <v>131.4</v>
      </c>
      <c r="BO79" s="81">
        <f t="shared" si="55"/>
        <v>0</v>
      </c>
      <c r="BP79" s="81">
        <f t="shared" si="55"/>
        <v>141</v>
      </c>
      <c r="BQ79" s="81">
        <f t="shared" si="55"/>
        <v>68.8</v>
      </c>
      <c r="BR79" s="81">
        <f t="shared" si="55"/>
        <v>0</v>
      </c>
      <c r="BS79" s="81">
        <f t="shared" si="55"/>
        <v>67</v>
      </c>
      <c r="BT79" s="81">
        <f t="shared" si="55"/>
        <v>75</v>
      </c>
      <c r="BU79" s="81">
        <f t="shared" si="55"/>
        <v>77</v>
      </c>
      <c r="BV79" s="81">
        <f t="shared" si="55"/>
        <v>80</v>
      </c>
      <c r="BW79" s="81">
        <f t="shared" si="55"/>
        <v>0</v>
      </c>
    </row>
    <row r="80" spans="1:75" ht="15.75" thickBot="1" x14ac:dyDescent="0.3">
      <c r="A80" s="86" t="s">
        <v>103</v>
      </c>
      <c r="B80" s="70">
        <f t="shared" ref="B80:AF80" si="56">B77+B78+B79</f>
        <v>92.899999999999991</v>
      </c>
      <c r="C80" s="70">
        <f t="shared" si="56"/>
        <v>94</v>
      </c>
      <c r="D80" s="70">
        <f t="shared" si="56"/>
        <v>93.9</v>
      </c>
      <c r="E80" s="70">
        <f t="shared" si="56"/>
        <v>93.9</v>
      </c>
      <c r="F80" s="70">
        <f t="shared" si="56"/>
        <v>93.9</v>
      </c>
      <c r="G80" s="70">
        <f t="shared" si="56"/>
        <v>93.9</v>
      </c>
      <c r="H80" s="70">
        <f t="shared" si="56"/>
        <v>93.9</v>
      </c>
      <c r="I80" s="70">
        <f t="shared" si="56"/>
        <v>93.9</v>
      </c>
      <c r="J80" s="70">
        <f t="shared" si="56"/>
        <v>33</v>
      </c>
      <c r="K80" s="70">
        <f t="shared" si="56"/>
        <v>35</v>
      </c>
      <c r="L80" s="70">
        <f t="shared" si="56"/>
        <v>47.5</v>
      </c>
      <c r="M80" s="70">
        <f t="shared" si="56"/>
        <v>30.500000000000004</v>
      </c>
      <c r="N80" s="70">
        <f t="shared" si="56"/>
        <v>48</v>
      </c>
      <c r="O80" s="70">
        <f t="shared" si="56"/>
        <v>86.5</v>
      </c>
      <c r="P80" s="70">
        <f t="shared" si="56"/>
        <v>77.2</v>
      </c>
      <c r="Q80" s="70">
        <f t="shared" si="56"/>
        <v>77.600000000000009</v>
      </c>
      <c r="R80" s="70">
        <f t="shared" si="56"/>
        <v>59.3</v>
      </c>
      <c r="S80" s="70">
        <f t="shared" ref="S80:T80" si="57">S77+S78+S79</f>
        <v>88</v>
      </c>
      <c r="T80" s="70">
        <f t="shared" si="57"/>
        <v>90.1</v>
      </c>
      <c r="U80" s="70">
        <f t="shared" si="56"/>
        <v>0</v>
      </c>
      <c r="V80" s="70">
        <f t="shared" si="56"/>
        <v>50.099999999999994</v>
      </c>
      <c r="W80" s="70">
        <f t="shared" ref="W80:X80" si="58">W77+W78+W79</f>
        <v>59.9</v>
      </c>
      <c r="X80" s="70">
        <f t="shared" si="58"/>
        <v>59.9</v>
      </c>
      <c r="Y80" s="70">
        <f t="shared" ref="Y80:Z80" si="59">Y77+Y78+Y79</f>
        <v>95.399999999999991</v>
      </c>
      <c r="Z80" s="70">
        <f t="shared" si="59"/>
        <v>95.399999999999991</v>
      </c>
      <c r="AA80" s="70">
        <f t="shared" ref="AA80" si="60">AA77+AA78+AA79</f>
        <v>95.3</v>
      </c>
      <c r="AB80" s="70">
        <f t="shared" si="56"/>
        <v>94.4</v>
      </c>
      <c r="AC80" s="70">
        <f t="shared" si="56"/>
        <v>94.4</v>
      </c>
      <c r="AD80" s="70">
        <f t="shared" si="56"/>
        <v>94.4</v>
      </c>
      <c r="AE80" s="70">
        <f t="shared" si="56"/>
        <v>94.4</v>
      </c>
      <c r="AF80" s="70">
        <f t="shared" si="56"/>
        <v>94.4</v>
      </c>
      <c r="AG80" s="71">
        <f>SUM(AG77:AG79)</f>
        <v>106</v>
      </c>
      <c r="AH80" s="48">
        <f t="shared" si="10"/>
        <v>95.399999999999991</v>
      </c>
      <c r="AI80" s="49">
        <f t="shared" si="11"/>
        <v>0</v>
      </c>
      <c r="AK80" s="51"/>
      <c r="AZ80" s="81">
        <f t="shared" si="55"/>
        <v>49</v>
      </c>
      <c r="BA80" s="81">
        <f t="shared" si="55"/>
        <v>49.4</v>
      </c>
      <c r="BB80" s="81">
        <f t="shared" si="55"/>
        <v>49</v>
      </c>
      <c r="BC80" s="81">
        <f t="shared" si="55"/>
        <v>48.3</v>
      </c>
      <c r="BD80" s="81">
        <f t="shared" si="55"/>
        <v>46.5</v>
      </c>
      <c r="BE80" s="81">
        <f t="shared" si="55"/>
        <v>43.4</v>
      </c>
      <c r="BF80" s="81">
        <f t="shared" si="55"/>
        <v>43.2</v>
      </c>
      <c r="BG80" s="81">
        <f t="shared" si="55"/>
        <v>42.7</v>
      </c>
      <c r="BH80" s="81">
        <f t="shared" si="55"/>
        <v>43</v>
      </c>
      <c r="BI80" s="81">
        <f t="shared" si="55"/>
        <v>45</v>
      </c>
      <c r="BJ80" s="81">
        <f t="shared" si="55"/>
        <v>46.6</v>
      </c>
      <c r="BK80" s="81">
        <f t="shared" si="55"/>
        <v>45.1</v>
      </c>
      <c r="BL80" s="81">
        <f t="shared" si="55"/>
        <v>43.8</v>
      </c>
      <c r="BM80" s="81">
        <f t="shared" si="55"/>
        <v>47</v>
      </c>
      <c r="BN80" s="81">
        <f t="shared" si="55"/>
        <v>46.4</v>
      </c>
      <c r="BO80" s="81">
        <f t="shared" si="55"/>
        <v>0</v>
      </c>
      <c r="BP80" s="81">
        <f t="shared" si="55"/>
        <v>47.8</v>
      </c>
      <c r="BQ80" s="81">
        <f t="shared" si="55"/>
        <v>39.1</v>
      </c>
      <c r="BR80" s="81">
        <f t="shared" si="55"/>
        <v>44.5</v>
      </c>
      <c r="BS80" s="81">
        <f t="shared" si="55"/>
        <v>44.9</v>
      </c>
      <c r="BT80" s="81">
        <f t="shared" si="55"/>
        <v>45.8</v>
      </c>
      <c r="BU80" s="81">
        <f t="shared" si="55"/>
        <v>54</v>
      </c>
      <c r="BV80" s="81">
        <f t="shared" si="55"/>
        <v>54</v>
      </c>
      <c r="BW80" s="81">
        <f t="shared" si="55"/>
        <v>49.8</v>
      </c>
    </row>
    <row r="81" spans="1:64" x14ac:dyDescent="0.25">
      <c r="A81" s="45" t="s">
        <v>104</v>
      </c>
      <c r="B81" s="46">
        <v>20.399999999999999</v>
      </c>
      <c r="C81" s="46">
        <v>39</v>
      </c>
      <c r="D81" s="46">
        <v>37.1</v>
      </c>
      <c r="E81" s="46">
        <v>40.5</v>
      </c>
      <c r="F81" s="46">
        <v>38.9</v>
      </c>
      <c r="G81" s="46">
        <v>40.799999999999997</v>
      </c>
      <c r="H81" s="46">
        <v>30.4</v>
      </c>
      <c r="I81" s="46">
        <v>32.1</v>
      </c>
      <c r="J81" s="46">
        <v>48.3</v>
      </c>
      <c r="K81" s="46">
        <v>63.4</v>
      </c>
      <c r="L81" s="46">
        <v>70</v>
      </c>
      <c r="M81" s="46">
        <v>70</v>
      </c>
      <c r="N81" s="46">
        <v>55.3</v>
      </c>
      <c r="O81" s="46">
        <v>55</v>
      </c>
      <c r="P81" s="46">
        <v>67.7</v>
      </c>
      <c r="Q81" s="46">
        <v>60</v>
      </c>
      <c r="R81" s="46">
        <v>55</v>
      </c>
      <c r="S81" s="46">
        <v>57.6</v>
      </c>
      <c r="T81" s="46">
        <v>68.8</v>
      </c>
      <c r="U81" s="46"/>
      <c r="V81" s="46">
        <v>61.6</v>
      </c>
      <c r="W81" s="46">
        <v>62.8</v>
      </c>
      <c r="X81" s="46">
        <v>62.6</v>
      </c>
      <c r="Y81" s="46">
        <v>24</v>
      </c>
      <c r="Z81" s="46">
        <v>31.4</v>
      </c>
      <c r="AA81" s="46">
        <v>35.5</v>
      </c>
      <c r="AB81" s="46">
        <v>31.5</v>
      </c>
      <c r="AC81" s="46">
        <v>38.9</v>
      </c>
      <c r="AD81" s="46">
        <v>31.5</v>
      </c>
      <c r="AE81" s="46">
        <v>28</v>
      </c>
      <c r="AF81" s="46">
        <v>22.7</v>
      </c>
      <c r="AG81" s="60"/>
      <c r="AH81" s="48">
        <f t="shared" si="10"/>
        <v>70</v>
      </c>
      <c r="AI81" s="49">
        <f t="shared" si="11"/>
        <v>20.399999999999999</v>
      </c>
      <c r="AK81" s="51"/>
      <c r="AY81" s="81"/>
    </row>
    <row r="82" spans="1:64" x14ac:dyDescent="0.25">
      <c r="A82" s="64" t="s">
        <v>105</v>
      </c>
      <c r="B82" s="75">
        <v>0</v>
      </c>
      <c r="C82" s="75">
        <v>0</v>
      </c>
      <c r="D82" s="75">
        <v>0</v>
      </c>
      <c r="E82" s="75">
        <v>0</v>
      </c>
      <c r="F82" s="75">
        <v>0</v>
      </c>
      <c r="G82" s="75">
        <v>0</v>
      </c>
      <c r="H82" s="75">
        <v>0</v>
      </c>
      <c r="I82" s="75">
        <v>0</v>
      </c>
      <c r="J82" s="75">
        <v>46.1</v>
      </c>
      <c r="K82" s="75">
        <v>74.7</v>
      </c>
      <c r="L82" s="75">
        <v>80</v>
      </c>
      <c r="M82" s="75">
        <v>92</v>
      </c>
      <c r="N82" s="75">
        <v>107.6</v>
      </c>
      <c r="O82" s="75">
        <v>107.6</v>
      </c>
      <c r="P82" s="75">
        <v>109.4</v>
      </c>
      <c r="Q82" s="75">
        <v>114</v>
      </c>
      <c r="R82" s="75">
        <v>98</v>
      </c>
      <c r="S82" s="75">
        <v>114.4</v>
      </c>
      <c r="T82" s="75">
        <v>110.7</v>
      </c>
      <c r="U82" s="75"/>
      <c r="V82" s="75">
        <v>98.5</v>
      </c>
      <c r="W82" s="75">
        <v>107.4</v>
      </c>
      <c r="X82" s="75">
        <v>102.1</v>
      </c>
      <c r="Y82" s="75">
        <v>0</v>
      </c>
      <c r="Z82" s="75">
        <v>0</v>
      </c>
      <c r="AA82" s="75">
        <v>0</v>
      </c>
      <c r="AB82" s="75">
        <v>0</v>
      </c>
      <c r="AC82" s="75">
        <v>0</v>
      </c>
      <c r="AD82" s="75">
        <v>0</v>
      </c>
      <c r="AE82" s="75">
        <v>0</v>
      </c>
      <c r="AF82" s="75">
        <v>0</v>
      </c>
      <c r="AG82" s="65"/>
      <c r="AH82" s="48">
        <f t="shared" ref="AH82:AH125" si="61">MAX(B82:AF82)</f>
        <v>114.4</v>
      </c>
      <c r="AI82" s="49">
        <f t="shared" ref="AI82:AI125" si="62">MIN(B82:AF82)</f>
        <v>0</v>
      </c>
      <c r="AK82" s="51"/>
      <c r="AY82" s="81"/>
      <c r="BF82" s="81"/>
      <c r="BG82" s="81"/>
      <c r="BH82" s="81"/>
      <c r="BI82" s="81"/>
      <c r="BJ82" s="81"/>
      <c r="BK82" s="81"/>
    </row>
    <row r="83" spans="1:64" x14ac:dyDescent="0.25">
      <c r="A83" s="64" t="s">
        <v>106</v>
      </c>
      <c r="B83" s="75">
        <v>82.8</v>
      </c>
      <c r="C83" s="75">
        <v>107.8</v>
      </c>
      <c r="D83" s="75">
        <v>85.2</v>
      </c>
      <c r="E83" s="75">
        <v>111.7</v>
      </c>
      <c r="F83" s="75">
        <v>103.9</v>
      </c>
      <c r="G83" s="75">
        <v>138.4</v>
      </c>
      <c r="H83" s="75">
        <v>128</v>
      </c>
      <c r="I83" s="75">
        <v>149.9</v>
      </c>
      <c r="J83" s="75">
        <v>422.6</v>
      </c>
      <c r="K83" s="75">
        <v>487</v>
      </c>
      <c r="L83" s="75">
        <v>500</v>
      </c>
      <c r="M83" s="75">
        <v>513</v>
      </c>
      <c r="N83" s="75">
        <v>502.6</v>
      </c>
      <c r="O83" s="75">
        <v>478</v>
      </c>
      <c r="P83" s="75">
        <v>470.7</v>
      </c>
      <c r="Q83" s="75">
        <v>489</v>
      </c>
      <c r="R83" s="75">
        <v>508.9</v>
      </c>
      <c r="S83" s="75">
        <v>492.6</v>
      </c>
      <c r="T83" s="75">
        <v>465.6</v>
      </c>
      <c r="U83" s="75"/>
      <c r="V83" s="75">
        <v>456.6</v>
      </c>
      <c r="W83" s="75">
        <v>445.8</v>
      </c>
      <c r="X83" s="75">
        <v>313</v>
      </c>
      <c r="Y83" s="75">
        <v>68.400000000000006</v>
      </c>
      <c r="Z83" s="75">
        <v>82.9</v>
      </c>
      <c r="AA83" s="75">
        <v>75.599999999999994</v>
      </c>
      <c r="AB83" s="75">
        <v>69.5</v>
      </c>
      <c r="AC83" s="75">
        <v>130</v>
      </c>
      <c r="AD83" s="75">
        <v>177</v>
      </c>
      <c r="AE83" s="75">
        <v>137</v>
      </c>
      <c r="AF83" s="75">
        <v>135</v>
      </c>
      <c r="AG83" s="87"/>
      <c r="AH83" s="48">
        <f t="shared" si="61"/>
        <v>513</v>
      </c>
      <c r="AI83" s="49">
        <f t="shared" si="62"/>
        <v>68.400000000000006</v>
      </c>
      <c r="AK83" s="51"/>
      <c r="AY83" s="81"/>
      <c r="BF83" s="80"/>
      <c r="BG83" s="80"/>
      <c r="BH83" s="80"/>
      <c r="BI83" s="80"/>
      <c r="BJ83" s="80"/>
      <c r="BK83" s="81"/>
    </row>
    <row r="84" spans="1:64" x14ac:dyDescent="0.25">
      <c r="A84" s="64" t="s">
        <v>107</v>
      </c>
      <c r="B84" s="75">
        <v>0</v>
      </c>
      <c r="C84" s="75">
        <v>0</v>
      </c>
      <c r="D84" s="75">
        <v>0</v>
      </c>
      <c r="E84" s="88">
        <v>0</v>
      </c>
      <c r="F84" s="88">
        <v>0</v>
      </c>
      <c r="G84" s="88">
        <v>0</v>
      </c>
      <c r="H84" s="88">
        <v>0</v>
      </c>
      <c r="I84" s="88">
        <v>41.6</v>
      </c>
      <c r="J84" s="88">
        <v>45.9</v>
      </c>
      <c r="K84" s="88">
        <v>37.299999999999997</v>
      </c>
      <c r="L84" s="88">
        <v>48.2</v>
      </c>
      <c r="M84" s="88">
        <v>48.4</v>
      </c>
      <c r="N84" s="88">
        <v>52.7</v>
      </c>
      <c r="O84" s="88">
        <v>50.4</v>
      </c>
      <c r="P84" s="88">
        <v>51.6</v>
      </c>
      <c r="Q84" s="88">
        <v>44</v>
      </c>
      <c r="R84" s="88">
        <v>46.8</v>
      </c>
      <c r="S84" s="88">
        <v>50.4</v>
      </c>
      <c r="T84" s="88">
        <v>50.6</v>
      </c>
      <c r="U84" s="88"/>
      <c r="V84" s="88">
        <v>47</v>
      </c>
      <c r="W84" s="88">
        <v>0</v>
      </c>
      <c r="X84" s="88">
        <v>0</v>
      </c>
      <c r="Y84" s="88">
        <v>0</v>
      </c>
      <c r="Z84" s="88">
        <v>0</v>
      </c>
      <c r="AA84" s="88">
        <v>0</v>
      </c>
      <c r="AB84" s="88">
        <v>34.799999999999997</v>
      </c>
      <c r="AC84" s="88">
        <v>36</v>
      </c>
      <c r="AD84" s="88">
        <v>24</v>
      </c>
      <c r="AE84" s="88">
        <v>24</v>
      </c>
      <c r="AF84" s="88">
        <v>35</v>
      </c>
      <c r="AG84" s="87"/>
      <c r="AH84" s="48">
        <f t="shared" si="61"/>
        <v>52.7</v>
      </c>
      <c r="AI84" s="49">
        <f t="shared" si="62"/>
        <v>0</v>
      </c>
      <c r="AK84" s="51"/>
      <c r="AY84" s="81"/>
      <c r="BF84" s="80"/>
      <c r="BG84" s="81">
        <f t="array" ref="BG84:BL107">TRANSPOSE(AZ68:BW73)</f>
        <v>39</v>
      </c>
      <c r="BH84" s="81">
        <v>0</v>
      </c>
      <c r="BI84" s="81">
        <v>108</v>
      </c>
      <c r="BJ84" s="81">
        <v>0</v>
      </c>
      <c r="BK84" s="81">
        <v>0</v>
      </c>
      <c r="BL84" s="81">
        <v>49</v>
      </c>
    </row>
    <row r="85" spans="1:64" x14ac:dyDescent="0.25">
      <c r="A85" s="64" t="s">
        <v>108</v>
      </c>
      <c r="B85" s="46">
        <v>0</v>
      </c>
      <c r="C85" s="46">
        <v>0</v>
      </c>
      <c r="D85" s="46">
        <v>0</v>
      </c>
      <c r="E85" s="46">
        <v>0</v>
      </c>
      <c r="F85" s="46">
        <v>0</v>
      </c>
      <c r="G85" s="46">
        <v>0</v>
      </c>
      <c r="H85" s="46">
        <v>0</v>
      </c>
      <c r="I85" s="46">
        <v>0</v>
      </c>
      <c r="J85" s="46">
        <v>96</v>
      </c>
      <c r="K85" s="46">
        <v>97.9</v>
      </c>
      <c r="L85" s="46">
        <v>122.4</v>
      </c>
      <c r="M85" s="46">
        <v>132.4</v>
      </c>
      <c r="N85" s="46">
        <v>114.4</v>
      </c>
      <c r="O85" s="46">
        <v>128.19999999999999</v>
      </c>
      <c r="P85" s="46">
        <v>80</v>
      </c>
      <c r="Q85" s="46">
        <v>140.5</v>
      </c>
      <c r="R85" s="46">
        <v>145.69999999999999</v>
      </c>
      <c r="S85" s="46">
        <v>133.5</v>
      </c>
      <c r="T85" s="46">
        <v>131.4</v>
      </c>
      <c r="U85" s="46"/>
      <c r="V85" s="46">
        <v>141</v>
      </c>
      <c r="W85" s="46">
        <v>121.8</v>
      </c>
      <c r="X85" s="46">
        <v>68.8</v>
      </c>
      <c r="Y85" s="46">
        <v>0</v>
      </c>
      <c r="Z85" s="46">
        <v>0</v>
      </c>
      <c r="AA85" s="46">
        <v>0</v>
      </c>
      <c r="AB85" s="46">
        <v>67</v>
      </c>
      <c r="AC85" s="46">
        <v>75</v>
      </c>
      <c r="AD85" s="46">
        <v>75</v>
      </c>
      <c r="AE85" s="46">
        <v>77</v>
      </c>
      <c r="AF85" s="46">
        <v>80</v>
      </c>
      <c r="AG85" s="87"/>
      <c r="AH85" s="48">
        <f t="shared" si="61"/>
        <v>145.69999999999999</v>
      </c>
      <c r="AI85" s="49">
        <f t="shared" si="62"/>
        <v>0</v>
      </c>
      <c r="AK85" s="51"/>
      <c r="AY85" s="81"/>
      <c r="BF85" s="80"/>
      <c r="BG85" s="81">
        <v>37.1</v>
      </c>
      <c r="BH85" s="81">
        <v>0</v>
      </c>
      <c r="BI85" s="81">
        <v>85.2</v>
      </c>
      <c r="BJ85" s="81">
        <v>0</v>
      </c>
      <c r="BK85" s="81">
        <v>0</v>
      </c>
      <c r="BL85" s="81">
        <v>49.4</v>
      </c>
    </row>
    <row r="86" spans="1:64" x14ac:dyDescent="0.25">
      <c r="A86" s="64" t="s">
        <v>109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7"/>
      <c r="AH86" s="48">
        <f t="shared" si="61"/>
        <v>0</v>
      </c>
      <c r="AI86" s="49">
        <f t="shared" si="62"/>
        <v>0</v>
      </c>
      <c r="AK86" s="51"/>
      <c r="AY86" s="81"/>
      <c r="BF86" s="80"/>
      <c r="BG86" s="81">
        <v>40.5</v>
      </c>
      <c r="BH86" s="81">
        <v>0</v>
      </c>
      <c r="BI86" s="81">
        <v>111.7</v>
      </c>
      <c r="BJ86" s="81">
        <v>0</v>
      </c>
      <c r="BK86" s="81">
        <v>0</v>
      </c>
      <c r="BL86" s="81">
        <v>49</v>
      </c>
    </row>
    <row r="87" spans="1:64" ht="15.75" thickBot="1" x14ac:dyDescent="0.3">
      <c r="A87" s="64" t="s">
        <v>110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7"/>
      <c r="AH87" s="48">
        <f t="shared" si="61"/>
        <v>0</v>
      </c>
      <c r="AI87" s="49">
        <f t="shared" si="62"/>
        <v>0</v>
      </c>
      <c r="AK87" s="51"/>
      <c r="AL87" s="90" t="s">
        <v>111</v>
      </c>
      <c r="AM87" s="90"/>
      <c r="AY87" s="81"/>
      <c r="BF87" s="81"/>
      <c r="BG87" s="81">
        <v>38.9</v>
      </c>
      <c r="BH87" s="81">
        <v>0</v>
      </c>
      <c r="BI87" s="81">
        <v>103.9</v>
      </c>
      <c r="BJ87" s="81">
        <v>0</v>
      </c>
      <c r="BK87" s="81">
        <v>0</v>
      </c>
      <c r="BL87" s="81">
        <v>48.3</v>
      </c>
    </row>
    <row r="88" spans="1:64" x14ac:dyDescent="0.25">
      <c r="A88" s="64" t="s">
        <v>112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7"/>
      <c r="AH88" s="48">
        <f t="shared" si="61"/>
        <v>0</v>
      </c>
      <c r="AI88" s="49">
        <f t="shared" si="62"/>
        <v>0</v>
      </c>
      <c r="AK88" s="91"/>
      <c r="AL88" s="92"/>
      <c r="AM88" s="92"/>
      <c r="AN88" s="93"/>
      <c r="AY88" s="81"/>
      <c r="BF88" s="81"/>
      <c r="BG88" s="81">
        <v>40.799999999999997</v>
      </c>
      <c r="BH88" s="81">
        <v>0</v>
      </c>
      <c r="BI88" s="81">
        <v>138.4</v>
      </c>
      <c r="BJ88" s="81">
        <v>0</v>
      </c>
      <c r="BK88" s="81">
        <v>0</v>
      </c>
      <c r="BL88" s="81">
        <v>46.5</v>
      </c>
    </row>
    <row r="89" spans="1:64" x14ac:dyDescent="0.25">
      <c r="A89" s="64" t="s">
        <v>113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7"/>
      <c r="AH89" s="48">
        <f t="shared" si="61"/>
        <v>0</v>
      </c>
      <c r="AI89" s="49">
        <f t="shared" si="62"/>
        <v>0</v>
      </c>
      <c r="AK89" s="94" t="s">
        <v>114</v>
      </c>
      <c r="AL89" s="75"/>
      <c r="AM89" s="88"/>
      <c r="AN89" s="95"/>
      <c r="AY89" s="81"/>
      <c r="BF89" s="81"/>
      <c r="BG89" s="81">
        <v>32.1</v>
      </c>
      <c r="BH89" s="81">
        <v>0</v>
      </c>
      <c r="BI89" s="81">
        <v>149.9</v>
      </c>
      <c r="BJ89" s="81">
        <v>41.6</v>
      </c>
      <c r="BK89" s="81">
        <v>0</v>
      </c>
      <c r="BL89" s="81">
        <v>43.4</v>
      </c>
    </row>
    <row r="90" spans="1:64" x14ac:dyDescent="0.25">
      <c r="A90" s="96" t="s">
        <v>115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97"/>
      <c r="AH90" s="48">
        <f t="shared" si="61"/>
        <v>0</v>
      </c>
      <c r="AI90" s="49">
        <f t="shared" si="62"/>
        <v>0</v>
      </c>
      <c r="AK90" s="94" t="s">
        <v>116</v>
      </c>
      <c r="AL90" s="88"/>
      <c r="AM90" s="88"/>
      <c r="AN90" s="95"/>
      <c r="AY90" s="81"/>
      <c r="BF90" s="81"/>
      <c r="BG90" s="81">
        <v>63.4</v>
      </c>
      <c r="BH90" s="81">
        <v>74.7</v>
      </c>
      <c r="BI90" s="81">
        <v>487</v>
      </c>
      <c r="BJ90" s="81">
        <v>37.299999999999997</v>
      </c>
      <c r="BK90" s="81">
        <v>97.9</v>
      </c>
      <c r="BL90" s="81">
        <v>43.2</v>
      </c>
    </row>
    <row r="91" spans="1:64" ht="15.75" thickBot="1" x14ac:dyDescent="0.3">
      <c r="A91" s="96" t="s">
        <v>117</v>
      </c>
      <c r="B91" s="89">
        <v>49.8</v>
      </c>
      <c r="C91" s="89">
        <v>48.6</v>
      </c>
      <c r="D91" s="89">
        <v>49.4</v>
      </c>
      <c r="E91" s="89">
        <v>49</v>
      </c>
      <c r="F91" s="89">
        <v>48.3</v>
      </c>
      <c r="G91" s="89">
        <v>46.5</v>
      </c>
      <c r="H91" s="89">
        <v>44.6</v>
      </c>
      <c r="I91" s="89">
        <v>43.4</v>
      </c>
      <c r="J91" s="89">
        <v>55.6</v>
      </c>
      <c r="K91" s="89">
        <v>43.2</v>
      </c>
      <c r="L91" s="89"/>
      <c r="M91" s="89">
        <v>42.7</v>
      </c>
      <c r="N91" s="89">
        <v>43</v>
      </c>
      <c r="O91" s="89">
        <v>45</v>
      </c>
      <c r="P91" s="89">
        <v>46.6</v>
      </c>
      <c r="Q91" s="89">
        <v>45.1</v>
      </c>
      <c r="R91" s="89">
        <v>43.8</v>
      </c>
      <c r="S91" s="89">
        <v>47</v>
      </c>
      <c r="T91" s="89">
        <v>46.4</v>
      </c>
      <c r="U91" s="89"/>
      <c r="V91" s="89">
        <v>47.8</v>
      </c>
      <c r="W91" s="89">
        <v>49.8</v>
      </c>
      <c r="X91" s="89">
        <v>39.1</v>
      </c>
      <c r="Y91" s="89">
        <v>39.299999999999997</v>
      </c>
      <c r="Z91" s="89">
        <v>44.5</v>
      </c>
      <c r="AA91" s="89">
        <v>44.9</v>
      </c>
      <c r="AB91" s="89">
        <v>44.9</v>
      </c>
      <c r="AC91" s="89">
        <v>45.8</v>
      </c>
      <c r="AD91" s="89">
        <v>45.8</v>
      </c>
      <c r="AE91" s="89">
        <v>54</v>
      </c>
      <c r="AF91" s="89">
        <v>54</v>
      </c>
      <c r="AG91" s="97"/>
      <c r="AH91" s="48">
        <f t="shared" si="61"/>
        <v>55.6</v>
      </c>
      <c r="AI91" s="49">
        <f t="shared" si="62"/>
        <v>39.1</v>
      </c>
      <c r="AK91" s="98"/>
      <c r="AL91" s="46"/>
      <c r="AM91" s="46"/>
      <c r="AN91" s="99"/>
      <c r="AY91" s="81"/>
      <c r="BF91" s="81"/>
      <c r="BG91" s="81">
        <v>70</v>
      </c>
      <c r="BH91" s="81">
        <v>92</v>
      </c>
      <c r="BI91" s="81">
        <v>513</v>
      </c>
      <c r="BJ91" s="81">
        <v>48.4</v>
      </c>
      <c r="BK91" s="81">
        <v>132.4</v>
      </c>
      <c r="BL91" s="81">
        <v>42.7</v>
      </c>
    </row>
    <row r="92" spans="1:64" ht="15.75" thickBot="1" x14ac:dyDescent="0.3">
      <c r="A92" s="86" t="s">
        <v>118</v>
      </c>
      <c r="B92" s="70">
        <f t="shared" ref="B92:AF92" si="63">SUMIF(B81:B91,"&gt;0")</f>
        <v>153</v>
      </c>
      <c r="C92" s="70">
        <f t="shared" si="63"/>
        <v>195.4</v>
      </c>
      <c r="D92" s="70">
        <f t="shared" si="63"/>
        <v>171.70000000000002</v>
      </c>
      <c r="E92" s="70">
        <f t="shared" si="63"/>
        <v>201.2</v>
      </c>
      <c r="F92" s="70">
        <f t="shared" si="63"/>
        <v>191.10000000000002</v>
      </c>
      <c r="G92" s="70">
        <f t="shared" si="63"/>
        <v>225.7</v>
      </c>
      <c r="H92" s="70">
        <f t="shared" si="63"/>
        <v>203</v>
      </c>
      <c r="I92" s="70">
        <f t="shared" si="63"/>
        <v>267</v>
      </c>
      <c r="J92" s="70">
        <f t="shared" si="63"/>
        <v>714.5</v>
      </c>
      <c r="K92" s="70">
        <f t="shared" si="63"/>
        <v>803.5</v>
      </c>
      <c r="L92" s="70">
        <f t="shared" si="63"/>
        <v>820.6</v>
      </c>
      <c r="M92" s="70">
        <f t="shared" si="63"/>
        <v>898.5</v>
      </c>
      <c r="N92" s="70">
        <f t="shared" si="63"/>
        <v>875.6</v>
      </c>
      <c r="O92" s="70">
        <f t="shared" si="63"/>
        <v>864.2</v>
      </c>
      <c r="P92" s="70">
        <f t="shared" si="63"/>
        <v>826</v>
      </c>
      <c r="Q92" s="70">
        <f t="shared" si="63"/>
        <v>892.6</v>
      </c>
      <c r="R92" s="70">
        <f t="shared" si="63"/>
        <v>898.19999999999982</v>
      </c>
      <c r="S92" s="70">
        <f t="shared" ref="S92:T92" si="64">SUMIF(S81:S91,"&gt;0")</f>
        <v>895.5</v>
      </c>
      <c r="T92" s="70">
        <f t="shared" si="64"/>
        <v>873.5</v>
      </c>
      <c r="U92" s="70">
        <f t="shared" si="63"/>
        <v>0</v>
      </c>
      <c r="V92" s="70">
        <f t="shared" si="63"/>
        <v>852.5</v>
      </c>
      <c r="W92" s="70">
        <f t="shared" ref="W92:X92" si="65">SUMIF(W81:W91,"&gt;0")</f>
        <v>787.59999999999991</v>
      </c>
      <c r="X92" s="70">
        <f t="shared" si="65"/>
        <v>585.6</v>
      </c>
      <c r="Y92" s="70">
        <f t="shared" ref="Y92:Z92" si="66">SUMIF(Y81:Y91,"&gt;0")</f>
        <v>131.69999999999999</v>
      </c>
      <c r="Z92" s="70">
        <f t="shared" si="66"/>
        <v>158.80000000000001</v>
      </c>
      <c r="AA92" s="70">
        <f t="shared" ref="AA92" si="67">SUMIF(AA81:AA91,"&gt;0")</f>
        <v>156</v>
      </c>
      <c r="AB92" s="70">
        <f t="shared" si="63"/>
        <v>247.70000000000002</v>
      </c>
      <c r="AC92" s="70">
        <f t="shared" si="63"/>
        <v>325.7</v>
      </c>
      <c r="AD92" s="70">
        <f t="shared" si="63"/>
        <v>353.3</v>
      </c>
      <c r="AE92" s="70">
        <f t="shared" si="63"/>
        <v>320</v>
      </c>
      <c r="AF92" s="70">
        <f t="shared" si="63"/>
        <v>326.7</v>
      </c>
      <c r="AG92" s="100">
        <f>SUM(AG81:AG91)</f>
        <v>0</v>
      </c>
      <c r="AH92" s="48">
        <f t="shared" si="61"/>
        <v>898.5</v>
      </c>
      <c r="AI92" s="49">
        <f t="shared" si="62"/>
        <v>0</v>
      </c>
      <c r="AK92" s="98"/>
      <c r="AL92" s="89"/>
      <c r="AM92" s="101"/>
      <c r="AN92" s="202"/>
      <c r="AY92" s="81"/>
      <c r="BF92" s="81"/>
      <c r="BG92" s="81">
        <v>55.3</v>
      </c>
      <c r="BH92" s="81">
        <v>107.6</v>
      </c>
      <c r="BI92" s="81">
        <v>502.6</v>
      </c>
      <c r="BJ92" s="81">
        <v>52.7</v>
      </c>
      <c r="BK92" s="81">
        <v>114.4</v>
      </c>
      <c r="BL92" s="81">
        <v>43</v>
      </c>
    </row>
    <row r="93" spans="1:64" x14ac:dyDescent="0.25">
      <c r="A93" s="45" t="s">
        <v>119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61"/>
        <v>0</v>
      </c>
      <c r="AI93" s="49">
        <f t="shared" si="62"/>
        <v>0</v>
      </c>
      <c r="AK93" s="98"/>
      <c r="AL93" s="89"/>
      <c r="AM93" s="89"/>
      <c r="AN93" s="203"/>
      <c r="BF93" s="81"/>
      <c r="BG93" s="81">
        <v>55</v>
      </c>
      <c r="BH93" s="81">
        <v>107.6</v>
      </c>
      <c r="BI93" s="81">
        <v>478</v>
      </c>
      <c r="BJ93" s="81">
        <v>50.4</v>
      </c>
      <c r="BK93" s="81">
        <v>128.19999999999999</v>
      </c>
      <c r="BL93" s="81">
        <v>45</v>
      </c>
    </row>
    <row r="94" spans="1:64" ht="15.75" thickBot="1" x14ac:dyDescent="0.3">
      <c r="A94" s="64" t="s">
        <v>120</v>
      </c>
      <c r="B94" s="89">
        <v>0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61"/>
        <v>0</v>
      </c>
      <c r="AI94" s="49">
        <f t="shared" si="62"/>
        <v>0</v>
      </c>
      <c r="AK94" s="103"/>
      <c r="AL94" s="104"/>
      <c r="AM94" s="104"/>
      <c r="AN94" s="105"/>
      <c r="BF94" s="81"/>
      <c r="BG94" s="81">
        <v>67.7</v>
      </c>
      <c r="BH94" s="81">
        <v>109.4</v>
      </c>
      <c r="BI94" s="81">
        <v>470.7</v>
      </c>
      <c r="BJ94" s="81">
        <v>51.6</v>
      </c>
      <c r="BK94" s="81">
        <v>80</v>
      </c>
      <c r="BL94" s="81">
        <v>46.6</v>
      </c>
    </row>
    <row r="95" spans="1:64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0</v>
      </c>
      <c r="Y95" s="106">
        <v>0</v>
      </c>
      <c r="Z95" s="106">
        <v>0</v>
      </c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61"/>
        <v>0</v>
      </c>
      <c r="AI95" s="49">
        <f t="shared" si="62"/>
        <v>0</v>
      </c>
      <c r="BF95" s="81"/>
      <c r="BG95" s="81">
        <v>60</v>
      </c>
      <c r="BH95" s="81">
        <v>114</v>
      </c>
      <c r="BI95" s="81">
        <v>489</v>
      </c>
      <c r="BJ95" s="81">
        <v>44</v>
      </c>
      <c r="BK95" s="81">
        <v>140.5</v>
      </c>
      <c r="BL95" s="81">
        <v>45.1</v>
      </c>
    </row>
    <row r="96" spans="1:64" ht="15.75" thickBot="1" x14ac:dyDescent="0.3">
      <c r="A96" s="86" t="s">
        <v>122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100">
        <f>SUM(AG93:AG95)</f>
        <v>55.4</v>
      </c>
      <c r="AH96" s="48">
        <f t="shared" si="61"/>
        <v>0</v>
      </c>
      <c r="AI96" s="49">
        <f t="shared" si="62"/>
        <v>0</v>
      </c>
      <c r="BF96" s="81"/>
      <c r="BG96" s="81">
        <v>55</v>
      </c>
      <c r="BH96" s="81">
        <v>98</v>
      </c>
      <c r="BI96" s="81">
        <v>508.9</v>
      </c>
      <c r="BJ96" s="81">
        <v>46.8</v>
      </c>
      <c r="BK96" s="81">
        <v>145.69999999999999</v>
      </c>
      <c r="BL96" s="81">
        <v>43.8</v>
      </c>
    </row>
    <row r="97" spans="1:64" ht="15.75" thickBot="1" x14ac:dyDescent="0.3">
      <c r="A97" s="86" t="s">
        <v>123</v>
      </c>
      <c r="B97" s="107">
        <f t="shared" ref="B97:AG97" si="68">B58+B62+B80+B76+B92+B96</f>
        <v>1074.49</v>
      </c>
      <c r="C97" s="107">
        <f t="shared" si="68"/>
        <v>1050.69</v>
      </c>
      <c r="D97" s="107">
        <f t="shared" si="68"/>
        <v>1017.0899999999999</v>
      </c>
      <c r="E97" s="107">
        <f t="shared" si="68"/>
        <v>997.58999999999992</v>
      </c>
      <c r="F97" s="107">
        <f t="shared" si="68"/>
        <v>987.49</v>
      </c>
      <c r="G97" s="107">
        <f t="shared" si="68"/>
        <v>1020.3899999999999</v>
      </c>
      <c r="H97" s="107">
        <f t="shared" si="68"/>
        <v>1099.19</v>
      </c>
      <c r="I97" s="107">
        <f t="shared" si="68"/>
        <v>1163.19</v>
      </c>
      <c r="J97" s="107">
        <f t="shared" si="68"/>
        <v>1441.9899999999998</v>
      </c>
      <c r="K97" s="107">
        <f t="shared" si="68"/>
        <v>1560.79</v>
      </c>
      <c r="L97" s="107">
        <f t="shared" si="68"/>
        <v>1642.49</v>
      </c>
      <c r="M97" s="107">
        <f t="shared" si="68"/>
        <v>1703.79</v>
      </c>
      <c r="N97" s="107">
        <f t="shared" si="68"/>
        <v>1698.79</v>
      </c>
      <c r="O97" s="107">
        <f t="shared" si="68"/>
        <v>1713.5900000000001</v>
      </c>
      <c r="P97" s="107">
        <f t="shared" si="68"/>
        <v>1650.19</v>
      </c>
      <c r="Q97" s="107">
        <f t="shared" si="68"/>
        <v>1723.8899999999999</v>
      </c>
      <c r="R97" s="107">
        <f t="shared" si="68"/>
        <v>1699.7899999999997</v>
      </c>
      <c r="S97" s="107">
        <f t="shared" ref="S97:T97" si="69">S58+S62+S80+S76+S92+S96</f>
        <v>1720.29</v>
      </c>
      <c r="T97" s="107">
        <f t="shared" si="69"/>
        <v>1681.8899999999999</v>
      </c>
      <c r="U97" s="107">
        <f t="shared" si="68"/>
        <v>153.54</v>
      </c>
      <c r="V97" s="107">
        <f t="shared" si="68"/>
        <v>1564.79</v>
      </c>
      <c r="W97" s="107">
        <f t="shared" ref="W97:X97" si="70">W58+W62+W80+W76+W92+W96</f>
        <v>1536.29</v>
      </c>
      <c r="X97" s="107">
        <f t="shared" si="70"/>
        <v>1414.0900000000001</v>
      </c>
      <c r="Y97" s="107">
        <f t="shared" ref="Y97:Z97" si="71">Y58+Y62+Y80+Y76+Y92+Y96</f>
        <v>1400.99</v>
      </c>
      <c r="Z97" s="107">
        <f t="shared" si="71"/>
        <v>1465.49</v>
      </c>
      <c r="AA97" s="107">
        <f t="shared" ref="AA97" si="72">AA58+AA62+AA80+AA76+AA92+AA96</f>
        <v>1501.69</v>
      </c>
      <c r="AB97" s="107">
        <f t="shared" si="68"/>
        <v>1501.5900000000001</v>
      </c>
      <c r="AC97" s="107">
        <f t="shared" si="68"/>
        <v>1413.99</v>
      </c>
      <c r="AD97" s="107">
        <f t="shared" si="68"/>
        <v>1266.5899999999999</v>
      </c>
      <c r="AE97" s="107">
        <f t="shared" si="68"/>
        <v>1229.0899999999999</v>
      </c>
      <c r="AF97" s="107">
        <f t="shared" si="68"/>
        <v>1186.79</v>
      </c>
      <c r="AG97" s="71">
        <f t="shared" si="68"/>
        <v>2231.81</v>
      </c>
      <c r="AH97" s="48">
        <f t="shared" si="61"/>
        <v>1723.8899999999999</v>
      </c>
      <c r="AI97" s="49">
        <f t="shared" si="62"/>
        <v>153.54</v>
      </c>
      <c r="BF97" s="81"/>
      <c r="BG97" s="81">
        <v>57.6</v>
      </c>
      <c r="BH97" s="81">
        <v>114.4</v>
      </c>
      <c r="BI97" s="81">
        <v>492.6</v>
      </c>
      <c r="BJ97" s="81">
        <v>50.4</v>
      </c>
      <c r="BK97" s="81">
        <v>133.5</v>
      </c>
      <c r="BL97" s="81">
        <v>47</v>
      </c>
    </row>
    <row r="98" spans="1:64" ht="15.75" thickBot="1" x14ac:dyDescent="0.3">
      <c r="A98" s="108" t="s">
        <v>124</v>
      </c>
      <c r="B98" s="109">
        <v>280</v>
      </c>
      <c r="C98" s="109">
        <v>280</v>
      </c>
      <c r="D98" s="109">
        <v>280</v>
      </c>
      <c r="E98" s="109">
        <v>280</v>
      </c>
      <c r="F98" s="109">
        <v>280</v>
      </c>
      <c r="G98" s="109">
        <v>280</v>
      </c>
      <c r="H98" s="109">
        <v>280</v>
      </c>
      <c r="I98" s="109">
        <v>260</v>
      </c>
      <c r="J98" s="109">
        <v>0</v>
      </c>
      <c r="K98" s="109">
        <v>0</v>
      </c>
      <c r="L98" s="109">
        <v>0</v>
      </c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>
        <v>300</v>
      </c>
      <c r="Z98" s="109">
        <v>370</v>
      </c>
      <c r="AA98" s="109">
        <v>370</v>
      </c>
      <c r="AB98" s="109">
        <v>370</v>
      </c>
      <c r="AC98" s="109">
        <v>370</v>
      </c>
      <c r="AD98" s="109">
        <v>370</v>
      </c>
      <c r="AE98" s="109">
        <v>370</v>
      </c>
      <c r="AF98" s="109">
        <v>370</v>
      </c>
      <c r="AG98" s="100"/>
      <c r="AH98" s="48">
        <f t="shared" si="61"/>
        <v>370</v>
      </c>
      <c r="AI98" s="49">
        <f t="shared" si="62"/>
        <v>0</v>
      </c>
      <c r="BF98" s="81"/>
      <c r="BG98" s="81">
        <v>68.8</v>
      </c>
      <c r="BH98" s="81">
        <v>110.7</v>
      </c>
      <c r="BI98" s="81">
        <v>465.6</v>
      </c>
      <c r="BJ98" s="81">
        <v>50.6</v>
      </c>
      <c r="BK98" s="81">
        <v>131.4</v>
      </c>
      <c r="BL98" s="81">
        <v>46.4</v>
      </c>
    </row>
    <row r="99" spans="1:64" ht="15.75" thickBot="1" x14ac:dyDescent="0.3">
      <c r="A99" s="86" t="s">
        <v>125</v>
      </c>
      <c r="B99" s="107">
        <f t="shared" ref="B99:AF99" si="73">B97+B98</f>
        <v>1354.49</v>
      </c>
      <c r="C99" s="107">
        <f t="shared" si="73"/>
        <v>1330.69</v>
      </c>
      <c r="D99" s="107">
        <f t="shared" si="73"/>
        <v>1297.0899999999999</v>
      </c>
      <c r="E99" s="107">
        <f t="shared" si="73"/>
        <v>1277.5899999999999</v>
      </c>
      <c r="F99" s="107">
        <f t="shared" si="73"/>
        <v>1267.49</v>
      </c>
      <c r="G99" s="107">
        <f t="shared" si="73"/>
        <v>1300.3899999999999</v>
      </c>
      <c r="H99" s="107">
        <f t="shared" si="73"/>
        <v>1379.19</v>
      </c>
      <c r="I99" s="107">
        <f t="shared" si="73"/>
        <v>1423.19</v>
      </c>
      <c r="J99" s="107">
        <f t="shared" si="73"/>
        <v>1441.9899999999998</v>
      </c>
      <c r="K99" s="107">
        <f t="shared" si="73"/>
        <v>1560.79</v>
      </c>
      <c r="L99" s="107">
        <f t="shared" si="73"/>
        <v>1642.49</v>
      </c>
      <c r="M99" s="107">
        <f t="shared" si="73"/>
        <v>1703.79</v>
      </c>
      <c r="N99" s="107">
        <f t="shared" si="73"/>
        <v>1698.79</v>
      </c>
      <c r="O99" s="107">
        <f t="shared" si="73"/>
        <v>1713.5900000000001</v>
      </c>
      <c r="P99" s="107">
        <f t="shared" si="73"/>
        <v>1650.19</v>
      </c>
      <c r="Q99" s="107">
        <f t="shared" si="73"/>
        <v>1723.8899999999999</v>
      </c>
      <c r="R99" s="107">
        <f t="shared" si="73"/>
        <v>1699.7899999999997</v>
      </c>
      <c r="S99" s="107">
        <f t="shared" ref="S99:T99" si="74">S97+S98</f>
        <v>1720.29</v>
      </c>
      <c r="T99" s="107">
        <f t="shared" si="74"/>
        <v>1681.8899999999999</v>
      </c>
      <c r="U99" s="107">
        <f t="shared" si="73"/>
        <v>153.54</v>
      </c>
      <c r="V99" s="107">
        <f t="shared" si="73"/>
        <v>1564.79</v>
      </c>
      <c r="W99" s="107">
        <f t="shared" ref="W99:X99" si="75">W97+W98</f>
        <v>1536.29</v>
      </c>
      <c r="X99" s="107">
        <f t="shared" si="75"/>
        <v>1414.0900000000001</v>
      </c>
      <c r="Y99" s="107">
        <f t="shared" ref="Y99:Z99" si="76">Y97+Y98</f>
        <v>1700.99</v>
      </c>
      <c r="Z99" s="107">
        <f t="shared" si="76"/>
        <v>1835.49</v>
      </c>
      <c r="AA99" s="107">
        <f t="shared" ref="AA99" si="77">AA97+AA98</f>
        <v>1871.69</v>
      </c>
      <c r="AB99" s="107">
        <f t="shared" si="73"/>
        <v>1871.5900000000001</v>
      </c>
      <c r="AC99" s="107">
        <f t="shared" si="73"/>
        <v>1783.99</v>
      </c>
      <c r="AD99" s="107">
        <f t="shared" si="73"/>
        <v>1636.59</v>
      </c>
      <c r="AE99" s="107">
        <f t="shared" si="73"/>
        <v>1599.09</v>
      </c>
      <c r="AF99" s="107">
        <f t="shared" si="73"/>
        <v>1556.79</v>
      </c>
      <c r="AG99" s="100">
        <f>AG96+AG92+AG80+AG76+AG58+AG98</f>
        <v>1693.71</v>
      </c>
      <c r="AH99" s="48">
        <f t="shared" si="61"/>
        <v>1871.69</v>
      </c>
      <c r="AI99" s="49">
        <f t="shared" si="62"/>
        <v>153.54</v>
      </c>
      <c r="BF99" s="81"/>
      <c r="BG99" s="81">
        <v>0</v>
      </c>
      <c r="BH99" s="81">
        <v>0</v>
      </c>
      <c r="BI99" s="81">
        <v>0</v>
      </c>
      <c r="BJ99" s="81">
        <v>0</v>
      </c>
      <c r="BK99" s="81">
        <v>0</v>
      </c>
      <c r="BL99" s="81">
        <v>0</v>
      </c>
    </row>
    <row r="100" spans="1:64" ht="15.75" thickBot="1" x14ac:dyDescent="0.3">
      <c r="A100" s="86" t="s">
        <v>126</v>
      </c>
      <c r="B100" s="107">
        <f t="shared" ref="B100:M100" si="78">B99-(B107)</f>
        <v>1354.49</v>
      </c>
      <c r="C100" s="107">
        <f t="shared" si="78"/>
        <v>1330.69</v>
      </c>
      <c r="D100" s="107">
        <f t="shared" si="78"/>
        <v>1297.0899999999999</v>
      </c>
      <c r="E100" s="107">
        <f t="shared" si="78"/>
        <v>1277.5899999999999</v>
      </c>
      <c r="F100" s="107">
        <f t="shared" si="78"/>
        <v>1267.49</v>
      </c>
      <c r="G100" s="107">
        <f t="shared" si="78"/>
        <v>1300.3899999999999</v>
      </c>
      <c r="H100" s="107">
        <f t="shared" si="78"/>
        <v>1379.19</v>
      </c>
      <c r="I100" s="107">
        <f t="shared" si="78"/>
        <v>1423.19</v>
      </c>
      <c r="J100" s="107">
        <f t="shared" si="78"/>
        <v>1441.9899999999998</v>
      </c>
      <c r="K100" s="107">
        <f t="shared" si="78"/>
        <v>1560.79</v>
      </c>
      <c r="L100" s="107">
        <f t="shared" si="78"/>
        <v>1642.49</v>
      </c>
      <c r="M100" s="107">
        <f t="shared" si="78"/>
        <v>1703.79</v>
      </c>
      <c r="N100" s="107">
        <f>N99-(N107)</f>
        <v>1698.79</v>
      </c>
      <c r="O100" s="107">
        <f t="shared" ref="O100:AF100" si="79">O99-(O107)</f>
        <v>1713.5900000000001</v>
      </c>
      <c r="P100" s="107">
        <f t="shared" si="79"/>
        <v>1650.19</v>
      </c>
      <c r="Q100" s="107">
        <f t="shared" si="79"/>
        <v>1723.8899999999999</v>
      </c>
      <c r="R100" s="107">
        <f t="shared" si="79"/>
        <v>1699.7899999999997</v>
      </c>
      <c r="S100" s="107">
        <f t="shared" ref="S100:T100" si="80">S99-(S107)</f>
        <v>1720.29</v>
      </c>
      <c r="T100" s="107">
        <f t="shared" si="80"/>
        <v>1681.8899999999999</v>
      </c>
      <c r="U100" s="107">
        <f t="shared" si="79"/>
        <v>153.54</v>
      </c>
      <c r="V100" s="107">
        <f t="shared" si="79"/>
        <v>1564.79</v>
      </c>
      <c r="W100" s="107">
        <f t="shared" ref="W100:X100" si="81">W99-(W107)</f>
        <v>1536.29</v>
      </c>
      <c r="X100" s="107">
        <f t="shared" si="81"/>
        <v>1414.0900000000001</v>
      </c>
      <c r="Y100" s="107">
        <f t="shared" ref="Y100:Z100" si="82">Y99-(Y107)</f>
        <v>1700.99</v>
      </c>
      <c r="Z100" s="107">
        <f t="shared" si="82"/>
        <v>1835.49</v>
      </c>
      <c r="AA100" s="107">
        <f t="shared" ref="AA100" si="83">AA99-(AA107)</f>
        <v>1871.69</v>
      </c>
      <c r="AB100" s="107">
        <f t="shared" si="79"/>
        <v>1871.5900000000001</v>
      </c>
      <c r="AC100" s="107">
        <f t="shared" si="79"/>
        <v>1783.99</v>
      </c>
      <c r="AD100" s="107">
        <f t="shared" si="79"/>
        <v>1636.59</v>
      </c>
      <c r="AE100" s="107">
        <f t="shared" si="79"/>
        <v>1599.09</v>
      </c>
      <c r="AF100" s="107">
        <f t="shared" si="79"/>
        <v>1556.79</v>
      </c>
      <c r="AG100" s="100"/>
      <c r="AH100" s="48">
        <f t="shared" si="61"/>
        <v>1871.69</v>
      </c>
      <c r="AI100" s="49">
        <f t="shared" si="62"/>
        <v>153.54</v>
      </c>
      <c r="BF100" s="81"/>
      <c r="BG100" s="81">
        <v>61.6</v>
      </c>
      <c r="BH100" s="81">
        <v>98.5</v>
      </c>
      <c r="BI100" s="81">
        <v>456.6</v>
      </c>
      <c r="BJ100" s="81">
        <v>47</v>
      </c>
      <c r="BK100" s="81">
        <v>141</v>
      </c>
      <c r="BL100" s="81">
        <v>47.8</v>
      </c>
    </row>
    <row r="101" spans="1:64" x14ac:dyDescent="0.25">
      <c r="A101" s="45" t="s">
        <v>107</v>
      </c>
      <c r="B101" s="88">
        <f t="shared" ref="B101:AF101" si="84">IF(B84&lt;0,B84*-1,0)</f>
        <v>0</v>
      </c>
      <c r="C101" s="88">
        <f t="shared" si="84"/>
        <v>0</v>
      </c>
      <c r="D101" s="88">
        <f t="shared" si="84"/>
        <v>0</v>
      </c>
      <c r="E101" s="88">
        <f t="shared" si="84"/>
        <v>0</v>
      </c>
      <c r="F101" s="88">
        <f t="shared" si="84"/>
        <v>0</v>
      </c>
      <c r="G101" s="88">
        <f t="shared" si="84"/>
        <v>0</v>
      </c>
      <c r="H101" s="88">
        <f t="shared" si="84"/>
        <v>0</v>
      </c>
      <c r="I101" s="88">
        <f t="shared" si="84"/>
        <v>0</v>
      </c>
      <c r="J101" s="88">
        <f t="shared" si="84"/>
        <v>0</v>
      </c>
      <c r="K101" s="88">
        <f t="shared" si="84"/>
        <v>0</v>
      </c>
      <c r="L101" s="88">
        <f t="shared" si="84"/>
        <v>0</v>
      </c>
      <c r="M101" s="88">
        <f t="shared" si="84"/>
        <v>0</v>
      </c>
      <c r="N101" s="88">
        <f t="shared" si="84"/>
        <v>0</v>
      </c>
      <c r="O101" s="88">
        <f t="shared" si="84"/>
        <v>0</v>
      </c>
      <c r="P101" s="88">
        <f t="shared" si="84"/>
        <v>0</v>
      </c>
      <c r="Q101" s="88">
        <f t="shared" si="84"/>
        <v>0</v>
      </c>
      <c r="R101" s="88">
        <f t="shared" si="84"/>
        <v>0</v>
      </c>
      <c r="S101" s="88">
        <f t="shared" ref="S101:T101" si="85">IF(S84&lt;0,S84*-1,0)</f>
        <v>0</v>
      </c>
      <c r="T101" s="88">
        <f t="shared" si="85"/>
        <v>0</v>
      </c>
      <c r="U101" s="88">
        <f t="shared" si="84"/>
        <v>0</v>
      </c>
      <c r="V101" s="88">
        <f t="shared" si="84"/>
        <v>0</v>
      </c>
      <c r="W101" s="88">
        <f t="shared" ref="W101:X101" si="86">IF(W84&lt;0,W84*-1,0)</f>
        <v>0</v>
      </c>
      <c r="X101" s="88">
        <f t="shared" si="86"/>
        <v>0</v>
      </c>
      <c r="Y101" s="88">
        <f t="shared" ref="Y101:Z101" si="87">IF(Y84&lt;0,Y84*-1,0)</f>
        <v>0</v>
      </c>
      <c r="Z101" s="88">
        <f t="shared" si="87"/>
        <v>0</v>
      </c>
      <c r="AA101" s="88">
        <f t="shared" ref="AA101" si="88">IF(AA84&lt;0,AA84*-1,0)</f>
        <v>0</v>
      </c>
      <c r="AB101" s="88">
        <f t="shared" si="84"/>
        <v>0</v>
      </c>
      <c r="AC101" s="88">
        <f t="shared" si="84"/>
        <v>0</v>
      </c>
      <c r="AD101" s="88">
        <f t="shared" si="84"/>
        <v>0</v>
      </c>
      <c r="AE101" s="88">
        <f t="shared" si="84"/>
        <v>0</v>
      </c>
      <c r="AF101" s="88">
        <f t="shared" si="84"/>
        <v>0</v>
      </c>
      <c r="AG101" s="60"/>
      <c r="AH101" s="48">
        <f t="shared" si="61"/>
        <v>0</v>
      </c>
      <c r="AI101" s="49">
        <f t="shared" si="62"/>
        <v>0</v>
      </c>
      <c r="BF101" s="80"/>
      <c r="BG101" s="81">
        <v>62.6</v>
      </c>
      <c r="BH101" s="81">
        <v>102.1</v>
      </c>
      <c r="BI101" s="81">
        <v>313</v>
      </c>
      <c r="BJ101" s="81">
        <v>0</v>
      </c>
      <c r="BK101" s="81">
        <v>68.8</v>
      </c>
      <c r="BL101" s="81">
        <v>39.1</v>
      </c>
    </row>
    <row r="102" spans="1:64" x14ac:dyDescent="0.25">
      <c r="A102" s="64" t="s">
        <v>105</v>
      </c>
      <c r="B102" s="88">
        <f t="shared" ref="B102:AF102" si="89">IF(B82&lt;0,B82*-1,0)</f>
        <v>0</v>
      </c>
      <c r="C102" s="88">
        <f t="shared" si="89"/>
        <v>0</v>
      </c>
      <c r="D102" s="88">
        <f t="shared" si="89"/>
        <v>0</v>
      </c>
      <c r="E102" s="88">
        <f t="shared" si="89"/>
        <v>0</v>
      </c>
      <c r="F102" s="88">
        <f t="shared" si="89"/>
        <v>0</v>
      </c>
      <c r="G102" s="88">
        <f t="shared" si="89"/>
        <v>0</v>
      </c>
      <c r="H102" s="88">
        <f t="shared" si="89"/>
        <v>0</v>
      </c>
      <c r="I102" s="88">
        <f t="shared" si="89"/>
        <v>0</v>
      </c>
      <c r="J102" s="88">
        <f t="shared" si="89"/>
        <v>0</v>
      </c>
      <c r="K102" s="88">
        <f t="shared" si="89"/>
        <v>0</v>
      </c>
      <c r="L102" s="88">
        <f t="shared" si="89"/>
        <v>0</v>
      </c>
      <c r="M102" s="88">
        <f t="shared" si="89"/>
        <v>0</v>
      </c>
      <c r="N102" s="88">
        <f t="shared" si="89"/>
        <v>0</v>
      </c>
      <c r="O102" s="88">
        <f t="shared" si="89"/>
        <v>0</v>
      </c>
      <c r="P102" s="88">
        <f t="shared" si="89"/>
        <v>0</v>
      </c>
      <c r="Q102" s="88">
        <f t="shared" si="89"/>
        <v>0</v>
      </c>
      <c r="R102" s="88">
        <f t="shared" si="89"/>
        <v>0</v>
      </c>
      <c r="S102" s="88">
        <f t="shared" ref="S102:T102" si="90">IF(S82&lt;0,S82*-1,0)</f>
        <v>0</v>
      </c>
      <c r="T102" s="88">
        <f t="shared" si="90"/>
        <v>0</v>
      </c>
      <c r="U102" s="88">
        <f t="shared" si="89"/>
        <v>0</v>
      </c>
      <c r="V102" s="88">
        <f t="shared" si="89"/>
        <v>0</v>
      </c>
      <c r="W102" s="88">
        <f t="shared" ref="W102:X102" si="91">IF(W82&lt;0,W82*-1,0)</f>
        <v>0</v>
      </c>
      <c r="X102" s="88">
        <f t="shared" si="91"/>
        <v>0</v>
      </c>
      <c r="Y102" s="88">
        <f t="shared" ref="Y102:Z102" si="92">IF(Y82&lt;0,Y82*-1,0)</f>
        <v>0</v>
      </c>
      <c r="Z102" s="88">
        <f t="shared" si="92"/>
        <v>0</v>
      </c>
      <c r="AA102" s="88">
        <f t="shared" ref="AA102" si="93">IF(AA82&lt;0,AA82*-1,0)</f>
        <v>0</v>
      </c>
      <c r="AB102" s="88">
        <f t="shared" si="89"/>
        <v>0</v>
      </c>
      <c r="AC102" s="88">
        <f t="shared" si="89"/>
        <v>0</v>
      </c>
      <c r="AD102" s="88">
        <f t="shared" si="89"/>
        <v>0</v>
      </c>
      <c r="AE102" s="88">
        <f t="shared" si="89"/>
        <v>0</v>
      </c>
      <c r="AF102" s="88">
        <f t="shared" si="89"/>
        <v>0</v>
      </c>
      <c r="AG102" s="65"/>
      <c r="AH102" s="48">
        <f t="shared" si="61"/>
        <v>0</v>
      </c>
      <c r="AI102" s="49">
        <f t="shared" si="62"/>
        <v>0</v>
      </c>
      <c r="BF102" s="80"/>
      <c r="BG102" s="81">
        <v>31.4</v>
      </c>
      <c r="BH102" s="81">
        <v>0</v>
      </c>
      <c r="BI102" s="81">
        <v>82.9</v>
      </c>
      <c r="BJ102" s="81">
        <v>0</v>
      </c>
      <c r="BK102" s="81">
        <v>0</v>
      </c>
      <c r="BL102" s="81">
        <v>44.5</v>
      </c>
    </row>
    <row r="103" spans="1:64" x14ac:dyDescent="0.25">
      <c r="A103" s="96" t="s">
        <v>127</v>
      </c>
      <c r="B103" s="88">
        <f t="shared" ref="B103:AF103" si="94">IF(B85&lt;0,B85*-1,0)</f>
        <v>0</v>
      </c>
      <c r="C103" s="88">
        <f t="shared" si="94"/>
        <v>0</v>
      </c>
      <c r="D103" s="88">
        <f t="shared" si="94"/>
        <v>0</v>
      </c>
      <c r="E103" s="88">
        <f t="shared" si="94"/>
        <v>0</v>
      </c>
      <c r="F103" s="88">
        <f t="shared" si="94"/>
        <v>0</v>
      </c>
      <c r="G103" s="88">
        <f t="shared" si="94"/>
        <v>0</v>
      </c>
      <c r="H103" s="88">
        <f t="shared" si="94"/>
        <v>0</v>
      </c>
      <c r="I103" s="88">
        <f t="shared" si="94"/>
        <v>0</v>
      </c>
      <c r="J103" s="88">
        <f t="shared" si="94"/>
        <v>0</v>
      </c>
      <c r="K103" s="88">
        <f t="shared" si="94"/>
        <v>0</v>
      </c>
      <c r="L103" s="88">
        <f t="shared" si="94"/>
        <v>0</v>
      </c>
      <c r="M103" s="88">
        <f t="shared" si="94"/>
        <v>0</v>
      </c>
      <c r="N103" s="88">
        <f t="shared" si="94"/>
        <v>0</v>
      </c>
      <c r="O103" s="88">
        <f t="shared" si="94"/>
        <v>0</v>
      </c>
      <c r="P103" s="88">
        <f t="shared" si="94"/>
        <v>0</v>
      </c>
      <c r="Q103" s="88">
        <f t="shared" si="94"/>
        <v>0</v>
      </c>
      <c r="R103" s="88">
        <f t="shared" si="94"/>
        <v>0</v>
      </c>
      <c r="S103" s="88">
        <f t="shared" ref="S103:T103" si="95">IF(S85&lt;0,S85*-1,0)</f>
        <v>0</v>
      </c>
      <c r="T103" s="88">
        <f t="shared" si="95"/>
        <v>0</v>
      </c>
      <c r="U103" s="88">
        <f t="shared" si="94"/>
        <v>0</v>
      </c>
      <c r="V103" s="88">
        <f t="shared" si="94"/>
        <v>0</v>
      </c>
      <c r="W103" s="88">
        <f t="shared" ref="W103:X103" si="96">IF(W85&lt;0,W85*-1,0)</f>
        <v>0</v>
      </c>
      <c r="X103" s="88">
        <f t="shared" si="96"/>
        <v>0</v>
      </c>
      <c r="Y103" s="88">
        <f t="shared" ref="Y103:Z103" si="97">IF(Y85&lt;0,Y85*-1,0)</f>
        <v>0</v>
      </c>
      <c r="Z103" s="88">
        <f t="shared" si="97"/>
        <v>0</v>
      </c>
      <c r="AA103" s="88">
        <f t="shared" ref="AA103" si="98">IF(AA85&lt;0,AA85*-1,0)</f>
        <v>0</v>
      </c>
      <c r="AB103" s="88">
        <f t="shared" si="94"/>
        <v>0</v>
      </c>
      <c r="AC103" s="88">
        <f t="shared" si="94"/>
        <v>0</v>
      </c>
      <c r="AD103" s="88">
        <f t="shared" si="94"/>
        <v>0</v>
      </c>
      <c r="AE103" s="88">
        <f t="shared" si="94"/>
        <v>0</v>
      </c>
      <c r="AF103" s="88">
        <f t="shared" si="94"/>
        <v>0</v>
      </c>
      <c r="AG103" s="110"/>
      <c r="AH103" s="48">
        <f t="shared" si="61"/>
        <v>0</v>
      </c>
      <c r="AI103" s="49">
        <f t="shared" si="62"/>
        <v>0</v>
      </c>
      <c r="BF103" s="80"/>
      <c r="BG103" s="81">
        <v>31.5</v>
      </c>
      <c r="BH103" s="81">
        <v>0</v>
      </c>
      <c r="BI103" s="81">
        <v>69.5</v>
      </c>
      <c r="BJ103" s="81">
        <v>34.799999999999997</v>
      </c>
      <c r="BK103" s="81">
        <v>67</v>
      </c>
      <c r="BL103" s="81">
        <v>44.9</v>
      </c>
    </row>
    <row r="104" spans="1:64" x14ac:dyDescent="0.25">
      <c r="A104" s="96" t="s">
        <v>128</v>
      </c>
      <c r="B104" s="88">
        <f t="shared" ref="B104:AF104" si="99">IF(B83&lt;0,B83*-1,0)</f>
        <v>0</v>
      </c>
      <c r="C104" s="88">
        <f t="shared" si="99"/>
        <v>0</v>
      </c>
      <c r="D104" s="88">
        <f t="shared" si="99"/>
        <v>0</v>
      </c>
      <c r="E104" s="88">
        <f t="shared" si="99"/>
        <v>0</v>
      </c>
      <c r="F104" s="88">
        <f t="shared" si="99"/>
        <v>0</v>
      </c>
      <c r="G104" s="88">
        <f t="shared" si="99"/>
        <v>0</v>
      </c>
      <c r="H104" s="88">
        <f t="shared" si="99"/>
        <v>0</v>
      </c>
      <c r="I104" s="88">
        <f t="shared" si="99"/>
        <v>0</v>
      </c>
      <c r="J104" s="88">
        <f t="shared" si="99"/>
        <v>0</v>
      </c>
      <c r="K104" s="88">
        <f t="shared" si="99"/>
        <v>0</v>
      </c>
      <c r="L104" s="88">
        <f t="shared" si="99"/>
        <v>0</v>
      </c>
      <c r="M104" s="88">
        <f t="shared" si="99"/>
        <v>0</v>
      </c>
      <c r="N104" s="88">
        <f t="shared" si="99"/>
        <v>0</v>
      </c>
      <c r="O104" s="88">
        <f t="shared" si="99"/>
        <v>0</v>
      </c>
      <c r="P104" s="88">
        <f t="shared" si="99"/>
        <v>0</v>
      </c>
      <c r="Q104" s="88">
        <f t="shared" si="99"/>
        <v>0</v>
      </c>
      <c r="R104" s="88">
        <f t="shared" si="99"/>
        <v>0</v>
      </c>
      <c r="S104" s="88">
        <f t="shared" ref="S104:T104" si="100">IF(S83&lt;0,S83*-1,0)</f>
        <v>0</v>
      </c>
      <c r="T104" s="88">
        <f t="shared" si="100"/>
        <v>0</v>
      </c>
      <c r="U104" s="88">
        <f t="shared" si="99"/>
        <v>0</v>
      </c>
      <c r="V104" s="88">
        <f t="shared" si="99"/>
        <v>0</v>
      </c>
      <c r="W104" s="88">
        <f t="shared" ref="W104:X104" si="101">IF(W83&lt;0,W83*-1,0)</f>
        <v>0</v>
      </c>
      <c r="X104" s="88">
        <f t="shared" si="101"/>
        <v>0</v>
      </c>
      <c r="Y104" s="88">
        <f t="shared" ref="Y104:Z104" si="102">IF(Y83&lt;0,Y83*-1,0)</f>
        <v>0</v>
      </c>
      <c r="Z104" s="88">
        <f t="shared" si="102"/>
        <v>0</v>
      </c>
      <c r="AA104" s="88">
        <f t="shared" ref="AA104" si="103">IF(AA83&lt;0,AA83*-1,0)</f>
        <v>0</v>
      </c>
      <c r="AB104" s="88">
        <f t="shared" si="99"/>
        <v>0</v>
      </c>
      <c r="AC104" s="88">
        <f t="shared" si="99"/>
        <v>0</v>
      </c>
      <c r="AD104" s="88">
        <f t="shared" si="99"/>
        <v>0</v>
      </c>
      <c r="AE104" s="88">
        <f t="shared" si="99"/>
        <v>0</v>
      </c>
      <c r="AF104" s="88">
        <f t="shared" si="99"/>
        <v>0</v>
      </c>
      <c r="AG104" s="110"/>
      <c r="AH104" s="48">
        <f t="shared" si="61"/>
        <v>0</v>
      </c>
      <c r="AI104" s="49">
        <f t="shared" si="62"/>
        <v>0</v>
      </c>
      <c r="BF104" s="80"/>
      <c r="BG104" s="81">
        <v>31.5</v>
      </c>
      <c r="BH104" s="81">
        <v>0</v>
      </c>
      <c r="BI104" s="81">
        <v>177</v>
      </c>
      <c r="BJ104" s="81">
        <v>24</v>
      </c>
      <c r="BK104" s="81">
        <v>75</v>
      </c>
      <c r="BL104" s="81">
        <v>45.8</v>
      </c>
    </row>
    <row r="105" spans="1:64" x14ac:dyDescent="0.25">
      <c r="A105" s="96" t="s">
        <v>104</v>
      </c>
      <c r="B105" s="88">
        <f t="shared" ref="B105:AF105" si="104">IF(B81&lt;0,B81*-1,0)</f>
        <v>0</v>
      </c>
      <c r="C105" s="88">
        <f t="shared" si="104"/>
        <v>0</v>
      </c>
      <c r="D105" s="88">
        <f t="shared" si="104"/>
        <v>0</v>
      </c>
      <c r="E105" s="88">
        <f t="shared" si="104"/>
        <v>0</v>
      </c>
      <c r="F105" s="88">
        <f t="shared" si="104"/>
        <v>0</v>
      </c>
      <c r="G105" s="88">
        <f t="shared" si="104"/>
        <v>0</v>
      </c>
      <c r="H105" s="88">
        <f t="shared" si="104"/>
        <v>0</v>
      </c>
      <c r="I105" s="88">
        <f t="shared" si="104"/>
        <v>0</v>
      </c>
      <c r="J105" s="88">
        <f t="shared" si="104"/>
        <v>0</v>
      </c>
      <c r="K105" s="88">
        <f t="shared" si="104"/>
        <v>0</v>
      </c>
      <c r="L105" s="88">
        <f t="shared" si="104"/>
        <v>0</v>
      </c>
      <c r="M105" s="88">
        <f t="shared" si="104"/>
        <v>0</v>
      </c>
      <c r="N105" s="88">
        <f t="shared" si="104"/>
        <v>0</v>
      </c>
      <c r="O105" s="88">
        <f t="shared" si="104"/>
        <v>0</v>
      </c>
      <c r="P105" s="88">
        <f t="shared" si="104"/>
        <v>0</v>
      </c>
      <c r="Q105" s="88">
        <f t="shared" si="104"/>
        <v>0</v>
      </c>
      <c r="R105" s="88">
        <f t="shared" si="104"/>
        <v>0</v>
      </c>
      <c r="S105" s="88">
        <f t="shared" ref="S105:T105" si="105">IF(S81&lt;0,S81*-1,0)</f>
        <v>0</v>
      </c>
      <c r="T105" s="88">
        <f t="shared" si="105"/>
        <v>0</v>
      </c>
      <c r="U105" s="88">
        <f t="shared" si="104"/>
        <v>0</v>
      </c>
      <c r="V105" s="88">
        <f t="shared" si="104"/>
        <v>0</v>
      </c>
      <c r="W105" s="88">
        <f t="shared" ref="W105:X105" si="106">IF(W81&lt;0,W81*-1,0)</f>
        <v>0</v>
      </c>
      <c r="X105" s="88">
        <f t="shared" si="106"/>
        <v>0</v>
      </c>
      <c r="Y105" s="88">
        <f t="shared" ref="Y105:Z105" si="107">IF(Y81&lt;0,Y81*-1,0)</f>
        <v>0</v>
      </c>
      <c r="Z105" s="88">
        <f t="shared" si="107"/>
        <v>0</v>
      </c>
      <c r="AA105" s="88">
        <f t="shared" ref="AA105" si="108">IF(AA81&lt;0,AA81*-1,0)</f>
        <v>0</v>
      </c>
      <c r="AB105" s="88">
        <f t="shared" si="104"/>
        <v>0</v>
      </c>
      <c r="AC105" s="88">
        <f t="shared" si="104"/>
        <v>0</v>
      </c>
      <c r="AD105" s="88">
        <f t="shared" si="104"/>
        <v>0</v>
      </c>
      <c r="AE105" s="88">
        <f t="shared" si="104"/>
        <v>0</v>
      </c>
      <c r="AF105" s="88">
        <f t="shared" si="104"/>
        <v>0</v>
      </c>
      <c r="AG105" s="110"/>
      <c r="AH105" s="48">
        <f t="shared" si="61"/>
        <v>0</v>
      </c>
      <c r="AI105" s="49">
        <f t="shared" si="62"/>
        <v>0</v>
      </c>
      <c r="BF105" s="80"/>
      <c r="BG105" s="81">
        <v>28</v>
      </c>
      <c r="BH105" s="81">
        <v>0</v>
      </c>
      <c r="BI105" s="81">
        <v>137</v>
      </c>
      <c r="BJ105" s="81">
        <v>24</v>
      </c>
      <c r="BK105" s="81">
        <v>77</v>
      </c>
      <c r="BL105" s="81">
        <v>54</v>
      </c>
    </row>
    <row r="106" spans="1:64" ht="15.75" thickBot="1" x14ac:dyDescent="0.3">
      <c r="A106" s="96" t="s">
        <v>129</v>
      </c>
      <c r="B106" s="106">
        <v>0</v>
      </c>
      <c r="C106" s="106">
        <v>0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0</v>
      </c>
      <c r="Y106" s="106">
        <v>0</v>
      </c>
      <c r="Z106" s="106">
        <v>0</v>
      </c>
      <c r="AA106" s="106">
        <v>0</v>
      </c>
      <c r="AB106" s="106">
        <v>0</v>
      </c>
      <c r="AC106" s="106">
        <v>0</v>
      </c>
      <c r="AD106" s="106">
        <v>0</v>
      </c>
      <c r="AE106" s="106">
        <v>0</v>
      </c>
      <c r="AF106" s="106">
        <v>0</v>
      </c>
      <c r="AG106" s="97"/>
      <c r="AH106" s="48">
        <f t="shared" si="61"/>
        <v>0</v>
      </c>
      <c r="AI106" s="49">
        <f t="shared" si="62"/>
        <v>0</v>
      </c>
      <c r="BG106" s="81">
        <v>22.7</v>
      </c>
      <c r="BH106" s="81">
        <v>0</v>
      </c>
      <c r="BI106" s="81">
        <v>135</v>
      </c>
      <c r="BJ106" s="81">
        <v>35</v>
      </c>
      <c r="BK106" s="81">
        <v>80</v>
      </c>
      <c r="BL106" s="81">
        <v>54</v>
      </c>
    </row>
    <row r="107" spans="1:64" ht="15.75" thickBot="1" x14ac:dyDescent="0.3">
      <c r="A107" s="111" t="s">
        <v>130</v>
      </c>
      <c r="B107" s="70">
        <f t="shared" ref="B107:C107" si="109">SUM(B101:B106)</f>
        <v>0</v>
      </c>
      <c r="C107" s="70">
        <f t="shared" si="109"/>
        <v>0</v>
      </c>
      <c r="D107" s="70">
        <f t="shared" ref="D107:AF107" si="110">SUM(D101:D106)</f>
        <v>0</v>
      </c>
      <c r="E107" s="70">
        <f t="shared" si="110"/>
        <v>0</v>
      </c>
      <c r="F107" s="70">
        <f t="shared" si="110"/>
        <v>0</v>
      </c>
      <c r="G107" s="70">
        <f t="shared" si="110"/>
        <v>0</v>
      </c>
      <c r="H107" s="70">
        <f t="shared" si="110"/>
        <v>0</v>
      </c>
      <c r="I107" s="70">
        <f t="shared" si="110"/>
        <v>0</v>
      </c>
      <c r="J107" s="70">
        <f t="shared" si="110"/>
        <v>0</v>
      </c>
      <c r="K107" s="70">
        <f t="shared" si="110"/>
        <v>0</v>
      </c>
      <c r="L107" s="70">
        <f t="shared" si="110"/>
        <v>0</v>
      </c>
      <c r="M107" s="70">
        <f t="shared" si="110"/>
        <v>0</v>
      </c>
      <c r="N107" s="70">
        <f t="shared" si="110"/>
        <v>0</v>
      </c>
      <c r="O107" s="70">
        <f t="shared" si="110"/>
        <v>0</v>
      </c>
      <c r="P107" s="70">
        <f t="shared" si="110"/>
        <v>0</v>
      </c>
      <c r="Q107" s="70">
        <f t="shared" si="110"/>
        <v>0</v>
      </c>
      <c r="R107" s="70">
        <f t="shared" si="110"/>
        <v>0</v>
      </c>
      <c r="S107" s="70">
        <f t="shared" ref="S107:T107" si="111">SUM(S101:S106)</f>
        <v>0</v>
      </c>
      <c r="T107" s="70">
        <f t="shared" si="111"/>
        <v>0</v>
      </c>
      <c r="U107" s="70">
        <f t="shared" si="110"/>
        <v>0</v>
      </c>
      <c r="V107" s="70">
        <f t="shared" si="110"/>
        <v>0</v>
      </c>
      <c r="W107" s="70">
        <f t="shared" ref="W107:X107" si="112">SUM(W101:W106)</f>
        <v>0</v>
      </c>
      <c r="X107" s="70">
        <f t="shared" si="112"/>
        <v>0</v>
      </c>
      <c r="Y107" s="70">
        <f t="shared" ref="Y107:Z107" si="113">SUM(Y101:Y106)</f>
        <v>0</v>
      </c>
      <c r="Z107" s="70">
        <f t="shared" si="113"/>
        <v>0</v>
      </c>
      <c r="AA107" s="70">
        <f t="shared" ref="AA107" si="114">SUM(AA101:AA106)</f>
        <v>0</v>
      </c>
      <c r="AB107" s="70">
        <f t="shared" si="110"/>
        <v>0</v>
      </c>
      <c r="AC107" s="70">
        <f t="shared" si="110"/>
        <v>0</v>
      </c>
      <c r="AD107" s="70">
        <f t="shared" si="110"/>
        <v>0</v>
      </c>
      <c r="AE107" s="70">
        <f t="shared" si="110"/>
        <v>0</v>
      </c>
      <c r="AF107" s="70">
        <f t="shared" si="110"/>
        <v>0</v>
      </c>
      <c r="AG107" s="100"/>
      <c r="AH107" s="48">
        <f t="shared" si="61"/>
        <v>0</v>
      </c>
      <c r="AI107" s="49">
        <f t="shared" si="62"/>
        <v>0</v>
      </c>
      <c r="AK107" s="51"/>
      <c r="BG107" s="81">
        <v>20.399999999999999</v>
      </c>
      <c r="BH107" s="81">
        <v>0</v>
      </c>
      <c r="BI107" s="81">
        <v>82.8</v>
      </c>
      <c r="BJ107" s="81">
        <v>0</v>
      </c>
      <c r="BK107" s="81">
        <v>0</v>
      </c>
      <c r="BL107" s="81">
        <v>49.8</v>
      </c>
    </row>
    <row r="108" spans="1:64" ht="15.75" thickBot="1" x14ac:dyDescent="0.3">
      <c r="A108" s="86" t="s">
        <v>131</v>
      </c>
      <c r="B108" s="70">
        <f t="shared" ref="B108:AF108" si="115">B92-B107</f>
        <v>153</v>
      </c>
      <c r="C108" s="70">
        <f t="shared" si="115"/>
        <v>195.4</v>
      </c>
      <c r="D108" s="70">
        <f t="shared" si="115"/>
        <v>171.70000000000002</v>
      </c>
      <c r="E108" s="70">
        <f t="shared" si="115"/>
        <v>201.2</v>
      </c>
      <c r="F108" s="70">
        <f t="shared" si="115"/>
        <v>191.10000000000002</v>
      </c>
      <c r="G108" s="70">
        <f t="shared" si="115"/>
        <v>225.7</v>
      </c>
      <c r="H108" s="70">
        <f t="shared" si="115"/>
        <v>203</v>
      </c>
      <c r="I108" s="70">
        <f t="shared" si="115"/>
        <v>267</v>
      </c>
      <c r="J108" s="70">
        <f t="shared" si="115"/>
        <v>714.5</v>
      </c>
      <c r="K108" s="70">
        <f t="shared" si="115"/>
        <v>803.5</v>
      </c>
      <c r="L108" s="70">
        <f t="shared" si="115"/>
        <v>820.6</v>
      </c>
      <c r="M108" s="70">
        <f t="shared" si="115"/>
        <v>898.5</v>
      </c>
      <c r="N108" s="70">
        <f t="shared" si="115"/>
        <v>875.6</v>
      </c>
      <c r="O108" s="70">
        <f t="shared" si="115"/>
        <v>864.2</v>
      </c>
      <c r="P108" s="70">
        <f t="shared" si="115"/>
        <v>826</v>
      </c>
      <c r="Q108" s="70">
        <f t="shared" si="115"/>
        <v>892.6</v>
      </c>
      <c r="R108" s="70">
        <f t="shared" si="115"/>
        <v>898.19999999999982</v>
      </c>
      <c r="S108" s="70">
        <f t="shared" ref="S108:T108" si="116">S92-S107</f>
        <v>895.5</v>
      </c>
      <c r="T108" s="70">
        <f t="shared" si="116"/>
        <v>873.5</v>
      </c>
      <c r="U108" s="70">
        <f t="shared" si="115"/>
        <v>0</v>
      </c>
      <c r="V108" s="70">
        <f t="shared" si="115"/>
        <v>852.5</v>
      </c>
      <c r="W108" s="70">
        <f t="shared" ref="W108:X108" si="117">W92-W107</f>
        <v>787.59999999999991</v>
      </c>
      <c r="X108" s="70">
        <f t="shared" si="117"/>
        <v>585.6</v>
      </c>
      <c r="Y108" s="70">
        <f t="shared" ref="Y108:Z108" si="118">Y92-Y107</f>
        <v>131.69999999999999</v>
      </c>
      <c r="Z108" s="70">
        <f t="shared" si="118"/>
        <v>158.80000000000001</v>
      </c>
      <c r="AA108" s="70">
        <f t="shared" ref="AA108" si="119">AA92-AA107</f>
        <v>156</v>
      </c>
      <c r="AB108" s="70">
        <f t="shared" si="115"/>
        <v>247.70000000000002</v>
      </c>
      <c r="AC108" s="70">
        <f t="shared" si="115"/>
        <v>325.7</v>
      </c>
      <c r="AD108" s="70">
        <f t="shared" si="115"/>
        <v>353.3</v>
      </c>
      <c r="AE108" s="70">
        <f t="shared" si="115"/>
        <v>320</v>
      </c>
      <c r="AF108" s="70">
        <f t="shared" si="115"/>
        <v>326.7</v>
      </c>
      <c r="AG108" s="100"/>
      <c r="AH108" s="48">
        <f t="shared" si="61"/>
        <v>898.5</v>
      </c>
      <c r="AI108" s="49">
        <f t="shared" si="62"/>
        <v>0</v>
      </c>
    </row>
    <row r="109" spans="1:64" x14ac:dyDescent="0.25">
      <c r="A109" s="112" t="s">
        <v>132</v>
      </c>
      <c r="B109" s="113">
        <v>49.999000000000002</v>
      </c>
      <c r="C109" s="113">
        <v>50.02</v>
      </c>
      <c r="D109" s="113">
        <v>50.023000000000003</v>
      </c>
      <c r="E109" s="113">
        <v>49.997999999999998</v>
      </c>
      <c r="F109" s="113">
        <v>50</v>
      </c>
      <c r="G109" s="113">
        <v>49.972000000000001</v>
      </c>
      <c r="H109" s="113">
        <v>49.993000000000002</v>
      </c>
      <c r="I109" s="113">
        <v>50</v>
      </c>
      <c r="J109" s="113">
        <v>49.996000000000002</v>
      </c>
      <c r="K109" s="113">
        <v>49.98</v>
      </c>
      <c r="L109" s="113">
        <v>50</v>
      </c>
      <c r="M109" s="113">
        <v>50.158999999999999</v>
      </c>
      <c r="N109" s="113">
        <v>50.024999999999999</v>
      </c>
      <c r="O109" s="113">
        <v>49.95</v>
      </c>
      <c r="P109" s="113">
        <v>49.984999999999999</v>
      </c>
      <c r="Q109" s="113">
        <v>50.029000000000003</v>
      </c>
      <c r="R109" s="113">
        <v>50.055</v>
      </c>
      <c r="S109" s="113">
        <v>50.05</v>
      </c>
      <c r="T109" s="113">
        <v>49.98</v>
      </c>
      <c r="U109" s="113"/>
      <c r="V109" s="113">
        <v>49.94</v>
      </c>
      <c r="W109" s="113">
        <v>49.98</v>
      </c>
      <c r="X109" s="113">
        <v>49.93</v>
      </c>
      <c r="Y109" s="113">
        <v>50.05</v>
      </c>
      <c r="Z109" s="113">
        <v>50.03</v>
      </c>
      <c r="AA109" s="113">
        <v>49.93</v>
      </c>
      <c r="AB109" s="113">
        <v>50.4</v>
      </c>
      <c r="AC109" s="113">
        <v>49.953000000000003</v>
      </c>
      <c r="AD109" s="113">
        <v>49.899000000000001</v>
      </c>
      <c r="AE109" s="113">
        <v>50.015000000000001</v>
      </c>
      <c r="AF109" s="113">
        <v>50.027999999999999</v>
      </c>
      <c r="AG109" s="114"/>
      <c r="AH109" s="48">
        <f t="shared" si="61"/>
        <v>50.4</v>
      </c>
      <c r="AI109" s="49">
        <f t="shared" si="62"/>
        <v>49.899000000000001</v>
      </c>
    </row>
    <row r="110" spans="1:64" x14ac:dyDescent="0.25">
      <c r="A110" s="115" t="s">
        <v>133</v>
      </c>
      <c r="B110" s="75">
        <v>132.1</v>
      </c>
      <c r="C110" s="75">
        <v>132.6</v>
      </c>
      <c r="D110" s="75">
        <v>132.80000000000001</v>
      </c>
      <c r="E110" s="75">
        <v>132.80000000000001</v>
      </c>
      <c r="F110" s="75">
        <v>132.80000000000001</v>
      </c>
      <c r="G110" s="75">
        <v>132.80000000000001</v>
      </c>
      <c r="H110" s="75">
        <v>131.4</v>
      </c>
      <c r="I110" s="75">
        <v>131.4</v>
      </c>
      <c r="J110" s="75">
        <v>125</v>
      </c>
      <c r="K110" s="75">
        <v>125</v>
      </c>
      <c r="L110" s="75">
        <v>125</v>
      </c>
      <c r="M110" s="75">
        <v>123.6</v>
      </c>
      <c r="N110" s="75">
        <v>123.9</v>
      </c>
      <c r="O110" s="75">
        <v>124.8</v>
      </c>
      <c r="P110" s="75">
        <v>125.9</v>
      </c>
      <c r="Q110" s="75">
        <v>128.69999999999999</v>
      </c>
      <c r="R110" s="75">
        <v>123.9</v>
      </c>
      <c r="S110" s="75">
        <v>125.4</v>
      </c>
      <c r="T110" s="75">
        <v>126.1</v>
      </c>
      <c r="U110" s="75"/>
      <c r="V110" s="75">
        <v>125.8</v>
      </c>
      <c r="W110" s="75">
        <v>125.8</v>
      </c>
      <c r="X110" s="75">
        <v>129.1</v>
      </c>
      <c r="Y110" s="75">
        <v>129.1</v>
      </c>
      <c r="Z110" s="75">
        <v>128.9</v>
      </c>
      <c r="AA110" s="75">
        <v>127.3</v>
      </c>
      <c r="AB110" s="75">
        <v>130.19999999999999</v>
      </c>
      <c r="AC110" s="75">
        <v>130.6</v>
      </c>
      <c r="AD110" s="75">
        <v>131.19999999999999</v>
      </c>
      <c r="AE110" s="75">
        <v>132.5</v>
      </c>
      <c r="AF110" s="75">
        <v>133.6</v>
      </c>
      <c r="AG110" s="116"/>
      <c r="AH110" s="48">
        <f t="shared" si="61"/>
        <v>133.6</v>
      </c>
      <c r="AI110" s="49">
        <f t="shared" si="62"/>
        <v>123.6</v>
      </c>
    </row>
    <row r="111" spans="1:64" x14ac:dyDescent="0.25">
      <c r="A111" s="115" t="s">
        <v>134</v>
      </c>
      <c r="B111" s="75">
        <v>135.30000000000001</v>
      </c>
      <c r="C111" s="75">
        <v>135.6</v>
      </c>
      <c r="D111" s="75">
        <v>135.5</v>
      </c>
      <c r="E111" s="75">
        <v>135.5</v>
      </c>
      <c r="F111" s="75">
        <v>135.5</v>
      </c>
      <c r="G111" s="75">
        <v>135.5</v>
      </c>
      <c r="H111" s="75">
        <v>134</v>
      </c>
      <c r="I111" s="75">
        <v>134</v>
      </c>
      <c r="J111" s="75">
        <v>127.7</v>
      </c>
      <c r="K111" s="75">
        <v>127.7</v>
      </c>
      <c r="L111" s="75">
        <v>127.7</v>
      </c>
      <c r="M111" s="75">
        <v>126</v>
      </c>
      <c r="N111" s="75">
        <v>126.6</v>
      </c>
      <c r="O111" s="75">
        <v>127.3</v>
      </c>
      <c r="P111" s="75">
        <v>128.1</v>
      </c>
      <c r="Q111" s="75">
        <v>130.4</v>
      </c>
      <c r="R111" s="75">
        <v>126.7</v>
      </c>
      <c r="S111" s="75">
        <v>128.19999999999999</v>
      </c>
      <c r="T111" s="75">
        <v>128.69999999999999</v>
      </c>
      <c r="U111" s="75"/>
      <c r="V111" s="75">
        <v>127.6</v>
      </c>
      <c r="W111" s="75">
        <v>127.6</v>
      </c>
      <c r="X111" s="75">
        <v>130.4</v>
      </c>
      <c r="Y111" s="75">
        <v>130.4</v>
      </c>
      <c r="Z111" s="75">
        <v>130.19999999999999</v>
      </c>
      <c r="AA111" s="75">
        <v>129.4</v>
      </c>
      <c r="AB111" s="75">
        <v>129.4</v>
      </c>
      <c r="AC111" s="75">
        <v>132.30000000000001</v>
      </c>
      <c r="AD111" s="75">
        <v>133</v>
      </c>
      <c r="AE111" s="75">
        <v>134.80000000000001</v>
      </c>
      <c r="AF111" s="75">
        <v>135.80000000000001</v>
      </c>
      <c r="AG111" s="116"/>
      <c r="AH111" s="48">
        <f t="shared" si="61"/>
        <v>135.80000000000001</v>
      </c>
      <c r="AI111" s="49">
        <f t="shared" si="62"/>
        <v>126</v>
      </c>
    </row>
    <row r="112" spans="1:64" x14ac:dyDescent="0.25">
      <c r="A112" s="115" t="s">
        <v>135</v>
      </c>
      <c r="B112" s="75">
        <v>133</v>
      </c>
      <c r="C112" s="75">
        <v>133.9</v>
      </c>
      <c r="D112" s="75">
        <v>134.80000000000001</v>
      </c>
      <c r="E112" s="75">
        <v>134.80000000000001</v>
      </c>
      <c r="F112" s="75">
        <v>134.80000000000001</v>
      </c>
      <c r="G112" s="75">
        <v>134.80000000000001</v>
      </c>
      <c r="H112" s="75">
        <v>132</v>
      </c>
      <c r="I112" s="75">
        <v>132</v>
      </c>
      <c r="J112" s="75">
        <v>131</v>
      </c>
      <c r="K112" s="75">
        <v>131</v>
      </c>
      <c r="L112" s="75">
        <v>131</v>
      </c>
      <c r="M112" s="75">
        <v>129.80000000000001</v>
      </c>
      <c r="N112" s="75">
        <v>131.19999999999999</v>
      </c>
      <c r="O112" s="75">
        <v>129.19999999999999</v>
      </c>
      <c r="P112" s="75">
        <v>129.69999999999999</v>
      </c>
      <c r="Q112" s="75">
        <v>130.6</v>
      </c>
      <c r="R112" s="75">
        <v>131</v>
      </c>
      <c r="S112" s="75">
        <v>129.4</v>
      </c>
      <c r="T112" s="75">
        <v>129.30000000000001</v>
      </c>
      <c r="U112" s="75"/>
      <c r="V112" s="75">
        <v>131.6</v>
      </c>
      <c r="W112" s="75">
        <v>131.6</v>
      </c>
      <c r="X112" s="75">
        <v>131.80000000000001</v>
      </c>
      <c r="Y112" s="75">
        <v>131.80000000000001</v>
      </c>
      <c r="Z112" s="75">
        <v>131</v>
      </c>
      <c r="AA112" s="75">
        <v>128.4</v>
      </c>
      <c r="AB112" s="75">
        <v>128.4</v>
      </c>
      <c r="AC112" s="75">
        <v>130.4</v>
      </c>
      <c r="AD112" s="75">
        <v>134</v>
      </c>
      <c r="AE112" s="75">
        <v>127.4</v>
      </c>
      <c r="AF112" s="75">
        <v>132.30000000000001</v>
      </c>
      <c r="AG112" s="116"/>
      <c r="AH112" s="48">
        <f t="shared" si="61"/>
        <v>134.80000000000001</v>
      </c>
      <c r="AI112" s="49">
        <f t="shared" si="62"/>
        <v>127.4</v>
      </c>
    </row>
    <row r="113" spans="1:35" x14ac:dyDescent="0.25">
      <c r="A113" s="117" t="s">
        <v>136</v>
      </c>
      <c r="B113" s="75">
        <v>133.5</v>
      </c>
      <c r="C113" s="75">
        <v>134.6</v>
      </c>
      <c r="D113" s="75">
        <v>135.4</v>
      </c>
      <c r="E113" s="75">
        <v>135.4</v>
      </c>
      <c r="F113" s="75">
        <v>135.4</v>
      </c>
      <c r="G113" s="75">
        <v>135.4</v>
      </c>
      <c r="H113" s="75">
        <v>130.80000000000001</v>
      </c>
      <c r="I113" s="75">
        <v>130.80000000000001</v>
      </c>
      <c r="J113" s="75">
        <v>126.9</v>
      </c>
      <c r="K113" s="75">
        <v>126.9</v>
      </c>
      <c r="L113" s="75">
        <v>126.9</v>
      </c>
      <c r="M113" s="75">
        <v>134.6</v>
      </c>
      <c r="N113" s="75">
        <v>128.9</v>
      </c>
      <c r="O113" s="75">
        <v>124.7</v>
      </c>
      <c r="P113" s="75">
        <v>125.5</v>
      </c>
      <c r="Q113" s="75">
        <v>127.2</v>
      </c>
      <c r="R113" s="75">
        <v>129</v>
      </c>
      <c r="S113" s="75">
        <v>126.5</v>
      </c>
      <c r="T113" s="75">
        <v>125.6</v>
      </c>
      <c r="U113" s="75"/>
      <c r="V113" s="75">
        <v>128.1</v>
      </c>
      <c r="W113" s="75">
        <v>128.1</v>
      </c>
      <c r="X113" s="75">
        <v>127.9</v>
      </c>
      <c r="Y113" s="75">
        <v>127.9</v>
      </c>
      <c r="Z113" s="75">
        <v>129.9</v>
      </c>
      <c r="AA113" s="75">
        <v>125.6</v>
      </c>
      <c r="AB113" s="75">
        <v>125.6</v>
      </c>
      <c r="AC113" s="75">
        <v>129.19999999999999</v>
      </c>
      <c r="AD113" s="75">
        <v>132.30000000000001</v>
      </c>
      <c r="AE113" s="75">
        <v>131.1</v>
      </c>
      <c r="AF113" s="75">
        <v>131.80000000000001</v>
      </c>
      <c r="AG113" s="116"/>
      <c r="AH113" s="48">
        <f t="shared" si="61"/>
        <v>135.4</v>
      </c>
      <c r="AI113" s="49">
        <f t="shared" si="62"/>
        <v>124.7</v>
      </c>
    </row>
    <row r="114" spans="1:35" x14ac:dyDescent="0.25">
      <c r="A114" s="117" t="s">
        <v>137</v>
      </c>
      <c r="B114" s="118">
        <v>138</v>
      </c>
      <c r="C114" s="118">
        <v>137.80000000000001</v>
      </c>
      <c r="D114" s="118">
        <v>135.9</v>
      </c>
      <c r="E114" s="118">
        <v>135.9</v>
      </c>
      <c r="F114" s="118">
        <v>135.9</v>
      </c>
      <c r="G114" s="118">
        <v>135.9</v>
      </c>
      <c r="H114" s="118">
        <v>134.5</v>
      </c>
      <c r="I114" s="118">
        <v>134.5</v>
      </c>
      <c r="J114" s="118">
        <v>129.4</v>
      </c>
      <c r="K114" s="118">
        <v>129.4</v>
      </c>
      <c r="L114" s="118">
        <v>129.4</v>
      </c>
      <c r="M114" s="118">
        <v>131.69999999999999</v>
      </c>
      <c r="N114" s="118">
        <v>132.19999999999999</v>
      </c>
      <c r="O114" s="118">
        <v>132.69999999999999</v>
      </c>
      <c r="P114" s="118">
        <v>132.6</v>
      </c>
      <c r="Q114" s="118">
        <v>132.9</v>
      </c>
      <c r="R114" s="118">
        <v>129.69999999999999</v>
      </c>
      <c r="S114" s="118">
        <v>130</v>
      </c>
      <c r="T114" s="118">
        <v>131.9</v>
      </c>
      <c r="U114" s="118"/>
      <c r="V114" s="118">
        <v>130.9</v>
      </c>
      <c r="W114" s="118">
        <v>130.9</v>
      </c>
      <c r="X114" s="118">
        <v>136.19999999999999</v>
      </c>
      <c r="Y114" s="118">
        <v>136.19999999999999</v>
      </c>
      <c r="Z114" s="118">
        <v>136.19999999999999</v>
      </c>
      <c r="AA114" s="118">
        <v>136.1</v>
      </c>
      <c r="AB114" s="118">
        <v>136.1</v>
      </c>
      <c r="AC114" s="118">
        <v>135.80000000000001</v>
      </c>
      <c r="AD114" s="118">
        <v>135.9</v>
      </c>
      <c r="AE114" s="118">
        <v>137.69999999999999</v>
      </c>
      <c r="AF114" s="118">
        <v>136.1</v>
      </c>
      <c r="AG114" s="119"/>
      <c r="AH114" s="48">
        <f t="shared" si="61"/>
        <v>138</v>
      </c>
      <c r="AI114" s="49">
        <f t="shared" si="62"/>
        <v>129.4</v>
      </c>
    </row>
    <row r="115" spans="1:35" x14ac:dyDescent="0.25">
      <c r="A115" s="115" t="s">
        <v>138</v>
      </c>
      <c r="B115" s="75">
        <v>135.1</v>
      </c>
      <c r="C115" s="75">
        <v>133.30000000000001</v>
      </c>
      <c r="D115" s="75">
        <v>133.80000000000001</v>
      </c>
      <c r="E115" s="75">
        <v>133.80000000000001</v>
      </c>
      <c r="F115" s="75">
        <v>133.80000000000001</v>
      </c>
      <c r="G115" s="75">
        <v>133.80000000000001</v>
      </c>
      <c r="H115" s="75">
        <v>132</v>
      </c>
      <c r="I115" s="75">
        <v>132</v>
      </c>
      <c r="J115" s="75">
        <v>126.6</v>
      </c>
      <c r="K115" s="75">
        <v>126.6</v>
      </c>
      <c r="L115" s="75">
        <v>126.6</v>
      </c>
      <c r="M115" s="75">
        <v>124.4</v>
      </c>
      <c r="N115" s="75">
        <v>122.9</v>
      </c>
      <c r="O115" s="75">
        <v>125.2</v>
      </c>
      <c r="P115" s="75">
        <v>128.6</v>
      </c>
      <c r="Q115" s="75">
        <v>133.4</v>
      </c>
      <c r="R115" s="75">
        <v>130.9</v>
      </c>
      <c r="S115" s="75">
        <v>132.19999999999999</v>
      </c>
      <c r="T115" s="75">
        <v>127.2</v>
      </c>
      <c r="U115" s="75"/>
      <c r="V115" s="75">
        <v>131.19999999999999</v>
      </c>
      <c r="W115" s="75">
        <v>131.19999999999999</v>
      </c>
      <c r="X115" s="75">
        <v>130.80000000000001</v>
      </c>
      <c r="Y115" s="75">
        <v>130.80000000000001</v>
      </c>
      <c r="Z115" s="75">
        <v>130.80000000000001</v>
      </c>
      <c r="AA115" s="75">
        <v>132.5</v>
      </c>
      <c r="AB115" s="75">
        <v>132.5</v>
      </c>
      <c r="AC115" s="75">
        <v>135.5</v>
      </c>
      <c r="AD115" s="75">
        <v>135.9</v>
      </c>
      <c r="AE115" s="75">
        <v>133.9</v>
      </c>
      <c r="AF115" s="75">
        <v>134.80000000000001</v>
      </c>
      <c r="AG115" s="116"/>
      <c r="AH115" s="48">
        <f t="shared" si="61"/>
        <v>135.9</v>
      </c>
      <c r="AI115" s="49">
        <f t="shared" si="62"/>
        <v>122.9</v>
      </c>
    </row>
    <row r="116" spans="1:35" ht="15.75" thickBot="1" x14ac:dyDescent="0.3">
      <c r="A116" s="115" t="s">
        <v>139</v>
      </c>
      <c r="B116" s="104">
        <v>68</v>
      </c>
      <c r="C116" s="104">
        <v>68.099999999999994</v>
      </c>
      <c r="D116" s="104">
        <v>68.2</v>
      </c>
      <c r="E116" s="104">
        <v>68.2</v>
      </c>
      <c r="F116" s="104">
        <v>68.2</v>
      </c>
      <c r="G116" s="104">
        <v>68.2</v>
      </c>
      <c r="H116" s="104">
        <v>67.400000000000006</v>
      </c>
      <c r="I116" s="104">
        <v>66.900000000000006</v>
      </c>
      <c r="J116" s="104">
        <v>64</v>
      </c>
      <c r="K116" s="104">
        <v>64</v>
      </c>
      <c r="L116" s="104">
        <v>64</v>
      </c>
      <c r="M116" s="104">
        <v>64.099999999999994</v>
      </c>
      <c r="N116" s="104">
        <v>64.099999999999994</v>
      </c>
      <c r="O116" s="104">
        <v>64.2</v>
      </c>
      <c r="P116" s="104">
        <v>64.7</v>
      </c>
      <c r="Q116" s="104">
        <v>65.400000000000006</v>
      </c>
      <c r="R116" s="104">
        <v>63.9</v>
      </c>
      <c r="S116" s="104">
        <v>64.7</v>
      </c>
      <c r="T116" s="104">
        <v>64.7</v>
      </c>
      <c r="U116" s="104"/>
      <c r="V116" s="104">
        <v>64.3</v>
      </c>
      <c r="W116" s="104">
        <v>64.3</v>
      </c>
      <c r="X116" s="104">
        <v>65.7</v>
      </c>
      <c r="Y116" s="104">
        <v>65.7</v>
      </c>
      <c r="Z116" s="104">
        <v>65.7</v>
      </c>
      <c r="AA116" s="104">
        <v>64.900000000000006</v>
      </c>
      <c r="AB116" s="104">
        <v>64.900000000000006</v>
      </c>
      <c r="AC116" s="104">
        <v>66.099999999999994</v>
      </c>
      <c r="AD116" s="104">
        <v>66.599999999999994</v>
      </c>
      <c r="AE116" s="104">
        <v>67.5</v>
      </c>
      <c r="AF116" s="104">
        <v>68.2</v>
      </c>
      <c r="AG116" s="120"/>
      <c r="AH116" s="48">
        <f t="shared" si="61"/>
        <v>68.2</v>
      </c>
      <c r="AI116" s="49">
        <f t="shared" si="62"/>
        <v>63.9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61"/>
        <v>0</v>
      </c>
      <c r="AI117" s="49">
        <f t="shared" si="62"/>
        <v>0</v>
      </c>
    </row>
    <row r="118" spans="1:35" ht="15.75" thickBot="1" x14ac:dyDescent="0.3">
      <c r="A118" s="122" t="s">
        <v>141</v>
      </c>
      <c r="B118" s="123">
        <f>SUM(B22,B28,B31:B32,B66,B68:B69,B71,B73,B119:B123,B155,B161,B167,B176,B178,B190,B197,B200:B201,B208,B210,B212,B216:B218,B220:B222,B227,B233:B234,B236:B238,B246,B251)</f>
        <v>105.24000000000001</v>
      </c>
      <c r="C118" s="123">
        <f>SUM(C22,C28,C31:C32,C66,C68:C69,C71,C73,C119:C123,C155,C161,C167,C176,C178,C190,C197,C200:C201,C208,C210,C212,C216:C218,C220:C222,C227,C233:C234,C236:C238,C246,C251)</f>
        <v>88.64</v>
      </c>
      <c r="D118" s="123">
        <f t="shared" ref="D118:O118" si="120">SUM(D22,D28,D31:D32,D66,D68:D69,D71,D73,D119:D123,D155,D161,D167,D176,D178,D190,D197,D200:D201,D208,D210,D212,D216:D218,D220:D222,D227,D233:D234,D236:D238,D246,D251)</f>
        <v>84.539999999999992</v>
      </c>
      <c r="E118" s="123">
        <f t="shared" si="120"/>
        <v>79.94</v>
      </c>
      <c r="F118" s="123">
        <f t="shared" si="120"/>
        <v>87.34</v>
      </c>
      <c r="G118" s="123">
        <f t="shared" si="120"/>
        <v>109.54000000000002</v>
      </c>
      <c r="H118" s="123">
        <f t="shared" si="120"/>
        <v>137.24</v>
      </c>
      <c r="I118" s="123">
        <f t="shared" si="120"/>
        <v>175.14</v>
      </c>
      <c r="J118" s="123">
        <f t="shared" si="120"/>
        <v>257.04000000000002</v>
      </c>
      <c r="K118" s="123">
        <f t="shared" si="120"/>
        <v>292.94</v>
      </c>
      <c r="L118" s="123">
        <f t="shared" si="120"/>
        <v>326.83999999999997</v>
      </c>
      <c r="M118" s="123">
        <f t="shared" si="120"/>
        <v>337.04</v>
      </c>
      <c r="N118" s="123">
        <f t="shared" si="120"/>
        <v>333.23999999999995</v>
      </c>
      <c r="O118" s="123">
        <f t="shared" si="120"/>
        <v>328.44</v>
      </c>
      <c r="P118" s="123">
        <v>42</v>
      </c>
      <c r="Q118" s="123">
        <f t="shared" ref="Q118:AF118" si="121">SUM(Q22,Q28,Q31:Q32,Q66,Q68:Q69,Q71,Q73,Q119:Q123,Q155,Q161,Q167,Q176,Q178,Q190,Q197,Q200:Q201,Q208,Q210,Q212,Q216:Q218,Q220:Q222,Q227,Q233:Q234,Q236:Q238,Q246,Q251)</f>
        <v>307.04000000000002</v>
      </c>
      <c r="R118" s="123">
        <f t="shared" si="121"/>
        <v>304.44</v>
      </c>
      <c r="S118" s="123">
        <f t="shared" ref="S118:T118" si="122">SUM(S22,S28,S31:S32,S66,S68:S69,S71,S73,S119:S123,S155,S161,S167,S176,S178,S190,S197,S200:S201,S208,S210,S212,S216:S218,S220:S222,S227,S233:S234,S236:S238,S246,S251)</f>
        <v>307.23999999999995</v>
      </c>
      <c r="T118" s="123">
        <f t="shared" si="122"/>
        <v>305.04000000000002</v>
      </c>
      <c r="U118" s="123">
        <f t="shared" si="121"/>
        <v>0.94</v>
      </c>
      <c r="V118" s="123">
        <f t="shared" si="121"/>
        <v>302.94</v>
      </c>
      <c r="W118" s="123">
        <f t="shared" ref="W118:X118" si="123">SUM(W22,W28,W31:W32,W66,W68:W69,W71,W73,W119:W123,W155,W161,W167,W176,W178,W190,W197,W200:W201,W208,W210,W212,W216:W218,W220:W222,W227,W233:W234,W236:W238,W246,W251)</f>
        <v>321.04000000000002</v>
      </c>
      <c r="X118" s="123">
        <f t="shared" si="123"/>
        <v>326.24</v>
      </c>
      <c r="Y118" s="123">
        <f t="shared" ref="Y118:Z118" si="124">SUM(Y22,Y28,Y31:Y32,Y66,Y68:Y69,Y71,Y73,Y119:Y123,Y155,Y161,Y167,Y176,Y178,Y190,Y197,Y200:Y201,Y208,Y210,Y212,Y216:Y218,Y220:Y222,Y227,Y233:Y234,Y236:Y238,Y246,Y251)</f>
        <v>350.14000000000004</v>
      </c>
      <c r="Z118" s="123">
        <f t="shared" si="124"/>
        <v>380.74</v>
      </c>
      <c r="AA118" s="123">
        <f t="shared" ref="AA118" si="125">SUM(AA22,AA28,AA31:AA32,AA66,AA68:AA69,AA71,AA73,AA119:AA123,AA155,AA161,AA167,AA176,AA178,AA190,AA197,AA200:AA201,AA208,AA210,AA212,AA216:AA218,AA220:AA222,AA227,AA233:AA234,AA236:AA238,AA246,AA251)</f>
        <v>356.74</v>
      </c>
      <c r="AB118" s="123">
        <f t="shared" si="121"/>
        <v>300.83999999999997</v>
      </c>
      <c r="AC118" s="123">
        <f t="shared" si="121"/>
        <v>272.83999999999997</v>
      </c>
      <c r="AD118" s="123">
        <f t="shared" si="121"/>
        <v>225.14000000000001</v>
      </c>
      <c r="AE118" s="123">
        <f t="shared" si="121"/>
        <v>189.44</v>
      </c>
      <c r="AF118" s="123">
        <f t="shared" si="121"/>
        <v>155.64000000000001</v>
      </c>
      <c r="AG118" s="124"/>
      <c r="AH118" s="48">
        <f t="shared" si="61"/>
        <v>380.74</v>
      </c>
      <c r="AI118" s="49">
        <f t="shared" si="62"/>
        <v>0.94</v>
      </c>
    </row>
    <row r="119" spans="1:35" x14ac:dyDescent="0.25">
      <c r="A119" s="125" t="s">
        <v>142</v>
      </c>
      <c r="B119" s="126">
        <v>21.8</v>
      </c>
      <c r="C119" s="126">
        <v>10.7</v>
      </c>
      <c r="D119" s="126">
        <v>7.6</v>
      </c>
      <c r="E119" s="126">
        <v>-0.1</v>
      </c>
      <c r="F119" s="126">
        <v>2.5</v>
      </c>
      <c r="G119" s="126">
        <v>1.4</v>
      </c>
      <c r="H119" s="126">
        <v>23.8</v>
      </c>
      <c r="I119" s="126">
        <v>18.5</v>
      </c>
      <c r="J119" s="126">
        <v>-0.1</v>
      </c>
      <c r="K119" s="126">
        <v>10</v>
      </c>
      <c r="L119" s="126">
        <v>14</v>
      </c>
      <c r="M119" s="126">
        <v>17</v>
      </c>
      <c r="N119" s="126">
        <v>10.6</v>
      </c>
      <c r="O119" s="126">
        <v>5.4</v>
      </c>
      <c r="P119" s="126">
        <v>4.7</v>
      </c>
      <c r="Q119" s="126">
        <v>2.1</v>
      </c>
      <c r="R119" s="126">
        <v>-2.4</v>
      </c>
      <c r="S119" s="126">
        <v>-3</v>
      </c>
      <c r="T119" s="126">
        <v>1.7</v>
      </c>
      <c r="U119" s="126"/>
      <c r="V119" s="126">
        <v>2.8</v>
      </c>
      <c r="W119" s="126">
        <v>3.9</v>
      </c>
      <c r="X119" s="126">
        <v>-0.3</v>
      </c>
      <c r="Y119" s="126">
        <v>-0.8</v>
      </c>
      <c r="Z119" s="126">
        <v>25.3</v>
      </c>
      <c r="AA119" s="126">
        <v>25.2</v>
      </c>
      <c r="AB119" s="126">
        <v>33.700000000000003</v>
      </c>
      <c r="AC119" s="126">
        <v>23</v>
      </c>
      <c r="AD119" s="126">
        <v>21.8</v>
      </c>
      <c r="AE119" s="126">
        <v>22.5</v>
      </c>
      <c r="AF119" s="126">
        <v>10.9</v>
      </c>
      <c r="AG119" s="127">
        <v>75</v>
      </c>
      <c r="AH119" s="48">
        <f t="shared" si="61"/>
        <v>33.700000000000003</v>
      </c>
      <c r="AI119" s="49">
        <f t="shared" si="62"/>
        <v>-3</v>
      </c>
    </row>
    <row r="120" spans="1:35" x14ac:dyDescent="0.25">
      <c r="A120" s="128" t="s">
        <v>143</v>
      </c>
      <c r="B120" s="129">
        <v>34.1</v>
      </c>
      <c r="C120" s="129">
        <v>20.399999999999999</v>
      </c>
      <c r="D120" s="129">
        <v>17.3</v>
      </c>
      <c r="E120" s="129">
        <v>7.7</v>
      </c>
      <c r="F120" s="129">
        <v>11.4</v>
      </c>
      <c r="G120" s="129">
        <v>10.4</v>
      </c>
      <c r="H120" s="129">
        <v>36.799999999999997</v>
      </c>
      <c r="I120" s="129">
        <v>27.8</v>
      </c>
      <c r="J120" s="129">
        <v>-6.5</v>
      </c>
      <c r="K120" s="129">
        <v>4.5</v>
      </c>
      <c r="L120" s="129">
        <v>14.4</v>
      </c>
      <c r="M120" s="129">
        <v>16.100000000000001</v>
      </c>
      <c r="N120" s="129">
        <v>7.3</v>
      </c>
      <c r="O120" s="129">
        <v>0.1</v>
      </c>
      <c r="P120" s="129">
        <v>0</v>
      </c>
      <c r="Q120" s="129">
        <v>-3.3</v>
      </c>
      <c r="R120" s="129">
        <v>-8.8000000000000007</v>
      </c>
      <c r="S120" s="129">
        <v>-11.1</v>
      </c>
      <c r="T120" s="129">
        <v>-6.3</v>
      </c>
      <c r="U120" s="129"/>
      <c r="V120" s="129">
        <v>-4.7</v>
      </c>
      <c r="W120" s="129">
        <v>3.1</v>
      </c>
      <c r="X120" s="129">
        <v>28.8</v>
      </c>
      <c r="Y120" s="129">
        <v>58.5</v>
      </c>
      <c r="Z120" s="129">
        <v>37.299999999999997</v>
      </c>
      <c r="AA120" s="129">
        <v>37.700000000000003</v>
      </c>
      <c r="AB120" s="129">
        <v>48.7</v>
      </c>
      <c r="AC120" s="129">
        <v>35</v>
      </c>
      <c r="AD120" s="129">
        <v>32.6</v>
      </c>
      <c r="AE120" s="129">
        <v>34.6</v>
      </c>
      <c r="AF120" s="129">
        <v>20.2</v>
      </c>
      <c r="AG120" s="127">
        <v>240</v>
      </c>
      <c r="AH120" s="48">
        <f t="shared" si="61"/>
        <v>58.5</v>
      </c>
      <c r="AI120" s="49">
        <f t="shared" si="62"/>
        <v>-11.1</v>
      </c>
    </row>
    <row r="121" spans="1:35" x14ac:dyDescent="0.25">
      <c r="A121" s="128" t="s">
        <v>144</v>
      </c>
      <c r="B121" s="129">
        <v>-76</v>
      </c>
      <c r="C121" s="129">
        <v>-75</v>
      </c>
      <c r="D121" s="129">
        <v>-72</v>
      </c>
      <c r="E121" s="129">
        <v>-68</v>
      </c>
      <c r="F121" s="129">
        <v>-65</v>
      </c>
      <c r="G121" s="129">
        <v>-57</v>
      </c>
      <c r="H121" s="129">
        <v>-64.900000000000006</v>
      </c>
      <c r="I121" s="129">
        <v>-40</v>
      </c>
      <c r="J121" s="129">
        <v>26</v>
      </c>
      <c r="K121" s="129">
        <v>32</v>
      </c>
      <c r="L121" s="129">
        <v>37</v>
      </c>
      <c r="M121" s="129">
        <v>37.299999999999997</v>
      </c>
      <c r="N121" s="129">
        <f>19+16.2</f>
        <v>35.200000000000003</v>
      </c>
      <c r="O121" s="129">
        <v>40.1</v>
      </c>
      <c r="P121" s="129">
        <f>19.8+15.2</f>
        <v>35</v>
      </c>
      <c r="Q121" s="129">
        <v>44.5</v>
      </c>
      <c r="R121" s="129">
        <f>19.5+16.4</f>
        <v>35.9</v>
      </c>
      <c r="S121" s="129">
        <v>41</v>
      </c>
      <c r="T121" s="129">
        <v>44</v>
      </c>
      <c r="U121" s="129"/>
      <c r="V121" s="129">
        <v>48</v>
      </c>
      <c r="W121" s="129">
        <v>46</v>
      </c>
      <c r="X121" s="129">
        <v>51</v>
      </c>
      <c r="Y121" s="129">
        <v>33</v>
      </c>
      <c r="Z121" s="129">
        <v>49.8</v>
      </c>
      <c r="AA121" s="129">
        <v>30</v>
      </c>
      <c r="AB121" s="129">
        <v>20.100000000000001</v>
      </c>
      <c r="AC121" s="129">
        <f>12+5.9</f>
        <v>17.899999999999999</v>
      </c>
      <c r="AD121" s="129">
        <v>14</v>
      </c>
      <c r="AE121" s="129">
        <v>-6</v>
      </c>
      <c r="AF121" s="129">
        <v>-10</v>
      </c>
      <c r="AG121" s="127">
        <v>240</v>
      </c>
      <c r="AH121" s="48">
        <f t="shared" si="61"/>
        <v>51</v>
      </c>
      <c r="AI121" s="49">
        <f t="shared" si="62"/>
        <v>-76</v>
      </c>
    </row>
    <row r="122" spans="1:35" ht="15.75" thickBot="1" x14ac:dyDescent="0.3">
      <c r="A122" s="128" t="s">
        <v>145</v>
      </c>
      <c r="B122" s="129">
        <v>29.2</v>
      </c>
      <c r="C122" s="129">
        <v>29</v>
      </c>
      <c r="D122" s="129">
        <v>29.3</v>
      </c>
      <c r="E122" s="129">
        <v>28.9</v>
      </c>
      <c r="F122" s="129">
        <v>28.8</v>
      </c>
      <c r="G122" s="129">
        <v>31.1</v>
      </c>
      <c r="H122" s="129">
        <v>32.299999999999997</v>
      </c>
      <c r="I122" s="129">
        <v>35.700000000000003</v>
      </c>
      <c r="J122" s="129">
        <v>9.4</v>
      </c>
      <c r="K122" s="129">
        <v>15</v>
      </c>
      <c r="L122" s="129">
        <v>24.2</v>
      </c>
      <c r="M122" s="129">
        <v>24.6</v>
      </c>
      <c r="N122" s="129">
        <v>23.2</v>
      </c>
      <c r="O122" s="129">
        <v>31.2</v>
      </c>
      <c r="P122" s="129">
        <v>27.3</v>
      </c>
      <c r="Q122" s="129">
        <v>34.299999999999997</v>
      </c>
      <c r="R122" s="129">
        <v>21.2</v>
      </c>
      <c r="S122" s="129">
        <v>34.200000000000003</v>
      </c>
      <c r="T122" s="129">
        <v>26.6</v>
      </c>
      <c r="U122" s="129"/>
      <c r="V122" s="129">
        <v>25.8</v>
      </c>
      <c r="W122" s="129">
        <v>29.6</v>
      </c>
      <c r="X122" s="129">
        <v>41.9</v>
      </c>
      <c r="Y122" s="129">
        <v>46.4</v>
      </c>
      <c r="Z122" s="129">
        <v>49.9</v>
      </c>
      <c r="AA122" s="129">
        <v>46.4</v>
      </c>
      <c r="AB122" s="129">
        <v>43.4</v>
      </c>
      <c r="AC122" s="129">
        <v>43</v>
      </c>
      <c r="AD122" s="129">
        <v>41</v>
      </c>
      <c r="AE122" s="129">
        <v>34</v>
      </c>
      <c r="AF122" s="129">
        <v>32.6</v>
      </c>
      <c r="AG122" s="127">
        <v>60</v>
      </c>
      <c r="AH122" s="48">
        <f t="shared" si="61"/>
        <v>49.9</v>
      </c>
      <c r="AI122" s="49">
        <f t="shared" si="62"/>
        <v>9.4</v>
      </c>
    </row>
    <row r="123" spans="1:35" x14ac:dyDescent="0.25">
      <c r="A123" s="125" t="s">
        <v>146</v>
      </c>
      <c r="B123" s="130">
        <v>0.8</v>
      </c>
      <c r="C123" s="130">
        <v>8.1999999999999993</v>
      </c>
      <c r="D123" s="130">
        <v>7.4</v>
      </c>
      <c r="E123" s="130">
        <v>18.5</v>
      </c>
      <c r="F123" s="130">
        <v>16.7</v>
      </c>
      <c r="G123" s="130">
        <v>32</v>
      </c>
      <c r="H123" s="130">
        <v>17.600000000000001</v>
      </c>
      <c r="I123" s="130">
        <v>41.5</v>
      </c>
      <c r="J123" s="130">
        <v>132.19999999999999</v>
      </c>
      <c r="K123" s="130">
        <v>134</v>
      </c>
      <c r="L123" s="130">
        <v>136</v>
      </c>
      <c r="M123" s="130">
        <v>138.9</v>
      </c>
      <c r="N123" s="130">
        <v>149</v>
      </c>
      <c r="O123" s="130">
        <v>141.80000000000001</v>
      </c>
      <c r="P123" s="130">
        <v>140</v>
      </c>
      <c r="Q123" s="130">
        <v>119</v>
      </c>
      <c r="R123" s="130">
        <v>148.1</v>
      </c>
      <c r="S123" s="130">
        <v>140.1</v>
      </c>
      <c r="T123" s="130">
        <v>137.9</v>
      </c>
      <c r="U123" s="130"/>
      <c r="V123" s="130">
        <v>136.69999999999999</v>
      </c>
      <c r="W123" s="130">
        <v>145.30000000000001</v>
      </c>
      <c r="X123" s="130">
        <v>112.2</v>
      </c>
      <c r="Y123" s="130">
        <v>120.4</v>
      </c>
      <c r="Z123" s="130">
        <v>125.8</v>
      </c>
      <c r="AA123" s="130">
        <v>124.8</v>
      </c>
      <c r="AB123" s="130">
        <v>62</v>
      </c>
      <c r="AC123" s="130">
        <v>61</v>
      </c>
      <c r="AD123" s="130">
        <v>22.8</v>
      </c>
      <c r="AE123" s="130">
        <v>11.4</v>
      </c>
      <c r="AF123" s="130">
        <v>9</v>
      </c>
      <c r="AG123" s="131">
        <v>120</v>
      </c>
      <c r="AH123" s="48">
        <f t="shared" si="61"/>
        <v>149</v>
      </c>
      <c r="AI123" s="49">
        <f t="shared" si="62"/>
        <v>0.8</v>
      </c>
    </row>
    <row r="124" spans="1:35" x14ac:dyDescent="0.25">
      <c r="A124" s="128" t="s">
        <v>147</v>
      </c>
      <c r="B124" s="130">
        <v>19.600000000000001</v>
      </c>
      <c r="C124" s="130">
        <v>25.6</v>
      </c>
      <c r="D124" s="130">
        <v>24.7</v>
      </c>
      <c r="E124" s="130">
        <v>30.6</v>
      </c>
      <c r="F124" s="130">
        <v>29.2</v>
      </c>
      <c r="G124" s="130">
        <v>36.700000000000003</v>
      </c>
      <c r="H124" s="130">
        <v>28.9</v>
      </c>
      <c r="I124" s="130">
        <v>41</v>
      </c>
      <c r="J124" s="130">
        <v>85.9</v>
      </c>
      <c r="K124" s="130">
        <v>86</v>
      </c>
      <c r="L124" s="130">
        <v>87.6</v>
      </c>
      <c r="M124" s="130">
        <v>95</v>
      </c>
      <c r="N124" s="130">
        <v>94</v>
      </c>
      <c r="O124" s="130">
        <v>90.3</v>
      </c>
      <c r="P124" s="130">
        <v>88.3</v>
      </c>
      <c r="Q124" s="130">
        <v>80.099999999999994</v>
      </c>
      <c r="R124" s="130">
        <v>91.5</v>
      </c>
      <c r="S124" s="130">
        <v>82.4</v>
      </c>
      <c r="T124" s="130">
        <v>81.400000000000006</v>
      </c>
      <c r="U124" s="130"/>
      <c r="V124" s="130">
        <v>82.8</v>
      </c>
      <c r="W124" s="130">
        <v>85.7</v>
      </c>
      <c r="X124" s="130">
        <v>71.3</v>
      </c>
      <c r="Y124" s="130">
        <v>45.6</v>
      </c>
      <c r="Z124" s="130">
        <v>77.2</v>
      </c>
      <c r="AA124" s="130">
        <v>76.8</v>
      </c>
      <c r="AB124" s="130">
        <v>51</v>
      </c>
      <c r="AC124" s="130">
        <v>51</v>
      </c>
      <c r="AD124" s="130">
        <v>45</v>
      </c>
      <c r="AE124" s="130">
        <v>26</v>
      </c>
      <c r="AF124" s="130">
        <v>26.4</v>
      </c>
      <c r="AG124" s="131"/>
      <c r="AH124" s="48">
        <f t="shared" si="61"/>
        <v>95</v>
      </c>
      <c r="AI124" s="49">
        <f t="shared" si="62"/>
        <v>19.600000000000001</v>
      </c>
    </row>
    <row r="125" spans="1:35" x14ac:dyDescent="0.25">
      <c r="A125" s="128" t="s">
        <v>148</v>
      </c>
      <c r="B125" s="130">
        <v>-21.4</v>
      </c>
      <c r="C125" s="130">
        <v>-5.6</v>
      </c>
      <c r="D125" s="130">
        <v>-4.4000000000000004</v>
      </c>
      <c r="E125" s="130">
        <v>7.5</v>
      </c>
      <c r="F125" s="130">
        <v>3</v>
      </c>
      <c r="G125" s="130">
        <v>4</v>
      </c>
      <c r="H125" s="130">
        <v>-26.87</v>
      </c>
      <c r="I125" s="130">
        <v>-23.9</v>
      </c>
      <c r="J125" s="130">
        <v>23.8</v>
      </c>
      <c r="K125" s="130">
        <v>15.8</v>
      </c>
      <c r="L125" s="130">
        <v>1.8</v>
      </c>
      <c r="M125" s="130">
        <v>1.2</v>
      </c>
      <c r="N125" s="130">
        <v>17.899999999999999</v>
      </c>
      <c r="O125" s="130">
        <v>21.8</v>
      </c>
      <c r="P125" s="130">
        <v>26.6</v>
      </c>
      <c r="Q125" s="130">
        <v>18.899999999999999</v>
      </c>
      <c r="R125" s="130">
        <v>40.200000000000003</v>
      </c>
      <c r="S125" s="130">
        <v>33</v>
      </c>
      <c r="T125" s="130">
        <v>25.8</v>
      </c>
      <c r="U125" s="130"/>
      <c r="V125" s="130">
        <v>14.9</v>
      </c>
      <c r="W125" s="130">
        <v>6.2</v>
      </c>
      <c r="X125" s="130">
        <v>-22.1</v>
      </c>
      <c r="Y125" s="130">
        <v>-31.7</v>
      </c>
      <c r="Z125" s="130">
        <v>-38.700000000000003</v>
      </c>
      <c r="AA125" s="130">
        <v>-26.7</v>
      </c>
      <c r="AB125" s="130">
        <v>-57.4</v>
      </c>
      <c r="AC125" s="130">
        <v>-40</v>
      </c>
      <c r="AD125" s="130">
        <v>-37</v>
      </c>
      <c r="AE125" s="130">
        <v>-40</v>
      </c>
      <c r="AF125" s="130">
        <v>-21.8</v>
      </c>
      <c r="AG125" s="131"/>
      <c r="AH125" s="48">
        <f t="shared" si="61"/>
        <v>40.200000000000003</v>
      </c>
      <c r="AI125" s="49">
        <f t="shared" si="62"/>
        <v>-57.4</v>
      </c>
    </row>
    <row r="126" spans="1:35" ht="15.75" thickBot="1" x14ac:dyDescent="0.3">
      <c r="A126" s="128" t="s">
        <v>149</v>
      </c>
      <c r="B126" s="130">
        <v>15.4</v>
      </c>
      <c r="C126" s="130">
        <v>21.2</v>
      </c>
      <c r="D126" s="130">
        <v>20.399999999999999</v>
      </c>
      <c r="E126" s="130">
        <v>28.8</v>
      </c>
      <c r="F126" s="130">
        <v>25.1</v>
      </c>
      <c r="G126" s="130">
        <v>36.1</v>
      </c>
      <c r="H126" s="130">
        <v>25.2</v>
      </c>
      <c r="I126" s="130">
        <v>32</v>
      </c>
      <c r="J126" s="130">
        <v>94.4</v>
      </c>
      <c r="K126" s="130">
        <v>105</v>
      </c>
      <c r="L126" s="130">
        <v>103</v>
      </c>
      <c r="M126" s="130">
        <v>110</v>
      </c>
      <c r="N126" s="130">
        <v>108</v>
      </c>
      <c r="O126" s="130">
        <v>103</v>
      </c>
      <c r="P126" s="130">
        <v>97.9</v>
      </c>
      <c r="Q126" s="130">
        <v>86</v>
      </c>
      <c r="R126" s="130">
        <v>109.8</v>
      </c>
      <c r="S126" s="130">
        <v>94.4</v>
      </c>
      <c r="T126" s="130">
        <v>98.3</v>
      </c>
      <c r="U126" s="130"/>
      <c r="V126" s="130">
        <v>94.8</v>
      </c>
      <c r="W126" s="130">
        <v>95</v>
      </c>
      <c r="X126" s="130">
        <v>73.5</v>
      </c>
      <c r="Y126" s="130">
        <v>58.5</v>
      </c>
      <c r="Z126" s="130">
        <v>57.3</v>
      </c>
      <c r="AA126" s="130">
        <v>67.400000000000006</v>
      </c>
      <c r="AB126" s="130">
        <v>21.8</v>
      </c>
      <c r="AC126" s="130">
        <v>26</v>
      </c>
      <c r="AD126" s="130">
        <v>12</v>
      </c>
      <c r="AE126" s="130">
        <v>7.8</v>
      </c>
      <c r="AF126" s="130">
        <v>8.9</v>
      </c>
      <c r="AG126" s="127"/>
      <c r="AH126" s="48">
        <f>MAX(B126:AF126)</f>
        <v>110</v>
      </c>
      <c r="AI126" s="49">
        <f>MIN(B126:AF126)</f>
        <v>7.8</v>
      </c>
    </row>
    <row r="127" spans="1:35" x14ac:dyDescent="0.25">
      <c r="A127" s="125" t="s">
        <v>305</v>
      </c>
      <c r="B127" s="130">
        <v>-66.5</v>
      </c>
      <c r="C127" s="130">
        <v>-63.1</v>
      </c>
      <c r="D127" s="130">
        <v>-64</v>
      </c>
      <c r="E127" s="130">
        <v>-59.3</v>
      </c>
      <c r="F127" s="130">
        <v>-60.3</v>
      </c>
      <c r="G127" s="130">
        <v>-52.3</v>
      </c>
      <c r="H127" s="130">
        <v>-59.6</v>
      </c>
      <c r="I127" s="130">
        <v>-48.7</v>
      </c>
      <c r="J127" s="130">
        <v>35.799999999999997</v>
      </c>
      <c r="K127" s="130">
        <v>36.5</v>
      </c>
      <c r="L127" s="130">
        <v>38.299999999999997</v>
      </c>
      <c r="M127" s="130">
        <v>40</v>
      </c>
      <c r="N127" s="130">
        <v>12.6</v>
      </c>
      <c r="O127" s="130">
        <v>39.9</v>
      </c>
      <c r="P127" s="130">
        <v>37.799999999999997</v>
      </c>
      <c r="Q127" s="130">
        <v>29.5</v>
      </c>
      <c r="R127" s="130">
        <v>42.3</v>
      </c>
      <c r="S127" s="130">
        <v>38.6</v>
      </c>
      <c r="T127" s="130">
        <v>38.200000000000003</v>
      </c>
      <c r="U127" s="130"/>
      <c r="V127" s="130">
        <v>38.9</v>
      </c>
      <c r="W127" s="130">
        <v>37.200000000000003</v>
      </c>
      <c r="X127" s="130">
        <v>1.2</v>
      </c>
      <c r="Y127" s="130">
        <v>-157.6</v>
      </c>
      <c r="Z127" s="130">
        <v>-154</v>
      </c>
      <c r="AA127" s="130">
        <v>-152.69999999999999</v>
      </c>
      <c r="AB127" s="130">
        <v>-142.30000000000001</v>
      </c>
      <c r="AC127" s="130">
        <v>-108</v>
      </c>
      <c r="AD127" s="130">
        <v>-54</v>
      </c>
      <c r="AE127" s="130">
        <v>-59</v>
      </c>
      <c r="AF127" s="130">
        <v>-61</v>
      </c>
      <c r="AG127" s="127"/>
      <c r="AH127" s="48">
        <f>MAX(B127:AF127)</f>
        <v>42.3</v>
      </c>
      <c r="AI127" s="49">
        <f>MIN(B127:AF127)</f>
        <v>-157.6</v>
      </c>
    </row>
    <row r="128" spans="1:35" x14ac:dyDescent="0.25">
      <c r="A128" s="128" t="s">
        <v>151</v>
      </c>
      <c r="B128" s="118">
        <v>-25</v>
      </c>
      <c r="C128" s="118">
        <v>-23.4</v>
      </c>
      <c r="D128" s="118">
        <v>-22.1</v>
      </c>
      <c r="E128" s="118">
        <v>-19.399999999999999</v>
      </c>
      <c r="F128" s="118">
        <v>-16</v>
      </c>
      <c r="G128" s="118">
        <v>-17.899999999999999</v>
      </c>
      <c r="H128" s="118">
        <v>-23.4</v>
      </c>
      <c r="I128" s="118">
        <v>-28.3</v>
      </c>
      <c r="J128" s="118">
        <v>-32.1</v>
      </c>
      <c r="K128" s="118">
        <v>-45</v>
      </c>
      <c r="L128" s="118">
        <v>-53.9</v>
      </c>
      <c r="M128" s="118">
        <v>-29.5</v>
      </c>
      <c r="N128" s="118">
        <v>-44.1</v>
      </c>
      <c r="O128" s="118">
        <v>-42.7</v>
      </c>
      <c r="P128" s="118">
        <v>-47.1</v>
      </c>
      <c r="Q128" s="118">
        <v>-41.8</v>
      </c>
      <c r="R128" s="118">
        <v>-33</v>
      </c>
      <c r="S128" s="118">
        <v>-43.3</v>
      </c>
      <c r="T128" s="118">
        <v>-46</v>
      </c>
      <c r="U128" s="118"/>
      <c r="V128" s="118">
        <v>-48</v>
      </c>
      <c r="W128" s="118">
        <v>-57.8</v>
      </c>
      <c r="X128" s="118">
        <v>-59.6</v>
      </c>
      <c r="Y128" s="118">
        <v>-65.3</v>
      </c>
      <c r="Z128" s="118">
        <v>-46.6</v>
      </c>
      <c r="AA128" s="118">
        <v>-62.3</v>
      </c>
      <c r="AB128" s="118">
        <v>-56.3</v>
      </c>
      <c r="AC128" s="118">
        <v>-50</v>
      </c>
      <c r="AD128" s="118">
        <v>-41</v>
      </c>
      <c r="AE128" s="118">
        <v>-41</v>
      </c>
      <c r="AF128" s="118">
        <v>-36</v>
      </c>
      <c r="AG128" s="127"/>
      <c r="AH128" s="48">
        <f>MAX(B128:AF128)</f>
        <v>-16</v>
      </c>
      <c r="AI128" s="49">
        <f>MIN(B128:AF128)</f>
        <v>-65.3</v>
      </c>
    </row>
    <row r="129" spans="1:37" x14ac:dyDescent="0.25">
      <c r="A129" s="128" t="s">
        <v>306</v>
      </c>
      <c r="B129" s="118">
        <v>66.5</v>
      </c>
      <c r="C129" s="118">
        <v>67.099999999999994</v>
      </c>
      <c r="D129" s="118">
        <v>64.099999999999994</v>
      </c>
      <c r="E129" s="118">
        <v>60.5</v>
      </c>
      <c r="F129" s="118">
        <v>55.8</v>
      </c>
      <c r="G129" s="118">
        <v>59.4</v>
      </c>
      <c r="H129" s="118">
        <v>60.9</v>
      </c>
      <c r="I129" s="118">
        <v>67.5</v>
      </c>
      <c r="J129" s="118">
        <v>61.2</v>
      </c>
      <c r="K129" s="118">
        <v>45</v>
      </c>
      <c r="L129" s="118">
        <v>40.4</v>
      </c>
      <c r="M129" s="118">
        <v>45</v>
      </c>
      <c r="N129" s="118">
        <v>76.7</v>
      </c>
      <c r="O129" s="118">
        <v>74.7</v>
      </c>
      <c r="P129" s="118">
        <v>81.5</v>
      </c>
      <c r="Q129" s="118">
        <v>83</v>
      </c>
      <c r="R129" s="118">
        <v>81.400000000000006</v>
      </c>
      <c r="S129" s="118">
        <v>80.7</v>
      </c>
      <c r="T129" s="118">
        <v>82.4</v>
      </c>
      <c r="U129" s="118"/>
      <c r="V129" s="118">
        <v>68.400000000000006</v>
      </c>
      <c r="W129" s="118">
        <v>64.7</v>
      </c>
      <c r="X129" s="118">
        <v>56.2</v>
      </c>
      <c r="Y129" s="118">
        <v>108.4</v>
      </c>
      <c r="Z129" s="118">
        <v>109.5</v>
      </c>
      <c r="AA129" s="118">
        <v>109.3</v>
      </c>
      <c r="AB129" s="118">
        <v>109.3</v>
      </c>
      <c r="AC129" s="118">
        <v>106</v>
      </c>
      <c r="AD129" s="118">
        <v>106</v>
      </c>
      <c r="AE129" s="118">
        <v>88</v>
      </c>
      <c r="AF129" s="118">
        <v>86</v>
      </c>
      <c r="AG129" s="127"/>
      <c r="AH129" s="48">
        <f>MAX(B129:AF129)</f>
        <v>109.5</v>
      </c>
      <c r="AI129" s="49">
        <f>MIN(B129:AF129)</f>
        <v>40.4</v>
      </c>
    </row>
    <row r="130" spans="1:37" ht="15.75" thickBot="1" x14ac:dyDescent="0.3">
      <c r="A130" s="128" t="s">
        <v>153</v>
      </c>
      <c r="B130" s="118">
        <v>79.8</v>
      </c>
      <c r="C130" s="118">
        <v>78.599999999999994</v>
      </c>
      <c r="D130" s="118">
        <v>75.8</v>
      </c>
      <c r="E130" s="118">
        <v>71.599999999999994</v>
      </c>
      <c r="F130" s="118">
        <v>68.3</v>
      </c>
      <c r="G130" s="118">
        <v>71.400000000000006</v>
      </c>
      <c r="H130" s="118">
        <v>72.8</v>
      </c>
      <c r="I130" s="118">
        <v>78.099999999999994</v>
      </c>
      <c r="J130" s="118">
        <v>71.099999999999994</v>
      </c>
      <c r="K130" s="118">
        <v>42</v>
      </c>
      <c r="L130" s="118">
        <v>45.4</v>
      </c>
      <c r="M130" s="118">
        <v>19.8</v>
      </c>
      <c r="N130" s="118">
        <v>86.8</v>
      </c>
      <c r="O130" s="118">
        <v>79.5</v>
      </c>
      <c r="P130" s="118">
        <v>84.9</v>
      </c>
      <c r="Q130" s="118">
        <v>82.4</v>
      </c>
      <c r="R130" s="118">
        <v>83.4</v>
      </c>
      <c r="S130" s="118">
        <v>85.1</v>
      </c>
      <c r="T130" s="118">
        <v>83.7</v>
      </c>
      <c r="U130" s="118"/>
      <c r="V130" s="118">
        <v>74.599999999999994</v>
      </c>
      <c r="W130" s="118">
        <v>67.7</v>
      </c>
      <c r="X130" s="118">
        <v>65.400000000000006</v>
      </c>
      <c r="Y130" s="118">
        <v>116.5</v>
      </c>
      <c r="Z130" s="118">
        <v>115.3</v>
      </c>
      <c r="AA130" s="118">
        <v>117.4</v>
      </c>
      <c r="AB130" s="118">
        <v>118.8</v>
      </c>
      <c r="AC130" s="118">
        <v>116</v>
      </c>
      <c r="AD130" s="118">
        <v>115</v>
      </c>
      <c r="AE130" s="118">
        <v>99</v>
      </c>
      <c r="AF130" s="118">
        <v>97</v>
      </c>
      <c r="AG130" s="127"/>
      <c r="AH130" s="48">
        <f>MAX(B130:AF130)</f>
        <v>118.8</v>
      </c>
      <c r="AI130" s="49">
        <f>MIN(B130:AF130)</f>
        <v>19.8</v>
      </c>
    </row>
    <row r="131" spans="1:37" x14ac:dyDescent="0.25">
      <c r="A131" s="132" t="s">
        <v>154</v>
      </c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4"/>
      <c r="AG131" s="44"/>
      <c r="AH131" s="48"/>
      <c r="AI131" s="49"/>
    </row>
    <row r="132" spans="1:37" x14ac:dyDescent="0.25">
      <c r="A132" s="135" t="s">
        <v>155</v>
      </c>
      <c r="B132" s="136">
        <v>1982.6</v>
      </c>
      <c r="C132" s="136">
        <v>1982.61</v>
      </c>
      <c r="D132" s="136">
        <v>1982.62</v>
      </c>
      <c r="E132" s="136">
        <v>1982.62</v>
      </c>
      <c r="F132" s="136">
        <v>1982.59</v>
      </c>
      <c r="G132" s="136">
        <v>1982.57</v>
      </c>
      <c r="H132" s="136"/>
      <c r="I132" s="136">
        <v>1982.53</v>
      </c>
      <c r="J132" s="136"/>
      <c r="K132" s="136">
        <v>1982.71</v>
      </c>
      <c r="L132" s="136"/>
      <c r="M132" s="136">
        <v>1983.1</v>
      </c>
      <c r="N132" s="136">
        <v>1983.29</v>
      </c>
      <c r="O132" s="136">
        <v>1983.52</v>
      </c>
      <c r="P132" s="136">
        <v>1983.78</v>
      </c>
      <c r="Q132" s="136">
        <v>1983.98</v>
      </c>
      <c r="R132" s="136">
        <v>1984.18</v>
      </c>
      <c r="S132" s="136">
        <v>1984.39</v>
      </c>
      <c r="T132" s="136">
        <v>1984.55</v>
      </c>
      <c r="U132" s="136">
        <v>1984.75</v>
      </c>
      <c r="V132" s="136">
        <v>1984.92</v>
      </c>
      <c r="W132" s="136"/>
      <c r="X132" s="136">
        <v>1985.1</v>
      </c>
      <c r="Y132" s="136"/>
      <c r="Z132" s="136">
        <v>1984.4</v>
      </c>
      <c r="AA132" s="136"/>
      <c r="AB132" s="136">
        <v>1983.4</v>
      </c>
      <c r="AC132" s="136"/>
      <c r="AD132" s="136">
        <v>1982.78</v>
      </c>
      <c r="AE132" s="136">
        <v>1982.58</v>
      </c>
      <c r="AF132" s="137"/>
      <c r="AG132" s="138"/>
      <c r="AH132" s="48"/>
      <c r="AI132" s="49"/>
    </row>
    <row r="133" spans="1:37" x14ac:dyDescent="0.25">
      <c r="A133" s="135" t="s">
        <v>156</v>
      </c>
      <c r="B133" s="139">
        <v>519.14</v>
      </c>
      <c r="C133" s="139">
        <v>519.08000000000004</v>
      </c>
      <c r="D133" s="139">
        <v>519.26</v>
      </c>
      <c r="E133" s="139">
        <v>519.49</v>
      </c>
      <c r="F133" s="139">
        <v>519.94000000000005</v>
      </c>
      <c r="G133" s="139">
        <v>520.34</v>
      </c>
      <c r="H133" s="139"/>
      <c r="I133" s="139">
        <v>520.49</v>
      </c>
      <c r="J133" s="139"/>
      <c r="K133" s="139">
        <v>520.61</v>
      </c>
      <c r="L133" s="139"/>
      <c r="M133" s="139">
        <v>520.6</v>
      </c>
      <c r="N133" s="139">
        <v>520.5</v>
      </c>
      <c r="O133" s="139">
        <v>520.4</v>
      </c>
      <c r="P133" s="139">
        <v>520.30999999999995</v>
      </c>
      <c r="Q133" s="139">
        <v>520.21</v>
      </c>
      <c r="R133" s="139">
        <v>520.12</v>
      </c>
      <c r="S133" s="139">
        <v>520.1</v>
      </c>
      <c r="T133" s="139">
        <v>520.14</v>
      </c>
      <c r="U133" s="139">
        <v>520.32000000000005</v>
      </c>
      <c r="V133" s="139">
        <v>520.5</v>
      </c>
      <c r="W133" s="139"/>
      <c r="X133" s="139">
        <v>520.62</v>
      </c>
      <c r="Y133" s="139"/>
      <c r="Z133" s="139">
        <v>520.36</v>
      </c>
      <c r="AA133" s="139"/>
      <c r="AB133" s="139">
        <v>519.6</v>
      </c>
      <c r="AC133" s="139"/>
      <c r="AD133" s="139">
        <v>519.22</v>
      </c>
      <c r="AE133" s="139">
        <v>518.87</v>
      </c>
      <c r="AF133" s="140">
        <v>518.65</v>
      </c>
      <c r="AG133" s="138"/>
      <c r="AH133" s="48"/>
      <c r="AI133" s="49"/>
    </row>
    <row r="134" spans="1:37" x14ac:dyDescent="0.25">
      <c r="A134" s="135" t="s">
        <v>158</v>
      </c>
      <c r="B134" s="139">
        <v>621.86</v>
      </c>
      <c r="C134" s="139">
        <v>621.85</v>
      </c>
      <c r="D134" s="139">
        <v>621.98</v>
      </c>
      <c r="E134" s="139">
        <v>622.11</v>
      </c>
      <c r="F134" s="139">
        <v>622.24</v>
      </c>
      <c r="G134" s="139">
        <v>622.4</v>
      </c>
      <c r="H134" s="139"/>
      <c r="I134" s="139">
        <v>622.32000000000005</v>
      </c>
      <c r="J134" s="139"/>
      <c r="K134" s="139">
        <v>622.29999999999995</v>
      </c>
      <c r="L134" s="139"/>
      <c r="M134" s="139">
        <v>621.98</v>
      </c>
      <c r="N134" s="139">
        <v>621.57000000000005</v>
      </c>
      <c r="O134" s="139">
        <v>621.6</v>
      </c>
      <c r="P134" s="139">
        <v>621.79</v>
      </c>
      <c r="Q134" s="139">
        <v>621.99</v>
      </c>
      <c r="R134" s="139">
        <v>622.12</v>
      </c>
      <c r="S134" s="139">
        <v>622.26</v>
      </c>
      <c r="T134" s="139">
        <v>622.33000000000004</v>
      </c>
      <c r="U134" s="139">
        <v>622.5</v>
      </c>
      <c r="V134" s="139">
        <v>622.66999999999996</v>
      </c>
      <c r="W134" s="139"/>
      <c r="X134" s="139">
        <v>623.08000000000004</v>
      </c>
      <c r="Y134" s="139"/>
      <c r="Z134" s="139">
        <v>622.25</v>
      </c>
      <c r="AA134" s="139"/>
      <c r="AB134" s="139">
        <v>621.54</v>
      </c>
      <c r="AC134" s="139"/>
      <c r="AD134" s="139"/>
      <c r="AE134" s="139">
        <v>621.85</v>
      </c>
      <c r="AF134" s="140">
        <v>621.96</v>
      </c>
      <c r="AG134" s="138"/>
      <c r="AH134" s="48"/>
      <c r="AI134" s="49"/>
    </row>
    <row r="135" spans="1:37" x14ac:dyDescent="0.25">
      <c r="A135" s="135" t="s">
        <v>159</v>
      </c>
      <c r="B135" s="139">
        <v>334.25</v>
      </c>
      <c r="C135" s="139">
        <v>334.1</v>
      </c>
      <c r="D135" s="139">
        <v>334.46</v>
      </c>
      <c r="E135" s="139">
        <v>334.86</v>
      </c>
      <c r="F135" s="139">
        <v>335.33300000000003</v>
      </c>
      <c r="G135" s="139">
        <v>335.6</v>
      </c>
      <c r="H135" s="139"/>
      <c r="I135" s="139">
        <v>335.62</v>
      </c>
      <c r="J135" s="139"/>
      <c r="K135" s="139">
        <v>335.55</v>
      </c>
      <c r="L135" s="139"/>
      <c r="M135" s="139">
        <v>335.45</v>
      </c>
      <c r="N135" s="139">
        <v>335.29</v>
      </c>
      <c r="O135" s="139">
        <v>335.11</v>
      </c>
      <c r="P135" s="139">
        <v>334.96</v>
      </c>
      <c r="Q135" s="139">
        <v>334.96</v>
      </c>
      <c r="R135" s="139">
        <v>335</v>
      </c>
      <c r="S135" s="139">
        <v>335.2</v>
      </c>
      <c r="T135" s="139">
        <v>335.3</v>
      </c>
      <c r="U135" s="139">
        <v>335.45</v>
      </c>
      <c r="V135" s="139">
        <v>335.43</v>
      </c>
      <c r="W135" s="139"/>
      <c r="X135" s="139">
        <v>335.24</v>
      </c>
      <c r="Y135" s="139"/>
      <c r="Z135" s="139">
        <v>334.93</v>
      </c>
      <c r="AA135" s="139"/>
      <c r="AB135" s="139">
        <v>334.49</v>
      </c>
      <c r="AC135" s="139">
        <v>334.1</v>
      </c>
      <c r="AD135" s="139"/>
      <c r="AE135" s="139">
        <v>38.1</v>
      </c>
      <c r="AF135" s="140"/>
      <c r="AG135" s="138"/>
      <c r="AH135" s="48"/>
      <c r="AI135" s="49"/>
    </row>
    <row r="136" spans="1:37" x14ac:dyDescent="0.25">
      <c r="A136" s="135" t="s">
        <v>160</v>
      </c>
      <c r="B136" s="139">
        <v>884.8</v>
      </c>
      <c r="C136" s="139">
        <v>885.3</v>
      </c>
      <c r="D136" s="139">
        <v>885.9</v>
      </c>
      <c r="E136" s="139">
        <v>886.4</v>
      </c>
      <c r="F136" s="139">
        <v>886.8</v>
      </c>
      <c r="G136" s="139">
        <v>887.3</v>
      </c>
      <c r="H136" s="139"/>
      <c r="I136" s="139">
        <v>887.1</v>
      </c>
      <c r="J136" s="139"/>
      <c r="K136" s="139">
        <v>886.9</v>
      </c>
      <c r="L136" s="139"/>
      <c r="M136" s="139">
        <v>886.6</v>
      </c>
      <c r="N136" s="139">
        <v>886.3</v>
      </c>
      <c r="O136" s="139">
        <v>886</v>
      </c>
      <c r="P136" s="139">
        <v>885.8</v>
      </c>
      <c r="Q136" s="139">
        <v>885.4</v>
      </c>
      <c r="R136" s="139">
        <v>884.4</v>
      </c>
      <c r="S136" s="139">
        <v>883.3</v>
      </c>
      <c r="T136" s="139">
        <v>882.9</v>
      </c>
      <c r="U136" s="139">
        <v>882.5</v>
      </c>
      <c r="V136" s="139">
        <v>882.2</v>
      </c>
      <c r="W136" s="139"/>
      <c r="X136" s="139">
        <v>882</v>
      </c>
      <c r="Y136" s="139"/>
      <c r="Z136" s="139">
        <v>881.9</v>
      </c>
      <c r="AA136" s="139"/>
      <c r="AB136" s="139">
        <v>881.8</v>
      </c>
      <c r="AC136" s="139"/>
      <c r="AD136" s="139"/>
      <c r="AE136" s="139"/>
      <c r="AF136" s="140"/>
      <c r="AG136" s="138"/>
      <c r="AH136" s="48"/>
      <c r="AI136" s="49"/>
    </row>
    <row r="137" spans="1:37" ht="15.75" thickBot="1" x14ac:dyDescent="0.3">
      <c r="A137" s="135" t="s">
        <v>161</v>
      </c>
      <c r="B137" s="141">
        <v>1518.03</v>
      </c>
      <c r="C137" s="141"/>
      <c r="D137" s="141"/>
      <c r="E137" s="141"/>
      <c r="F137" s="141"/>
      <c r="G137" s="141">
        <v>1517.91</v>
      </c>
      <c r="H137" s="141"/>
      <c r="I137" s="141">
        <v>1517.88</v>
      </c>
      <c r="J137" s="141"/>
      <c r="K137" s="141"/>
      <c r="L137" s="141"/>
      <c r="M137" s="141">
        <v>1517.86</v>
      </c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  <c r="AF137" s="142"/>
      <c r="AG137" s="138"/>
      <c r="AH137" s="48"/>
      <c r="AI137" s="49"/>
    </row>
    <row r="138" spans="1:37" ht="15.75" thickBot="1" x14ac:dyDescent="0.3">
      <c r="A138" s="143" t="s">
        <v>162</v>
      </c>
      <c r="B138" s="144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>
        <v>71</v>
      </c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126">SUM(B139:B243)</f>
        <v>0</v>
      </c>
      <c r="C244" s="160">
        <f t="shared" si="126"/>
        <v>0</v>
      </c>
      <c r="D244" s="160">
        <f t="shared" si="126"/>
        <v>0</v>
      </c>
      <c r="E244" s="160">
        <f t="shared" si="126"/>
        <v>0</v>
      </c>
      <c r="F244" s="160">
        <f t="shared" si="126"/>
        <v>0</v>
      </c>
      <c r="G244" s="160">
        <f t="shared" si="126"/>
        <v>0</v>
      </c>
      <c r="H244" s="160">
        <f t="shared" si="126"/>
        <v>0</v>
      </c>
      <c r="I244" s="160">
        <f t="shared" si="126"/>
        <v>0</v>
      </c>
      <c r="J244" s="160">
        <f t="shared" si="126"/>
        <v>0</v>
      </c>
      <c r="K244" s="160">
        <f t="shared" si="126"/>
        <v>0</v>
      </c>
      <c r="L244" s="160">
        <f t="shared" si="126"/>
        <v>0</v>
      </c>
      <c r="M244" s="160">
        <f t="shared" si="126"/>
        <v>0</v>
      </c>
      <c r="N244" s="160">
        <f t="shared" si="126"/>
        <v>0</v>
      </c>
      <c r="O244" s="160">
        <f t="shared" si="126"/>
        <v>0</v>
      </c>
      <c r="P244" s="160">
        <f t="shared" si="126"/>
        <v>0</v>
      </c>
      <c r="Q244" s="160">
        <f t="shared" si="126"/>
        <v>0</v>
      </c>
      <c r="R244" s="160">
        <f t="shared" si="126"/>
        <v>0</v>
      </c>
      <c r="S244" s="160">
        <f t="shared" si="126"/>
        <v>71</v>
      </c>
      <c r="T244" s="160">
        <f t="shared" si="126"/>
        <v>0</v>
      </c>
      <c r="U244" s="160">
        <f t="shared" si="126"/>
        <v>0</v>
      </c>
      <c r="V244" s="160">
        <f t="shared" si="126"/>
        <v>0</v>
      </c>
      <c r="W244" s="160">
        <f t="shared" si="126"/>
        <v>0</v>
      </c>
      <c r="X244" s="160">
        <f t="shared" si="126"/>
        <v>0</v>
      </c>
      <c r="Y244" s="160">
        <f t="shared" si="126"/>
        <v>0</v>
      </c>
      <c r="Z244" s="160">
        <f t="shared" si="126"/>
        <v>0</v>
      </c>
      <c r="AA244" s="160">
        <f t="shared" si="126"/>
        <v>0</v>
      </c>
      <c r="AB244" s="160">
        <f t="shared" si="126"/>
        <v>0</v>
      </c>
      <c r="AC244" s="160">
        <f t="shared" si="126"/>
        <v>0</v>
      </c>
      <c r="AD244" s="160">
        <f t="shared" si="126"/>
        <v>0</v>
      </c>
      <c r="AE244" s="160">
        <f t="shared" si="126"/>
        <v>0</v>
      </c>
      <c r="AF244" s="161">
        <f t="shared" si="126"/>
        <v>0</v>
      </c>
      <c r="AG244" s="162">
        <f t="shared" si="126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127">AF246</f>
        <v>0.3</v>
      </c>
      <c r="C246" s="165">
        <v>0.3</v>
      </c>
      <c r="D246" s="165">
        <f t="shared" ref="D246:S251" si="128">C246</f>
        <v>0.3</v>
      </c>
      <c r="E246" s="165">
        <f t="shared" si="128"/>
        <v>0.3</v>
      </c>
      <c r="F246" s="165">
        <f t="shared" si="128"/>
        <v>0.3</v>
      </c>
      <c r="G246" s="165">
        <f t="shared" si="128"/>
        <v>0.3</v>
      </c>
      <c r="H246" s="165">
        <f t="shared" si="128"/>
        <v>0.3</v>
      </c>
      <c r="I246" s="165">
        <f t="shared" si="128"/>
        <v>0.3</v>
      </c>
      <c r="J246" s="165">
        <f t="shared" si="128"/>
        <v>0.3</v>
      </c>
      <c r="K246" s="165">
        <f t="shared" si="128"/>
        <v>0.3</v>
      </c>
      <c r="L246" s="165">
        <f t="shared" si="128"/>
        <v>0.3</v>
      </c>
      <c r="M246" s="165">
        <f t="shared" si="128"/>
        <v>0.3</v>
      </c>
      <c r="N246" s="165">
        <f t="shared" si="128"/>
        <v>0.3</v>
      </c>
      <c r="O246" s="165">
        <f t="shared" si="128"/>
        <v>0.3</v>
      </c>
      <c r="P246" s="165">
        <f t="shared" si="128"/>
        <v>0.3</v>
      </c>
      <c r="Q246" s="165">
        <f t="shared" si="128"/>
        <v>0.3</v>
      </c>
      <c r="R246" s="165">
        <f t="shared" si="128"/>
        <v>0.3</v>
      </c>
      <c r="S246" s="165">
        <f t="shared" si="128"/>
        <v>0.3</v>
      </c>
      <c r="T246" s="165">
        <f t="shared" ref="T246:AF251" si="129">S246</f>
        <v>0.3</v>
      </c>
      <c r="U246" s="165">
        <f t="shared" si="129"/>
        <v>0.3</v>
      </c>
      <c r="V246" s="165">
        <f t="shared" si="129"/>
        <v>0.3</v>
      </c>
      <c r="W246" s="165">
        <f t="shared" si="129"/>
        <v>0.3</v>
      </c>
      <c r="X246" s="165">
        <f t="shared" si="129"/>
        <v>0.3</v>
      </c>
      <c r="Y246" s="165">
        <f t="shared" si="129"/>
        <v>0.3</v>
      </c>
      <c r="Z246" s="165">
        <f t="shared" si="129"/>
        <v>0.3</v>
      </c>
      <c r="AA246" s="165">
        <f t="shared" si="129"/>
        <v>0.3</v>
      </c>
      <c r="AB246" s="165">
        <f t="shared" si="129"/>
        <v>0.3</v>
      </c>
      <c r="AC246" s="165">
        <f t="shared" si="129"/>
        <v>0.3</v>
      </c>
      <c r="AD246" s="165">
        <f t="shared" si="129"/>
        <v>0.3</v>
      </c>
      <c r="AE246" s="165">
        <f t="shared" si="129"/>
        <v>0.3</v>
      </c>
      <c r="AF246" s="165">
        <f t="shared" si="129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127"/>
        <v>0.4</v>
      </c>
      <c r="C247" s="151">
        <v>0.4</v>
      </c>
      <c r="D247" s="151">
        <f t="shared" si="128"/>
        <v>0.4</v>
      </c>
      <c r="E247" s="151">
        <f t="shared" si="128"/>
        <v>0.4</v>
      </c>
      <c r="F247" s="151">
        <f t="shared" si="128"/>
        <v>0.4</v>
      </c>
      <c r="G247" s="151">
        <f t="shared" si="128"/>
        <v>0.4</v>
      </c>
      <c r="H247" s="151">
        <f t="shared" si="128"/>
        <v>0.4</v>
      </c>
      <c r="I247" s="151">
        <f t="shared" si="128"/>
        <v>0.4</v>
      </c>
      <c r="J247" s="151">
        <f t="shared" si="128"/>
        <v>0.4</v>
      </c>
      <c r="K247" s="151">
        <f t="shared" si="128"/>
        <v>0.4</v>
      </c>
      <c r="L247" s="151">
        <f t="shared" si="128"/>
        <v>0.4</v>
      </c>
      <c r="M247" s="151">
        <f t="shared" si="128"/>
        <v>0.4</v>
      </c>
      <c r="N247" s="151">
        <f t="shared" si="128"/>
        <v>0.4</v>
      </c>
      <c r="O247" s="151">
        <f t="shared" si="128"/>
        <v>0.4</v>
      </c>
      <c r="P247" s="151">
        <f t="shared" si="128"/>
        <v>0.4</v>
      </c>
      <c r="Q247" s="151">
        <f t="shared" si="128"/>
        <v>0.4</v>
      </c>
      <c r="R247" s="151">
        <f t="shared" si="128"/>
        <v>0.4</v>
      </c>
      <c r="S247" s="151">
        <f t="shared" si="128"/>
        <v>0.4</v>
      </c>
      <c r="T247" s="151">
        <f t="shared" si="129"/>
        <v>0.4</v>
      </c>
      <c r="U247" s="151">
        <f t="shared" si="129"/>
        <v>0.4</v>
      </c>
      <c r="V247" s="151">
        <f t="shared" si="129"/>
        <v>0.4</v>
      </c>
      <c r="W247" s="151">
        <f t="shared" si="129"/>
        <v>0.4</v>
      </c>
      <c r="X247" s="151">
        <f t="shared" si="129"/>
        <v>0.4</v>
      </c>
      <c r="Y247" s="151">
        <f t="shared" si="129"/>
        <v>0.4</v>
      </c>
      <c r="Z247" s="151">
        <f t="shared" si="129"/>
        <v>0.4</v>
      </c>
      <c r="AA247" s="151">
        <f t="shared" si="129"/>
        <v>0.4</v>
      </c>
      <c r="AB247" s="151">
        <f t="shared" si="129"/>
        <v>0.4</v>
      </c>
      <c r="AC247" s="151">
        <f t="shared" si="129"/>
        <v>0.4</v>
      </c>
      <c r="AD247" s="151">
        <f t="shared" si="129"/>
        <v>0.4</v>
      </c>
      <c r="AE247" s="151">
        <f t="shared" si="129"/>
        <v>0.4</v>
      </c>
      <c r="AF247" s="151">
        <f t="shared" si="129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127"/>
        <v>1.5</v>
      </c>
      <c r="C248" s="151">
        <v>1.5</v>
      </c>
      <c r="D248" s="151">
        <f t="shared" si="128"/>
        <v>1.5</v>
      </c>
      <c r="E248" s="151">
        <f t="shared" si="128"/>
        <v>1.5</v>
      </c>
      <c r="F248" s="151">
        <f t="shared" si="128"/>
        <v>1.5</v>
      </c>
      <c r="G248" s="151">
        <f t="shared" si="128"/>
        <v>1.5</v>
      </c>
      <c r="H248" s="151">
        <f t="shared" si="128"/>
        <v>1.5</v>
      </c>
      <c r="I248" s="151">
        <f t="shared" si="128"/>
        <v>1.5</v>
      </c>
      <c r="J248" s="151">
        <f t="shared" si="128"/>
        <v>1.5</v>
      </c>
      <c r="K248" s="151">
        <f t="shared" si="128"/>
        <v>1.5</v>
      </c>
      <c r="L248" s="151">
        <f t="shared" si="128"/>
        <v>1.5</v>
      </c>
      <c r="M248" s="151">
        <f t="shared" si="128"/>
        <v>1.5</v>
      </c>
      <c r="N248" s="151">
        <f t="shared" si="128"/>
        <v>1.5</v>
      </c>
      <c r="O248" s="151">
        <f t="shared" si="128"/>
        <v>1.5</v>
      </c>
      <c r="P248" s="151">
        <f t="shared" si="128"/>
        <v>1.5</v>
      </c>
      <c r="Q248" s="151">
        <f t="shared" si="128"/>
        <v>1.5</v>
      </c>
      <c r="R248" s="151">
        <f t="shared" si="128"/>
        <v>1.5</v>
      </c>
      <c r="S248" s="151">
        <f t="shared" si="128"/>
        <v>1.5</v>
      </c>
      <c r="T248" s="151">
        <f t="shared" si="129"/>
        <v>1.5</v>
      </c>
      <c r="U248" s="151">
        <f t="shared" si="129"/>
        <v>1.5</v>
      </c>
      <c r="V248" s="151">
        <f t="shared" si="129"/>
        <v>1.5</v>
      </c>
      <c r="W248" s="151">
        <f t="shared" si="129"/>
        <v>1.5</v>
      </c>
      <c r="X248" s="151">
        <f t="shared" si="129"/>
        <v>1.5</v>
      </c>
      <c r="Y248" s="151">
        <f t="shared" si="129"/>
        <v>1.5</v>
      </c>
      <c r="Z248" s="151">
        <f t="shared" si="129"/>
        <v>1.5</v>
      </c>
      <c r="AA248" s="151">
        <f t="shared" si="129"/>
        <v>1.5</v>
      </c>
      <c r="AB248" s="151">
        <f t="shared" si="129"/>
        <v>1.5</v>
      </c>
      <c r="AC248" s="151">
        <f t="shared" si="129"/>
        <v>1.5</v>
      </c>
      <c r="AD248" s="151">
        <f t="shared" si="129"/>
        <v>1.5</v>
      </c>
      <c r="AE248" s="151">
        <f t="shared" si="129"/>
        <v>1.5</v>
      </c>
      <c r="AF248" s="151">
        <f t="shared" si="129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127"/>
        <v>0.3</v>
      </c>
      <c r="C249" s="151">
        <v>0.3</v>
      </c>
      <c r="D249" s="151">
        <f t="shared" si="128"/>
        <v>0.3</v>
      </c>
      <c r="E249" s="151">
        <f t="shared" si="128"/>
        <v>0.3</v>
      </c>
      <c r="F249" s="151">
        <f t="shared" si="128"/>
        <v>0.3</v>
      </c>
      <c r="G249" s="151">
        <f t="shared" si="128"/>
        <v>0.3</v>
      </c>
      <c r="H249" s="151">
        <f t="shared" si="128"/>
        <v>0.3</v>
      </c>
      <c r="I249" s="151">
        <f t="shared" si="128"/>
        <v>0.3</v>
      </c>
      <c r="J249" s="151">
        <f t="shared" si="128"/>
        <v>0.3</v>
      </c>
      <c r="K249" s="151">
        <f t="shared" si="128"/>
        <v>0.3</v>
      </c>
      <c r="L249" s="151">
        <f t="shared" si="128"/>
        <v>0.3</v>
      </c>
      <c r="M249" s="151">
        <f t="shared" si="128"/>
        <v>0.3</v>
      </c>
      <c r="N249" s="151">
        <f t="shared" si="128"/>
        <v>0.3</v>
      </c>
      <c r="O249" s="151">
        <f t="shared" si="128"/>
        <v>0.3</v>
      </c>
      <c r="P249" s="151">
        <f t="shared" si="128"/>
        <v>0.3</v>
      </c>
      <c r="Q249" s="151">
        <f t="shared" si="128"/>
        <v>0.3</v>
      </c>
      <c r="R249" s="151">
        <f t="shared" si="128"/>
        <v>0.3</v>
      </c>
      <c r="S249" s="151">
        <f t="shared" si="128"/>
        <v>0.3</v>
      </c>
      <c r="T249" s="151">
        <f t="shared" si="129"/>
        <v>0.3</v>
      </c>
      <c r="U249" s="151">
        <f t="shared" si="129"/>
        <v>0.3</v>
      </c>
      <c r="V249" s="151">
        <f t="shared" si="129"/>
        <v>0.3</v>
      </c>
      <c r="W249" s="151">
        <f t="shared" si="129"/>
        <v>0.3</v>
      </c>
      <c r="X249" s="151">
        <f t="shared" si="129"/>
        <v>0.3</v>
      </c>
      <c r="Y249" s="151">
        <f t="shared" si="129"/>
        <v>0.3</v>
      </c>
      <c r="Z249" s="151">
        <f t="shared" si="129"/>
        <v>0.3</v>
      </c>
      <c r="AA249" s="151">
        <f t="shared" si="129"/>
        <v>0.3</v>
      </c>
      <c r="AB249" s="151">
        <f t="shared" si="129"/>
        <v>0.3</v>
      </c>
      <c r="AC249" s="151">
        <f t="shared" si="129"/>
        <v>0.3</v>
      </c>
      <c r="AD249" s="151">
        <f t="shared" si="129"/>
        <v>0.3</v>
      </c>
      <c r="AE249" s="151">
        <f t="shared" si="129"/>
        <v>0.3</v>
      </c>
      <c r="AF249" s="151">
        <f t="shared" si="129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127"/>
        <v>0.4</v>
      </c>
      <c r="C250" s="151">
        <v>0.4</v>
      </c>
      <c r="D250" s="151">
        <f t="shared" si="128"/>
        <v>0.4</v>
      </c>
      <c r="E250" s="151">
        <f t="shared" si="128"/>
        <v>0.4</v>
      </c>
      <c r="F250" s="151">
        <f t="shared" si="128"/>
        <v>0.4</v>
      </c>
      <c r="G250" s="151">
        <f t="shared" si="128"/>
        <v>0.4</v>
      </c>
      <c r="H250" s="151">
        <f t="shared" si="128"/>
        <v>0.4</v>
      </c>
      <c r="I250" s="151">
        <f t="shared" si="128"/>
        <v>0.4</v>
      </c>
      <c r="J250" s="151">
        <f t="shared" si="128"/>
        <v>0.4</v>
      </c>
      <c r="K250" s="151">
        <f t="shared" si="128"/>
        <v>0.4</v>
      </c>
      <c r="L250" s="151">
        <f t="shared" si="128"/>
        <v>0.4</v>
      </c>
      <c r="M250" s="151">
        <f t="shared" si="128"/>
        <v>0.4</v>
      </c>
      <c r="N250" s="151">
        <f t="shared" si="128"/>
        <v>0.4</v>
      </c>
      <c r="O250" s="151">
        <f t="shared" si="128"/>
        <v>0.4</v>
      </c>
      <c r="P250" s="151">
        <f t="shared" si="128"/>
        <v>0.4</v>
      </c>
      <c r="Q250" s="151">
        <f t="shared" si="128"/>
        <v>0.4</v>
      </c>
      <c r="R250" s="151">
        <f t="shared" si="128"/>
        <v>0.4</v>
      </c>
      <c r="S250" s="151">
        <f t="shared" si="128"/>
        <v>0.4</v>
      </c>
      <c r="T250" s="151">
        <f t="shared" si="129"/>
        <v>0.4</v>
      </c>
      <c r="U250" s="151">
        <f t="shared" si="129"/>
        <v>0.4</v>
      </c>
      <c r="V250" s="151">
        <f t="shared" si="129"/>
        <v>0.4</v>
      </c>
      <c r="W250" s="151">
        <f t="shared" si="129"/>
        <v>0.4</v>
      </c>
      <c r="X250" s="151">
        <f t="shared" si="129"/>
        <v>0.4</v>
      </c>
      <c r="Y250" s="151">
        <f t="shared" si="129"/>
        <v>0.4</v>
      </c>
      <c r="Z250" s="151">
        <f t="shared" si="129"/>
        <v>0.4</v>
      </c>
      <c r="AA250" s="151">
        <f t="shared" si="129"/>
        <v>0.4</v>
      </c>
      <c r="AB250" s="151">
        <f t="shared" si="129"/>
        <v>0.4</v>
      </c>
      <c r="AC250" s="151">
        <f t="shared" si="129"/>
        <v>0.4</v>
      </c>
      <c r="AD250" s="151">
        <f t="shared" si="129"/>
        <v>0.4</v>
      </c>
      <c r="AE250" s="151">
        <f t="shared" si="129"/>
        <v>0.4</v>
      </c>
      <c r="AF250" s="151">
        <f t="shared" si="129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127"/>
        <v>0.64</v>
      </c>
      <c r="C251" s="156">
        <v>0.64</v>
      </c>
      <c r="D251" s="156">
        <f t="shared" si="128"/>
        <v>0.64</v>
      </c>
      <c r="E251" s="156">
        <f t="shared" si="128"/>
        <v>0.64</v>
      </c>
      <c r="F251" s="156">
        <f t="shared" si="128"/>
        <v>0.64</v>
      </c>
      <c r="G251" s="156">
        <f t="shared" si="128"/>
        <v>0.64</v>
      </c>
      <c r="H251" s="156">
        <f t="shared" si="128"/>
        <v>0.64</v>
      </c>
      <c r="I251" s="156">
        <f t="shared" si="128"/>
        <v>0.64</v>
      </c>
      <c r="J251" s="156">
        <f t="shared" si="128"/>
        <v>0.64</v>
      </c>
      <c r="K251" s="156">
        <f t="shared" si="128"/>
        <v>0.64</v>
      </c>
      <c r="L251" s="156">
        <f t="shared" si="128"/>
        <v>0.64</v>
      </c>
      <c r="M251" s="156">
        <f t="shared" si="128"/>
        <v>0.64</v>
      </c>
      <c r="N251" s="156">
        <f t="shared" si="128"/>
        <v>0.64</v>
      </c>
      <c r="O251" s="156">
        <f t="shared" si="128"/>
        <v>0.64</v>
      </c>
      <c r="P251" s="156">
        <f t="shared" si="128"/>
        <v>0.64</v>
      </c>
      <c r="Q251" s="156">
        <f t="shared" si="128"/>
        <v>0.64</v>
      </c>
      <c r="R251" s="156">
        <f t="shared" si="128"/>
        <v>0.64</v>
      </c>
      <c r="S251" s="156">
        <f t="shared" si="128"/>
        <v>0.64</v>
      </c>
      <c r="T251" s="156">
        <f t="shared" si="129"/>
        <v>0.64</v>
      </c>
      <c r="U251" s="156">
        <f t="shared" si="129"/>
        <v>0.64</v>
      </c>
      <c r="V251" s="156">
        <f t="shared" si="129"/>
        <v>0.64</v>
      </c>
      <c r="W251" s="156">
        <f t="shared" si="129"/>
        <v>0.64</v>
      </c>
      <c r="X251" s="156">
        <f t="shared" si="129"/>
        <v>0.64</v>
      </c>
      <c r="Y251" s="156">
        <f t="shared" si="129"/>
        <v>0.64</v>
      </c>
      <c r="Z251" s="156">
        <f t="shared" si="129"/>
        <v>0.64</v>
      </c>
      <c r="AA251" s="156">
        <f t="shared" si="129"/>
        <v>0.64</v>
      </c>
      <c r="AB251" s="156">
        <f t="shared" si="129"/>
        <v>0.64</v>
      </c>
      <c r="AC251" s="156">
        <f t="shared" si="129"/>
        <v>0.64</v>
      </c>
      <c r="AD251" s="156">
        <f t="shared" si="129"/>
        <v>0.64</v>
      </c>
      <c r="AE251" s="156">
        <f t="shared" si="129"/>
        <v>0.64</v>
      </c>
      <c r="AF251" s="156">
        <f t="shared" si="129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130">SUM(B246:B251)</f>
        <v>3.54</v>
      </c>
      <c r="C252" s="160">
        <f t="shared" si="130"/>
        <v>3.54</v>
      </c>
      <c r="D252" s="160">
        <f t="shared" si="130"/>
        <v>3.54</v>
      </c>
      <c r="E252" s="160">
        <f t="shared" si="130"/>
        <v>3.54</v>
      </c>
      <c r="F252" s="160">
        <f t="shared" si="130"/>
        <v>3.54</v>
      </c>
      <c r="G252" s="160">
        <f t="shared" si="130"/>
        <v>3.54</v>
      </c>
      <c r="H252" s="160">
        <f t="shared" si="130"/>
        <v>3.54</v>
      </c>
      <c r="I252" s="160">
        <f t="shared" si="130"/>
        <v>3.54</v>
      </c>
      <c r="J252" s="160">
        <f t="shared" si="130"/>
        <v>3.54</v>
      </c>
      <c r="K252" s="160">
        <f t="shared" si="130"/>
        <v>3.54</v>
      </c>
      <c r="L252" s="160">
        <f t="shared" si="130"/>
        <v>3.54</v>
      </c>
      <c r="M252" s="160">
        <f t="shared" si="130"/>
        <v>3.54</v>
      </c>
      <c r="N252" s="160">
        <f t="shared" si="130"/>
        <v>3.54</v>
      </c>
      <c r="O252" s="160">
        <f t="shared" si="130"/>
        <v>3.54</v>
      </c>
      <c r="P252" s="160">
        <f t="shared" si="130"/>
        <v>3.54</v>
      </c>
      <c r="Q252" s="160">
        <f t="shared" si="130"/>
        <v>3.54</v>
      </c>
      <c r="R252" s="160">
        <f t="shared" si="130"/>
        <v>3.54</v>
      </c>
      <c r="S252" s="160">
        <f t="shared" si="130"/>
        <v>3.54</v>
      </c>
      <c r="T252" s="160">
        <f t="shared" si="130"/>
        <v>3.54</v>
      </c>
      <c r="U252" s="160">
        <f t="shared" si="130"/>
        <v>3.54</v>
      </c>
      <c r="V252" s="160">
        <f t="shared" si="130"/>
        <v>3.54</v>
      </c>
      <c r="W252" s="160">
        <f t="shared" si="130"/>
        <v>3.54</v>
      </c>
      <c r="X252" s="160">
        <f t="shared" si="130"/>
        <v>3.54</v>
      </c>
      <c r="Y252" s="160">
        <f t="shared" si="130"/>
        <v>3.54</v>
      </c>
      <c r="Z252" s="160">
        <f t="shared" si="130"/>
        <v>3.54</v>
      </c>
      <c r="AA252" s="160">
        <f t="shared" si="130"/>
        <v>3.54</v>
      </c>
      <c r="AB252" s="160">
        <f t="shared" si="130"/>
        <v>3.54</v>
      </c>
      <c r="AC252" s="160">
        <f t="shared" si="130"/>
        <v>3.54</v>
      </c>
      <c r="AD252" s="160">
        <f t="shared" si="130"/>
        <v>3.54</v>
      </c>
      <c r="AE252" s="160">
        <f t="shared" si="130"/>
        <v>3.54</v>
      </c>
      <c r="AF252" s="160">
        <f t="shared" si="130"/>
        <v>3.54</v>
      </c>
      <c r="AG252" s="170">
        <f t="shared" si="130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1703.79</v>
      </c>
      <c r="C256" s="173">
        <f>INDEX(G9:N9,1,MATCH(MAX(G99:N99),G99:N99,0))</f>
        <v>0.33333333333333331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2080/10/25)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797" priority="126">
      <formula>$AH11=0</formula>
    </cfRule>
  </conditionalFormatting>
  <conditionalFormatting sqref="A132:A253">
    <cfRule type="expression" dxfId="796" priority="127">
      <formula>$AH132=0</formula>
    </cfRule>
  </conditionalFormatting>
  <conditionalFormatting sqref="B8">
    <cfRule type="expression" dxfId="795" priority="188">
      <formula>C$9&gt;=20/24</formula>
    </cfRule>
    <cfRule type="expression" dxfId="794" priority="187">
      <formula>C$9&lt;8/24</formula>
    </cfRule>
    <cfRule type="expression" dxfId="793" priority="186">
      <formula>AND(C$9&gt;=8/24,C$9&lt;14/24)</formula>
    </cfRule>
    <cfRule type="expression" dxfId="792" priority="185">
      <formula>AND(C$9&gt;=14/24,C$9&lt;20/24)</formula>
    </cfRule>
  </conditionalFormatting>
  <conditionalFormatting sqref="B11:L52 M12:T52 U13:Y52 B59:D68 E60:I61 E67:G68 H68:L68 B69:AF74 B77:AF99 B9:AF10 B101:AF117 B119:AF137 B244:AF244 B246:B252">
    <cfRule type="expression" dxfId="791" priority="77">
      <formula>B$9&gt;=20/24</formula>
    </cfRule>
  </conditionalFormatting>
  <conditionalFormatting sqref="B9:AF10 B11:L52 M12:T52 U13:Y52 B59:D68 E60:I61 E67:G68 H68:L68 B69:AF74 B77:AF99 B101:AF117 B119:AF137 B244:AF244 B246:B252">
    <cfRule type="expression" dxfId="790" priority="79">
      <formula>AND(B$9&gt;=8/24,B$9&lt;14/24)</formula>
    </cfRule>
    <cfRule type="expression" dxfId="789" priority="78">
      <formula>AND(B$9&gt;=14/24,B$9&lt;20/24)</formula>
    </cfRule>
  </conditionalFormatting>
  <conditionalFormatting sqref="B9:AF10 B11:L57 M12:T52 U13:Y52 B59:D68 E60:I61 E67:G68 H68:L68 B69:AF74 B77:AF99 B101:AF117 B119:AF137 B244:AF244 B246:B252">
    <cfRule type="expression" dxfId="788" priority="80">
      <formula>B$9&lt;8/24</formula>
    </cfRule>
  </conditionalFormatting>
  <conditionalFormatting sqref="D246:AF252">
    <cfRule type="expression" dxfId="787" priority="173">
      <formula>D$9&lt;8/24</formula>
    </cfRule>
    <cfRule type="expression" dxfId="786" priority="172">
      <formula>AND(D$9&gt;=8/24,D$9&lt;14/24)</formula>
    </cfRule>
    <cfRule type="expression" dxfId="785" priority="170">
      <formula>D$9&gt;=20/24</formula>
    </cfRule>
    <cfRule type="expression" dxfId="784" priority="171">
      <formula>AND(D$9&gt;=14/24,D$9&lt;20/24)</formula>
    </cfRule>
  </conditionalFormatting>
  <conditionalFormatting sqref="E63:I67 J64:J67 K67">
    <cfRule type="expression" dxfId="783" priority="91">
      <formula>AND(E$9&gt;=14/24,E$9&lt;20/24)</formula>
    </cfRule>
    <cfRule type="expression" dxfId="782" priority="93">
      <formula>E$9&lt;8/24</formula>
    </cfRule>
    <cfRule type="expression" dxfId="781" priority="90">
      <formula>E$9&gt;=20/24</formula>
    </cfRule>
    <cfRule type="expression" dxfId="780" priority="92">
      <formula>AND(E$9&gt;=8/24,E$9&lt;14/24)</formula>
    </cfRule>
  </conditionalFormatting>
  <conditionalFormatting sqref="E11:L57 B11:D61 M12:T55 U13:Y55 C57:I57 M57:R57 S57:Y80 E58:R61 AB58:AF61 Z58:AA80 AB62:AG62 B62:R80 AB63:AF80 AG80">
    <cfRule type="expression" dxfId="779" priority="76">
      <formula>B11&gt;$AG11</formula>
    </cfRule>
  </conditionalFormatting>
  <conditionalFormatting sqref="E68:L68">
    <cfRule type="expression" dxfId="778" priority="85">
      <formula>E$9&gt;=20/24</formula>
    </cfRule>
    <cfRule type="expression" dxfId="777" priority="86">
      <formula>AND(E$9&gt;=14/24,E$9&lt;20/24)</formula>
    </cfRule>
    <cfRule type="expression" dxfId="776" priority="87">
      <formula>AND(E$9&gt;=8/24,E$9&lt;14/24)</formula>
    </cfRule>
    <cfRule type="expression" dxfId="775" priority="88">
      <formula>E$9&lt;8/24</formula>
    </cfRule>
  </conditionalFormatting>
  <conditionalFormatting sqref="E59:AF62">
    <cfRule type="expression" dxfId="774" priority="107">
      <formula>E$9&lt;8/24</formula>
    </cfRule>
    <cfRule type="expression" dxfId="773" priority="106">
      <formula>AND(E$9&gt;=8/24,E$9&lt;14/24)</formula>
    </cfRule>
    <cfRule type="expression" dxfId="772" priority="104">
      <formula>E$9&gt;=20/24</formula>
    </cfRule>
    <cfRule type="expression" dxfId="771" priority="105">
      <formula>AND(E$9&gt;=14/24,E$9&lt;20/24)</formula>
    </cfRule>
  </conditionalFormatting>
  <conditionalFormatting sqref="F63:L65">
    <cfRule type="expression" dxfId="770" priority="118">
      <formula>F$9&gt;=20/24</formula>
    </cfRule>
    <cfRule type="expression" dxfId="769" priority="119">
      <formula>AND(F$9&gt;=14/24,F$9&lt;20/24)</formula>
    </cfRule>
    <cfRule type="expression" dxfId="768" priority="120">
      <formula>AND(F$9&gt;=8/24,F$9&lt;14/24)</formula>
    </cfRule>
    <cfRule type="expression" dxfId="767" priority="121">
      <formula>F$9&lt;8/24</formula>
    </cfRule>
  </conditionalFormatting>
  <conditionalFormatting sqref="L68:Y68">
    <cfRule type="expression" dxfId="766" priority="117">
      <formula>L$9&lt;8/24</formula>
    </cfRule>
    <cfRule type="expression" dxfId="765" priority="116">
      <formula>AND(L$9&gt;=8/24,L$9&lt;14/24)</formula>
    </cfRule>
    <cfRule type="expression" dxfId="764" priority="115">
      <formula>AND(L$9&gt;=14/24,L$9&lt;20/24)</formula>
    </cfRule>
    <cfRule type="expression" dxfId="763" priority="114">
      <formula>L$9&gt;=20/24</formula>
    </cfRule>
  </conditionalFormatting>
  <conditionalFormatting sqref="M8 S8 AB8">
    <cfRule type="expression" dxfId="762" priority="178">
      <formula>AND(N$9&gt;=8/24,N$9&lt;14/24)</formula>
    </cfRule>
    <cfRule type="expression" dxfId="761" priority="177">
      <formula>AND(N$9&gt;=14/24,N$9&lt;20/24)</formula>
    </cfRule>
    <cfRule type="expression" dxfId="760" priority="179">
      <formula>N$9&lt;8/24</formula>
    </cfRule>
  </conditionalFormatting>
  <conditionalFormatting sqref="M11:V11 W11:Y12 Z11:AF52 U12:V12">
    <cfRule type="expression" dxfId="759" priority="98">
      <formula>M$9&lt;8/24</formula>
    </cfRule>
    <cfRule type="expression" dxfId="758" priority="94">
      <formula>M11&gt;$AG11</formula>
    </cfRule>
    <cfRule type="expression" dxfId="757" priority="95">
      <formula>M$9&gt;=20/24</formula>
    </cfRule>
    <cfRule type="expression" dxfId="756" priority="96">
      <formula>AND(M$9&gt;=14/24,M$9&lt;20/24)</formula>
    </cfRule>
    <cfRule type="expression" dxfId="755" priority="97">
      <formula>AND(M$9&gt;=8/24,M$9&lt;14/24)</formula>
    </cfRule>
  </conditionalFormatting>
  <conditionalFormatting sqref="M53:Y56">
    <cfRule type="expression" dxfId="754" priority="89">
      <formula>M$9&lt;8/24</formula>
    </cfRule>
  </conditionalFormatting>
  <conditionalFormatting sqref="M56:Y56">
    <cfRule type="expression" dxfId="753" priority="81">
      <formula>M56&gt;$AG56</formula>
    </cfRule>
  </conditionalFormatting>
  <conditionalFormatting sqref="M57:Y57">
    <cfRule type="expression" dxfId="752" priority="103">
      <formula>M$9&lt;8/24</formula>
    </cfRule>
  </conditionalFormatting>
  <conditionalFormatting sqref="M63:Y67">
    <cfRule type="expression" dxfId="751" priority="122">
      <formula>M$9&gt;=20/24</formula>
    </cfRule>
    <cfRule type="expression" dxfId="750" priority="124">
      <formula>AND(M$9&gt;=8/24,M$9&lt;14/24)</formula>
    </cfRule>
    <cfRule type="expression" dxfId="749" priority="125">
      <formula>M$9&lt;8/24</formula>
    </cfRule>
    <cfRule type="expression" dxfId="748" priority="123">
      <formula>AND(M$9&gt;=14/24,M$9&lt;20/24)</formula>
    </cfRule>
  </conditionalFormatting>
  <conditionalFormatting sqref="O3:P3">
    <cfRule type="iconSet" priority="174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747" priority="176">
      <formula>N$9&gt;=20/24</formula>
    </cfRule>
  </conditionalFormatting>
  <conditionalFormatting sqref="S8">
    <cfRule type="expression" dxfId="746" priority="163">
      <formula>U$9&gt;=20/24</formula>
    </cfRule>
    <cfRule type="expression" dxfId="745" priority="164">
      <formula>AND(U$9&gt;=14/24,U$9&lt;20/24)</formula>
    </cfRule>
    <cfRule type="expression" dxfId="744" priority="165">
      <formula>AND(U$9&gt;=8/24,U$9&lt;14/24)</formula>
    </cfRule>
    <cfRule type="expression" dxfId="743" priority="166">
      <formula>U$9&lt;8/24</formula>
    </cfRule>
  </conditionalFormatting>
  <conditionalFormatting sqref="U55:Y56 M56:T56">
    <cfRule type="expression" dxfId="742" priority="82">
      <formula>M$9&gt;=20/24</formula>
    </cfRule>
    <cfRule type="expression" dxfId="741" priority="83">
      <formula>AND(M$9&gt;=14/24,M$9&lt;20/24)</formula>
    </cfRule>
    <cfRule type="expression" dxfId="740" priority="84">
      <formula>AND(M$9&gt;=8/24,M$9&lt;14/24)</formula>
    </cfRule>
  </conditionalFormatting>
  <conditionalFormatting sqref="U53:AF54 M53:T55 B53:L57">
    <cfRule type="expression" dxfId="739" priority="73">
      <formula>B$9&gt;=20/24</formula>
    </cfRule>
    <cfRule type="expression" dxfId="738" priority="74">
      <formula>AND(B$9&gt;=14/24,B$9&lt;20/24)</formula>
    </cfRule>
    <cfRule type="expression" dxfId="737" priority="75">
      <formula>AND(B$9&gt;=8/24,B$9&lt;14/24)</formula>
    </cfRule>
  </conditionalFormatting>
  <conditionalFormatting sqref="U63:AF68">
    <cfRule type="expression" dxfId="736" priority="111">
      <formula>U$9&lt;8/24</formula>
    </cfRule>
    <cfRule type="expression" dxfId="735" priority="108">
      <formula>U$9&gt;=20/24</formula>
    </cfRule>
    <cfRule type="expression" dxfId="734" priority="109">
      <formula>AND(U$9&gt;=14/24,U$9&lt;20/24)</formula>
    </cfRule>
    <cfRule type="expression" dxfId="733" priority="110">
      <formula>AND(U$9&gt;=8/24,U$9&lt;14/24)</formula>
    </cfRule>
  </conditionalFormatting>
  <conditionalFormatting sqref="V3 AB3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Z53:AF55">
    <cfRule type="expression" dxfId="732" priority="113">
      <formula>Z53&gt;$AG53</formula>
    </cfRule>
  </conditionalFormatting>
  <conditionalFormatting sqref="Z53:AF57">
    <cfRule type="expression" dxfId="731" priority="112">
      <formula>Z$9&lt;8/24</formula>
    </cfRule>
  </conditionalFormatting>
  <conditionalFormatting sqref="Z55:AF57 M57:Y57">
    <cfRule type="expression" dxfId="730" priority="102">
      <formula>AND(M$9&gt;=8/24,M$9&lt;14/24)</formula>
    </cfRule>
    <cfRule type="expression" dxfId="729" priority="101">
      <formula>AND(M$9&gt;=14/24,M$9&lt;20/24)</formula>
    </cfRule>
    <cfRule type="expression" dxfId="728" priority="100">
      <formula>M$9&gt;=20/24</formula>
    </cfRule>
  </conditionalFormatting>
  <conditionalFormatting sqref="Z56:AF57">
    <cfRule type="expression" dxfId="727" priority="99">
      <formula>Z56&gt;$AG56</formula>
    </cfRule>
  </conditionalFormatting>
  <conditionalFormatting sqref="AB8">
    <cfRule type="expression" dxfId="726" priority="162">
      <formula>AD$9&lt;8/24</formula>
    </cfRule>
    <cfRule type="expression" dxfId="725" priority="161">
      <formula>AND(AD$9&gt;=8/24,AD$9&lt;14/24)</formula>
    </cfRule>
    <cfRule type="expression" dxfId="724" priority="160">
      <formula>AND(AD$9&gt;=14/24,AD$9&lt;20/24)</formula>
    </cfRule>
    <cfRule type="expression" dxfId="723" priority="159">
      <formula>AD$9&gt;=20/24</formula>
    </cfRule>
  </conditionalFormatting>
  <conditionalFormatting sqref="AG58">
    <cfRule type="expression" dxfId="722" priority="154">
      <formula>AG58&gt;$AG58</formula>
    </cfRule>
  </conditionalFormatting>
  <conditionalFormatting sqref="AG62">
    <cfRule type="expression" dxfId="721" priority="138">
      <formula>AND(AG$9&gt;=14/24,AG$9&lt;20/24)</formula>
    </cfRule>
    <cfRule type="expression" dxfId="720" priority="139">
      <formula>AND(AG$9&gt;=8/24,AG$9&lt;14/24)</formula>
    </cfRule>
    <cfRule type="expression" dxfId="719" priority="140">
      <formula>AG$9&lt;8/24</formula>
    </cfRule>
    <cfRule type="expression" dxfId="718" priority="137">
      <formula>AG$9&gt;=20/24</formula>
    </cfRule>
  </conditionalFormatting>
  <conditionalFormatting sqref="AG75:AG76">
    <cfRule type="expression" dxfId="717" priority="132">
      <formula>AG75&gt;$AG75</formula>
    </cfRule>
  </conditionalFormatting>
  <conditionalFormatting sqref="AG80">
    <cfRule type="expression" dxfId="716" priority="133">
      <formula>AG$9&gt;=20/24</formula>
    </cfRule>
    <cfRule type="expression" dxfId="715" priority="134">
      <formula>AND(AG$9&gt;=14/24,AG$9&lt;20/24)</formula>
    </cfRule>
    <cfRule type="expression" dxfId="714" priority="135">
      <formula>AND(AG$9&gt;=8/24,AG$9&lt;14/24)</formula>
    </cfRule>
    <cfRule type="expression" dxfId="713" priority="136">
      <formula>AG$9&lt;8/24</formula>
    </cfRule>
  </conditionalFormatting>
  <conditionalFormatting sqref="AG97">
    <cfRule type="expression" dxfId="712" priority="157">
      <formula>AND(AG$9&gt;=8/24,AG$9&lt;14/24)</formula>
    </cfRule>
    <cfRule type="expression" dxfId="711" priority="156">
      <formula>AND(AG$9&gt;=14/24,AG$9&lt;20/24)</formula>
    </cfRule>
    <cfRule type="expression" dxfId="710" priority="155">
      <formula>AG$9&gt;=20/24</formula>
    </cfRule>
    <cfRule type="expression" dxfId="709" priority="158">
      <formula>AG$9&lt;8/24</formula>
    </cfRule>
  </conditionalFormatting>
  <conditionalFormatting sqref="AL4:AL6">
    <cfRule type="iconSet" priority="169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4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5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84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67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708" priority="180">
      <formula>AJ$9&gt;=20/24</formula>
    </cfRule>
    <cfRule type="expression" dxfId="707" priority="182">
      <formula>AND(AJ$9&gt;=8/24,AJ$9&lt;14/24)</formula>
    </cfRule>
    <cfRule type="expression" dxfId="706" priority="183">
      <formula>AJ$9&lt;8/24</formula>
    </cfRule>
    <cfRule type="expression" dxfId="705" priority="181">
      <formula>AND(AJ$9&gt;=14/24,AJ$9&lt;20/24)</formula>
    </cfRule>
  </conditionalFormatting>
  <conditionalFormatting sqref="AL88:AN88 AL94:AN94">
    <cfRule type="expression" dxfId="704" priority="147">
      <formula>AL$9&gt;=20/24</formula>
    </cfRule>
    <cfRule type="expression" dxfId="703" priority="148">
      <formula>AND(AL$9&gt;=14/24,AL$9&lt;20/24)</formula>
    </cfRule>
    <cfRule type="expression" dxfId="702" priority="149">
      <formula>AND(AL$9&gt;=8/24,AL$9&lt;14/24)</formula>
    </cfRule>
    <cfRule type="expression" dxfId="701" priority="150">
      <formula>AL$9&lt;8/24</formula>
    </cfRule>
  </conditionalFormatting>
  <conditionalFormatting sqref="AM15:AM21 AN16:AR21">
    <cfRule type="expression" dxfId="700" priority="14">
      <formula>AND(AX$9&gt;=14/24,AX$9&lt;20/24)</formula>
    </cfRule>
    <cfRule type="expression" dxfId="699" priority="16">
      <formula>AX$9&lt;8/24</formula>
    </cfRule>
    <cfRule type="expression" dxfId="698" priority="15">
      <formula>AND(AX$9&gt;=8/24,AX$9&lt;14/24)</formula>
    </cfRule>
    <cfRule type="expression" dxfId="697" priority="13">
      <formula>AX$9&gt;=20/24</formula>
    </cfRule>
  </conditionalFormatting>
  <conditionalFormatting sqref="AN89:AN92">
    <cfRule type="expression" dxfId="696" priority="146">
      <formula>AN$9&lt;8/24</formula>
    </cfRule>
    <cfRule type="expression" dxfId="695" priority="145">
      <formula>AND(AN$9&gt;=8/24,AN$9&lt;14/24)</formula>
    </cfRule>
    <cfRule type="expression" dxfId="694" priority="144">
      <formula>AND(AN$9&gt;=14/24,AN$9&lt;20/24)</formula>
    </cfRule>
    <cfRule type="expression" dxfId="693" priority="143">
      <formula>AN$9&gt;=20/24</formula>
    </cfRule>
  </conditionalFormatting>
  <conditionalFormatting sqref="AN15:AR15">
    <cfRule type="expression" dxfId="692" priority="4">
      <formula>U$9&lt;8/24</formula>
    </cfRule>
    <cfRule type="expression" dxfId="691" priority="3">
      <formula>AND(U$9&gt;=8/24,U$9&lt;14/24)</formula>
    </cfRule>
    <cfRule type="expression" dxfId="690" priority="2">
      <formula>AND(U$9&gt;=14/24,U$9&lt;20/24)</formula>
    </cfRule>
    <cfRule type="expression" dxfId="689" priority="1">
      <formula>U$9&gt;=20/24</formula>
    </cfRule>
  </conditionalFormatting>
  <conditionalFormatting sqref="AS15">
    <cfRule type="expression" dxfId="688" priority="10">
      <formula>AND(AA$9&gt;=14/24,AA$9&lt;20/24)</formula>
    </cfRule>
    <cfRule type="expression" dxfId="687" priority="9">
      <formula>AA$9&gt;=20/24</formula>
    </cfRule>
    <cfRule type="expression" dxfId="686" priority="12">
      <formula>AA$9&lt;8/24</formula>
    </cfRule>
    <cfRule type="expression" dxfId="685" priority="11">
      <formula>AND(AA$9&gt;=8/24,AA$9&lt;14/24)</formula>
    </cfRule>
  </conditionalFormatting>
  <conditionalFormatting sqref="AS16:AS21">
    <cfRule type="expression" dxfId="684" priority="19">
      <formula>AND(BE$9&gt;=8/24,BE$9&lt;14/24)</formula>
    </cfRule>
    <cfRule type="expression" dxfId="683" priority="20">
      <formula>BE$9&lt;8/24</formula>
    </cfRule>
    <cfRule type="expression" dxfId="682" priority="18">
      <formula>AND(BE$9&gt;=14/24,BE$9&lt;20/24)</formula>
    </cfRule>
    <cfRule type="expression" dxfId="681" priority="17">
      <formula>BE$9&gt;=20/24</formula>
    </cfRule>
  </conditionalFormatting>
  <conditionalFormatting sqref="AT15 AX15:BJ15">
    <cfRule type="expression" dxfId="680" priority="22">
      <formula>AND(AC$9&gt;=14/24,AC$9&lt;20/24)</formula>
    </cfRule>
    <cfRule type="expression" dxfId="679" priority="21">
      <formula>AC$9&gt;=20/24</formula>
    </cfRule>
    <cfRule type="expression" dxfId="678" priority="24">
      <formula>AC$9&lt;8/24</formula>
    </cfRule>
    <cfRule type="expression" dxfId="677" priority="23">
      <formula>AND(AC$9&gt;=8/24,AC$9&lt;14/24)</formula>
    </cfRule>
  </conditionalFormatting>
  <conditionalFormatting sqref="AT16:AT21">
    <cfRule type="expression" dxfId="676" priority="26">
      <formula>AND(BG$9&gt;=14/24,BG$9&lt;20/24)</formula>
    </cfRule>
    <cfRule type="expression" dxfId="675" priority="25">
      <formula>BG$9&gt;=20/24</formula>
    </cfRule>
    <cfRule type="expression" dxfId="674" priority="28">
      <formula>BG$9&lt;8/24</formula>
    </cfRule>
    <cfRule type="expression" dxfId="673" priority="27">
      <formula>AND(BG$9&gt;=8/24,BG$9&lt;14/24)</formula>
    </cfRule>
  </conditionalFormatting>
  <conditionalFormatting sqref="AU15:AV15">
    <cfRule type="expression" dxfId="672" priority="32">
      <formula>AE$9&lt;8/24</formula>
    </cfRule>
    <cfRule type="expression" dxfId="671" priority="31">
      <formula>AND(AE$9&gt;=8/24,AE$9&lt;14/24)</formula>
    </cfRule>
    <cfRule type="expression" dxfId="670" priority="30">
      <formula>AND(AE$9&gt;=14/24,AE$9&lt;20/24)</formula>
    </cfRule>
    <cfRule type="expression" dxfId="669" priority="29">
      <formula>AE$9&gt;=20/24</formula>
    </cfRule>
  </conditionalFormatting>
  <conditionalFormatting sqref="AU16:BJ21">
    <cfRule type="expression" dxfId="668" priority="33">
      <formula>BI$9&gt;=20/24</formula>
    </cfRule>
    <cfRule type="expression" dxfId="667" priority="34">
      <formula>AND(BI$9&gt;=14/24,BI$9&lt;20/24)</formula>
    </cfRule>
    <cfRule type="expression" dxfId="666" priority="35">
      <formula>AND(BI$9&gt;=8/24,BI$9&lt;14/24)</formula>
    </cfRule>
    <cfRule type="expression" dxfId="665" priority="36">
      <formula>BI$9&lt;8/24</formula>
    </cfRule>
  </conditionalFormatting>
  <conditionalFormatting sqref="AW15">
    <cfRule type="expression" dxfId="664" priority="5">
      <formula>B$9&gt;=20/24</formula>
    </cfRule>
    <cfRule type="expression" dxfId="663" priority="6">
      <formula>AND(B$9&gt;=14/24,B$9&lt;20/24)</formula>
    </cfRule>
    <cfRule type="expression" dxfId="662" priority="7">
      <formula>AND(B$9&gt;=8/24,B$9&lt;14/24)</formula>
    </cfRule>
    <cfRule type="expression" dxfId="661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A4335-5BBA-4EF5-A294-634ABE8F1C26}">
  <sheetPr codeName="Sheet30"/>
  <dimension ref="A1:CJ294"/>
  <sheetViews>
    <sheetView zoomScale="110" zoomScaleNormal="110" workbookViewId="0">
      <pane xSplit="1" ySplit="10" topLeftCell="AS93" activePane="bottomRight" state="frozen"/>
      <selection activeCell="Z63" sqref="Z63"/>
      <selection pane="topRight" activeCell="Z63" sqref="Z63"/>
      <selection pane="bottomLeft" activeCell="Z63" sqref="Z63"/>
      <selection pane="bottomRight" activeCell="BG84" sqref="BG84:BL10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2080/10/26</v>
      </c>
      <c r="C4" s="214"/>
      <c r="D4" s="214"/>
      <c r="E4" s="215" t="str">
        <f ca="1">"2080/"&amp;"10/"&amp;INT(MID(CELL("filename",G6),FIND("]",CELL("filename",G6))+1,200))</f>
        <v>2080/10/26</v>
      </c>
      <c r="F4" s="215"/>
      <c r="G4" s="215"/>
      <c r="H4" s="215" t="str">
        <f ca="1">TEXT(E4,"dddd")</f>
        <v>Saturday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278.8</v>
      </c>
      <c r="C5" s="30">
        <f t="shared" ref="C5:AE5" si="0">D92</f>
        <v>297</v>
      </c>
      <c r="D5" s="30">
        <f t="shared" si="0"/>
        <v>247.89999999999998</v>
      </c>
      <c r="E5" s="30">
        <f t="shared" si="0"/>
        <v>261.10000000000002</v>
      </c>
      <c r="F5" s="30">
        <f t="shared" si="0"/>
        <v>282.2</v>
      </c>
      <c r="G5" s="30">
        <f t="shared" si="0"/>
        <v>309.5</v>
      </c>
      <c r="H5" s="30">
        <f t="shared" si="0"/>
        <v>362.5</v>
      </c>
      <c r="I5" s="30">
        <f t="shared" si="0"/>
        <v>860.6</v>
      </c>
      <c r="J5" s="30">
        <f t="shared" si="0"/>
        <v>883.69999999999993</v>
      </c>
      <c r="K5" s="30">
        <f t="shared" si="0"/>
        <v>858.19999999999993</v>
      </c>
      <c r="L5" s="30">
        <f t="shared" si="0"/>
        <v>874.4</v>
      </c>
      <c r="M5" s="30">
        <f t="shared" si="0"/>
        <v>839.80000000000007</v>
      </c>
      <c r="N5" s="30">
        <f t="shared" si="0"/>
        <v>718.10000000000014</v>
      </c>
      <c r="O5" s="30">
        <f t="shared" si="0"/>
        <v>879.5</v>
      </c>
      <c r="P5" s="30">
        <f t="shared" si="0"/>
        <v>888.9</v>
      </c>
      <c r="Q5" s="30">
        <f t="shared" si="0"/>
        <v>888.9</v>
      </c>
      <c r="R5" s="30">
        <f t="shared" si="0"/>
        <v>887.60000000000014</v>
      </c>
      <c r="S5" s="30">
        <f t="shared" si="0"/>
        <v>864.1</v>
      </c>
      <c r="T5" s="30">
        <f t="shared" si="0"/>
        <v>885</v>
      </c>
      <c r="U5" s="30">
        <f t="shared" si="0"/>
        <v>844</v>
      </c>
      <c r="V5" s="30">
        <f t="shared" si="0"/>
        <v>812.8</v>
      </c>
      <c r="W5" s="30">
        <f t="shared" si="0"/>
        <v>757.6</v>
      </c>
      <c r="X5" s="30">
        <f t="shared" si="0"/>
        <v>218.8</v>
      </c>
      <c r="Y5" s="30">
        <f t="shared" si="0"/>
        <v>170.3</v>
      </c>
      <c r="Z5" s="30">
        <f t="shared" si="0"/>
        <v>153.19999999999999</v>
      </c>
      <c r="AA5" s="30">
        <f t="shared" si="0"/>
        <v>100.9</v>
      </c>
      <c r="AB5" s="30">
        <f t="shared" si="0"/>
        <v>121.6</v>
      </c>
      <c r="AC5" s="30">
        <f t="shared" si="0"/>
        <v>161.39999999999998</v>
      </c>
      <c r="AD5" s="30">
        <f t="shared" si="0"/>
        <v>188.7</v>
      </c>
      <c r="AE5" s="30">
        <f t="shared" si="0"/>
        <v>173.5</v>
      </c>
      <c r="AF5" s="30">
        <f>B92</f>
        <v>305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1685MW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Load=1349</v>
      </c>
      <c r="B7" s="35">
        <f>B100</f>
        <v>1470.39</v>
      </c>
      <c r="C7" s="35">
        <f t="shared" ref="C7:AF7" si="1">C100</f>
        <v>1385.7900000000002</v>
      </c>
      <c r="D7" s="35">
        <f t="shared" si="1"/>
        <v>1400.9900000000002</v>
      </c>
      <c r="E7" s="35">
        <f t="shared" si="1"/>
        <v>1348.69</v>
      </c>
      <c r="F7" s="35">
        <f t="shared" si="1"/>
        <v>1361.8899999999999</v>
      </c>
      <c r="G7" s="35">
        <f t="shared" si="1"/>
        <v>1382.99</v>
      </c>
      <c r="H7" s="35">
        <f t="shared" si="1"/>
        <v>1424.19</v>
      </c>
      <c r="I7" s="35">
        <f t="shared" si="1"/>
        <v>1480.8899999999999</v>
      </c>
      <c r="J7" s="35">
        <f t="shared" si="1"/>
        <v>1612.29</v>
      </c>
      <c r="K7" s="35">
        <f t="shared" si="1"/>
        <v>1621.69</v>
      </c>
      <c r="L7" s="35">
        <f t="shared" si="1"/>
        <v>1643.19</v>
      </c>
      <c r="M7" s="35">
        <f t="shared" si="1"/>
        <v>1685.49</v>
      </c>
      <c r="N7" s="35">
        <f t="shared" si="1"/>
        <v>1659.0900000000001</v>
      </c>
      <c r="O7" s="35">
        <f t="shared" si="1"/>
        <v>1558.4900000000002</v>
      </c>
      <c r="P7" s="35">
        <f t="shared" si="1"/>
        <v>1704.8899999999999</v>
      </c>
      <c r="Q7" s="35">
        <f t="shared" si="1"/>
        <v>1699.79</v>
      </c>
      <c r="R7" s="35">
        <f t="shared" si="1"/>
        <v>1695.19</v>
      </c>
      <c r="S7" s="35">
        <f t="shared" si="1"/>
        <v>1654.39</v>
      </c>
      <c r="T7" s="35">
        <f t="shared" si="1"/>
        <v>1668.29</v>
      </c>
      <c r="U7" s="35">
        <f t="shared" si="1"/>
        <v>1664.99</v>
      </c>
      <c r="V7" s="35">
        <f t="shared" si="1"/>
        <v>1611.69</v>
      </c>
      <c r="W7" s="35">
        <f t="shared" si="1"/>
        <v>1544.8899999999999</v>
      </c>
      <c r="X7" s="35">
        <f t="shared" si="1"/>
        <v>1449.8899999999999</v>
      </c>
      <c r="Y7" s="35">
        <f t="shared" si="1"/>
        <v>1413.6499999999999</v>
      </c>
      <c r="Z7" s="35">
        <f t="shared" si="1"/>
        <v>1853.6499999999999</v>
      </c>
      <c r="AA7" s="35">
        <f t="shared" si="1"/>
        <v>1849.39</v>
      </c>
      <c r="AB7" s="35">
        <f t="shared" si="1"/>
        <v>1712.0900000000001</v>
      </c>
      <c r="AC7" s="35">
        <f t="shared" si="1"/>
        <v>1680.8899999999999</v>
      </c>
      <c r="AD7" s="35">
        <f t="shared" si="1"/>
        <v>1643.8899999999999</v>
      </c>
      <c r="AE7" s="35">
        <f t="shared" si="1"/>
        <v>1531.99</v>
      </c>
      <c r="AF7" s="35">
        <f t="shared" si="1"/>
        <v>1440.4899999999998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1853.65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1853.65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21.7</v>
      </c>
      <c r="C11" s="46">
        <v>21.7</v>
      </c>
      <c r="D11" s="46">
        <v>21.7</v>
      </c>
      <c r="E11" s="46">
        <v>21.6</v>
      </c>
      <c r="F11" s="46">
        <v>21.6</v>
      </c>
      <c r="G11" s="46">
        <v>21.6</v>
      </c>
      <c r="H11" s="46">
        <v>21.6</v>
      </c>
      <c r="I11" s="46">
        <v>24.8</v>
      </c>
      <c r="J11" s="46">
        <v>24.8</v>
      </c>
      <c r="K11" s="46">
        <v>24.8</v>
      </c>
      <c r="L11" s="46">
        <v>23.6</v>
      </c>
      <c r="M11" s="46">
        <v>23.8</v>
      </c>
      <c r="N11" s="46">
        <v>22.4</v>
      </c>
      <c r="O11" s="46">
        <v>22.4</v>
      </c>
      <c r="P11" s="46">
        <v>21.8</v>
      </c>
      <c r="Q11" s="46">
        <v>21.6</v>
      </c>
      <c r="R11" s="46">
        <v>21.8</v>
      </c>
      <c r="S11" s="46">
        <v>21.8</v>
      </c>
      <c r="T11" s="46">
        <v>21.8</v>
      </c>
      <c r="U11" s="46">
        <v>21.8</v>
      </c>
      <c r="V11" s="46">
        <v>21.8</v>
      </c>
      <c r="W11" s="46">
        <v>21.8</v>
      </c>
      <c r="X11" s="46">
        <v>21.8</v>
      </c>
      <c r="Y11" s="46">
        <v>21.8</v>
      </c>
      <c r="Z11" s="46">
        <v>21.8</v>
      </c>
      <c r="AA11" s="46">
        <v>21.8</v>
      </c>
      <c r="AB11" s="46">
        <v>21.8</v>
      </c>
      <c r="AC11" s="46">
        <v>21.8</v>
      </c>
      <c r="AD11" s="46">
        <v>21.8</v>
      </c>
      <c r="AE11" s="46">
        <v>21.8</v>
      </c>
      <c r="AF11" s="46">
        <v>21.8</v>
      </c>
      <c r="AG11" s="47">
        <v>86</v>
      </c>
      <c r="AH11" s="48">
        <f t="shared" ref="AH11:AH16" si="2">MAX(B11:AF11)</f>
        <v>24.8</v>
      </c>
      <c r="AI11" s="49">
        <f t="shared" ref="AI11:AI16" si="3">MIN(B11:AF11)</f>
        <v>21.6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10</v>
      </c>
      <c r="C12" s="46">
        <v>10</v>
      </c>
      <c r="D12" s="46">
        <v>10</v>
      </c>
      <c r="E12" s="46">
        <v>10</v>
      </c>
      <c r="F12" s="46">
        <v>10</v>
      </c>
      <c r="G12" s="46">
        <v>10</v>
      </c>
      <c r="H12" s="46">
        <v>10</v>
      </c>
      <c r="I12" s="46">
        <v>10</v>
      </c>
      <c r="J12" s="46">
        <v>10</v>
      </c>
      <c r="K12" s="46">
        <v>10</v>
      </c>
      <c r="L12" s="46">
        <v>10</v>
      </c>
      <c r="M12" s="46">
        <v>10</v>
      </c>
      <c r="N12" s="46">
        <v>10</v>
      </c>
      <c r="O12" s="46">
        <v>10</v>
      </c>
      <c r="P12" s="46">
        <v>10</v>
      </c>
      <c r="Q12" s="46">
        <v>10</v>
      </c>
      <c r="R12" s="46">
        <v>10</v>
      </c>
      <c r="S12" s="46">
        <v>10</v>
      </c>
      <c r="T12" s="46">
        <v>10</v>
      </c>
      <c r="U12" s="46">
        <v>10</v>
      </c>
      <c r="V12" s="46">
        <v>10</v>
      </c>
      <c r="W12" s="46">
        <v>10</v>
      </c>
      <c r="X12" s="46">
        <v>10</v>
      </c>
      <c r="Y12" s="46">
        <v>10</v>
      </c>
      <c r="Z12" s="46">
        <v>10</v>
      </c>
      <c r="AA12" s="46">
        <v>10</v>
      </c>
      <c r="AB12" s="46">
        <v>10</v>
      </c>
      <c r="AC12" s="46">
        <v>10</v>
      </c>
      <c r="AD12" s="46">
        <v>10</v>
      </c>
      <c r="AE12" s="46">
        <v>10</v>
      </c>
      <c r="AF12" s="46">
        <v>10</v>
      </c>
      <c r="AG12" s="50">
        <v>54</v>
      </c>
      <c r="AH12" s="48">
        <f t="shared" si="2"/>
        <v>10</v>
      </c>
      <c r="AI12" s="49">
        <f t="shared" si="3"/>
        <v>10</v>
      </c>
      <c r="AK12" s="51"/>
      <c r="AL12" s="52" t="str">
        <f ca="1">MID(CELL("filename",C7),FIND("]",CELL("filename",C7))+1,600)</f>
        <v>26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12.5</v>
      </c>
      <c r="C13" s="46">
        <v>12.5</v>
      </c>
      <c r="D13" s="46">
        <v>12.5</v>
      </c>
      <c r="E13" s="46">
        <v>12.5</v>
      </c>
      <c r="F13" s="46">
        <v>12.5</v>
      </c>
      <c r="G13" s="46">
        <v>12.5</v>
      </c>
      <c r="H13" s="46">
        <v>12.5</v>
      </c>
      <c r="I13" s="46">
        <v>12.4</v>
      </c>
      <c r="J13" s="46">
        <v>12.4</v>
      </c>
      <c r="K13" s="46">
        <v>12.4</v>
      </c>
      <c r="L13" s="46">
        <v>12.4</v>
      </c>
      <c r="M13" s="46">
        <v>12.4</v>
      </c>
      <c r="N13" s="46">
        <v>12.4</v>
      </c>
      <c r="O13" s="46">
        <v>12.4</v>
      </c>
      <c r="P13" s="46">
        <v>12.4</v>
      </c>
      <c r="Q13" s="46">
        <v>12.4</v>
      </c>
      <c r="R13" s="46">
        <v>12.9</v>
      </c>
      <c r="S13" s="46">
        <v>12.9</v>
      </c>
      <c r="T13" s="46">
        <v>12.9</v>
      </c>
      <c r="U13" s="46">
        <v>12.9</v>
      </c>
      <c r="V13" s="46">
        <v>12.9</v>
      </c>
      <c r="W13" s="46">
        <v>12.9</v>
      </c>
      <c r="X13" s="46">
        <v>12.9</v>
      </c>
      <c r="Y13" s="46">
        <v>12.9</v>
      </c>
      <c r="Z13" s="46">
        <v>12.9</v>
      </c>
      <c r="AA13" s="46">
        <v>12.9</v>
      </c>
      <c r="AB13" s="46">
        <v>12.9</v>
      </c>
      <c r="AC13" s="46">
        <v>12.9</v>
      </c>
      <c r="AD13" s="46">
        <v>12.9</v>
      </c>
      <c r="AE13" s="46">
        <v>12.9</v>
      </c>
      <c r="AF13" s="46">
        <v>12.9</v>
      </c>
      <c r="AG13" s="50">
        <v>54</v>
      </c>
      <c r="AH13" s="48">
        <f t="shared" si="2"/>
        <v>12.9</v>
      </c>
      <c r="AI13" s="49">
        <f t="shared" si="3"/>
        <v>12.4</v>
      </c>
      <c r="AK13" s="51"/>
      <c r="AL13" s="52" t="str">
        <f ca="1">"Daily Load Curve(Excluding of Export) of Nepal ("&amp;A4&amp;" "&amp;B4&amp;")"</f>
        <v>Daily Load Curve(Excluding of Export) of Nepal (Nepali Date: 2080/10/26)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12.2</v>
      </c>
      <c r="C14" s="46">
        <v>12.2</v>
      </c>
      <c r="D14" s="46">
        <v>12.2</v>
      </c>
      <c r="E14" s="46">
        <v>12.2</v>
      </c>
      <c r="F14" s="46">
        <v>12.2</v>
      </c>
      <c r="G14" s="46">
        <v>12.2</v>
      </c>
      <c r="H14" s="46">
        <v>12.2</v>
      </c>
      <c r="I14" s="46">
        <v>12.2</v>
      </c>
      <c r="J14" s="46">
        <v>12.2</v>
      </c>
      <c r="K14" s="46">
        <v>12.2</v>
      </c>
      <c r="L14" s="46">
        <v>12.2</v>
      </c>
      <c r="M14" s="46">
        <v>12.2</v>
      </c>
      <c r="N14" s="46">
        <v>12.2</v>
      </c>
      <c r="O14" s="46">
        <v>12.2</v>
      </c>
      <c r="P14" s="46">
        <v>12.2</v>
      </c>
      <c r="Q14" s="46">
        <v>12.2</v>
      </c>
      <c r="R14" s="46">
        <v>12.2</v>
      </c>
      <c r="S14" s="46">
        <v>12.2</v>
      </c>
      <c r="T14" s="46">
        <v>12.2</v>
      </c>
      <c r="U14" s="46">
        <v>12.2</v>
      </c>
      <c r="V14" s="46">
        <v>12.2</v>
      </c>
      <c r="W14" s="46">
        <v>12.2</v>
      </c>
      <c r="X14" s="46">
        <v>12.2</v>
      </c>
      <c r="Y14" s="46">
        <v>12.2</v>
      </c>
      <c r="Z14" s="46">
        <v>12.2</v>
      </c>
      <c r="AA14" s="46">
        <v>12.2</v>
      </c>
      <c r="AB14" s="46">
        <v>12.2</v>
      </c>
      <c r="AC14" s="46">
        <v>12.2</v>
      </c>
      <c r="AD14" s="46">
        <v>12.2</v>
      </c>
      <c r="AE14" s="46">
        <v>12.2</v>
      </c>
      <c r="AF14" s="46">
        <v>12.2</v>
      </c>
      <c r="AG14" s="47">
        <v>52.4</v>
      </c>
      <c r="AH14" s="48">
        <f t="shared" si="2"/>
        <v>12.2</v>
      </c>
      <c r="AI14" s="49">
        <f t="shared" si="3"/>
        <v>12.2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31</v>
      </c>
      <c r="C15" s="46">
        <v>31</v>
      </c>
      <c r="D15" s="46">
        <v>31</v>
      </c>
      <c r="E15" s="46">
        <v>31</v>
      </c>
      <c r="F15" s="46">
        <v>31</v>
      </c>
      <c r="G15" s="46">
        <v>31</v>
      </c>
      <c r="H15" s="46">
        <v>31</v>
      </c>
      <c r="I15" s="46">
        <v>31</v>
      </c>
      <c r="J15" s="46">
        <v>31</v>
      </c>
      <c r="K15" s="46">
        <v>31</v>
      </c>
      <c r="L15" s="46">
        <v>31</v>
      </c>
      <c r="M15" s="46">
        <v>31</v>
      </c>
      <c r="N15" s="46">
        <v>31</v>
      </c>
      <c r="O15" s="46">
        <v>31</v>
      </c>
      <c r="P15" s="46">
        <v>31</v>
      </c>
      <c r="Q15" s="46">
        <v>31</v>
      </c>
      <c r="R15" s="46">
        <v>29</v>
      </c>
      <c r="S15" s="46">
        <v>29</v>
      </c>
      <c r="T15" s="46">
        <v>29</v>
      </c>
      <c r="U15" s="46">
        <v>29</v>
      </c>
      <c r="V15" s="46">
        <v>29</v>
      </c>
      <c r="W15" s="46">
        <v>29</v>
      </c>
      <c r="X15" s="46">
        <v>29</v>
      </c>
      <c r="Y15" s="46">
        <v>29</v>
      </c>
      <c r="Z15" s="46">
        <v>29</v>
      </c>
      <c r="AA15" s="46">
        <v>29</v>
      </c>
      <c r="AB15" s="46">
        <v>29</v>
      </c>
      <c r="AC15" s="46">
        <v>29</v>
      </c>
      <c r="AD15" s="46">
        <v>29</v>
      </c>
      <c r="AE15" s="46">
        <v>29</v>
      </c>
      <c r="AF15" s="46">
        <v>29</v>
      </c>
      <c r="AG15" s="50">
        <v>50</v>
      </c>
      <c r="AH15" s="48">
        <f t="shared" si="2"/>
        <v>31</v>
      </c>
      <c r="AI15" s="49">
        <f t="shared" si="3"/>
        <v>29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15</v>
      </c>
      <c r="C16" s="46">
        <v>15</v>
      </c>
      <c r="D16" s="46">
        <v>15</v>
      </c>
      <c r="E16" s="46">
        <v>15</v>
      </c>
      <c r="F16" s="46">
        <v>15</v>
      </c>
      <c r="G16" s="46">
        <v>15</v>
      </c>
      <c r="H16" s="46">
        <v>15</v>
      </c>
      <c r="I16" s="46">
        <v>15</v>
      </c>
      <c r="J16" s="46">
        <v>15</v>
      </c>
      <c r="K16" s="46">
        <v>15</v>
      </c>
      <c r="L16" s="46">
        <v>15</v>
      </c>
      <c r="M16" s="46">
        <v>15</v>
      </c>
      <c r="N16" s="46">
        <v>15</v>
      </c>
      <c r="O16" s="46">
        <v>15</v>
      </c>
      <c r="P16" s="46">
        <v>15</v>
      </c>
      <c r="Q16" s="46">
        <v>15</v>
      </c>
      <c r="R16" s="46">
        <v>15</v>
      </c>
      <c r="S16" s="46">
        <v>15</v>
      </c>
      <c r="T16" s="46">
        <v>15</v>
      </c>
      <c r="U16" s="46">
        <v>15</v>
      </c>
      <c r="V16" s="46">
        <v>15</v>
      </c>
      <c r="W16" s="46">
        <v>15</v>
      </c>
      <c r="X16" s="46">
        <v>15</v>
      </c>
      <c r="Y16" s="46">
        <v>15</v>
      </c>
      <c r="Z16" s="46">
        <v>15</v>
      </c>
      <c r="AA16" s="46">
        <v>15</v>
      </c>
      <c r="AB16" s="46">
        <v>15</v>
      </c>
      <c r="AC16" s="46">
        <v>15</v>
      </c>
      <c r="AD16" s="46">
        <v>15</v>
      </c>
      <c r="AE16" s="46">
        <v>15</v>
      </c>
      <c r="AF16" s="46">
        <v>15</v>
      </c>
      <c r="AG16" s="50">
        <v>45</v>
      </c>
      <c r="AH16" s="48">
        <f t="shared" si="2"/>
        <v>15</v>
      </c>
      <c r="AI16" s="49">
        <f t="shared" si="3"/>
        <v>15</v>
      </c>
      <c r="AK16" s="51"/>
      <c r="AL16" s="54" t="s">
        <v>7</v>
      </c>
      <c r="AM16" s="59">
        <f>B58</f>
        <v>480.95</v>
      </c>
      <c r="AN16" s="59">
        <f t="shared" ref="AN16:AR16" si="4">C58</f>
        <v>480.95</v>
      </c>
      <c r="AO16" s="59">
        <f t="shared" si="4"/>
        <v>480.95</v>
      </c>
      <c r="AP16" s="59">
        <f t="shared" si="4"/>
        <v>480.84999999999997</v>
      </c>
      <c r="AQ16" s="59">
        <f t="shared" si="4"/>
        <v>480.84999999999997</v>
      </c>
      <c r="AR16" s="59">
        <f t="shared" si="4"/>
        <v>480.84999999999997</v>
      </c>
      <c r="AS16" s="59">
        <f>I58</f>
        <v>483.95</v>
      </c>
      <c r="AT16" s="59">
        <f>K58</f>
        <v>483.95</v>
      </c>
      <c r="AU16" s="59">
        <f t="shared" ref="AU16:BD16" si="5">M58</f>
        <v>482.95</v>
      </c>
      <c r="AV16" s="59">
        <f t="shared" si="5"/>
        <v>481.54999999999995</v>
      </c>
      <c r="AW16" s="59">
        <f t="shared" si="5"/>
        <v>481.54999999999995</v>
      </c>
      <c r="AX16" s="59">
        <f t="shared" si="5"/>
        <v>480.95</v>
      </c>
      <c r="AY16" s="59">
        <f t="shared" si="5"/>
        <v>480.74999999999994</v>
      </c>
      <c r="AZ16" s="59">
        <f t="shared" si="5"/>
        <v>477.15</v>
      </c>
      <c r="BA16" s="59">
        <f t="shared" si="5"/>
        <v>477.15</v>
      </c>
      <c r="BB16" s="59">
        <f t="shared" si="5"/>
        <v>477.15</v>
      </c>
      <c r="BC16" s="59">
        <f t="shared" si="5"/>
        <v>477.15</v>
      </c>
      <c r="BD16" s="59">
        <f t="shared" si="5"/>
        <v>477.15</v>
      </c>
      <c r="BE16" s="197">
        <f>X58</f>
        <v>477.15</v>
      </c>
      <c r="BF16" s="197">
        <f>Z58</f>
        <v>477.15</v>
      </c>
      <c r="BG16" s="197">
        <f>AB58</f>
        <v>477.15</v>
      </c>
      <c r="BH16" s="197">
        <f>AD58</f>
        <v>477.15</v>
      </c>
      <c r="BI16" s="197">
        <f t="shared" ref="BI16:BJ16" si="6">AE58</f>
        <v>477.15</v>
      </c>
      <c r="BJ16" s="197">
        <f t="shared" si="6"/>
        <v>477.15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15.2</v>
      </c>
      <c r="C17" s="46">
        <v>15.2</v>
      </c>
      <c r="D17" s="46">
        <v>15.2</v>
      </c>
      <c r="E17" s="46">
        <v>15.2</v>
      </c>
      <c r="F17" s="46">
        <v>15.2</v>
      </c>
      <c r="G17" s="46">
        <v>15.2</v>
      </c>
      <c r="H17" s="46">
        <v>15.2</v>
      </c>
      <c r="I17" s="46">
        <v>15.2</v>
      </c>
      <c r="J17" s="46">
        <v>15.2</v>
      </c>
      <c r="K17" s="46">
        <v>15.2</v>
      </c>
      <c r="L17" s="46">
        <v>15.2</v>
      </c>
      <c r="M17" s="46">
        <v>15.2</v>
      </c>
      <c r="N17" s="46">
        <v>15.2</v>
      </c>
      <c r="O17" s="46">
        <v>15.2</v>
      </c>
      <c r="P17" s="46">
        <v>15.2</v>
      </c>
      <c r="Q17" s="46">
        <v>15.2</v>
      </c>
      <c r="R17" s="46">
        <v>15.2</v>
      </c>
      <c r="S17" s="46">
        <v>15.2</v>
      </c>
      <c r="T17" s="46">
        <v>15.2</v>
      </c>
      <c r="U17" s="46">
        <v>15.2</v>
      </c>
      <c r="V17" s="46">
        <v>15.2</v>
      </c>
      <c r="W17" s="46">
        <v>15.2</v>
      </c>
      <c r="X17" s="46">
        <v>15.2</v>
      </c>
      <c r="Y17" s="46">
        <v>15.2</v>
      </c>
      <c r="Z17" s="46">
        <v>15.2</v>
      </c>
      <c r="AA17" s="46">
        <v>15.2</v>
      </c>
      <c r="AB17" s="46">
        <v>15.2</v>
      </c>
      <c r="AC17" s="46">
        <v>15.2</v>
      </c>
      <c r="AD17" s="46">
        <v>15.2</v>
      </c>
      <c r="AE17" s="46">
        <v>15.2</v>
      </c>
      <c r="AF17" s="46">
        <v>15.2</v>
      </c>
      <c r="AG17" s="50">
        <v>44</v>
      </c>
      <c r="AH17" s="48">
        <f>MAX(B17:AG17)</f>
        <v>44</v>
      </c>
      <c r="AI17" s="49">
        <f>MIN(B17:AG17)</f>
        <v>15.2</v>
      </c>
      <c r="AK17" s="51"/>
      <c r="AL17" s="54" t="s">
        <v>27</v>
      </c>
      <c r="AM17" s="59">
        <f>B62</f>
        <v>105.9</v>
      </c>
      <c r="AN17" s="59">
        <f t="shared" ref="AN17:AR17" si="7">C62</f>
        <v>105.9</v>
      </c>
      <c r="AO17" s="59">
        <f t="shared" si="7"/>
        <v>105.9</v>
      </c>
      <c r="AP17" s="59">
        <f t="shared" si="7"/>
        <v>102.3</v>
      </c>
      <c r="AQ17" s="59">
        <f t="shared" si="7"/>
        <v>102.3</v>
      </c>
      <c r="AR17" s="59">
        <f t="shared" si="7"/>
        <v>102.3</v>
      </c>
      <c r="AS17" s="59">
        <f>I62</f>
        <v>102.19999999999999</v>
      </c>
      <c r="AT17" s="59">
        <f>K62</f>
        <v>32.200000000000003</v>
      </c>
      <c r="AU17" s="59">
        <f t="shared" ref="AU17:BD17" si="8">M62</f>
        <v>32.200000000000003</v>
      </c>
      <c r="AV17" s="59">
        <f t="shared" si="8"/>
        <v>32.200000000000003</v>
      </c>
      <c r="AW17" s="59">
        <f t="shared" si="8"/>
        <v>32.200000000000003</v>
      </c>
      <c r="AX17" s="59">
        <f t="shared" si="8"/>
        <v>32.200000000000003</v>
      </c>
      <c r="AY17" s="59">
        <f t="shared" si="8"/>
        <v>29.700000000000003</v>
      </c>
      <c r="AZ17" s="59">
        <f t="shared" si="8"/>
        <v>29.700000000000003</v>
      </c>
      <c r="BA17" s="59">
        <f t="shared" si="8"/>
        <v>29.700000000000003</v>
      </c>
      <c r="BB17" s="59">
        <f t="shared" si="8"/>
        <v>29.700000000000003</v>
      </c>
      <c r="BC17" s="59">
        <f t="shared" si="8"/>
        <v>29.700000000000003</v>
      </c>
      <c r="BD17" s="59">
        <f t="shared" si="8"/>
        <v>29.700000000000003</v>
      </c>
      <c r="BE17" s="197">
        <f>X62</f>
        <v>29.700000000000003</v>
      </c>
      <c r="BF17" s="197">
        <f>Z62</f>
        <v>454.90000000000003</v>
      </c>
      <c r="BG17" s="197">
        <f>AB62</f>
        <v>376.90000000000003</v>
      </c>
      <c r="BH17" s="197">
        <f>AD62</f>
        <v>234.9</v>
      </c>
      <c r="BI17" s="197">
        <f t="shared" ref="BI17:BJ17" si="9">AE62</f>
        <v>134.5</v>
      </c>
      <c r="BJ17" s="197">
        <f t="shared" si="9"/>
        <v>104.39999999999999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8</v>
      </c>
      <c r="C18" s="46">
        <v>8</v>
      </c>
      <c r="D18" s="46">
        <v>8</v>
      </c>
      <c r="E18" s="46">
        <v>8</v>
      </c>
      <c r="F18" s="46">
        <v>8</v>
      </c>
      <c r="G18" s="46">
        <v>8</v>
      </c>
      <c r="H18" s="46">
        <v>8</v>
      </c>
      <c r="I18" s="46">
        <v>8</v>
      </c>
      <c r="J18" s="46">
        <v>8</v>
      </c>
      <c r="K18" s="46">
        <v>8</v>
      </c>
      <c r="L18" s="46">
        <v>8</v>
      </c>
      <c r="M18" s="46">
        <v>8</v>
      </c>
      <c r="N18" s="46">
        <v>8</v>
      </c>
      <c r="O18" s="46">
        <v>8</v>
      </c>
      <c r="P18" s="46">
        <v>8</v>
      </c>
      <c r="Q18" s="46">
        <v>8</v>
      </c>
      <c r="R18" s="46">
        <v>7.5</v>
      </c>
      <c r="S18" s="46">
        <v>7.5</v>
      </c>
      <c r="T18" s="46">
        <v>7.5</v>
      </c>
      <c r="U18" s="46">
        <v>7.5</v>
      </c>
      <c r="V18" s="46">
        <v>7.5</v>
      </c>
      <c r="W18" s="46">
        <v>7.5</v>
      </c>
      <c r="X18" s="46">
        <v>7.5</v>
      </c>
      <c r="Y18" s="46">
        <v>7.5</v>
      </c>
      <c r="Z18" s="46">
        <v>7.5</v>
      </c>
      <c r="AA18" s="46">
        <v>7.5</v>
      </c>
      <c r="AB18" s="46">
        <v>7.5</v>
      </c>
      <c r="AC18" s="46">
        <v>7.5</v>
      </c>
      <c r="AD18" s="46">
        <v>7.5</v>
      </c>
      <c r="AE18" s="46">
        <v>7.5</v>
      </c>
      <c r="AF18" s="46">
        <v>7.5</v>
      </c>
      <c r="AG18" s="50">
        <v>42</v>
      </c>
      <c r="AH18" s="48">
        <f t="shared" ref="AH18:AH81" si="10">MAX(B18:AF18)</f>
        <v>8</v>
      </c>
      <c r="AI18" s="49">
        <f t="shared" ref="AI18:AI81" si="11">MIN(B18:AF18)</f>
        <v>7.5</v>
      </c>
      <c r="AK18" s="51"/>
      <c r="AL18" s="54" t="s">
        <v>29</v>
      </c>
      <c r="AM18" s="59">
        <f>B76</f>
        <v>182.83999999999997</v>
      </c>
      <c r="AN18" s="59">
        <f t="shared" ref="AN18:AR18" si="12">C76</f>
        <v>124.44000000000001</v>
      </c>
      <c r="AO18" s="59">
        <f t="shared" si="12"/>
        <v>121.44000000000001</v>
      </c>
      <c r="AP18" s="59">
        <f t="shared" si="12"/>
        <v>121.14000000000001</v>
      </c>
      <c r="AQ18" s="59">
        <f t="shared" si="12"/>
        <v>121.14000000000001</v>
      </c>
      <c r="AR18" s="59">
        <f t="shared" si="12"/>
        <v>121.14000000000001</v>
      </c>
      <c r="AS18" s="59">
        <f>I76</f>
        <v>155.73999999999998</v>
      </c>
      <c r="AT18" s="59">
        <f>K76</f>
        <v>165.94</v>
      </c>
      <c r="AU18" s="59">
        <f t="shared" ref="AU18:BD18" si="13">M76</f>
        <v>235.34</v>
      </c>
      <c r="AV18" s="59">
        <f t="shared" si="13"/>
        <v>238.33999999999997</v>
      </c>
      <c r="AW18" s="59">
        <f t="shared" si="13"/>
        <v>258.04000000000002</v>
      </c>
      <c r="AX18" s="59">
        <f t="shared" si="13"/>
        <v>252.44000000000003</v>
      </c>
      <c r="AY18" s="59">
        <f t="shared" si="13"/>
        <v>230.73999999999998</v>
      </c>
      <c r="AZ18" s="59">
        <f t="shared" si="13"/>
        <v>230.73999999999998</v>
      </c>
      <c r="BA18" s="59">
        <f t="shared" si="13"/>
        <v>211.74</v>
      </c>
      <c r="BB18" s="59">
        <f t="shared" si="13"/>
        <v>201.43999999999997</v>
      </c>
      <c r="BC18" s="59">
        <f t="shared" si="13"/>
        <v>177.24</v>
      </c>
      <c r="BD18" s="59">
        <f t="shared" si="13"/>
        <v>164.93999999999997</v>
      </c>
      <c r="BE18" s="197">
        <f>X76</f>
        <v>160.33999999999997</v>
      </c>
      <c r="BF18" s="197">
        <f>Z76</f>
        <v>356.29999999999995</v>
      </c>
      <c r="BG18" s="197">
        <f>AB76</f>
        <v>362.24</v>
      </c>
      <c r="BH18" s="197">
        <f>AD76</f>
        <v>355.54</v>
      </c>
      <c r="BI18" s="197">
        <f t="shared" ref="BI18:BJ18" si="14">AE76</f>
        <v>296.74</v>
      </c>
      <c r="BJ18" s="197">
        <f t="shared" si="14"/>
        <v>250.54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14</v>
      </c>
      <c r="C19" s="46">
        <v>14</v>
      </c>
      <c r="D19" s="46">
        <v>14</v>
      </c>
      <c r="E19" s="46">
        <v>14</v>
      </c>
      <c r="F19" s="46">
        <v>14</v>
      </c>
      <c r="G19" s="46">
        <v>14</v>
      </c>
      <c r="H19" s="46">
        <v>14</v>
      </c>
      <c r="I19" s="46">
        <v>14</v>
      </c>
      <c r="J19" s="46">
        <v>14</v>
      </c>
      <c r="K19" s="46">
        <v>14</v>
      </c>
      <c r="L19" s="46">
        <v>14</v>
      </c>
      <c r="M19" s="46">
        <v>14</v>
      </c>
      <c r="N19" s="46">
        <v>14</v>
      </c>
      <c r="O19" s="46">
        <v>14</v>
      </c>
      <c r="P19" s="46">
        <v>14</v>
      </c>
      <c r="Q19" s="46">
        <v>14</v>
      </c>
      <c r="R19" s="46">
        <v>14</v>
      </c>
      <c r="S19" s="46">
        <v>14</v>
      </c>
      <c r="T19" s="46">
        <v>14</v>
      </c>
      <c r="U19" s="46">
        <v>14</v>
      </c>
      <c r="V19" s="46">
        <v>14</v>
      </c>
      <c r="W19" s="46">
        <v>14</v>
      </c>
      <c r="X19" s="46">
        <v>14</v>
      </c>
      <c r="Y19" s="46">
        <v>14</v>
      </c>
      <c r="Z19" s="46">
        <v>14</v>
      </c>
      <c r="AA19" s="46">
        <v>14</v>
      </c>
      <c r="AB19" s="46">
        <v>14</v>
      </c>
      <c r="AC19" s="46">
        <v>14</v>
      </c>
      <c r="AD19" s="46">
        <v>14</v>
      </c>
      <c r="AE19" s="46">
        <v>14</v>
      </c>
      <c r="AF19" s="46">
        <v>14</v>
      </c>
      <c r="AG19" s="50">
        <v>38.46</v>
      </c>
      <c r="AH19" s="48">
        <f t="shared" si="10"/>
        <v>14</v>
      </c>
      <c r="AI19" s="49">
        <f t="shared" si="11"/>
        <v>14</v>
      </c>
      <c r="AK19" s="51"/>
      <c r="AL19" s="54" t="s">
        <v>31</v>
      </c>
      <c r="AM19" s="59">
        <f>B92</f>
        <v>305</v>
      </c>
      <c r="AN19" s="59">
        <f t="shared" ref="AN19:AR19" si="15">C92</f>
        <v>278.8</v>
      </c>
      <c r="AO19" s="59">
        <f t="shared" si="15"/>
        <v>297</v>
      </c>
      <c r="AP19" s="59">
        <f t="shared" si="15"/>
        <v>247.89999999999998</v>
      </c>
      <c r="AQ19" s="59">
        <f t="shared" si="15"/>
        <v>261.10000000000002</v>
      </c>
      <c r="AR19" s="59">
        <f t="shared" si="15"/>
        <v>282.2</v>
      </c>
      <c r="AS19" s="59">
        <f>I92</f>
        <v>362.5</v>
      </c>
      <c r="AT19" s="59">
        <f>K92</f>
        <v>883.69999999999993</v>
      </c>
      <c r="AU19" s="59">
        <f t="shared" ref="AU19:BD19" si="16">M92</f>
        <v>874.4</v>
      </c>
      <c r="AV19" s="59">
        <f t="shared" si="16"/>
        <v>839.80000000000007</v>
      </c>
      <c r="AW19" s="59">
        <f t="shared" si="16"/>
        <v>718.10000000000014</v>
      </c>
      <c r="AX19" s="59">
        <f t="shared" si="16"/>
        <v>879.5</v>
      </c>
      <c r="AY19" s="59">
        <f t="shared" si="16"/>
        <v>888.9</v>
      </c>
      <c r="AZ19" s="59">
        <f t="shared" si="16"/>
        <v>888.9</v>
      </c>
      <c r="BA19" s="59">
        <f t="shared" si="16"/>
        <v>887.60000000000014</v>
      </c>
      <c r="BB19" s="59">
        <f t="shared" si="16"/>
        <v>864.1</v>
      </c>
      <c r="BC19" s="59">
        <f t="shared" si="16"/>
        <v>885</v>
      </c>
      <c r="BD19" s="59">
        <f t="shared" si="16"/>
        <v>844</v>
      </c>
      <c r="BE19" s="197">
        <f>X92</f>
        <v>757.6</v>
      </c>
      <c r="BF19" s="197">
        <f>Z92</f>
        <v>170.3</v>
      </c>
      <c r="BG19" s="197">
        <f>AB92</f>
        <v>100.9</v>
      </c>
      <c r="BH19" s="197">
        <f>AD92</f>
        <v>161.39999999999998</v>
      </c>
      <c r="BI19" s="197">
        <f t="shared" ref="BI19:BJ19" si="17">AE92</f>
        <v>188.7</v>
      </c>
      <c r="BJ19" s="197">
        <f t="shared" si="17"/>
        <v>173.5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11.8</v>
      </c>
      <c r="C20" s="46">
        <v>11.8</v>
      </c>
      <c r="D20" s="46">
        <v>11.8</v>
      </c>
      <c r="E20" s="46">
        <v>11.8</v>
      </c>
      <c r="F20" s="46">
        <v>11.8</v>
      </c>
      <c r="G20" s="46">
        <v>11.8</v>
      </c>
      <c r="H20" s="46">
        <v>11.8</v>
      </c>
      <c r="I20" s="46">
        <v>11.8</v>
      </c>
      <c r="J20" s="46">
        <v>11.8</v>
      </c>
      <c r="K20" s="46">
        <v>11.8</v>
      </c>
      <c r="L20" s="46">
        <v>11.8</v>
      </c>
      <c r="M20" s="46">
        <v>11.8</v>
      </c>
      <c r="N20" s="46">
        <v>11.8</v>
      </c>
      <c r="O20" s="46">
        <v>11.8</v>
      </c>
      <c r="P20" s="46">
        <v>11.8</v>
      </c>
      <c r="Q20" s="46">
        <v>11.8</v>
      </c>
      <c r="R20" s="46">
        <v>11.8</v>
      </c>
      <c r="S20" s="46">
        <v>11.8</v>
      </c>
      <c r="T20" s="46">
        <v>11.8</v>
      </c>
      <c r="U20" s="46">
        <v>11.8</v>
      </c>
      <c r="V20" s="46">
        <v>11.8</v>
      </c>
      <c r="W20" s="46">
        <v>11.8</v>
      </c>
      <c r="X20" s="46">
        <v>11.8</v>
      </c>
      <c r="Y20" s="46">
        <v>11.8</v>
      </c>
      <c r="Z20" s="46">
        <v>11.8</v>
      </c>
      <c r="AA20" s="46">
        <v>11.8</v>
      </c>
      <c r="AB20" s="46">
        <v>11.8</v>
      </c>
      <c r="AC20" s="46">
        <v>11.8</v>
      </c>
      <c r="AD20" s="46">
        <v>11.8</v>
      </c>
      <c r="AE20" s="46">
        <v>11.8</v>
      </c>
      <c r="AF20" s="46">
        <v>11.8</v>
      </c>
      <c r="AG20" s="50">
        <v>38.46</v>
      </c>
      <c r="AH20" s="48">
        <f t="shared" si="10"/>
        <v>11.8</v>
      </c>
      <c r="AI20" s="49">
        <f t="shared" si="11"/>
        <v>11.8</v>
      </c>
      <c r="AK20" s="51"/>
      <c r="AL20" s="54" t="s">
        <v>33</v>
      </c>
      <c r="AM20" s="59">
        <f>B80</f>
        <v>95.7</v>
      </c>
      <c r="AN20" s="59">
        <f t="shared" ref="AN20:AR20" si="18">C80</f>
        <v>95.7</v>
      </c>
      <c r="AO20" s="59">
        <f t="shared" si="18"/>
        <v>95.7</v>
      </c>
      <c r="AP20" s="59">
        <f t="shared" si="18"/>
        <v>96.5</v>
      </c>
      <c r="AQ20" s="59">
        <f t="shared" si="18"/>
        <v>96.5</v>
      </c>
      <c r="AR20" s="59">
        <f t="shared" si="18"/>
        <v>96.5</v>
      </c>
      <c r="AS20" s="59">
        <f>I80</f>
        <v>96.5</v>
      </c>
      <c r="AT20" s="59">
        <f>K80</f>
        <v>55.9</v>
      </c>
      <c r="AU20" s="59">
        <f t="shared" ref="AU20:BD20" si="19">M80</f>
        <v>60.599999999999994</v>
      </c>
      <c r="AV20" s="59">
        <f t="shared" si="19"/>
        <v>67.2</v>
      </c>
      <c r="AW20" s="59">
        <f t="shared" si="19"/>
        <v>68.599999999999994</v>
      </c>
      <c r="AX20" s="59">
        <f t="shared" si="19"/>
        <v>59.8</v>
      </c>
      <c r="AY20" s="59">
        <f t="shared" si="19"/>
        <v>69.7</v>
      </c>
      <c r="AZ20" s="59">
        <f t="shared" si="19"/>
        <v>69.7</v>
      </c>
      <c r="BA20" s="59">
        <f t="shared" si="19"/>
        <v>48.2</v>
      </c>
      <c r="BB20" s="59">
        <f t="shared" si="19"/>
        <v>95.899999999999991</v>
      </c>
      <c r="BC20" s="59">
        <f t="shared" si="19"/>
        <v>95.899999999999991</v>
      </c>
      <c r="BD20" s="59">
        <f t="shared" si="19"/>
        <v>95.899999999999991</v>
      </c>
      <c r="BE20" s="197">
        <f>X80</f>
        <v>25.1</v>
      </c>
      <c r="BF20" s="197">
        <f>Z80</f>
        <v>95</v>
      </c>
      <c r="BG20" s="197">
        <f>AB80</f>
        <v>94.9</v>
      </c>
      <c r="BH20" s="197">
        <f>AD80</f>
        <v>94.9</v>
      </c>
      <c r="BI20" s="197">
        <f t="shared" ref="BI20:BJ20" si="20">AE80</f>
        <v>94.9</v>
      </c>
      <c r="BJ20" s="197">
        <f t="shared" si="20"/>
        <v>94.9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11</v>
      </c>
      <c r="C21" s="46">
        <v>11</v>
      </c>
      <c r="D21" s="46">
        <v>11</v>
      </c>
      <c r="E21" s="46">
        <v>11</v>
      </c>
      <c r="F21" s="46">
        <v>11</v>
      </c>
      <c r="G21" s="46">
        <v>11</v>
      </c>
      <c r="H21" s="46">
        <v>11</v>
      </c>
      <c r="I21" s="46">
        <v>11</v>
      </c>
      <c r="J21" s="46">
        <v>11</v>
      </c>
      <c r="K21" s="46">
        <v>11</v>
      </c>
      <c r="L21" s="46">
        <v>11</v>
      </c>
      <c r="M21" s="46">
        <v>11</v>
      </c>
      <c r="N21" s="46">
        <v>11</v>
      </c>
      <c r="O21" s="46">
        <v>11</v>
      </c>
      <c r="P21" s="46">
        <v>11</v>
      </c>
      <c r="Q21" s="46">
        <v>11</v>
      </c>
      <c r="R21" s="46">
        <v>11</v>
      </c>
      <c r="S21" s="46">
        <v>11</v>
      </c>
      <c r="T21" s="46">
        <v>11</v>
      </c>
      <c r="U21" s="46">
        <v>11</v>
      </c>
      <c r="V21" s="46">
        <v>11</v>
      </c>
      <c r="W21" s="46">
        <v>11</v>
      </c>
      <c r="X21" s="46">
        <v>11</v>
      </c>
      <c r="Y21" s="46">
        <v>11</v>
      </c>
      <c r="Z21" s="46">
        <v>11</v>
      </c>
      <c r="AA21" s="46">
        <v>11</v>
      </c>
      <c r="AB21" s="46">
        <v>11</v>
      </c>
      <c r="AC21" s="46">
        <v>11</v>
      </c>
      <c r="AD21" s="46">
        <v>11</v>
      </c>
      <c r="AE21" s="46">
        <v>11</v>
      </c>
      <c r="AF21" s="46">
        <v>11</v>
      </c>
      <c r="AG21" s="50">
        <v>36</v>
      </c>
      <c r="AH21" s="48">
        <f t="shared" si="10"/>
        <v>11</v>
      </c>
      <c r="AI21" s="49">
        <f t="shared" si="11"/>
        <v>11</v>
      </c>
      <c r="AK21" s="51"/>
      <c r="AL21" s="54" t="s">
        <v>35</v>
      </c>
      <c r="AM21" s="59">
        <f>B98</f>
        <v>300</v>
      </c>
      <c r="AN21" s="59">
        <f t="shared" ref="AN21:AR21" si="21">C98</f>
        <v>300</v>
      </c>
      <c r="AO21" s="59">
        <f t="shared" si="21"/>
        <v>300</v>
      </c>
      <c r="AP21" s="59">
        <f t="shared" si="21"/>
        <v>300</v>
      </c>
      <c r="AQ21" s="59">
        <f t="shared" si="21"/>
        <v>300</v>
      </c>
      <c r="AR21" s="59">
        <f t="shared" si="21"/>
        <v>300</v>
      </c>
      <c r="AS21" s="59">
        <f>I98</f>
        <v>280</v>
      </c>
      <c r="AT21" s="59">
        <f>K98</f>
        <v>0</v>
      </c>
      <c r="AU21" s="59">
        <f t="shared" ref="AU21:BD21" si="22">M98</f>
        <v>0</v>
      </c>
      <c r="AV21" s="59">
        <f t="shared" si="22"/>
        <v>0</v>
      </c>
      <c r="AW21" s="59">
        <f t="shared" si="22"/>
        <v>0</v>
      </c>
      <c r="AX21" s="59">
        <f t="shared" si="22"/>
        <v>0</v>
      </c>
      <c r="AY21" s="59">
        <f t="shared" si="22"/>
        <v>0</v>
      </c>
      <c r="AZ21" s="59">
        <f t="shared" si="22"/>
        <v>0</v>
      </c>
      <c r="BA21" s="59">
        <f t="shared" si="22"/>
        <v>0</v>
      </c>
      <c r="BB21" s="59">
        <f t="shared" si="22"/>
        <v>0</v>
      </c>
      <c r="BC21" s="59">
        <f t="shared" si="22"/>
        <v>0</v>
      </c>
      <c r="BD21" s="59">
        <f t="shared" si="22"/>
        <v>0</v>
      </c>
      <c r="BE21" s="197">
        <f>X98</f>
        <v>0</v>
      </c>
      <c r="BF21" s="197">
        <f>Z98</f>
        <v>300</v>
      </c>
      <c r="BG21" s="197">
        <f>AB98</f>
        <v>300</v>
      </c>
      <c r="BH21" s="197">
        <f>AD98</f>
        <v>320</v>
      </c>
      <c r="BI21" s="197">
        <f t="shared" ref="BI21:BJ21" si="23">AE98</f>
        <v>340</v>
      </c>
      <c r="BJ21" s="197">
        <f t="shared" si="23"/>
        <v>340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8.5</v>
      </c>
      <c r="C22" s="46">
        <v>8.5</v>
      </c>
      <c r="D22" s="46">
        <v>8.5</v>
      </c>
      <c r="E22" s="46">
        <v>8.5</v>
      </c>
      <c r="F22" s="46">
        <v>8.5</v>
      </c>
      <c r="G22" s="46">
        <v>8.5</v>
      </c>
      <c r="H22" s="46">
        <v>8.5</v>
      </c>
      <c r="I22" s="46">
        <v>8.5</v>
      </c>
      <c r="J22" s="46">
        <v>8.5</v>
      </c>
      <c r="K22" s="46">
        <v>8.5</v>
      </c>
      <c r="L22" s="46">
        <v>8.5</v>
      </c>
      <c r="M22" s="46">
        <v>8.5</v>
      </c>
      <c r="N22" s="46">
        <v>8.5</v>
      </c>
      <c r="O22" s="46">
        <v>8.5</v>
      </c>
      <c r="P22" s="46">
        <v>8.5</v>
      </c>
      <c r="Q22" s="46">
        <v>8.5</v>
      </c>
      <c r="R22" s="46">
        <v>6.7</v>
      </c>
      <c r="S22" s="46">
        <v>6.7</v>
      </c>
      <c r="T22" s="46">
        <v>6.7</v>
      </c>
      <c r="U22" s="46">
        <v>6.7</v>
      </c>
      <c r="V22" s="46">
        <v>6.7</v>
      </c>
      <c r="W22" s="46">
        <v>6.7</v>
      </c>
      <c r="X22" s="46">
        <v>6.7</v>
      </c>
      <c r="Y22" s="46">
        <v>6.7</v>
      </c>
      <c r="Z22" s="46">
        <v>6.7</v>
      </c>
      <c r="AA22" s="46">
        <v>6.7</v>
      </c>
      <c r="AB22" s="46">
        <v>6.7</v>
      </c>
      <c r="AC22" s="46">
        <v>6.7</v>
      </c>
      <c r="AD22" s="46">
        <v>6.7</v>
      </c>
      <c r="AE22" s="46">
        <v>6.7</v>
      </c>
      <c r="AF22" s="46">
        <v>6.7</v>
      </c>
      <c r="AG22" s="60">
        <v>30</v>
      </c>
      <c r="AH22" s="48">
        <f t="shared" si="10"/>
        <v>8.5</v>
      </c>
      <c r="AI22" s="49">
        <f t="shared" si="11"/>
        <v>6.7</v>
      </c>
      <c r="AK22" s="51"/>
      <c r="AL22" s="61" t="s">
        <v>37</v>
      </c>
      <c r="AM22" s="62">
        <f>SUM(AM16:AM21)</f>
        <v>1470.39</v>
      </c>
      <c r="AN22" s="62">
        <f t="shared" ref="AN22:BJ22" si="24">SUM(AN16:AN21)</f>
        <v>1385.7900000000002</v>
      </c>
      <c r="AO22" s="62">
        <f t="shared" si="24"/>
        <v>1400.99</v>
      </c>
      <c r="AP22" s="62">
        <f t="shared" si="24"/>
        <v>1348.69</v>
      </c>
      <c r="AQ22" s="62">
        <f t="shared" si="24"/>
        <v>1361.8899999999999</v>
      </c>
      <c r="AR22" s="62">
        <f t="shared" si="24"/>
        <v>1382.99</v>
      </c>
      <c r="AS22" s="62">
        <f t="shared" si="24"/>
        <v>1480.8899999999999</v>
      </c>
      <c r="AT22" s="62">
        <f t="shared" si="24"/>
        <v>1621.69</v>
      </c>
      <c r="AU22" s="62">
        <f t="shared" si="24"/>
        <v>1685.4899999999998</v>
      </c>
      <c r="AV22" s="62">
        <f t="shared" si="24"/>
        <v>1659.09</v>
      </c>
      <c r="AW22" s="62">
        <f t="shared" si="24"/>
        <v>1558.49</v>
      </c>
      <c r="AX22" s="62">
        <f t="shared" si="24"/>
        <v>1704.89</v>
      </c>
      <c r="AY22" s="62">
        <f t="shared" si="24"/>
        <v>1699.79</v>
      </c>
      <c r="AZ22" s="62">
        <f t="shared" si="24"/>
        <v>1696.1899999999998</v>
      </c>
      <c r="BA22" s="62">
        <f t="shared" si="24"/>
        <v>1654.39</v>
      </c>
      <c r="BB22" s="62">
        <f t="shared" si="24"/>
        <v>1668.29</v>
      </c>
      <c r="BC22" s="62">
        <f t="shared" si="24"/>
        <v>1664.99</v>
      </c>
      <c r="BD22" s="62">
        <f t="shared" si="24"/>
        <v>1611.69</v>
      </c>
      <c r="BE22" s="62">
        <f t="shared" si="24"/>
        <v>1449.8899999999999</v>
      </c>
      <c r="BF22" s="62">
        <f t="shared" si="24"/>
        <v>1853.6499999999999</v>
      </c>
      <c r="BG22" s="62">
        <f t="shared" si="24"/>
        <v>1712.0900000000001</v>
      </c>
      <c r="BH22" s="62">
        <f t="shared" si="24"/>
        <v>1643.8899999999999</v>
      </c>
      <c r="BI22" s="62">
        <f t="shared" si="24"/>
        <v>1531.99</v>
      </c>
      <c r="BJ22" s="62">
        <f t="shared" si="24"/>
        <v>1440.49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4.5</v>
      </c>
      <c r="C23" s="46">
        <v>4.5</v>
      </c>
      <c r="D23" s="46">
        <v>4.5</v>
      </c>
      <c r="E23" s="46">
        <v>4.5</v>
      </c>
      <c r="F23" s="46">
        <v>4.5</v>
      </c>
      <c r="G23" s="46">
        <v>4.5</v>
      </c>
      <c r="H23" s="46">
        <v>4.5</v>
      </c>
      <c r="I23" s="46">
        <v>4.5</v>
      </c>
      <c r="J23" s="46">
        <v>4.5</v>
      </c>
      <c r="K23" s="46">
        <v>4.5</v>
      </c>
      <c r="L23" s="46">
        <v>4.5</v>
      </c>
      <c r="M23" s="46">
        <v>4.5</v>
      </c>
      <c r="N23" s="46">
        <v>4.5</v>
      </c>
      <c r="O23" s="46">
        <v>4.5</v>
      </c>
      <c r="P23" s="46">
        <v>4.5</v>
      </c>
      <c r="Q23" s="46">
        <v>4.5</v>
      </c>
      <c r="R23" s="46">
        <v>4.5</v>
      </c>
      <c r="S23" s="46">
        <v>4.5</v>
      </c>
      <c r="T23" s="46">
        <v>4.5</v>
      </c>
      <c r="U23" s="46">
        <v>4.5</v>
      </c>
      <c r="V23" s="46">
        <v>4.5</v>
      </c>
      <c r="W23" s="46">
        <v>4.5</v>
      </c>
      <c r="X23" s="46">
        <v>4.5</v>
      </c>
      <c r="Y23" s="46">
        <v>4.5</v>
      </c>
      <c r="Z23" s="46">
        <v>4.5</v>
      </c>
      <c r="AA23" s="46">
        <v>4.5</v>
      </c>
      <c r="AB23" s="46">
        <v>4.5</v>
      </c>
      <c r="AC23" s="46">
        <v>4.5</v>
      </c>
      <c r="AD23" s="46">
        <v>4.5</v>
      </c>
      <c r="AE23" s="46">
        <v>4.5</v>
      </c>
      <c r="AF23" s="46">
        <v>4.5</v>
      </c>
      <c r="AG23" s="50">
        <v>24.2</v>
      </c>
      <c r="AH23" s="48">
        <f t="shared" si="10"/>
        <v>4.5</v>
      </c>
      <c r="AI23" s="49">
        <f t="shared" si="11"/>
        <v>4.5</v>
      </c>
      <c r="AK23" s="51"/>
      <c r="AL23" s="61" t="s">
        <v>39</v>
      </c>
      <c r="AM23" s="62">
        <f>B107*-1</f>
        <v>0</v>
      </c>
      <c r="AN23" s="62">
        <f t="shared" ref="AN23:AR23" si="25">C107*-1</f>
        <v>0</v>
      </c>
      <c r="AO23" s="62">
        <f t="shared" si="25"/>
        <v>0</v>
      </c>
      <c r="AP23" s="62">
        <f t="shared" si="25"/>
        <v>0</v>
      </c>
      <c r="AQ23" s="62">
        <f t="shared" si="25"/>
        <v>0</v>
      </c>
      <c r="AR23" s="62">
        <f t="shared" si="25"/>
        <v>0</v>
      </c>
      <c r="AS23" s="62">
        <f>I107*-1</f>
        <v>0</v>
      </c>
      <c r="AT23" s="62">
        <f>K107*-1</f>
        <v>0</v>
      </c>
      <c r="AU23" s="62">
        <f t="shared" ref="AU23:BD23" si="26">M107*-1</f>
        <v>0</v>
      </c>
      <c r="AV23" s="62">
        <f t="shared" si="26"/>
        <v>0</v>
      </c>
      <c r="AW23" s="62">
        <f t="shared" si="26"/>
        <v>0</v>
      </c>
      <c r="AX23" s="62">
        <f t="shared" si="26"/>
        <v>0</v>
      </c>
      <c r="AY23" s="62">
        <f t="shared" si="26"/>
        <v>0</v>
      </c>
      <c r="AZ23" s="62">
        <f t="shared" si="26"/>
        <v>-1</v>
      </c>
      <c r="BA23" s="62">
        <f t="shared" si="26"/>
        <v>0</v>
      </c>
      <c r="BB23" s="62">
        <f t="shared" si="26"/>
        <v>0</v>
      </c>
      <c r="BC23" s="62">
        <f t="shared" si="26"/>
        <v>0</v>
      </c>
      <c r="BD23" s="62">
        <f t="shared" si="26"/>
        <v>0</v>
      </c>
      <c r="BE23" s="62">
        <f>X107*-1</f>
        <v>0</v>
      </c>
      <c r="BF23" s="62">
        <f>Z107*-1</f>
        <v>0</v>
      </c>
      <c r="BG23" s="62">
        <f>AB107*-1</f>
        <v>0</v>
      </c>
      <c r="BH23" s="62">
        <f>AD107*-1</f>
        <v>0</v>
      </c>
      <c r="BI23" s="62">
        <f t="shared" ref="BI23:BJ23" si="27">AE107*-1</f>
        <v>0</v>
      </c>
      <c r="BJ23" s="62">
        <f t="shared" si="27"/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6.5</v>
      </c>
      <c r="C24" s="46">
        <v>6.5</v>
      </c>
      <c r="D24" s="46">
        <v>6.5</v>
      </c>
      <c r="E24" s="46">
        <v>6.5</v>
      </c>
      <c r="F24" s="46">
        <v>6.5</v>
      </c>
      <c r="G24" s="46">
        <v>6.5</v>
      </c>
      <c r="H24" s="46">
        <v>6.5</v>
      </c>
      <c r="I24" s="46">
        <v>6.5</v>
      </c>
      <c r="J24" s="46">
        <v>6.5</v>
      </c>
      <c r="K24" s="46">
        <v>6.5</v>
      </c>
      <c r="L24" s="46">
        <v>6.5</v>
      </c>
      <c r="M24" s="46">
        <v>6.5</v>
      </c>
      <c r="N24" s="46">
        <v>6.5</v>
      </c>
      <c r="O24" s="46">
        <v>6.5</v>
      </c>
      <c r="P24" s="46">
        <v>6.5</v>
      </c>
      <c r="Q24" s="46">
        <v>6.5</v>
      </c>
      <c r="R24" s="46">
        <v>6.5</v>
      </c>
      <c r="S24" s="46">
        <v>6.5</v>
      </c>
      <c r="T24" s="46">
        <v>6.5</v>
      </c>
      <c r="U24" s="46">
        <v>6.5</v>
      </c>
      <c r="V24" s="46">
        <v>6.5</v>
      </c>
      <c r="W24" s="46">
        <v>6.5</v>
      </c>
      <c r="X24" s="46">
        <v>6.5</v>
      </c>
      <c r="Y24" s="46">
        <v>6.5</v>
      </c>
      <c r="Z24" s="46">
        <v>6.5</v>
      </c>
      <c r="AA24" s="46">
        <v>6.5</v>
      </c>
      <c r="AB24" s="46">
        <v>6.5</v>
      </c>
      <c r="AC24" s="46">
        <v>6.5</v>
      </c>
      <c r="AD24" s="46">
        <v>6.5</v>
      </c>
      <c r="AE24" s="46">
        <v>6.5</v>
      </c>
      <c r="AF24" s="46">
        <v>6.5</v>
      </c>
      <c r="AG24" s="50">
        <v>28</v>
      </c>
      <c r="AH24" s="48">
        <f t="shared" si="10"/>
        <v>6.5</v>
      </c>
      <c r="AI24" s="49">
        <f t="shared" si="11"/>
        <v>6.5</v>
      </c>
      <c r="AK24" s="51"/>
      <c r="AL24" s="61" t="s">
        <v>41</v>
      </c>
      <c r="AM24" s="62">
        <f>AM22+AM23</f>
        <v>1470.39</v>
      </c>
      <c r="AN24" s="62">
        <f t="shared" ref="AN24:BJ24" si="28">AN22+AN23</f>
        <v>1385.7900000000002</v>
      </c>
      <c r="AO24" s="62">
        <f t="shared" si="28"/>
        <v>1400.99</v>
      </c>
      <c r="AP24" s="62">
        <f t="shared" si="28"/>
        <v>1348.69</v>
      </c>
      <c r="AQ24" s="62">
        <f t="shared" si="28"/>
        <v>1361.8899999999999</v>
      </c>
      <c r="AR24" s="62">
        <f t="shared" si="28"/>
        <v>1382.99</v>
      </c>
      <c r="AS24" s="62">
        <f t="shared" si="28"/>
        <v>1480.8899999999999</v>
      </c>
      <c r="AT24" s="62">
        <f t="shared" si="28"/>
        <v>1621.69</v>
      </c>
      <c r="AU24" s="62">
        <f t="shared" si="28"/>
        <v>1685.4899999999998</v>
      </c>
      <c r="AV24" s="62">
        <f t="shared" si="28"/>
        <v>1659.09</v>
      </c>
      <c r="AW24" s="62">
        <f t="shared" si="28"/>
        <v>1558.49</v>
      </c>
      <c r="AX24" s="62">
        <f t="shared" si="28"/>
        <v>1704.89</v>
      </c>
      <c r="AY24" s="62">
        <f t="shared" si="28"/>
        <v>1699.79</v>
      </c>
      <c r="AZ24" s="62">
        <f t="shared" si="28"/>
        <v>1695.1899999999998</v>
      </c>
      <c r="BA24" s="62">
        <f t="shared" si="28"/>
        <v>1654.39</v>
      </c>
      <c r="BB24" s="62">
        <f t="shared" si="28"/>
        <v>1668.29</v>
      </c>
      <c r="BC24" s="62">
        <f t="shared" si="28"/>
        <v>1664.99</v>
      </c>
      <c r="BD24" s="62">
        <f t="shared" si="28"/>
        <v>1611.69</v>
      </c>
      <c r="BE24" s="62">
        <f t="shared" si="28"/>
        <v>1449.8899999999999</v>
      </c>
      <c r="BF24" s="62">
        <f t="shared" si="28"/>
        <v>1853.6499999999999</v>
      </c>
      <c r="BG24" s="62">
        <f t="shared" si="28"/>
        <v>1712.0900000000001</v>
      </c>
      <c r="BH24" s="62">
        <f t="shared" si="28"/>
        <v>1643.8899999999999</v>
      </c>
      <c r="BI24" s="62">
        <f t="shared" si="28"/>
        <v>1531.99</v>
      </c>
      <c r="BJ24" s="62">
        <f t="shared" si="28"/>
        <v>1440.49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6.8</v>
      </c>
      <c r="C25" s="46">
        <v>6.8</v>
      </c>
      <c r="D25" s="46">
        <v>6.8</v>
      </c>
      <c r="E25" s="46">
        <v>6.8</v>
      </c>
      <c r="F25" s="46">
        <v>6.8</v>
      </c>
      <c r="G25" s="46">
        <v>6.8</v>
      </c>
      <c r="H25" s="46">
        <v>6.8</v>
      </c>
      <c r="I25" s="46">
        <v>6.8</v>
      </c>
      <c r="J25" s="46">
        <v>6.8</v>
      </c>
      <c r="K25" s="46">
        <v>6.8</v>
      </c>
      <c r="L25" s="46">
        <v>6.8</v>
      </c>
      <c r="M25" s="46">
        <v>6.8</v>
      </c>
      <c r="N25" s="46">
        <v>6.8</v>
      </c>
      <c r="O25" s="46">
        <v>6.8</v>
      </c>
      <c r="P25" s="46">
        <v>6.8</v>
      </c>
      <c r="Q25" s="46">
        <v>6.8</v>
      </c>
      <c r="R25" s="46">
        <v>6.8</v>
      </c>
      <c r="S25" s="46">
        <v>6.8</v>
      </c>
      <c r="T25" s="46">
        <v>6.8</v>
      </c>
      <c r="U25" s="46">
        <v>6.8</v>
      </c>
      <c r="V25" s="46">
        <v>6.8</v>
      </c>
      <c r="W25" s="46">
        <v>6.8</v>
      </c>
      <c r="X25" s="46">
        <v>6.8</v>
      </c>
      <c r="Y25" s="46">
        <v>6.8</v>
      </c>
      <c r="Z25" s="46">
        <v>6.8</v>
      </c>
      <c r="AA25" s="46">
        <v>6.8</v>
      </c>
      <c r="AB25" s="46">
        <v>6.8</v>
      </c>
      <c r="AC25" s="46">
        <v>6.8</v>
      </c>
      <c r="AD25" s="46">
        <v>6.8</v>
      </c>
      <c r="AE25" s="46">
        <v>6.8</v>
      </c>
      <c r="AF25" s="46">
        <v>6.8</v>
      </c>
      <c r="AG25" s="60">
        <v>30</v>
      </c>
      <c r="AH25" s="48">
        <f t="shared" si="10"/>
        <v>6.8</v>
      </c>
      <c r="AI25" s="49">
        <f t="shared" si="11"/>
        <v>6.8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11.1</v>
      </c>
      <c r="C26" s="46">
        <v>11.1</v>
      </c>
      <c r="D26" s="46">
        <v>11.1</v>
      </c>
      <c r="E26" s="46">
        <v>11.1</v>
      </c>
      <c r="F26" s="46">
        <v>11.1</v>
      </c>
      <c r="G26" s="46">
        <v>11.1</v>
      </c>
      <c r="H26" s="46">
        <v>11.1</v>
      </c>
      <c r="I26" s="46">
        <v>11.1</v>
      </c>
      <c r="J26" s="46">
        <v>11.1</v>
      </c>
      <c r="K26" s="46">
        <v>11.1</v>
      </c>
      <c r="L26" s="46">
        <v>11.1</v>
      </c>
      <c r="M26" s="46">
        <v>11.1</v>
      </c>
      <c r="N26" s="46">
        <v>11.1</v>
      </c>
      <c r="O26" s="46">
        <v>11.1</v>
      </c>
      <c r="P26" s="46">
        <v>11.1</v>
      </c>
      <c r="Q26" s="46">
        <v>11.1</v>
      </c>
      <c r="R26" s="46">
        <v>11.1</v>
      </c>
      <c r="S26" s="46">
        <v>11.1</v>
      </c>
      <c r="T26" s="46">
        <v>11.1</v>
      </c>
      <c r="U26" s="46">
        <v>11.1</v>
      </c>
      <c r="V26" s="46">
        <v>11.1</v>
      </c>
      <c r="W26" s="46">
        <v>11.1</v>
      </c>
      <c r="X26" s="46">
        <v>11.1</v>
      </c>
      <c r="Y26" s="46">
        <v>11.1</v>
      </c>
      <c r="Z26" s="46">
        <v>11.1</v>
      </c>
      <c r="AA26" s="46">
        <v>11.1</v>
      </c>
      <c r="AB26" s="46">
        <v>11.1</v>
      </c>
      <c r="AC26" s="46">
        <v>11.1</v>
      </c>
      <c r="AD26" s="46">
        <v>11.1</v>
      </c>
      <c r="AE26" s="46">
        <v>11.1</v>
      </c>
      <c r="AF26" s="46">
        <v>11.1</v>
      </c>
      <c r="AG26" s="50">
        <v>25</v>
      </c>
      <c r="AH26" s="48">
        <f t="shared" si="10"/>
        <v>11.1</v>
      </c>
      <c r="AI26" s="49">
        <f t="shared" si="11"/>
        <v>11.1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5</v>
      </c>
      <c r="N27" s="46">
        <v>5</v>
      </c>
      <c r="O27" s="46">
        <v>5</v>
      </c>
      <c r="P27" s="46">
        <v>5</v>
      </c>
      <c r="Q27" s="46">
        <v>5</v>
      </c>
      <c r="R27" s="46">
        <v>5</v>
      </c>
      <c r="S27" s="46">
        <v>5</v>
      </c>
      <c r="T27" s="46">
        <v>5</v>
      </c>
      <c r="U27" s="46">
        <v>5</v>
      </c>
      <c r="V27" s="46">
        <v>5</v>
      </c>
      <c r="W27" s="46">
        <v>5</v>
      </c>
      <c r="X27" s="46">
        <v>5</v>
      </c>
      <c r="Y27" s="46">
        <v>5</v>
      </c>
      <c r="Z27" s="46">
        <v>5</v>
      </c>
      <c r="AA27" s="46">
        <v>5</v>
      </c>
      <c r="AB27" s="46">
        <v>5</v>
      </c>
      <c r="AC27" s="46">
        <v>5</v>
      </c>
      <c r="AD27" s="46">
        <v>5</v>
      </c>
      <c r="AE27" s="46">
        <v>5</v>
      </c>
      <c r="AF27" s="46">
        <v>5</v>
      </c>
      <c r="AG27" s="50">
        <v>25</v>
      </c>
      <c r="AH27" s="48">
        <f t="shared" si="10"/>
        <v>5</v>
      </c>
      <c r="AI27" s="49">
        <f t="shared" si="11"/>
        <v>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10</v>
      </c>
      <c r="C28" s="46">
        <v>10</v>
      </c>
      <c r="D28" s="46">
        <v>10</v>
      </c>
      <c r="E28" s="46">
        <v>10</v>
      </c>
      <c r="F28" s="46">
        <v>10</v>
      </c>
      <c r="G28" s="46">
        <v>10</v>
      </c>
      <c r="H28" s="46">
        <v>10</v>
      </c>
      <c r="I28" s="46">
        <v>10</v>
      </c>
      <c r="J28" s="46">
        <v>10</v>
      </c>
      <c r="K28" s="46">
        <v>10</v>
      </c>
      <c r="L28" s="46">
        <v>10</v>
      </c>
      <c r="M28" s="46">
        <v>10</v>
      </c>
      <c r="N28" s="46">
        <v>10</v>
      </c>
      <c r="O28" s="46">
        <v>10</v>
      </c>
      <c r="P28" s="46">
        <v>10</v>
      </c>
      <c r="Q28" s="46">
        <v>10</v>
      </c>
      <c r="R28" s="46">
        <v>10</v>
      </c>
      <c r="S28" s="46">
        <v>10</v>
      </c>
      <c r="T28" s="46">
        <v>10</v>
      </c>
      <c r="U28" s="46">
        <v>10</v>
      </c>
      <c r="V28" s="46">
        <v>10</v>
      </c>
      <c r="W28" s="46">
        <v>10</v>
      </c>
      <c r="X28" s="46">
        <v>10</v>
      </c>
      <c r="Y28" s="46">
        <v>10</v>
      </c>
      <c r="Z28" s="46">
        <v>10</v>
      </c>
      <c r="AA28" s="46">
        <v>10</v>
      </c>
      <c r="AB28" s="46">
        <v>10</v>
      </c>
      <c r="AC28" s="46">
        <v>10</v>
      </c>
      <c r="AD28" s="46">
        <v>10</v>
      </c>
      <c r="AE28" s="46">
        <v>10</v>
      </c>
      <c r="AF28" s="46">
        <v>10</v>
      </c>
      <c r="AG28" s="50">
        <v>25</v>
      </c>
      <c r="AH28" s="48">
        <f t="shared" si="10"/>
        <v>10</v>
      </c>
      <c r="AI28" s="49">
        <f t="shared" si="11"/>
        <v>10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8.6999999999999993</v>
      </c>
      <c r="C29" s="46">
        <v>8.6999999999999993</v>
      </c>
      <c r="D29" s="46">
        <v>8.6999999999999993</v>
      </c>
      <c r="E29" s="46">
        <v>8.6999999999999993</v>
      </c>
      <c r="F29" s="46">
        <v>8.6999999999999993</v>
      </c>
      <c r="G29" s="46">
        <v>8.6999999999999993</v>
      </c>
      <c r="H29" s="46">
        <v>8.6999999999999993</v>
      </c>
      <c r="I29" s="46">
        <v>8.6999999999999993</v>
      </c>
      <c r="J29" s="46">
        <v>8.6999999999999993</v>
      </c>
      <c r="K29" s="46">
        <v>8.6999999999999993</v>
      </c>
      <c r="L29" s="46">
        <v>8.6999999999999993</v>
      </c>
      <c r="M29" s="46">
        <v>8.6999999999999993</v>
      </c>
      <c r="N29" s="46">
        <v>8.6999999999999993</v>
      </c>
      <c r="O29" s="46">
        <v>8.6999999999999993</v>
      </c>
      <c r="P29" s="46">
        <v>8.6999999999999993</v>
      </c>
      <c r="Q29" s="46">
        <v>8.6999999999999993</v>
      </c>
      <c r="R29" s="46">
        <v>8.6999999999999993</v>
      </c>
      <c r="S29" s="46">
        <v>8.6999999999999993</v>
      </c>
      <c r="T29" s="46">
        <v>8.6999999999999993</v>
      </c>
      <c r="U29" s="46">
        <v>8.6999999999999993</v>
      </c>
      <c r="V29" s="46">
        <v>8.6999999999999993</v>
      </c>
      <c r="W29" s="46">
        <v>8.6999999999999993</v>
      </c>
      <c r="X29" s="46">
        <v>8.6999999999999993</v>
      </c>
      <c r="Y29" s="46">
        <v>8.6999999999999993</v>
      </c>
      <c r="Z29" s="46">
        <v>8.6999999999999993</v>
      </c>
      <c r="AA29" s="46">
        <v>8.6999999999999993</v>
      </c>
      <c r="AB29" s="46">
        <v>8.6999999999999993</v>
      </c>
      <c r="AC29" s="46">
        <v>8.6999999999999993</v>
      </c>
      <c r="AD29" s="46">
        <v>8.6999999999999993</v>
      </c>
      <c r="AE29" s="46">
        <v>8.6999999999999993</v>
      </c>
      <c r="AF29" s="46">
        <v>8.6999999999999993</v>
      </c>
      <c r="AG29" s="50">
        <v>25</v>
      </c>
      <c r="AH29" s="48">
        <f t="shared" si="10"/>
        <v>8.6999999999999993</v>
      </c>
      <c r="AI29" s="49">
        <f t="shared" si="11"/>
        <v>8.6999999999999993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5.6</v>
      </c>
      <c r="C30" s="46">
        <v>5.6</v>
      </c>
      <c r="D30" s="46">
        <v>5.6</v>
      </c>
      <c r="E30" s="46">
        <v>5.6</v>
      </c>
      <c r="F30" s="46">
        <v>5.6</v>
      </c>
      <c r="G30" s="46">
        <v>5.6</v>
      </c>
      <c r="H30" s="46">
        <v>5.6</v>
      </c>
      <c r="I30" s="46">
        <v>5.6</v>
      </c>
      <c r="J30" s="46">
        <v>5.6</v>
      </c>
      <c r="K30" s="46">
        <v>5.6</v>
      </c>
      <c r="L30" s="46">
        <v>5.6</v>
      </c>
      <c r="M30" s="46">
        <v>5.6</v>
      </c>
      <c r="N30" s="46">
        <v>5.6</v>
      </c>
      <c r="O30" s="46">
        <v>5.6</v>
      </c>
      <c r="P30" s="46">
        <v>5.6</v>
      </c>
      <c r="Q30" s="46">
        <v>5.6</v>
      </c>
      <c r="R30" s="46">
        <v>5.6</v>
      </c>
      <c r="S30" s="46">
        <v>5.6</v>
      </c>
      <c r="T30" s="46">
        <v>5.6</v>
      </c>
      <c r="U30" s="46">
        <v>5.6</v>
      </c>
      <c r="V30" s="46">
        <v>5.6</v>
      </c>
      <c r="W30" s="46">
        <v>5.6</v>
      </c>
      <c r="X30" s="46">
        <v>5.6</v>
      </c>
      <c r="Y30" s="46">
        <v>5.6</v>
      </c>
      <c r="Z30" s="46">
        <v>5.6</v>
      </c>
      <c r="AA30" s="46">
        <v>5.6</v>
      </c>
      <c r="AB30" s="46">
        <v>5.6</v>
      </c>
      <c r="AC30" s="46">
        <v>5.6</v>
      </c>
      <c r="AD30" s="46">
        <v>5.6</v>
      </c>
      <c r="AE30" s="46">
        <v>5.6</v>
      </c>
      <c r="AF30" s="46">
        <v>5.6</v>
      </c>
      <c r="AG30" s="50">
        <v>23.5</v>
      </c>
      <c r="AH30" s="48">
        <f t="shared" si="10"/>
        <v>5.6</v>
      </c>
      <c r="AI30" s="49">
        <f t="shared" si="11"/>
        <v>5.6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>
        <v>3</v>
      </c>
      <c r="V31" s="46">
        <v>3</v>
      </c>
      <c r="W31" s="46">
        <v>3</v>
      </c>
      <c r="X31" s="46">
        <v>3</v>
      </c>
      <c r="Y31" s="46">
        <v>3</v>
      </c>
      <c r="Z31" s="46">
        <v>3</v>
      </c>
      <c r="AA31" s="46">
        <v>3</v>
      </c>
      <c r="AB31" s="46">
        <v>3</v>
      </c>
      <c r="AC31" s="46">
        <v>3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10"/>
        <v>3</v>
      </c>
      <c r="AI31" s="49">
        <f t="shared" si="11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5.5</v>
      </c>
      <c r="Q32" s="46">
        <v>5.5</v>
      </c>
      <c r="R32" s="46">
        <v>5.5</v>
      </c>
      <c r="S32" s="46">
        <v>5.5</v>
      </c>
      <c r="T32" s="46">
        <v>5.5</v>
      </c>
      <c r="U32" s="46">
        <v>5.5</v>
      </c>
      <c r="V32" s="46">
        <v>5.5</v>
      </c>
      <c r="W32" s="46">
        <v>5.5</v>
      </c>
      <c r="X32" s="46">
        <v>5.5</v>
      </c>
      <c r="Y32" s="46">
        <v>5.5</v>
      </c>
      <c r="Z32" s="46">
        <v>5.5</v>
      </c>
      <c r="AA32" s="46">
        <v>5.5</v>
      </c>
      <c r="AB32" s="46">
        <v>5.5</v>
      </c>
      <c r="AC32" s="46">
        <v>5.5</v>
      </c>
      <c r="AD32" s="46">
        <v>5.5</v>
      </c>
      <c r="AE32" s="46">
        <v>5.5</v>
      </c>
      <c r="AF32" s="46">
        <v>5.5</v>
      </c>
      <c r="AG32" s="50">
        <v>22.1</v>
      </c>
      <c r="AH32" s="48">
        <f t="shared" si="10"/>
        <v>5.5</v>
      </c>
      <c r="AI32" s="49">
        <f t="shared" si="11"/>
        <v>5.5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5</v>
      </c>
      <c r="C33" s="46">
        <v>5</v>
      </c>
      <c r="D33" s="46">
        <v>5</v>
      </c>
      <c r="E33" s="46">
        <v>5</v>
      </c>
      <c r="F33" s="46">
        <v>5</v>
      </c>
      <c r="G33" s="46">
        <v>5</v>
      </c>
      <c r="H33" s="46">
        <v>5</v>
      </c>
      <c r="I33" s="46">
        <v>5</v>
      </c>
      <c r="J33" s="46">
        <v>5</v>
      </c>
      <c r="K33" s="46">
        <v>5</v>
      </c>
      <c r="L33" s="46">
        <v>5</v>
      </c>
      <c r="M33" s="46">
        <v>5</v>
      </c>
      <c r="N33" s="46">
        <v>5</v>
      </c>
      <c r="O33" s="46">
        <v>5</v>
      </c>
      <c r="P33" s="46">
        <v>5</v>
      </c>
      <c r="Q33" s="46">
        <v>5</v>
      </c>
      <c r="R33" s="46">
        <v>5</v>
      </c>
      <c r="S33" s="46">
        <v>5</v>
      </c>
      <c r="T33" s="46">
        <v>5</v>
      </c>
      <c r="U33" s="46">
        <v>5</v>
      </c>
      <c r="V33" s="46">
        <v>5</v>
      </c>
      <c r="W33" s="46">
        <v>5</v>
      </c>
      <c r="X33" s="46">
        <v>5</v>
      </c>
      <c r="Y33" s="46">
        <v>5</v>
      </c>
      <c r="Z33" s="46">
        <v>5</v>
      </c>
      <c r="AA33" s="46">
        <v>5</v>
      </c>
      <c r="AB33" s="46">
        <v>5</v>
      </c>
      <c r="AC33" s="46">
        <v>5</v>
      </c>
      <c r="AD33" s="46">
        <v>5</v>
      </c>
      <c r="AE33" s="46">
        <v>5</v>
      </c>
      <c r="AF33" s="46">
        <v>5</v>
      </c>
      <c r="AG33" s="50">
        <v>22</v>
      </c>
      <c r="AH33" s="48">
        <f t="shared" si="10"/>
        <v>5</v>
      </c>
      <c r="AI33" s="49">
        <f t="shared" si="11"/>
        <v>5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6</v>
      </c>
      <c r="C34" s="46">
        <v>6</v>
      </c>
      <c r="D34" s="46">
        <v>6</v>
      </c>
      <c r="E34" s="46">
        <v>6</v>
      </c>
      <c r="F34" s="46">
        <v>6</v>
      </c>
      <c r="G34" s="46">
        <v>6</v>
      </c>
      <c r="H34" s="46">
        <v>6</v>
      </c>
      <c r="I34" s="46">
        <v>6</v>
      </c>
      <c r="J34" s="46">
        <v>6</v>
      </c>
      <c r="K34" s="46">
        <v>6</v>
      </c>
      <c r="L34" s="46">
        <v>6</v>
      </c>
      <c r="M34" s="46">
        <v>6</v>
      </c>
      <c r="N34" s="46">
        <v>6</v>
      </c>
      <c r="O34" s="46">
        <v>6</v>
      </c>
      <c r="P34" s="46">
        <v>6</v>
      </c>
      <c r="Q34" s="46">
        <v>6</v>
      </c>
      <c r="R34" s="46">
        <v>6</v>
      </c>
      <c r="S34" s="46">
        <v>6</v>
      </c>
      <c r="T34" s="46">
        <v>6</v>
      </c>
      <c r="U34" s="46">
        <v>6</v>
      </c>
      <c r="V34" s="46">
        <v>6</v>
      </c>
      <c r="W34" s="46">
        <v>6</v>
      </c>
      <c r="X34" s="46">
        <v>6</v>
      </c>
      <c r="Y34" s="46">
        <v>6</v>
      </c>
      <c r="Z34" s="46">
        <v>6</v>
      </c>
      <c r="AA34" s="46">
        <v>6</v>
      </c>
      <c r="AB34" s="46">
        <v>6</v>
      </c>
      <c r="AC34" s="46">
        <v>6</v>
      </c>
      <c r="AD34" s="46">
        <v>6</v>
      </c>
      <c r="AE34" s="46">
        <v>6</v>
      </c>
      <c r="AF34" s="46">
        <v>6</v>
      </c>
      <c r="AG34" s="50">
        <v>22</v>
      </c>
      <c r="AH34" s="48">
        <f t="shared" si="10"/>
        <v>6</v>
      </c>
      <c r="AI34" s="49">
        <f t="shared" si="11"/>
        <v>6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10"/>
        <v>4</v>
      </c>
      <c r="AI35" s="49">
        <f t="shared" si="11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>
        <v>4</v>
      </c>
      <c r="V36" s="46">
        <v>4</v>
      </c>
      <c r="W36" s="46">
        <v>4</v>
      </c>
      <c r="X36" s="46">
        <v>4</v>
      </c>
      <c r="Y36" s="46">
        <v>4</v>
      </c>
      <c r="Z36" s="46">
        <v>4</v>
      </c>
      <c r="AA36" s="46">
        <v>4</v>
      </c>
      <c r="AB36" s="46">
        <v>4</v>
      </c>
      <c r="AC36" s="46">
        <v>4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10"/>
        <v>4</v>
      </c>
      <c r="AI36" s="49">
        <f t="shared" si="11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>
        <v>5.7</v>
      </c>
      <c r="V37" s="46">
        <v>5.7</v>
      </c>
      <c r="W37" s="46">
        <v>5.7</v>
      </c>
      <c r="X37" s="46">
        <v>5.7</v>
      </c>
      <c r="Y37" s="46">
        <v>5.7</v>
      </c>
      <c r="Z37" s="46">
        <v>5.7</v>
      </c>
      <c r="AA37" s="46">
        <v>5.7</v>
      </c>
      <c r="AB37" s="46">
        <v>5.7</v>
      </c>
      <c r="AC37" s="46">
        <v>5.7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10"/>
        <v>5.7</v>
      </c>
      <c r="AI37" s="49">
        <f t="shared" si="11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7.2</v>
      </c>
      <c r="Q38" s="46">
        <v>7.2</v>
      </c>
      <c r="R38" s="46">
        <v>7.2</v>
      </c>
      <c r="S38" s="46">
        <v>7.2</v>
      </c>
      <c r="T38" s="46">
        <v>7.2</v>
      </c>
      <c r="U38" s="46">
        <v>7.2</v>
      </c>
      <c r="V38" s="46">
        <v>7.2</v>
      </c>
      <c r="W38" s="46">
        <v>7.2</v>
      </c>
      <c r="X38" s="46">
        <v>7.2</v>
      </c>
      <c r="Y38" s="46">
        <v>7.2</v>
      </c>
      <c r="Z38" s="46">
        <v>7.2</v>
      </c>
      <c r="AA38" s="46">
        <v>7.2</v>
      </c>
      <c r="AB38" s="46">
        <v>7.2</v>
      </c>
      <c r="AC38" s="46">
        <v>7.2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10"/>
        <v>7.2</v>
      </c>
      <c r="AI38" s="49">
        <f t="shared" si="11"/>
        <v>7.2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10"/>
        <v>0</v>
      </c>
      <c r="AI39" s="49">
        <f t="shared" si="11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8</v>
      </c>
      <c r="C40" s="46">
        <v>8</v>
      </c>
      <c r="D40" s="46">
        <v>8</v>
      </c>
      <c r="E40" s="46">
        <v>8</v>
      </c>
      <c r="F40" s="46">
        <v>8</v>
      </c>
      <c r="G40" s="46">
        <v>8</v>
      </c>
      <c r="H40" s="46">
        <v>8</v>
      </c>
      <c r="I40" s="46">
        <v>8</v>
      </c>
      <c r="J40" s="46">
        <v>8</v>
      </c>
      <c r="K40" s="46">
        <v>8</v>
      </c>
      <c r="L40" s="46">
        <v>8</v>
      </c>
      <c r="M40" s="46">
        <v>8</v>
      </c>
      <c r="N40" s="46">
        <v>8</v>
      </c>
      <c r="O40" s="46">
        <v>8</v>
      </c>
      <c r="P40" s="46">
        <v>8</v>
      </c>
      <c r="Q40" s="46">
        <v>8</v>
      </c>
      <c r="R40" s="46">
        <v>8</v>
      </c>
      <c r="S40" s="46">
        <v>8</v>
      </c>
      <c r="T40" s="46">
        <v>8</v>
      </c>
      <c r="U40" s="46">
        <v>8</v>
      </c>
      <c r="V40" s="46">
        <v>8</v>
      </c>
      <c r="W40" s="46">
        <v>8</v>
      </c>
      <c r="X40" s="46">
        <v>8</v>
      </c>
      <c r="Y40" s="46">
        <v>8</v>
      </c>
      <c r="Z40" s="46">
        <v>8</v>
      </c>
      <c r="AA40" s="46">
        <v>8</v>
      </c>
      <c r="AB40" s="46">
        <v>8</v>
      </c>
      <c r="AC40" s="46">
        <v>8</v>
      </c>
      <c r="AD40" s="46">
        <v>8</v>
      </c>
      <c r="AE40" s="46">
        <v>8</v>
      </c>
      <c r="AF40" s="46">
        <v>8</v>
      </c>
      <c r="AG40" s="50">
        <v>14.9</v>
      </c>
      <c r="AH40" s="48">
        <f t="shared" si="10"/>
        <v>8</v>
      </c>
      <c r="AI40" s="49">
        <f t="shared" si="11"/>
        <v>8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10"/>
        <v>4</v>
      </c>
      <c r="AI41" s="49">
        <f t="shared" si="11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>
        <v>1.8</v>
      </c>
      <c r="V42" s="46">
        <v>1.8</v>
      </c>
      <c r="W42" s="46">
        <v>1.8</v>
      </c>
      <c r="X42" s="46">
        <v>1.8</v>
      </c>
      <c r="Y42" s="46">
        <v>1.8</v>
      </c>
      <c r="Z42" s="46">
        <v>1.8</v>
      </c>
      <c r="AA42" s="46">
        <v>1.8</v>
      </c>
      <c r="AB42" s="46">
        <v>1.8</v>
      </c>
      <c r="AC42" s="46">
        <v>1.8</v>
      </c>
      <c r="AD42" s="46">
        <v>1.8</v>
      </c>
      <c r="AE42" s="46">
        <v>1.8</v>
      </c>
      <c r="AF42" s="46">
        <v>1.8</v>
      </c>
      <c r="AG42" s="50">
        <v>13.6</v>
      </c>
      <c r="AH42" s="48">
        <f t="shared" si="10"/>
        <v>1.8</v>
      </c>
      <c r="AI42" s="49">
        <f t="shared" si="11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>
        <v>3.8</v>
      </c>
      <c r="V43" s="46">
        <v>3.8</v>
      </c>
      <c r="W43" s="46">
        <v>3.8</v>
      </c>
      <c r="X43" s="46">
        <v>3.8</v>
      </c>
      <c r="Y43" s="46">
        <v>3.8</v>
      </c>
      <c r="Z43" s="46">
        <v>3.8</v>
      </c>
      <c r="AA43" s="46">
        <v>3.8</v>
      </c>
      <c r="AB43" s="46">
        <v>3.8</v>
      </c>
      <c r="AC43" s="46">
        <v>3.8</v>
      </c>
      <c r="AD43" s="46">
        <v>3.8</v>
      </c>
      <c r="AE43" s="46">
        <v>3.8</v>
      </c>
      <c r="AF43" s="46">
        <v>3.8</v>
      </c>
      <c r="AG43" s="50">
        <v>13</v>
      </c>
      <c r="AH43" s="48">
        <f t="shared" si="10"/>
        <v>3.8</v>
      </c>
      <c r="AI43" s="49">
        <f t="shared" si="11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6.4</v>
      </c>
      <c r="C44" s="46">
        <v>6.4</v>
      </c>
      <c r="D44" s="46">
        <v>6.4</v>
      </c>
      <c r="E44" s="46">
        <v>6.4</v>
      </c>
      <c r="F44" s="46">
        <v>6.4</v>
      </c>
      <c r="G44" s="46">
        <v>6.4</v>
      </c>
      <c r="H44" s="46">
        <v>6.4</v>
      </c>
      <c r="I44" s="46">
        <v>6.4</v>
      </c>
      <c r="J44" s="46">
        <v>6.4</v>
      </c>
      <c r="K44" s="46">
        <v>6.4</v>
      </c>
      <c r="L44" s="46">
        <v>6.4</v>
      </c>
      <c r="M44" s="46">
        <v>6.4</v>
      </c>
      <c r="N44" s="46">
        <v>6.4</v>
      </c>
      <c r="O44" s="46">
        <v>6.4</v>
      </c>
      <c r="P44" s="46">
        <v>6.4</v>
      </c>
      <c r="Q44" s="46">
        <v>6.4</v>
      </c>
      <c r="R44" s="46">
        <v>6.4</v>
      </c>
      <c r="S44" s="46">
        <v>6.4</v>
      </c>
      <c r="T44" s="46">
        <v>6.4</v>
      </c>
      <c r="U44" s="46">
        <v>6.4</v>
      </c>
      <c r="V44" s="46">
        <v>6.4</v>
      </c>
      <c r="W44" s="46">
        <v>6.4</v>
      </c>
      <c r="X44" s="46">
        <v>6.4</v>
      </c>
      <c r="Y44" s="46">
        <v>6.4</v>
      </c>
      <c r="Z44" s="46">
        <v>6.4</v>
      </c>
      <c r="AA44" s="46">
        <v>6.4</v>
      </c>
      <c r="AB44" s="46">
        <v>6.4</v>
      </c>
      <c r="AC44" s="46">
        <v>6.4</v>
      </c>
      <c r="AD44" s="46">
        <v>6.4</v>
      </c>
      <c r="AE44" s="46">
        <v>6.4</v>
      </c>
      <c r="AF44" s="46">
        <v>6.4</v>
      </c>
      <c r="AG44" s="50">
        <v>12</v>
      </c>
      <c r="AH44" s="48">
        <f t="shared" si="10"/>
        <v>6.4</v>
      </c>
      <c r="AI44" s="49">
        <f t="shared" si="11"/>
        <v>6.4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>
        <v>9</v>
      </c>
      <c r="V45" s="46">
        <v>9</v>
      </c>
      <c r="W45" s="46">
        <v>9</v>
      </c>
      <c r="X45" s="46">
        <v>9</v>
      </c>
      <c r="Y45" s="46">
        <v>9</v>
      </c>
      <c r="Z45" s="46">
        <v>9</v>
      </c>
      <c r="AA45" s="46">
        <v>9</v>
      </c>
      <c r="AB45" s="46">
        <v>9</v>
      </c>
      <c r="AC45" s="46">
        <v>9</v>
      </c>
      <c r="AD45" s="46">
        <v>9</v>
      </c>
      <c r="AE45" s="46">
        <v>9</v>
      </c>
      <c r="AF45" s="46">
        <v>9</v>
      </c>
      <c r="AG45" s="50">
        <v>12</v>
      </c>
      <c r="AH45" s="48">
        <f t="shared" si="10"/>
        <v>9</v>
      </c>
      <c r="AI45" s="49">
        <f t="shared" si="11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10"/>
        <v>3</v>
      </c>
      <c r="AI46" s="49">
        <f t="shared" si="11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>
        <v>3.5</v>
      </c>
      <c r="V47" s="46">
        <v>3.5</v>
      </c>
      <c r="W47" s="46">
        <v>3.5</v>
      </c>
      <c r="X47" s="46">
        <v>3.5</v>
      </c>
      <c r="Y47" s="46">
        <v>3.5</v>
      </c>
      <c r="Z47" s="46">
        <v>3.5</v>
      </c>
      <c r="AA47" s="46">
        <v>3.5</v>
      </c>
      <c r="AB47" s="46">
        <v>3.5</v>
      </c>
      <c r="AC47" s="46">
        <v>3.5</v>
      </c>
      <c r="AD47" s="46">
        <v>3.5</v>
      </c>
      <c r="AE47" s="46">
        <v>3.5</v>
      </c>
      <c r="AF47" s="46">
        <v>3.5</v>
      </c>
      <c r="AG47" s="63">
        <v>22</v>
      </c>
      <c r="AH47" s="48">
        <f t="shared" si="10"/>
        <v>3.5</v>
      </c>
      <c r="AI47" s="49">
        <f t="shared" si="11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>
        <v>5</v>
      </c>
      <c r="V48" s="46">
        <v>5</v>
      </c>
      <c r="W48" s="46">
        <v>5</v>
      </c>
      <c r="X48" s="46">
        <v>5</v>
      </c>
      <c r="Y48" s="46">
        <v>5</v>
      </c>
      <c r="Z48" s="46">
        <v>5</v>
      </c>
      <c r="AA48" s="46">
        <v>5</v>
      </c>
      <c r="AB48" s="46">
        <v>5</v>
      </c>
      <c r="AC48" s="46">
        <v>5</v>
      </c>
      <c r="AD48" s="46">
        <v>5</v>
      </c>
      <c r="AE48" s="46">
        <v>5</v>
      </c>
      <c r="AF48" s="46">
        <v>5</v>
      </c>
      <c r="AG48" s="60">
        <v>11.88</v>
      </c>
      <c r="AH48" s="48">
        <f t="shared" si="10"/>
        <v>5</v>
      </c>
      <c r="AI48" s="49">
        <f t="shared" si="11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5">
        <v>11</v>
      </c>
      <c r="AH49" s="48">
        <f t="shared" si="10"/>
        <v>3</v>
      </c>
      <c r="AI49" s="49">
        <f t="shared" si="11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4" t="s">
        <v>67</v>
      </c>
      <c r="B50" s="46">
        <v>2.4500000000000002</v>
      </c>
      <c r="C50" s="46">
        <v>2.4500000000000002</v>
      </c>
      <c r="D50" s="46">
        <v>2.4500000000000002</v>
      </c>
      <c r="E50" s="46">
        <v>2.4500000000000002</v>
      </c>
      <c r="F50" s="46">
        <v>2.4500000000000002</v>
      </c>
      <c r="G50" s="46">
        <v>2.4500000000000002</v>
      </c>
      <c r="H50" s="46">
        <v>2.4500000000000002</v>
      </c>
      <c r="I50" s="46">
        <v>2.4500000000000002</v>
      </c>
      <c r="J50" s="46">
        <v>2.4500000000000002</v>
      </c>
      <c r="K50" s="46">
        <v>2.4500000000000002</v>
      </c>
      <c r="L50" s="46">
        <v>2.4500000000000002</v>
      </c>
      <c r="M50" s="46">
        <v>2.4500000000000002</v>
      </c>
      <c r="N50" s="46">
        <v>2.4500000000000002</v>
      </c>
      <c r="O50" s="46">
        <v>2.4500000000000002</v>
      </c>
      <c r="P50" s="46">
        <v>2.4500000000000002</v>
      </c>
      <c r="Q50" s="46">
        <v>2.4500000000000002</v>
      </c>
      <c r="R50" s="46">
        <v>2.4500000000000002</v>
      </c>
      <c r="S50" s="46">
        <v>2.4500000000000002</v>
      </c>
      <c r="T50" s="46">
        <v>2.4500000000000002</v>
      </c>
      <c r="U50" s="46">
        <v>2.4500000000000002</v>
      </c>
      <c r="V50" s="46">
        <v>2.4500000000000002</v>
      </c>
      <c r="W50" s="46">
        <v>2.4500000000000002</v>
      </c>
      <c r="X50" s="46">
        <v>2.4500000000000002</v>
      </c>
      <c r="Y50" s="46">
        <v>2.4500000000000002</v>
      </c>
      <c r="Z50" s="46">
        <v>2.4500000000000002</v>
      </c>
      <c r="AA50" s="46">
        <v>2.4500000000000002</v>
      </c>
      <c r="AB50" s="46">
        <v>2.4500000000000002</v>
      </c>
      <c r="AC50" s="46">
        <v>2.4500000000000002</v>
      </c>
      <c r="AD50" s="46">
        <v>2.4500000000000002</v>
      </c>
      <c r="AE50" s="46">
        <v>2.4500000000000002</v>
      </c>
      <c r="AF50" s="46">
        <v>2.4500000000000002</v>
      </c>
      <c r="AG50" s="65">
        <v>11</v>
      </c>
      <c r="AH50" s="48">
        <f t="shared" si="10"/>
        <v>2.4500000000000002</v>
      </c>
      <c r="AI50" s="49">
        <f t="shared" si="11"/>
        <v>2.4500000000000002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65">
        <v>11</v>
      </c>
      <c r="AH51" s="48">
        <f t="shared" si="10"/>
        <v>3</v>
      </c>
      <c r="AI51" s="49">
        <f t="shared" si="11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5">
        <v>10</v>
      </c>
      <c r="AH52" s="48">
        <f t="shared" si="10"/>
        <v>4</v>
      </c>
      <c r="AI52" s="49">
        <f t="shared" si="11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>
        <v>4.5</v>
      </c>
      <c r="V53" s="46">
        <v>4.5</v>
      </c>
      <c r="W53" s="46">
        <v>4.5</v>
      </c>
      <c r="X53" s="46">
        <v>4.5</v>
      </c>
      <c r="Y53" s="46">
        <v>4.5</v>
      </c>
      <c r="Z53" s="46">
        <v>4.5</v>
      </c>
      <c r="AA53" s="46">
        <v>4.5</v>
      </c>
      <c r="AB53" s="46">
        <v>4.5</v>
      </c>
      <c r="AC53" s="46">
        <v>4.5</v>
      </c>
      <c r="AD53" s="46">
        <v>4.5</v>
      </c>
      <c r="AE53" s="46">
        <v>4.5</v>
      </c>
      <c r="AF53" s="46">
        <v>4.5</v>
      </c>
      <c r="AG53" s="65">
        <v>10</v>
      </c>
      <c r="AH53" s="48">
        <f t="shared" si="10"/>
        <v>4.5</v>
      </c>
      <c r="AI53" s="49">
        <f t="shared" si="11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5">
        <v>10</v>
      </c>
      <c r="AH54" s="48">
        <f t="shared" si="10"/>
        <v>0</v>
      </c>
      <c r="AI54" s="49">
        <f t="shared" si="11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5">
        <v>10</v>
      </c>
      <c r="AH55" s="48">
        <f t="shared" si="10"/>
        <v>0</v>
      </c>
      <c r="AI55" s="49">
        <f t="shared" si="11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>
        <v>150</v>
      </c>
      <c r="W56" s="67">
        <v>150</v>
      </c>
      <c r="X56" s="67">
        <v>150</v>
      </c>
      <c r="Y56" s="67">
        <v>150</v>
      </c>
      <c r="Z56" s="67">
        <v>150</v>
      </c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10"/>
        <v>150</v>
      </c>
      <c r="AI56" s="49">
        <f t="shared" si="11"/>
        <v>150</v>
      </c>
      <c r="AK56" s="51"/>
    </row>
    <row r="57" spans="1:88" ht="15.75" thickBot="1" x14ac:dyDescent="0.3">
      <c r="A57" s="68" t="s">
        <v>74</v>
      </c>
      <c r="B57" s="67">
        <v>22.2</v>
      </c>
      <c r="C57" s="67">
        <v>22.2</v>
      </c>
      <c r="D57" s="67">
        <v>22.2</v>
      </c>
      <c r="E57" s="67">
        <v>22.2</v>
      </c>
      <c r="F57" s="67">
        <v>29</v>
      </c>
      <c r="G57" s="67">
        <v>29</v>
      </c>
      <c r="H57" s="67">
        <v>29.5</v>
      </c>
      <c r="I57" s="67">
        <v>26.9</v>
      </c>
      <c r="J57" s="67">
        <v>26.9</v>
      </c>
      <c r="K57" s="67">
        <v>26.9</v>
      </c>
      <c r="L57" s="67">
        <v>26.9</v>
      </c>
      <c r="M57" s="53">
        <f>16.3+11.5</f>
        <v>27.8</v>
      </c>
      <c r="N57" s="53">
        <f>16.1+12.2</f>
        <v>28.3</v>
      </c>
      <c r="O57" s="53">
        <f>16.5+10.7</f>
        <v>27.2</v>
      </c>
      <c r="P57" s="53">
        <f>12.4+5.5</f>
        <v>17.899999999999999</v>
      </c>
      <c r="Q57" s="53">
        <f>16+11.2</f>
        <v>27.2</v>
      </c>
      <c r="R57" s="53">
        <f>16+11.2</f>
        <v>27.2</v>
      </c>
      <c r="S57" s="53">
        <v>29.2</v>
      </c>
      <c r="T57" s="53">
        <v>28.1</v>
      </c>
      <c r="U57" s="53">
        <v>26</v>
      </c>
      <c r="V57" s="53">
        <v>24</v>
      </c>
      <c r="W57" s="53">
        <v>22</v>
      </c>
      <c r="X57" s="53">
        <v>23</v>
      </c>
      <c r="Y57" s="53">
        <v>19</v>
      </c>
      <c r="Z57" s="53">
        <v>19</v>
      </c>
      <c r="AA57" s="53">
        <v>19</v>
      </c>
      <c r="AB57" s="53">
        <v>18.8</v>
      </c>
      <c r="AC57" s="53">
        <v>19.2</v>
      </c>
      <c r="AD57" s="53">
        <v>19.2</v>
      </c>
      <c r="AE57" s="53">
        <v>19.2</v>
      </c>
      <c r="AF57" s="53">
        <v>26.1</v>
      </c>
      <c r="AG57" s="65">
        <v>240</v>
      </c>
      <c r="AH57" s="48">
        <f t="shared" si="10"/>
        <v>29.5</v>
      </c>
      <c r="AI57" s="49">
        <f t="shared" si="11"/>
        <v>17.899999999999999</v>
      </c>
      <c r="AK57" s="51"/>
    </row>
    <row r="58" spans="1:88" ht="15.75" thickBot="1" x14ac:dyDescent="0.3">
      <c r="A58" s="69" t="s">
        <v>75</v>
      </c>
      <c r="B58" s="70">
        <f t="shared" ref="B58:AA58" si="29">SUM(B11:B56)</f>
        <v>480.95</v>
      </c>
      <c r="C58" s="70">
        <f t="shared" si="29"/>
        <v>480.95</v>
      </c>
      <c r="D58" s="70">
        <f t="shared" si="29"/>
        <v>480.95</v>
      </c>
      <c r="E58" s="70">
        <f t="shared" ref="E58" si="30">SUM(E11:E56)</f>
        <v>480.84999999999997</v>
      </c>
      <c r="F58" s="70">
        <f t="shared" si="29"/>
        <v>480.84999999999997</v>
      </c>
      <c r="G58" s="70">
        <f t="shared" ref="G58" si="31">SUM(G11:G56)</f>
        <v>480.84999999999997</v>
      </c>
      <c r="H58" s="70">
        <f t="shared" si="29"/>
        <v>480.84999999999997</v>
      </c>
      <c r="I58" s="70">
        <f t="shared" si="29"/>
        <v>483.95</v>
      </c>
      <c r="J58" s="70">
        <f t="shared" si="29"/>
        <v>483.95</v>
      </c>
      <c r="K58" s="70">
        <f t="shared" si="29"/>
        <v>483.95</v>
      </c>
      <c r="L58" s="70">
        <f t="shared" si="29"/>
        <v>482.74999999999994</v>
      </c>
      <c r="M58" s="70">
        <f t="shared" si="29"/>
        <v>482.95</v>
      </c>
      <c r="N58" s="70">
        <f t="shared" si="29"/>
        <v>481.54999999999995</v>
      </c>
      <c r="O58" s="70">
        <f t="shared" si="29"/>
        <v>481.54999999999995</v>
      </c>
      <c r="P58" s="70">
        <f t="shared" si="29"/>
        <v>480.95</v>
      </c>
      <c r="Q58" s="70">
        <f t="shared" si="29"/>
        <v>480.74999999999994</v>
      </c>
      <c r="R58" s="70">
        <f t="shared" ref="R58" si="32">SUM(R11:R56)</f>
        <v>477.15</v>
      </c>
      <c r="S58" s="70">
        <f t="shared" si="29"/>
        <v>477.15</v>
      </c>
      <c r="T58" s="70">
        <f t="shared" si="29"/>
        <v>477.15</v>
      </c>
      <c r="U58" s="70">
        <f t="shared" si="29"/>
        <v>477.15</v>
      </c>
      <c r="V58" s="70">
        <f t="shared" si="29"/>
        <v>477.15</v>
      </c>
      <c r="W58" s="70">
        <f t="shared" si="29"/>
        <v>477.15</v>
      </c>
      <c r="X58" s="70">
        <f t="shared" si="29"/>
        <v>477.15</v>
      </c>
      <c r="Y58" s="70">
        <f t="shared" si="29"/>
        <v>477.15</v>
      </c>
      <c r="Z58" s="70">
        <f t="shared" si="29"/>
        <v>477.15</v>
      </c>
      <c r="AA58" s="70">
        <f t="shared" si="29"/>
        <v>477.15</v>
      </c>
      <c r="AB58" s="70">
        <f t="shared" ref="AB58:AC58" si="33">SUM(AB11:AB56)</f>
        <v>477.15</v>
      </c>
      <c r="AC58" s="70">
        <f t="shared" si="33"/>
        <v>477.15</v>
      </c>
      <c r="AD58" s="70">
        <f t="shared" ref="AD58:AE58" si="34">SUM(AD11:AD56)</f>
        <v>477.15</v>
      </c>
      <c r="AE58" s="70">
        <f t="shared" si="34"/>
        <v>477.15</v>
      </c>
      <c r="AF58" s="70">
        <f t="shared" ref="AF58" si="35">SUM(AF11:AF56)</f>
        <v>477.15</v>
      </c>
      <c r="AG58" s="71">
        <f>SUM(AG14:AG56)</f>
        <v>1042.4000000000001</v>
      </c>
      <c r="AH58" s="48">
        <f t="shared" si="10"/>
        <v>483.95</v>
      </c>
      <c r="AI58" s="49">
        <f t="shared" si="11"/>
        <v>477.15</v>
      </c>
      <c r="AK58" s="51"/>
    </row>
    <row r="59" spans="1:88" x14ac:dyDescent="0.25">
      <c r="A59" s="72" t="s">
        <v>76</v>
      </c>
      <c r="B59" s="46">
        <v>70</v>
      </c>
      <c r="C59" s="46">
        <v>70</v>
      </c>
      <c r="D59" s="46">
        <v>70</v>
      </c>
      <c r="E59" s="46">
        <v>70</v>
      </c>
      <c r="F59" s="46">
        <v>70</v>
      </c>
      <c r="G59" s="46">
        <v>70</v>
      </c>
      <c r="H59" s="46">
        <v>60</v>
      </c>
      <c r="I59" s="46">
        <v>70</v>
      </c>
      <c r="J59" s="46">
        <v>0</v>
      </c>
      <c r="K59" s="46">
        <v>0</v>
      </c>
      <c r="L59" s="46">
        <v>0</v>
      </c>
      <c r="M59" s="46">
        <v>0</v>
      </c>
      <c r="N59" s="46">
        <v>0</v>
      </c>
      <c r="O59" s="46">
        <v>0</v>
      </c>
      <c r="P59" s="46">
        <v>0</v>
      </c>
      <c r="Q59" s="73">
        <v>0</v>
      </c>
      <c r="R59" s="73">
        <v>0</v>
      </c>
      <c r="S59" s="73">
        <v>0</v>
      </c>
      <c r="T59" s="73">
        <v>0</v>
      </c>
      <c r="U59" s="73">
        <v>0</v>
      </c>
      <c r="V59" s="73">
        <v>0</v>
      </c>
      <c r="W59" s="73">
        <v>0</v>
      </c>
      <c r="X59" s="73">
        <v>0</v>
      </c>
      <c r="Y59" s="73">
        <v>304</v>
      </c>
      <c r="Z59" s="46">
        <v>421</v>
      </c>
      <c r="AA59" s="46">
        <v>422</v>
      </c>
      <c r="AB59" s="46">
        <v>343</v>
      </c>
      <c r="AC59" s="46">
        <v>281.39999999999998</v>
      </c>
      <c r="AD59" s="46">
        <v>201</v>
      </c>
      <c r="AE59" s="46">
        <v>100.6</v>
      </c>
      <c r="AF59" s="46">
        <v>70.5</v>
      </c>
      <c r="AG59" s="60">
        <v>456</v>
      </c>
      <c r="AH59" s="48">
        <f t="shared" si="10"/>
        <v>422</v>
      </c>
      <c r="AI59" s="49">
        <f t="shared" si="11"/>
        <v>0</v>
      </c>
      <c r="AK59" s="51"/>
    </row>
    <row r="60" spans="1:88" x14ac:dyDescent="0.25">
      <c r="A60" s="74" t="s">
        <v>77</v>
      </c>
      <c r="B60" s="75">
        <v>20.7</v>
      </c>
      <c r="C60" s="75">
        <v>20.7</v>
      </c>
      <c r="D60" s="75">
        <v>20.7</v>
      </c>
      <c r="E60" s="75">
        <v>20.7</v>
      </c>
      <c r="F60" s="75">
        <v>20.7</v>
      </c>
      <c r="G60" s="75">
        <v>20.7</v>
      </c>
      <c r="H60" s="75">
        <v>20.6</v>
      </c>
      <c r="I60" s="75">
        <v>20.6</v>
      </c>
      <c r="J60" s="75">
        <v>20.6</v>
      </c>
      <c r="K60" s="75">
        <v>20.6</v>
      </c>
      <c r="L60" s="75">
        <v>20.6</v>
      </c>
      <c r="M60" s="75">
        <v>20.6</v>
      </c>
      <c r="N60" s="75">
        <v>20.6</v>
      </c>
      <c r="O60" s="75">
        <v>20.6</v>
      </c>
      <c r="P60" s="75">
        <v>20.6</v>
      </c>
      <c r="Q60" s="75">
        <v>20.6</v>
      </c>
      <c r="R60" s="75">
        <v>20.6</v>
      </c>
      <c r="S60" s="75">
        <v>20.6</v>
      </c>
      <c r="T60" s="75">
        <v>20.6</v>
      </c>
      <c r="U60" s="75">
        <v>20.6</v>
      </c>
      <c r="V60" s="75">
        <v>20.6</v>
      </c>
      <c r="W60" s="75">
        <v>20.6</v>
      </c>
      <c r="X60" s="75">
        <v>20.6</v>
      </c>
      <c r="Y60" s="75">
        <v>20.6</v>
      </c>
      <c r="Z60" s="75">
        <v>20.6</v>
      </c>
      <c r="AA60" s="75">
        <v>20.6</v>
      </c>
      <c r="AB60" s="75">
        <v>20.6</v>
      </c>
      <c r="AC60" s="75">
        <v>20.6</v>
      </c>
      <c r="AD60" s="75">
        <v>20.6</v>
      </c>
      <c r="AE60" s="75">
        <v>20.6</v>
      </c>
      <c r="AF60" s="75">
        <v>20.6</v>
      </c>
      <c r="AG60" s="65">
        <v>60</v>
      </c>
      <c r="AH60" s="48">
        <f t="shared" si="10"/>
        <v>20.7</v>
      </c>
      <c r="AI60" s="49">
        <f t="shared" si="11"/>
        <v>20.6</v>
      </c>
      <c r="AK60" s="51"/>
    </row>
    <row r="61" spans="1:88" ht="15.75" thickBot="1" x14ac:dyDescent="0.3">
      <c r="A61" s="76" t="s">
        <v>78</v>
      </c>
      <c r="B61" s="77">
        <v>15.2</v>
      </c>
      <c r="C61" s="77">
        <v>15.2</v>
      </c>
      <c r="D61" s="77">
        <v>15.2</v>
      </c>
      <c r="E61" s="77">
        <v>11.6</v>
      </c>
      <c r="F61" s="77">
        <v>11.6</v>
      </c>
      <c r="G61" s="77">
        <v>11.6</v>
      </c>
      <c r="H61" s="77">
        <v>11.6</v>
      </c>
      <c r="I61" s="77">
        <v>11.6</v>
      </c>
      <c r="J61" s="77">
        <v>11.6</v>
      </c>
      <c r="K61" s="77">
        <v>11.6</v>
      </c>
      <c r="L61" s="77">
        <v>11.6</v>
      </c>
      <c r="M61" s="77">
        <v>11.6</v>
      </c>
      <c r="N61" s="77">
        <v>11.6</v>
      </c>
      <c r="O61" s="77">
        <v>11.6</v>
      </c>
      <c r="P61" s="77">
        <v>11.6</v>
      </c>
      <c r="Q61" s="77">
        <v>9.1</v>
      </c>
      <c r="R61" s="77">
        <v>9.1</v>
      </c>
      <c r="S61" s="77">
        <v>9.1</v>
      </c>
      <c r="T61" s="77">
        <v>9.1</v>
      </c>
      <c r="U61" s="77">
        <v>9.1</v>
      </c>
      <c r="V61" s="77">
        <v>9.1</v>
      </c>
      <c r="W61" s="77">
        <v>9.1</v>
      </c>
      <c r="X61" s="77">
        <v>9.1</v>
      </c>
      <c r="Y61" s="77">
        <v>9.1</v>
      </c>
      <c r="Z61" s="77">
        <v>13.3</v>
      </c>
      <c r="AA61" s="77">
        <v>13.3</v>
      </c>
      <c r="AB61" s="77">
        <v>13.3</v>
      </c>
      <c r="AC61" s="77">
        <v>13.3</v>
      </c>
      <c r="AD61" s="77">
        <v>13.3</v>
      </c>
      <c r="AE61" s="77">
        <v>13.3</v>
      </c>
      <c r="AF61" s="77">
        <v>13.3</v>
      </c>
      <c r="AG61" s="78">
        <v>22.1</v>
      </c>
      <c r="AH61" s="48">
        <f t="shared" si="10"/>
        <v>15.2</v>
      </c>
      <c r="AI61" s="49">
        <f t="shared" si="11"/>
        <v>9.1</v>
      </c>
      <c r="AK61" s="51"/>
    </row>
    <row r="62" spans="1:88" ht="15.75" thickBot="1" x14ac:dyDescent="0.3">
      <c r="A62" s="79" t="s">
        <v>79</v>
      </c>
      <c r="B62" s="70">
        <f t="shared" ref="B62:AG62" si="36">SUM(B59:B61)</f>
        <v>105.9</v>
      </c>
      <c r="C62" s="70">
        <f t="shared" si="36"/>
        <v>105.9</v>
      </c>
      <c r="D62" s="70">
        <f t="shared" si="36"/>
        <v>105.9</v>
      </c>
      <c r="E62" s="70">
        <f t="shared" si="36"/>
        <v>102.3</v>
      </c>
      <c r="F62" s="70">
        <f t="shared" si="36"/>
        <v>102.3</v>
      </c>
      <c r="G62" s="70">
        <f t="shared" si="36"/>
        <v>102.3</v>
      </c>
      <c r="H62" s="70">
        <f t="shared" si="36"/>
        <v>92.199999999999989</v>
      </c>
      <c r="I62" s="70">
        <f t="shared" si="36"/>
        <v>102.19999999999999</v>
      </c>
      <c r="J62" s="70">
        <f t="shared" si="36"/>
        <v>32.200000000000003</v>
      </c>
      <c r="K62" s="70">
        <f t="shared" si="36"/>
        <v>32.200000000000003</v>
      </c>
      <c r="L62" s="70">
        <f t="shared" si="36"/>
        <v>32.200000000000003</v>
      </c>
      <c r="M62" s="70">
        <f t="shared" si="36"/>
        <v>32.200000000000003</v>
      </c>
      <c r="N62" s="70">
        <f t="shared" si="36"/>
        <v>32.200000000000003</v>
      </c>
      <c r="O62" s="70">
        <f t="shared" si="36"/>
        <v>32.200000000000003</v>
      </c>
      <c r="P62" s="70">
        <f t="shared" si="36"/>
        <v>32.200000000000003</v>
      </c>
      <c r="Q62" s="70">
        <f t="shared" si="36"/>
        <v>29.700000000000003</v>
      </c>
      <c r="R62" s="70">
        <f t="shared" ref="R62" si="37">SUM(R59:R61)</f>
        <v>29.700000000000003</v>
      </c>
      <c r="S62" s="70">
        <f t="shared" si="36"/>
        <v>29.700000000000003</v>
      </c>
      <c r="T62" s="70">
        <f t="shared" si="36"/>
        <v>29.700000000000003</v>
      </c>
      <c r="U62" s="70">
        <f t="shared" si="36"/>
        <v>29.700000000000003</v>
      </c>
      <c r="V62" s="70">
        <f t="shared" si="36"/>
        <v>29.700000000000003</v>
      </c>
      <c r="W62" s="70">
        <f t="shared" si="36"/>
        <v>29.700000000000003</v>
      </c>
      <c r="X62" s="70">
        <f t="shared" si="36"/>
        <v>29.700000000000003</v>
      </c>
      <c r="Y62" s="70">
        <f t="shared" si="36"/>
        <v>333.70000000000005</v>
      </c>
      <c r="Z62" s="70">
        <f t="shared" si="36"/>
        <v>454.90000000000003</v>
      </c>
      <c r="AA62" s="70">
        <f t="shared" si="36"/>
        <v>455.90000000000003</v>
      </c>
      <c r="AB62" s="70">
        <f t="shared" ref="AB62:AC62" si="38">SUM(AB59:AB61)</f>
        <v>376.90000000000003</v>
      </c>
      <c r="AC62" s="70">
        <f t="shared" si="38"/>
        <v>315.3</v>
      </c>
      <c r="AD62" s="70">
        <f t="shared" ref="AD62:AE62" si="39">SUM(AD59:AD61)</f>
        <v>234.9</v>
      </c>
      <c r="AE62" s="70">
        <f t="shared" si="39"/>
        <v>134.5</v>
      </c>
      <c r="AF62" s="70">
        <f t="shared" ref="AF62" si="40">SUM(AF59:AF61)</f>
        <v>104.39999999999999</v>
      </c>
      <c r="AG62" s="71">
        <f t="shared" si="36"/>
        <v>538.1</v>
      </c>
      <c r="AH62" s="48">
        <f t="shared" si="10"/>
        <v>455.90000000000003</v>
      </c>
      <c r="AI62" s="49">
        <f t="shared" si="11"/>
        <v>29.700000000000003</v>
      </c>
      <c r="AK62" s="51"/>
    </row>
    <row r="63" spans="1:88" x14ac:dyDescent="0.25">
      <c r="A63" s="45" t="s">
        <v>80</v>
      </c>
      <c r="B63" s="46">
        <v>61</v>
      </c>
      <c r="C63" s="46">
        <v>30</v>
      </c>
      <c r="D63" s="46">
        <v>30</v>
      </c>
      <c r="E63" s="46">
        <v>30</v>
      </c>
      <c r="F63" s="46">
        <v>30</v>
      </c>
      <c r="G63" s="46">
        <v>30</v>
      </c>
      <c r="H63" s="46">
        <v>29</v>
      </c>
      <c r="I63" s="46">
        <v>29</v>
      </c>
      <c r="J63" s="46">
        <v>0</v>
      </c>
      <c r="K63" s="46">
        <v>0</v>
      </c>
      <c r="L63" s="46">
        <v>0</v>
      </c>
      <c r="M63" s="46">
        <v>35.5</v>
      </c>
      <c r="N63" s="46">
        <v>35.4</v>
      </c>
      <c r="O63" s="46">
        <v>35.4</v>
      </c>
      <c r="P63" s="46">
        <v>35.4</v>
      </c>
      <c r="Q63" s="46">
        <v>35.4</v>
      </c>
      <c r="R63" s="46">
        <v>35.4</v>
      </c>
      <c r="S63" s="46">
        <v>62</v>
      </c>
      <c r="T63" s="46">
        <v>81</v>
      </c>
      <c r="U63" s="46">
        <v>61.2</v>
      </c>
      <c r="V63" s="46">
        <v>61.2</v>
      </c>
      <c r="W63" s="46">
        <v>61.2</v>
      </c>
      <c r="X63" s="46">
        <v>61.2</v>
      </c>
      <c r="Y63" s="46">
        <v>94.1</v>
      </c>
      <c r="Z63" s="46">
        <v>140</v>
      </c>
      <c r="AA63" s="46">
        <v>130</v>
      </c>
      <c r="AB63" s="46">
        <v>126.8</v>
      </c>
      <c r="AC63" s="46">
        <v>138.30000000000001</v>
      </c>
      <c r="AD63" s="46">
        <v>123.2</v>
      </c>
      <c r="AE63" s="46">
        <v>94</v>
      </c>
      <c r="AF63" s="46">
        <v>60</v>
      </c>
      <c r="AG63" s="60">
        <v>144</v>
      </c>
      <c r="AH63" s="48">
        <f t="shared" si="10"/>
        <v>140</v>
      </c>
      <c r="AI63" s="49">
        <f t="shared" si="11"/>
        <v>0</v>
      </c>
      <c r="AK63" s="51"/>
    </row>
    <row r="64" spans="1:88" x14ac:dyDescent="0.25">
      <c r="A64" s="64" t="s">
        <v>81</v>
      </c>
      <c r="B64" s="75">
        <v>27.4</v>
      </c>
      <c r="C64" s="75">
        <v>0</v>
      </c>
      <c r="D64" s="75">
        <v>0</v>
      </c>
      <c r="E64" s="75">
        <v>0</v>
      </c>
      <c r="F64" s="75">
        <v>0</v>
      </c>
      <c r="G64" s="75">
        <v>0</v>
      </c>
      <c r="H64" s="75">
        <v>25</v>
      </c>
      <c r="I64" s="75">
        <v>25</v>
      </c>
      <c r="J64" s="75">
        <v>45</v>
      </c>
      <c r="K64" s="75">
        <v>45</v>
      </c>
      <c r="L64" s="75">
        <v>55</v>
      </c>
      <c r="M64" s="75">
        <v>51</v>
      </c>
      <c r="N64" s="75">
        <v>51.6</v>
      </c>
      <c r="O64" s="75">
        <v>68.2</v>
      </c>
      <c r="P64" s="75">
        <v>60.5</v>
      </c>
      <c r="Q64" s="75">
        <v>60</v>
      </c>
      <c r="R64" s="75">
        <v>60</v>
      </c>
      <c r="S64" s="75">
        <v>34</v>
      </c>
      <c r="T64" s="75">
        <v>0</v>
      </c>
      <c r="U64" s="75">
        <v>0</v>
      </c>
      <c r="V64" s="75">
        <v>0</v>
      </c>
      <c r="W64" s="75">
        <v>0</v>
      </c>
      <c r="X64" s="75">
        <v>0</v>
      </c>
      <c r="Y64" s="75">
        <v>49</v>
      </c>
      <c r="Z64" s="46">
        <v>59.2</v>
      </c>
      <c r="AA64" s="46">
        <v>70</v>
      </c>
      <c r="AB64" s="46">
        <v>68.2</v>
      </c>
      <c r="AC64" s="46">
        <v>65.400000000000006</v>
      </c>
      <c r="AD64" s="46">
        <v>64.099999999999994</v>
      </c>
      <c r="AE64" s="46">
        <v>34.5</v>
      </c>
      <c r="AF64" s="46">
        <v>26</v>
      </c>
      <c r="AG64" s="65">
        <v>70</v>
      </c>
      <c r="AH64" s="48">
        <f t="shared" si="10"/>
        <v>70</v>
      </c>
      <c r="AI64" s="49">
        <f t="shared" si="11"/>
        <v>0</v>
      </c>
      <c r="AK64" s="51"/>
    </row>
    <row r="65" spans="1:75" x14ac:dyDescent="0.25">
      <c r="A65" s="64" t="s">
        <v>82</v>
      </c>
      <c r="B65" s="75">
        <v>19</v>
      </c>
      <c r="C65" s="75">
        <v>19</v>
      </c>
      <c r="D65" s="75">
        <v>16</v>
      </c>
      <c r="E65" s="75">
        <v>16</v>
      </c>
      <c r="F65" s="75">
        <v>16</v>
      </c>
      <c r="G65" s="75">
        <v>16</v>
      </c>
      <c r="H65" s="75">
        <v>16</v>
      </c>
      <c r="I65" s="75">
        <v>16</v>
      </c>
      <c r="J65" s="75">
        <v>32</v>
      </c>
      <c r="K65" s="75">
        <v>32</v>
      </c>
      <c r="L65" s="75">
        <v>46</v>
      </c>
      <c r="M65" s="75">
        <v>54.3</v>
      </c>
      <c r="N65" s="75">
        <v>54.1</v>
      </c>
      <c r="O65" s="75">
        <v>54.6</v>
      </c>
      <c r="P65" s="75">
        <v>54.2</v>
      </c>
      <c r="Q65" s="75">
        <v>33</v>
      </c>
      <c r="R65" s="75">
        <v>33</v>
      </c>
      <c r="S65" s="75">
        <v>16</v>
      </c>
      <c r="T65" s="75">
        <v>22.6</v>
      </c>
      <c r="U65" s="75">
        <v>22.6</v>
      </c>
      <c r="V65" s="75">
        <v>15.8</v>
      </c>
      <c r="W65" s="75">
        <v>15.8</v>
      </c>
      <c r="X65" s="75">
        <v>15.8</v>
      </c>
      <c r="Y65" s="75">
        <v>63.3</v>
      </c>
      <c r="Z65" s="46">
        <v>64</v>
      </c>
      <c r="AA65" s="46">
        <v>68</v>
      </c>
      <c r="AB65" s="46">
        <v>67.3</v>
      </c>
      <c r="AC65" s="46">
        <v>67.3</v>
      </c>
      <c r="AD65" s="46">
        <v>68.3</v>
      </c>
      <c r="AE65" s="46">
        <v>68.3</v>
      </c>
      <c r="AF65" s="46">
        <v>64.599999999999994</v>
      </c>
      <c r="AG65" s="65">
        <v>69</v>
      </c>
      <c r="AH65" s="48">
        <f t="shared" si="10"/>
        <v>68.3</v>
      </c>
      <c r="AI65" s="49">
        <f t="shared" si="11"/>
        <v>15.8</v>
      </c>
      <c r="AK65" s="51"/>
    </row>
    <row r="66" spans="1:75" x14ac:dyDescent="0.25">
      <c r="A66" s="64" t="s">
        <v>83</v>
      </c>
      <c r="B66" s="75">
        <v>36.299999999999997</v>
      </c>
      <c r="C66" s="75">
        <v>36.299999999999997</v>
      </c>
      <c r="D66" s="75">
        <v>36.299999999999997</v>
      </c>
      <c r="E66" s="75">
        <v>36</v>
      </c>
      <c r="F66" s="75">
        <v>36</v>
      </c>
      <c r="G66" s="75">
        <v>36</v>
      </c>
      <c r="H66" s="75">
        <v>36</v>
      </c>
      <c r="I66" s="75">
        <v>36</v>
      </c>
      <c r="J66" s="75">
        <v>36</v>
      </c>
      <c r="K66" s="75">
        <v>36</v>
      </c>
      <c r="L66" s="67">
        <v>40.1</v>
      </c>
      <c r="M66" s="75">
        <v>38</v>
      </c>
      <c r="N66" s="75">
        <v>37</v>
      </c>
      <c r="O66" s="75">
        <v>36.799999999999997</v>
      </c>
      <c r="P66" s="75">
        <v>37.299999999999997</v>
      </c>
      <c r="Q66" s="75">
        <v>37.299999999999997</v>
      </c>
      <c r="R66" s="75">
        <v>37.299999999999997</v>
      </c>
      <c r="S66" s="75">
        <v>34.299999999999997</v>
      </c>
      <c r="T66" s="75">
        <v>36.5</v>
      </c>
      <c r="U66" s="75">
        <v>36.5</v>
      </c>
      <c r="V66" s="75">
        <v>36.5</v>
      </c>
      <c r="W66" s="75">
        <v>36.5</v>
      </c>
      <c r="X66" s="75">
        <v>33</v>
      </c>
      <c r="Y66" s="75">
        <v>33</v>
      </c>
      <c r="Z66" s="46">
        <v>33</v>
      </c>
      <c r="AA66" s="46">
        <v>35</v>
      </c>
      <c r="AB66" s="46">
        <v>35</v>
      </c>
      <c r="AC66" s="46">
        <v>35.200000000000003</v>
      </c>
      <c r="AD66" s="46">
        <v>35.200000000000003</v>
      </c>
      <c r="AE66" s="46">
        <v>35.200000000000003</v>
      </c>
      <c r="AF66" s="46">
        <v>35.200000000000003</v>
      </c>
      <c r="AG66" s="65">
        <v>60</v>
      </c>
      <c r="AH66" s="48">
        <f t="shared" si="10"/>
        <v>40.1</v>
      </c>
      <c r="AI66" s="49">
        <f t="shared" si="11"/>
        <v>33</v>
      </c>
      <c r="AK66" s="51"/>
    </row>
    <row r="67" spans="1:75" x14ac:dyDescent="0.25">
      <c r="A67" s="64" t="s">
        <v>84</v>
      </c>
      <c r="B67" s="46">
        <v>0</v>
      </c>
      <c r="C67" s="46">
        <v>0</v>
      </c>
      <c r="D67" s="46">
        <v>0</v>
      </c>
      <c r="E67" s="46">
        <v>0</v>
      </c>
      <c r="F67" s="46">
        <v>0</v>
      </c>
      <c r="G67" s="46">
        <v>0</v>
      </c>
      <c r="H67" s="46">
        <v>0</v>
      </c>
      <c r="I67" s="75">
        <v>10</v>
      </c>
      <c r="J67" s="75">
        <v>10.5</v>
      </c>
      <c r="K67" s="75">
        <v>10.5</v>
      </c>
      <c r="L67" s="67">
        <v>11</v>
      </c>
      <c r="M67" s="75">
        <v>10.3</v>
      </c>
      <c r="N67" s="75">
        <v>10.199999999999999</v>
      </c>
      <c r="O67" s="75">
        <v>10.199999999999999</v>
      </c>
      <c r="P67" s="75">
        <v>10.3</v>
      </c>
      <c r="Q67" s="75">
        <v>10.3</v>
      </c>
      <c r="R67" s="75">
        <v>10.3</v>
      </c>
      <c r="S67" s="75">
        <v>15</v>
      </c>
      <c r="T67" s="75">
        <v>15</v>
      </c>
      <c r="U67" s="75">
        <v>15</v>
      </c>
      <c r="V67" s="75">
        <v>15</v>
      </c>
      <c r="W67" s="75">
        <v>15</v>
      </c>
      <c r="X67" s="75">
        <v>15</v>
      </c>
      <c r="Y67" s="75">
        <v>15</v>
      </c>
      <c r="Z67" s="46">
        <v>23</v>
      </c>
      <c r="AA67" s="46">
        <v>28</v>
      </c>
      <c r="AB67" s="46">
        <v>27.8</v>
      </c>
      <c r="AC67" s="46">
        <v>27.6</v>
      </c>
      <c r="AD67" s="46">
        <v>27.6</v>
      </c>
      <c r="AE67" s="46">
        <v>27.6</v>
      </c>
      <c r="AF67" s="46">
        <v>27.6</v>
      </c>
      <c r="AG67" s="65">
        <v>30</v>
      </c>
      <c r="AH67" s="48">
        <f t="shared" si="10"/>
        <v>28</v>
      </c>
      <c r="AI67" s="49">
        <f t="shared" si="11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</row>
    <row r="68" spans="1:75" x14ac:dyDescent="0.25">
      <c r="A68" s="64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0.6</v>
      </c>
      <c r="J68" s="46">
        <v>2.5</v>
      </c>
      <c r="K68" s="46">
        <v>2.5</v>
      </c>
      <c r="L68" s="75">
        <v>3.7</v>
      </c>
      <c r="M68" s="75">
        <v>6.2</v>
      </c>
      <c r="N68" s="75">
        <v>10</v>
      </c>
      <c r="O68" s="75">
        <v>12.8</v>
      </c>
      <c r="P68" s="75">
        <v>14.7</v>
      </c>
      <c r="Q68" s="75">
        <v>14.7</v>
      </c>
      <c r="R68" s="75">
        <v>14.7</v>
      </c>
      <c r="S68" s="75">
        <v>12.3</v>
      </c>
      <c r="T68" s="75">
        <v>8.1999999999999993</v>
      </c>
      <c r="U68" s="75">
        <v>3.8</v>
      </c>
      <c r="V68" s="75">
        <v>1.1000000000000001</v>
      </c>
      <c r="W68" s="75">
        <v>0.3</v>
      </c>
      <c r="X68" s="75">
        <v>0</v>
      </c>
      <c r="Y68" s="75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5">
        <v>25</v>
      </c>
      <c r="AH68" s="48">
        <f t="shared" si="10"/>
        <v>14.7</v>
      </c>
      <c r="AI68" s="49">
        <f t="shared" si="11"/>
        <v>0</v>
      </c>
      <c r="AK68" s="51"/>
      <c r="AY68" s="1" t="s">
        <v>86</v>
      </c>
      <c r="AZ68" s="81">
        <f>ROUND(C81,0)</f>
        <v>18</v>
      </c>
      <c r="BA68" s="80">
        <f t="shared" ref="BA68:BD72" si="41">D81</f>
        <v>16</v>
      </c>
      <c r="BB68" s="80">
        <f t="shared" si="41"/>
        <v>17</v>
      </c>
      <c r="BC68" s="80">
        <f t="shared" si="41"/>
        <v>12.5</v>
      </c>
      <c r="BD68" s="80">
        <f t="shared" si="41"/>
        <v>14</v>
      </c>
      <c r="BE68" s="81">
        <f>I81</f>
        <v>34.799999999999997</v>
      </c>
      <c r="BF68" s="81">
        <f>K81</f>
        <v>69.8</v>
      </c>
      <c r="BG68" s="81">
        <f t="shared" ref="BG68:BP72" si="42">M81</f>
        <v>71</v>
      </c>
      <c r="BH68" s="81">
        <f t="shared" si="42"/>
        <v>48</v>
      </c>
      <c r="BI68" s="81">
        <f t="shared" si="42"/>
        <v>71</v>
      </c>
      <c r="BJ68" s="81">
        <f t="shared" si="42"/>
        <v>55</v>
      </c>
      <c r="BK68" s="81">
        <f t="shared" si="42"/>
        <v>70.5</v>
      </c>
      <c r="BL68" s="81">
        <f t="shared" si="42"/>
        <v>70.5</v>
      </c>
      <c r="BM68" s="81">
        <f t="shared" si="42"/>
        <v>72.099999999999994</v>
      </c>
      <c r="BN68" s="81">
        <f t="shared" si="42"/>
        <v>65.2</v>
      </c>
      <c r="BO68" s="81">
        <f t="shared" si="42"/>
        <v>74.7</v>
      </c>
      <c r="BP68" s="81">
        <f t="shared" si="42"/>
        <v>66</v>
      </c>
      <c r="BQ68" s="81">
        <f>X81</f>
        <v>67.2</v>
      </c>
      <c r="BR68" s="81">
        <f>Z81</f>
        <v>69</v>
      </c>
      <c r="BS68" s="80">
        <f>AB81</f>
        <v>25.2</v>
      </c>
      <c r="BT68" s="80">
        <f>AD81</f>
        <v>32.799999999999997</v>
      </c>
      <c r="BU68" s="80">
        <f>AE81</f>
        <v>37.4</v>
      </c>
      <c r="BV68" s="80">
        <f>AF81</f>
        <v>27.1</v>
      </c>
      <c r="BW68" s="80">
        <f>B81</f>
        <v>21</v>
      </c>
    </row>
    <row r="69" spans="1:75" x14ac:dyDescent="0.25">
      <c r="A69" s="64" t="s">
        <v>87</v>
      </c>
      <c r="B69" s="75">
        <v>15</v>
      </c>
      <c r="C69" s="75">
        <v>15</v>
      </c>
      <c r="D69" s="75">
        <v>15</v>
      </c>
      <c r="E69" s="75">
        <v>15</v>
      </c>
      <c r="F69" s="75">
        <v>15</v>
      </c>
      <c r="G69" s="75">
        <v>15</v>
      </c>
      <c r="H69" s="75">
        <v>15</v>
      </c>
      <c r="I69" s="75">
        <v>15</v>
      </c>
      <c r="J69" s="75">
        <v>15</v>
      </c>
      <c r="K69" s="75">
        <v>15</v>
      </c>
      <c r="L69" s="75">
        <v>15</v>
      </c>
      <c r="M69" s="75">
        <v>15</v>
      </c>
      <c r="N69" s="75">
        <v>15</v>
      </c>
      <c r="O69" s="75">
        <v>15</v>
      </c>
      <c r="P69" s="75">
        <v>15</v>
      </c>
      <c r="Q69" s="75">
        <v>15</v>
      </c>
      <c r="R69" s="75">
        <v>15</v>
      </c>
      <c r="S69" s="75">
        <v>15</v>
      </c>
      <c r="T69" s="75">
        <v>15</v>
      </c>
      <c r="U69" s="75">
        <v>15</v>
      </c>
      <c r="V69" s="75">
        <v>15</v>
      </c>
      <c r="W69" s="75">
        <v>15</v>
      </c>
      <c r="X69" s="75">
        <v>15</v>
      </c>
      <c r="Y69" s="75">
        <v>15</v>
      </c>
      <c r="Z69" s="75">
        <v>15</v>
      </c>
      <c r="AA69" s="75">
        <v>15</v>
      </c>
      <c r="AB69" s="75">
        <v>15</v>
      </c>
      <c r="AC69" s="75">
        <v>15</v>
      </c>
      <c r="AD69" s="75">
        <v>15</v>
      </c>
      <c r="AE69" s="75">
        <v>15</v>
      </c>
      <c r="AF69" s="75">
        <v>15</v>
      </c>
      <c r="AG69" s="65">
        <v>24</v>
      </c>
      <c r="AH69" s="48">
        <f t="shared" si="10"/>
        <v>15</v>
      </c>
      <c r="AI69" s="49">
        <f t="shared" si="11"/>
        <v>15</v>
      </c>
      <c r="AK69" s="51"/>
      <c r="AY69" s="1" t="s">
        <v>88</v>
      </c>
      <c r="AZ69" s="81">
        <f>ROUND(C82,0)</f>
        <v>0</v>
      </c>
      <c r="BA69" s="80">
        <f t="shared" si="41"/>
        <v>0</v>
      </c>
      <c r="BB69" s="80">
        <f t="shared" si="41"/>
        <v>0</v>
      </c>
      <c r="BC69" s="80">
        <f t="shared" si="41"/>
        <v>0</v>
      </c>
      <c r="BD69" s="80">
        <f t="shared" si="41"/>
        <v>0</v>
      </c>
      <c r="BE69" s="81">
        <f t="shared" ref="BE69:BE72" si="43">I82</f>
        <v>0</v>
      </c>
      <c r="BF69" s="81">
        <f t="shared" ref="BF69:BF72" si="44">K82</f>
        <v>106</v>
      </c>
      <c r="BG69" s="81">
        <f t="shared" si="42"/>
        <v>124</v>
      </c>
      <c r="BH69" s="81">
        <f t="shared" si="42"/>
        <v>118.5</v>
      </c>
      <c r="BI69" s="81" t="str">
        <f t="shared" si="42"/>
        <v>110..6</v>
      </c>
      <c r="BJ69" s="81">
        <f t="shared" si="42"/>
        <v>124</v>
      </c>
      <c r="BK69" s="81">
        <f t="shared" si="42"/>
        <v>107</v>
      </c>
      <c r="BL69" s="81">
        <f t="shared" si="42"/>
        <v>107</v>
      </c>
      <c r="BM69" s="81">
        <f t="shared" si="42"/>
        <v>114.4</v>
      </c>
      <c r="BN69" s="81">
        <f t="shared" si="42"/>
        <v>106.3</v>
      </c>
      <c r="BO69" s="81">
        <f t="shared" si="42"/>
        <v>121.7</v>
      </c>
      <c r="BP69" s="81">
        <f t="shared" si="42"/>
        <v>110.6</v>
      </c>
      <c r="BQ69" s="81">
        <f t="shared" ref="BQ69:BQ72" si="45">X82</f>
        <v>103.6</v>
      </c>
      <c r="BR69" s="81">
        <f t="shared" ref="BR69:BR72" si="46">Z82</f>
        <v>0</v>
      </c>
      <c r="BS69" s="80">
        <f t="shared" ref="BS69:BS72" si="47">AB82</f>
        <v>0</v>
      </c>
      <c r="BT69" s="80">
        <f t="shared" ref="BT69:BV72" si="48">AD82</f>
        <v>0</v>
      </c>
      <c r="BU69" s="80">
        <f t="shared" si="48"/>
        <v>0</v>
      </c>
      <c r="BV69" s="80">
        <f t="shared" si="48"/>
        <v>0</v>
      </c>
      <c r="BW69" s="80">
        <f t="shared" ref="BW69:BW72" si="49">B82</f>
        <v>0</v>
      </c>
    </row>
    <row r="70" spans="1:75" x14ac:dyDescent="0.25">
      <c r="A70" s="64" t="s">
        <v>89</v>
      </c>
      <c r="B70" s="75">
        <v>0</v>
      </c>
      <c r="C70" s="75">
        <v>0</v>
      </c>
      <c r="D70" s="75">
        <v>0</v>
      </c>
      <c r="E70" s="75">
        <v>0</v>
      </c>
      <c r="F70" s="75">
        <v>0</v>
      </c>
      <c r="G70" s="75">
        <v>0</v>
      </c>
      <c r="H70" s="75">
        <v>0</v>
      </c>
      <c r="I70" s="75">
        <v>0</v>
      </c>
      <c r="J70" s="75">
        <v>0</v>
      </c>
      <c r="K70" s="75">
        <v>0</v>
      </c>
      <c r="L70" s="75">
        <v>0</v>
      </c>
      <c r="M70" s="75">
        <v>0</v>
      </c>
      <c r="N70" s="75">
        <v>0</v>
      </c>
      <c r="O70" s="75">
        <v>0</v>
      </c>
      <c r="P70" s="75">
        <v>0</v>
      </c>
      <c r="Q70" s="75">
        <v>0</v>
      </c>
      <c r="R70" s="75">
        <v>0</v>
      </c>
      <c r="S70" s="75">
        <v>0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5">
        <v>0</v>
      </c>
      <c r="Z70" s="75">
        <v>0</v>
      </c>
      <c r="AA70" s="75">
        <v>0</v>
      </c>
      <c r="AB70" s="75">
        <v>0</v>
      </c>
      <c r="AC70" s="75">
        <v>0</v>
      </c>
      <c r="AD70" s="75">
        <v>0</v>
      </c>
      <c r="AE70" s="75">
        <v>0</v>
      </c>
      <c r="AF70" s="75">
        <v>0</v>
      </c>
      <c r="AG70" s="65">
        <v>15</v>
      </c>
      <c r="AH70" s="48">
        <f t="shared" si="10"/>
        <v>0</v>
      </c>
      <c r="AI70" s="49">
        <f t="shared" si="11"/>
        <v>0</v>
      </c>
      <c r="AK70" s="51"/>
      <c r="AL70" s="82"/>
      <c r="AO70" s="82"/>
      <c r="AY70" s="1" t="s">
        <v>90</v>
      </c>
      <c r="AZ70" s="81">
        <f>ROUND(C83,0)</f>
        <v>100</v>
      </c>
      <c r="BA70" s="80">
        <f t="shared" si="41"/>
        <v>123</v>
      </c>
      <c r="BB70" s="80">
        <f t="shared" si="41"/>
        <v>73</v>
      </c>
      <c r="BC70" s="80">
        <f t="shared" si="41"/>
        <v>77.400000000000006</v>
      </c>
      <c r="BD70" s="80">
        <f t="shared" si="41"/>
        <v>99</v>
      </c>
      <c r="BE70" s="81">
        <f t="shared" si="43"/>
        <v>147</v>
      </c>
      <c r="BF70" s="81">
        <f t="shared" si="44"/>
        <v>479</v>
      </c>
      <c r="BG70" s="81">
        <f t="shared" si="42"/>
        <v>472.4</v>
      </c>
      <c r="BH70" s="81">
        <f t="shared" si="42"/>
        <v>475</v>
      </c>
      <c r="BI70" s="81">
        <f t="shared" si="42"/>
        <v>441.1</v>
      </c>
      <c r="BJ70" s="81">
        <f t="shared" si="42"/>
        <v>478</v>
      </c>
      <c r="BK70" s="81">
        <f t="shared" si="42"/>
        <v>494</v>
      </c>
      <c r="BL70" s="81">
        <f t="shared" si="42"/>
        <v>494</v>
      </c>
      <c r="BM70" s="81">
        <f t="shared" si="42"/>
        <v>466</v>
      </c>
      <c r="BN70" s="81">
        <f t="shared" si="42"/>
        <v>483</v>
      </c>
      <c r="BO70" s="81">
        <f t="shared" si="42"/>
        <v>465</v>
      </c>
      <c r="BP70" s="81">
        <f t="shared" si="42"/>
        <v>482</v>
      </c>
      <c r="BQ70" s="81">
        <f t="shared" si="45"/>
        <v>426.3</v>
      </c>
      <c r="BR70" s="81">
        <f t="shared" si="46"/>
        <v>66</v>
      </c>
      <c r="BS70" s="80">
        <f t="shared" si="47"/>
        <v>36.200000000000003</v>
      </c>
      <c r="BT70" s="80">
        <f t="shared" si="48"/>
        <v>85.8</v>
      </c>
      <c r="BU70" s="80">
        <f t="shared" si="48"/>
        <v>105.5</v>
      </c>
      <c r="BV70" s="80">
        <f t="shared" si="48"/>
        <v>98.5</v>
      </c>
      <c r="BW70" s="80">
        <f t="shared" si="49"/>
        <v>123</v>
      </c>
    </row>
    <row r="71" spans="1:75" s="82" customFormat="1" x14ac:dyDescent="0.25">
      <c r="A71" s="64" t="s">
        <v>91</v>
      </c>
      <c r="B71" s="75">
        <v>10</v>
      </c>
      <c r="C71" s="75">
        <v>10</v>
      </c>
      <c r="D71" s="75">
        <v>10</v>
      </c>
      <c r="E71" s="75">
        <v>10</v>
      </c>
      <c r="F71" s="75">
        <v>10</v>
      </c>
      <c r="G71" s="75">
        <v>10</v>
      </c>
      <c r="H71" s="75">
        <v>10</v>
      </c>
      <c r="I71" s="75">
        <v>10</v>
      </c>
      <c r="J71" s="75">
        <v>10.4</v>
      </c>
      <c r="K71" s="75">
        <v>10.4</v>
      </c>
      <c r="L71" s="75">
        <v>10.5</v>
      </c>
      <c r="M71" s="75">
        <v>10.5</v>
      </c>
      <c r="N71" s="75">
        <v>10.5</v>
      </c>
      <c r="O71" s="75">
        <v>10.5</v>
      </c>
      <c r="P71" s="75">
        <v>10.5</v>
      </c>
      <c r="Q71" s="75">
        <v>10.5</v>
      </c>
      <c r="R71" s="75">
        <v>10.5</v>
      </c>
      <c r="S71" s="75">
        <v>8.6</v>
      </c>
      <c r="T71" s="75">
        <v>8.6</v>
      </c>
      <c r="U71" s="75">
        <v>8.6</v>
      </c>
      <c r="V71" s="75">
        <v>8</v>
      </c>
      <c r="W71" s="75">
        <v>8</v>
      </c>
      <c r="X71" s="75">
        <v>8</v>
      </c>
      <c r="Y71" s="75">
        <v>8</v>
      </c>
      <c r="Z71" s="75">
        <v>8</v>
      </c>
      <c r="AA71" s="75">
        <v>8</v>
      </c>
      <c r="AB71" s="75">
        <v>8</v>
      </c>
      <c r="AC71" s="75">
        <v>8</v>
      </c>
      <c r="AD71" s="75">
        <v>8</v>
      </c>
      <c r="AE71" s="75">
        <v>8</v>
      </c>
      <c r="AF71" s="75">
        <v>8</v>
      </c>
      <c r="AG71" s="65">
        <v>14.1</v>
      </c>
      <c r="AH71" s="48">
        <f t="shared" si="10"/>
        <v>10.5</v>
      </c>
      <c r="AI71" s="49">
        <f t="shared" si="11"/>
        <v>8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24</v>
      </c>
      <c r="BA71" s="80">
        <f t="shared" si="41"/>
        <v>24</v>
      </c>
      <c r="BB71" s="80">
        <f t="shared" si="41"/>
        <v>22.7</v>
      </c>
      <c r="BC71" s="80">
        <f t="shared" si="41"/>
        <v>36</v>
      </c>
      <c r="BD71" s="80">
        <f t="shared" si="41"/>
        <v>37.200000000000003</v>
      </c>
      <c r="BE71" s="81">
        <f t="shared" si="43"/>
        <v>51.2</v>
      </c>
      <c r="BF71" s="81">
        <f t="shared" si="44"/>
        <v>49.8</v>
      </c>
      <c r="BG71" s="81">
        <f t="shared" si="42"/>
        <v>50.1</v>
      </c>
      <c r="BH71" s="81">
        <f t="shared" si="42"/>
        <v>43.1</v>
      </c>
      <c r="BI71" s="81">
        <f t="shared" si="42"/>
        <v>42.2</v>
      </c>
      <c r="BJ71" s="81">
        <f t="shared" si="42"/>
        <v>43</v>
      </c>
      <c r="BK71" s="81">
        <f t="shared" si="42"/>
        <v>44.8</v>
      </c>
      <c r="BL71" s="81">
        <f t="shared" si="42"/>
        <v>44.8</v>
      </c>
      <c r="BM71" s="81">
        <f t="shared" si="42"/>
        <v>48.1</v>
      </c>
      <c r="BN71" s="81">
        <f t="shared" si="42"/>
        <v>46.6</v>
      </c>
      <c r="BO71" s="81">
        <f t="shared" si="42"/>
        <v>47</v>
      </c>
      <c r="BP71" s="81">
        <f t="shared" si="42"/>
        <v>37.700000000000003</v>
      </c>
      <c r="BQ71" s="81">
        <f t="shared" si="45"/>
        <v>20</v>
      </c>
      <c r="BR71" s="81">
        <f t="shared" si="46"/>
        <v>0</v>
      </c>
      <c r="BS71" s="80">
        <f t="shared" si="47"/>
        <v>0</v>
      </c>
      <c r="BT71" s="80">
        <f t="shared" si="48"/>
        <v>0</v>
      </c>
      <c r="BU71" s="80">
        <f t="shared" si="48"/>
        <v>0</v>
      </c>
      <c r="BV71" s="80">
        <f t="shared" si="48"/>
        <v>0</v>
      </c>
      <c r="BW71" s="80">
        <f t="shared" si="49"/>
        <v>28</v>
      </c>
    </row>
    <row r="72" spans="1:75" x14ac:dyDescent="0.25">
      <c r="A72" s="83" t="s">
        <v>93</v>
      </c>
      <c r="B72" s="75">
        <v>4.9000000000000004</v>
      </c>
      <c r="C72" s="75">
        <v>4.9000000000000004</v>
      </c>
      <c r="D72" s="75">
        <v>4.9000000000000004</v>
      </c>
      <c r="E72" s="75">
        <v>4.9000000000000004</v>
      </c>
      <c r="F72" s="75">
        <v>4.9000000000000004</v>
      </c>
      <c r="G72" s="75">
        <v>4.9000000000000004</v>
      </c>
      <c r="H72" s="75">
        <v>4.9000000000000004</v>
      </c>
      <c r="I72" s="75">
        <v>4.9000000000000004</v>
      </c>
      <c r="J72" s="75">
        <v>5.3</v>
      </c>
      <c r="K72" s="75">
        <v>5.3</v>
      </c>
      <c r="L72" s="75">
        <v>5.3</v>
      </c>
      <c r="M72" s="75">
        <v>5.3</v>
      </c>
      <c r="N72" s="75">
        <v>5.3</v>
      </c>
      <c r="O72" s="75">
        <v>5.3</v>
      </c>
      <c r="P72" s="75">
        <v>5.3</v>
      </c>
      <c r="Q72" s="75">
        <v>5.3</v>
      </c>
      <c r="R72" s="75">
        <v>5.3</v>
      </c>
      <c r="S72" s="75">
        <v>5.3</v>
      </c>
      <c r="T72" s="75">
        <v>5.3</v>
      </c>
      <c r="U72" s="75">
        <v>5.3</v>
      </c>
      <c r="V72" s="75">
        <v>3.1</v>
      </c>
      <c r="W72" s="75">
        <v>3.1</v>
      </c>
      <c r="X72" s="75">
        <v>3.1</v>
      </c>
      <c r="Y72" s="75">
        <v>3.1</v>
      </c>
      <c r="Z72" s="75">
        <v>4.9000000000000004</v>
      </c>
      <c r="AA72" s="75">
        <v>4.9000000000000004</v>
      </c>
      <c r="AB72" s="75">
        <v>4.9000000000000004</v>
      </c>
      <c r="AC72" s="75">
        <v>4.9000000000000004</v>
      </c>
      <c r="AD72" s="75">
        <v>4.9000000000000004</v>
      </c>
      <c r="AE72" s="75">
        <v>4.9000000000000004</v>
      </c>
      <c r="AF72" s="75">
        <v>4.9000000000000004</v>
      </c>
      <c r="AG72" s="65">
        <v>14</v>
      </c>
      <c r="AH72" s="48">
        <f t="shared" si="10"/>
        <v>5.3</v>
      </c>
      <c r="AI72" s="49">
        <f t="shared" si="11"/>
        <v>3.1</v>
      </c>
      <c r="AK72" s="51"/>
      <c r="AY72" s="1" t="s">
        <v>94</v>
      </c>
      <c r="AZ72" s="81">
        <f>ROUND(C85,0)</f>
        <v>80</v>
      </c>
      <c r="BA72" s="80">
        <f t="shared" si="41"/>
        <v>80</v>
      </c>
      <c r="BB72" s="80">
        <f t="shared" si="41"/>
        <v>82</v>
      </c>
      <c r="BC72" s="80">
        <f t="shared" si="41"/>
        <v>85</v>
      </c>
      <c r="BD72" s="80">
        <f t="shared" si="41"/>
        <v>82</v>
      </c>
      <c r="BE72" s="81">
        <f t="shared" si="43"/>
        <v>82</v>
      </c>
      <c r="BF72" s="81">
        <f t="shared" si="44"/>
        <v>125</v>
      </c>
      <c r="BG72" s="81">
        <f t="shared" si="42"/>
        <v>105</v>
      </c>
      <c r="BH72" s="81">
        <f t="shared" si="42"/>
        <v>104.2</v>
      </c>
      <c r="BI72" s="81">
        <f t="shared" si="42"/>
        <v>123.1</v>
      </c>
      <c r="BJ72" s="81">
        <f t="shared" si="42"/>
        <v>135</v>
      </c>
      <c r="BK72" s="81">
        <f t="shared" si="42"/>
        <v>130.69999999999999</v>
      </c>
      <c r="BL72" s="81">
        <f t="shared" si="42"/>
        <v>130.69999999999999</v>
      </c>
      <c r="BM72" s="81">
        <f t="shared" si="42"/>
        <v>141.30000000000001</v>
      </c>
      <c r="BN72" s="81">
        <f t="shared" si="42"/>
        <v>117.4</v>
      </c>
      <c r="BO72" s="81">
        <f t="shared" si="42"/>
        <v>129</v>
      </c>
      <c r="BP72" s="81">
        <f t="shared" si="42"/>
        <v>98.3</v>
      </c>
      <c r="BQ72" s="81">
        <f t="shared" si="45"/>
        <v>94.2</v>
      </c>
      <c r="BR72" s="81">
        <f t="shared" si="46"/>
        <v>0</v>
      </c>
      <c r="BS72" s="80">
        <f t="shared" si="47"/>
        <v>0</v>
      </c>
      <c r="BT72" s="80">
        <f t="shared" si="48"/>
        <v>0</v>
      </c>
      <c r="BU72" s="80">
        <f t="shared" si="48"/>
        <v>0</v>
      </c>
      <c r="BV72" s="80">
        <f t="shared" si="48"/>
        <v>0</v>
      </c>
      <c r="BW72" s="80">
        <f t="shared" si="49"/>
        <v>80</v>
      </c>
    </row>
    <row r="73" spans="1:75" x14ac:dyDescent="0.25">
      <c r="A73" s="64" t="s">
        <v>95</v>
      </c>
      <c r="B73" s="75">
        <v>3.7</v>
      </c>
      <c r="C73" s="75">
        <v>3.7</v>
      </c>
      <c r="D73" s="75">
        <v>3.7</v>
      </c>
      <c r="E73" s="75">
        <v>3.7</v>
      </c>
      <c r="F73" s="75">
        <v>3.7</v>
      </c>
      <c r="G73" s="75">
        <v>3.7</v>
      </c>
      <c r="H73" s="75">
        <v>3.7</v>
      </c>
      <c r="I73" s="75">
        <v>3.7</v>
      </c>
      <c r="J73" s="75">
        <v>3.7</v>
      </c>
      <c r="K73" s="75">
        <v>3.7</v>
      </c>
      <c r="L73" s="75">
        <v>3.7</v>
      </c>
      <c r="M73" s="75">
        <v>3.7</v>
      </c>
      <c r="N73" s="75">
        <v>3.7</v>
      </c>
      <c r="O73" s="75">
        <v>3.7</v>
      </c>
      <c r="P73" s="75">
        <v>3.7</v>
      </c>
      <c r="Q73" s="75">
        <v>3.7</v>
      </c>
      <c r="R73" s="75">
        <v>3.7</v>
      </c>
      <c r="S73" s="75">
        <v>3.7</v>
      </c>
      <c r="T73" s="75">
        <v>3.7</v>
      </c>
      <c r="U73" s="75">
        <v>3.7</v>
      </c>
      <c r="V73" s="75">
        <v>3.7</v>
      </c>
      <c r="W73" s="75">
        <v>3.7</v>
      </c>
      <c r="X73" s="75">
        <v>3.7</v>
      </c>
      <c r="Y73" s="75">
        <v>3.7</v>
      </c>
      <c r="Z73" s="75">
        <v>3.7</v>
      </c>
      <c r="AA73" s="75">
        <v>3.7</v>
      </c>
      <c r="AB73" s="75">
        <v>3.7</v>
      </c>
      <c r="AC73" s="75">
        <v>3.7</v>
      </c>
      <c r="AD73" s="75">
        <v>3.7</v>
      </c>
      <c r="AE73" s="75">
        <v>3.7</v>
      </c>
      <c r="AF73" s="75">
        <v>3.7</v>
      </c>
      <c r="AG73" s="65">
        <v>10.050000000000001</v>
      </c>
      <c r="AH73" s="48">
        <f t="shared" si="10"/>
        <v>3.7</v>
      </c>
      <c r="AI73" s="49">
        <f t="shared" si="11"/>
        <v>3.7</v>
      </c>
      <c r="AK73" s="51"/>
      <c r="AY73" s="1" t="s">
        <v>96</v>
      </c>
      <c r="AZ73" s="81">
        <f>ROUND(C91,0)</f>
        <v>57</v>
      </c>
      <c r="BA73" s="81">
        <f>D91</f>
        <v>54</v>
      </c>
      <c r="BB73" s="81">
        <f>E91</f>
        <v>53.2</v>
      </c>
      <c r="BC73" s="81">
        <f>F91</f>
        <v>50.2</v>
      </c>
      <c r="BD73" s="81">
        <f>G91</f>
        <v>50</v>
      </c>
      <c r="BE73" s="81">
        <f>I91</f>
        <v>47.5</v>
      </c>
      <c r="BF73" s="81">
        <f>K91</f>
        <v>54.1</v>
      </c>
      <c r="BG73" s="81">
        <f t="shared" ref="BG73:BP73" si="50">M91</f>
        <v>51.9</v>
      </c>
      <c r="BH73" s="81">
        <f t="shared" si="50"/>
        <v>51</v>
      </c>
      <c r="BI73" s="81">
        <f t="shared" si="50"/>
        <v>40.700000000000003</v>
      </c>
      <c r="BJ73" s="81">
        <f t="shared" si="50"/>
        <v>44.5</v>
      </c>
      <c r="BK73" s="81">
        <f t="shared" si="50"/>
        <v>41.9</v>
      </c>
      <c r="BL73" s="81">
        <f t="shared" si="50"/>
        <v>41.9</v>
      </c>
      <c r="BM73" s="81">
        <f t="shared" si="50"/>
        <v>45.7</v>
      </c>
      <c r="BN73" s="81">
        <f t="shared" si="50"/>
        <v>45.6</v>
      </c>
      <c r="BO73" s="81">
        <f t="shared" si="50"/>
        <v>47.6</v>
      </c>
      <c r="BP73" s="81">
        <f t="shared" si="50"/>
        <v>49.4</v>
      </c>
      <c r="BQ73" s="81">
        <f>X91</f>
        <v>46.3</v>
      </c>
      <c r="BR73" s="81">
        <f>Z91</f>
        <v>35.299999999999997</v>
      </c>
      <c r="BS73" s="81">
        <f>AB91</f>
        <v>39.5</v>
      </c>
      <c r="BT73" s="81">
        <f>AD91</f>
        <v>42.8</v>
      </c>
      <c r="BU73" s="81">
        <f>AE91</f>
        <v>45.8</v>
      </c>
      <c r="BV73" s="81">
        <f>AF91</f>
        <v>47.9</v>
      </c>
      <c r="BW73" s="81">
        <f>B91</f>
        <v>53</v>
      </c>
    </row>
    <row r="74" spans="1:75" x14ac:dyDescent="0.25">
      <c r="A74" s="64" t="s">
        <v>97</v>
      </c>
      <c r="B74" s="75">
        <v>2</v>
      </c>
      <c r="C74" s="75">
        <v>2</v>
      </c>
      <c r="D74" s="75">
        <v>2</v>
      </c>
      <c r="E74" s="75">
        <v>2</v>
      </c>
      <c r="F74" s="75">
        <v>2</v>
      </c>
      <c r="G74" s="75">
        <v>2</v>
      </c>
      <c r="H74" s="75">
        <v>2</v>
      </c>
      <c r="I74" s="75">
        <v>2</v>
      </c>
      <c r="J74" s="75">
        <v>2</v>
      </c>
      <c r="K74" s="75">
        <v>2</v>
      </c>
      <c r="L74" s="75">
        <v>2</v>
      </c>
      <c r="M74" s="75">
        <v>2</v>
      </c>
      <c r="N74" s="75">
        <v>2</v>
      </c>
      <c r="O74" s="75">
        <v>2</v>
      </c>
      <c r="P74" s="75">
        <v>2</v>
      </c>
      <c r="Q74" s="75">
        <v>2</v>
      </c>
      <c r="R74" s="75">
        <v>2</v>
      </c>
      <c r="S74" s="75">
        <v>2</v>
      </c>
      <c r="T74" s="75">
        <v>2</v>
      </c>
      <c r="U74" s="75">
        <v>2</v>
      </c>
      <c r="V74" s="75">
        <v>2</v>
      </c>
      <c r="W74" s="75">
        <v>2</v>
      </c>
      <c r="X74" s="75">
        <v>2</v>
      </c>
      <c r="Y74" s="75">
        <v>2</v>
      </c>
      <c r="Z74" s="75">
        <v>2</v>
      </c>
      <c r="AA74" s="75">
        <v>2</v>
      </c>
      <c r="AB74" s="75">
        <v>2</v>
      </c>
      <c r="AC74" s="75">
        <v>2</v>
      </c>
      <c r="AD74" s="75">
        <v>2</v>
      </c>
      <c r="AE74" s="75">
        <v>2</v>
      </c>
      <c r="AF74" s="75">
        <v>2</v>
      </c>
      <c r="AG74" s="65">
        <v>6.2</v>
      </c>
      <c r="AH74" s="48">
        <f t="shared" si="10"/>
        <v>2</v>
      </c>
      <c r="AI74" s="49">
        <f t="shared" si="11"/>
        <v>2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</row>
    <row r="75" spans="1:75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>
        <v>3.54</v>
      </c>
      <c r="W75" s="84">
        <v>3.54</v>
      </c>
      <c r="X75" s="84">
        <v>3.54</v>
      </c>
      <c r="Y75" s="84">
        <v>3.5</v>
      </c>
      <c r="Z75" s="84">
        <v>3.5</v>
      </c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10"/>
        <v>3.54</v>
      </c>
      <c r="AI75" s="49">
        <f t="shared" si="11"/>
        <v>3.5</v>
      </c>
      <c r="AK75" s="51"/>
      <c r="AZ75" s="81">
        <f>VALUE(AZ68)</f>
        <v>18</v>
      </c>
      <c r="BA75" s="81">
        <f t="shared" ref="BA75:BW75" si="51">VALUE(BA68)</f>
        <v>16</v>
      </c>
      <c r="BB75" s="81">
        <f t="shared" si="51"/>
        <v>17</v>
      </c>
      <c r="BC75" s="81">
        <f t="shared" si="51"/>
        <v>12.5</v>
      </c>
      <c r="BD75" s="81">
        <f t="shared" si="51"/>
        <v>14</v>
      </c>
      <c r="BE75" s="81">
        <f t="shared" si="51"/>
        <v>34.799999999999997</v>
      </c>
      <c r="BF75" s="81">
        <f t="shared" si="51"/>
        <v>69.8</v>
      </c>
      <c r="BG75" s="81">
        <f t="shared" si="51"/>
        <v>71</v>
      </c>
      <c r="BH75" s="81">
        <f t="shared" si="51"/>
        <v>48</v>
      </c>
      <c r="BI75" s="81">
        <f t="shared" si="51"/>
        <v>71</v>
      </c>
      <c r="BJ75" s="81">
        <f t="shared" si="51"/>
        <v>55</v>
      </c>
      <c r="BK75" s="81">
        <f t="shared" si="51"/>
        <v>70.5</v>
      </c>
      <c r="BL75" s="81">
        <f t="shared" si="51"/>
        <v>70.5</v>
      </c>
      <c r="BM75" s="81">
        <f t="shared" si="51"/>
        <v>72.099999999999994</v>
      </c>
      <c r="BN75" s="81">
        <f t="shared" si="51"/>
        <v>65.2</v>
      </c>
      <c r="BO75" s="81">
        <f t="shared" si="51"/>
        <v>74.7</v>
      </c>
      <c r="BP75" s="81">
        <f t="shared" si="51"/>
        <v>66</v>
      </c>
      <c r="BQ75" s="81">
        <f t="shared" si="51"/>
        <v>67.2</v>
      </c>
      <c r="BR75" s="81">
        <f t="shared" si="51"/>
        <v>69</v>
      </c>
      <c r="BS75" s="81">
        <f t="shared" si="51"/>
        <v>25.2</v>
      </c>
      <c r="BT75" s="81">
        <f t="shared" si="51"/>
        <v>32.799999999999997</v>
      </c>
      <c r="BU75" s="81">
        <f t="shared" si="51"/>
        <v>37.4</v>
      </c>
      <c r="BV75" s="81">
        <f t="shared" si="51"/>
        <v>27.1</v>
      </c>
      <c r="BW75" s="81">
        <f t="shared" si="51"/>
        <v>21</v>
      </c>
    </row>
    <row r="76" spans="1:75" ht="15.75" thickBot="1" x14ac:dyDescent="0.3">
      <c r="A76" s="86" t="s">
        <v>99</v>
      </c>
      <c r="B76" s="70">
        <f t="shared" ref="B76:AG76" si="52">SUM(B63:B75)</f>
        <v>182.83999999999997</v>
      </c>
      <c r="C76" s="70">
        <f t="shared" si="52"/>
        <v>124.44000000000001</v>
      </c>
      <c r="D76" s="70">
        <f t="shared" si="52"/>
        <v>121.44000000000001</v>
      </c>
      <c r="E76" s="70">
        <f t="shared" si="52"/>
        <v>121.14000000000001</v>
      </c>
      <c r="F76" s="70">
        <f t="shared" si="52"/>
        <v>121.14000000000001</v>
      </c>
      <c r="G76" s="70">
        <f t="shared" si="52"/>
        <v>121.14000000000001</v>
      </c>
      <c r="H76" s="70">
        <f t="shared" si="52"/>
        <v>145.13999999999999</v>
      </c>
      <c r="I76" s="70">
        <f t="shared" si="52"/>
        <v>155.73999999999998</v>
      </c>
      <c r="J76" s="70">
        <f t="shared" si="52"/>
        <v>165.94</v>
      </c>
      <c r="K76" s="70">
        <f t="shared" si="52"/>
        <v>165.94</v>
      </c>
      <c r="L76" s="70">
        <f t="shared" si="52"/>
        <v>195.83999999999997</v>
      </c>
      <c r="M76" s="70">
        <f t="shared" si="52"/>
        <v>235.34</v>
      </c>
      <c r="N76" s="70">
        <f t="shared" si="52"/>
        <v>238.33999999999997</v>
      </c>
      <c r="O76" s="70">
        <f t="shared" si="52"/>
        <v>258.04000000000002</v>
      </c>
      <c r="P76" s="70">
        <f t="shared" si="52"/>
        <v>252.44000000000003</v>
      </c>
      <c r="Q76" s="70">
        <f t="shared" si="52"/>
        <v>230.73999999999998</v>
      </c>
      <c r="R76" s="70">
        <f t="shared" ref="R76" si="53">SUM(R63:R75)</f>
        <v>230.73999999999998</v>
      </c>
      <c r="S76" s="70">
        <f t="shared" si="52"/>
        <v>211.74</v>
      </c>
      <c r="T76" s="70">
        <f t="shared" si="52"/>
        <v>201.43999999999997</v>
      </c>
      <c r="U76" s="70">
        <f t="shared" si="52"/>
        <v>177.24</v>
      </c>
      <c r="V76" s="70">
        <f t="shared" si="52"/>
        <v>164.93999999999997</v>
      </c>
      <c r="W76" s="70">
        <f t="shared" si="52"/>
        <v>164.14</v>
      </c>
      <c r="X76" s="70">
        <f t="shared" si="52"/>
        <v>160.33999999999997</v>
      </c>
      <c r="Y76" s="70">
        <f>SUM(Y63:Y75)</f>
        <v>289.7</v>
      </c>
      <c r="Z76" s="70">
        <f>SUM(Z63:Z75)</f>
        <v>356.29999999999995</v>
      </c>
      <c r="AA76" s="70">
        <f t="shared" si="52"/>
        <v>368.14</v>
      </c>
      <c r="AB76" s="70">
        <f t="shared" ref="AB76:AC76" si="54">SUM(AB63:AB75)</f>
        <v>362.24</v>
      </c>
      <c r="AC76" s="70">
        <f t="shared" si="54"/>
        <v>370.94</v>
      </c>
      <c r="AD76" s="70">
        <f t="shared" ref="AD76:AE76" si="55">SUM(AD63:AD75)</f>
        <v>355.54</v>
      </c>
      <c r="AE76" s="70">
        <f t="shared" si="55"/>
        <v>296.74</v>
      </c>
      <c r="AF76" s="70">
        <f t="shared" ref="AF76" si="56">SUM(AF63:AF75)</f>
        <v>250.54</v>
      </c>
      <c r="AG76" s="71">
        <f t="shared" si="52"/>
        <v>489.91</v>
      </c>
      <c r="AH76" s="48">
        <f t="shared" si="10"/>
        <v>370.94</v>
      </c>
      <c r="AI76" s="49">
        <f t="shared" si="11"/>
        <v>121.14000000000001</v>
      </c>
      <c r="AK76" s="51"/>
      <c r="AZ76" s="81">
        <f t="shared" ref="AZ76:BW80" si="57">VALUE(AZ69)</f>
        <v>0</v>
      </c>
      <c r="BA76" s="81">
        <f t="shared" si="57"/>
        <v>0</v>
      </c>
      <c r="BB76" s="81">
        <f t="shared" si="57"/>
        <v>0</v>
      </c>
      <c r="BC76" s="81">
        <f t="shared" si="57"/>
        <v>0</v>
      </c>
      <c r="BD76" s="81">
        <f t="shared" si="57"/>
        <v>0</v>
      </c>
      <c r="BE76" s="81">
        <f t="shared" si="57"/>
        <v>0</v>
      </c>
      <c r="BF76" s="81">
        <f t="shared" si="57"/>
        <v>106</v>
      </c>
      <c r="BG76" s="81">
        <f t="shared" si="57"/>
        <v>124</v>
      </c>
      <c r="BH76" s="81">
        <f t="shared" si="57"/>
        <v>118.5</v>
      </c>
      <c r="BI76" s="81" t="e">
        <f t="shared" si="57"/>
        <v>#VALUE!</v>
      </c>
      <c r="BJ76" s="81">
        <f t="shared" si="57"/>
        <v>124</v>
      </c>
      <c r="BK76" s="81">
        <f t="shared" si="57"/>
        <v>107</v>
      </c>
      <c r="BL76" s="81">
        <f t="shared" si="57"/>
        <v>107</v>
      </c>
      <c r="BM76" s="81">
        <f t="shared" si="57"/>
        <v>114.4</v>
      </c>
      <c r="BN76" s="81">
        <f t="shared" si="57"/>
        <v>106.3</v>
      </c>
      <c r="BO76" s="81">
        <f t="shared" si="57"/>
        <v>121.7</v>
      </c>
      <c r="BP76" s="81">
        <f t="shared" si="57"/>
        <v>110.6</v>
      </c>
      <c r="BQ76" s="81">
        <f t="shared" si="57"/>
        <v>103.6</v>
      </c>
      <c r="BR76" s="81">
        <f t="shared" si="57"/>
        <v>0</v>
      </c>
      <c r="BS76" s="81">
        <f t="shared" si="57"/>
        <v>0</v>
      </c>
      <c r="BT76" s="81">
        <f t="shared" si="57"/>
        <v>0</v>
      </c>
      <c r="BU76" s="81">
        <f t="shared" si="57"/>
        <v>0</v>
      </c>
      <c r="BV76" s="81">
        <f t="shared" si="57"/>
        <v>0</v>
      </c>
      <c r="BW76" s="81">
        <f t="shared" si="57"/>
        <v>0</v>
      </c>
    </row>
    <row r="77" spans="1:75" x14ac:dyDescent="0.25">
      <c r="A77" s="45" t="s">
        <v>100</v>
      </c>
      <c r="B77" s="46">
        <v>60</v>
      </c>
      <c r="C77" s="46">
        <v>60</v>
      </c>
      <c r="D77" s="46">
        <v>60</v>
      </c>
      <c r="E77" s="46">
        <v>60</v>
      </c>
      <c r="F77" s="46">
        <v>60</v>
      </c>
      <c r="G77" s="46">
        <v>60</v>
      </c>
      <c r="H77" s="46">
        <v>60</v>
      </c>
      <c r="I77" s="46">
        <v>60</v>
      </c>
      <c r="J77" s="46">
        <v>30</v>
      </c>
      <c r="K77" s="46">
        <v>35</v>
      </c>
      <c r="L77" s="46">
        <v>45</v>
      </c>
      <c r="M77" s="46">
        <v>42.6</v>
      </c>
      <c r="N77" s="46">
        <v>42.1</v>
      </c>
      <c r="O77" s="46">
        <v>37.9</v>
      </c>
      <c r="P77" s="46">
        <v>38.799999999999997</v>
      </c>
      <c r="Q77" s="46">
        <v>50</v>
      </c>
      <c r="R77" s="46">
        <v>50</v>
      </c>
      <c r="S77" s="46">
        <v>31.3</v>
      </c>
      <c r="T77" s="46">
        <v>57.4</v>
      </c>
      <c r="U77" s="46">
        <v>57.4</v>
      </c>
      <c r="V77" s="46">
        <v>57.4</v>
      </c>
      <c r="W77" s="46">
        <v>37.799999999999997</v>
      </c>
      <c r="X77" s="46">
        <v>11.6</v>
      </c>
      <c r="Y77" s="46">
        <v>56.3</v>
      </c>
      <c r="Z77" s="46">
        <v>57</v>
      </c>
      <c r="AA77" s="46">
        <v>57</v>
      </c>
      <c r="AB77" s="46">
        <v>57.2</v>
      </c>
      <c r="AC77" s="46">
        <v>57.2</v>
      </c>
      <c r="AD77" s="46">
        <v>57.2</v>
      </c>
      <c r="AE77" s="46">
        <v>57.2</v>
      </c>
      <c r="AF77" s="46">
        <v>57.2</v>
      </c>
      <c r="AG77" s="60">
        <v>60</v>
      </c>
      <c r="AH77" s="48">
        <f t="shared" si="10"/>
        <v>60</v>
      </c>
      <c r="AI77" s="49">
        <f t="shared" si="11"/>
        <v>11.6</v>
      </c>
      <c r="AK77" s="51"/>
      <c r="AZ77" s="81">
        <f t="shared" si="57"/>
        <v>100</v>
      </c>
      <c r="BA77" s="81">
        <f t="shared" si="57"/>
        <v>123</v>
      </c>
      <c r="BB77" s="81">
        <f t="shared" si="57"/>
        <v>73</v>
      </c>
      <c r="BC77" s="81">
        <f t="shared" si="57"/>
        <v>77.400000000000006</v>
      </c>
      <c r="BD77" s="81">
        <f t="shared" si="57"/>
        <v>99</v>
      </c>
      <c r="BE77" s="81">
        <f t="shared" si="57"/>
        <v>147</v>
      </c>
      <c r="BF77" s="81">
        <f t="shared" si="57"/>
        <v>479</v>
      </c>
      <c r="BG77" s="81">
        <f t="shared" si="57"/>
        <v>472.4</v>
      </c>
      <c r="BH77" s="81">
        <f t="shared" si="57"/>
        <v>475</v>
      </c>
      <c r="BI77" s="81">
        <f t="shared" si="57"/>
        <v>441.1</v>
      </c>
      <c r="BJ77" s="81">
        <f t="shared" si="57"/>
        <v>478</v>
      </c>
      <c r="BK77" s="81">
        <f t="shared" si="57"/>
        <v>494</v>
      </c>
      <c r="BL77" s="81">
        <f t="shared" si="57"/>
        <v>494</v>
      </c>
      <c r="BM77" s="81">
        <f t="shared" si="57"/>
        <v>466</v>
      </c>
      <c r="BN77" s="81">
        <f t="shared" si="57"/>
        <v>483</v>
      </c>
      <c r="BO77" s="81">
        <f t="shared" si="57"/>
        <v>465</v>
      </c>
      <c r="BP77" s="81">
        <f t="shared" si="57"/>
        <v>482</v>
      </c>
      <c r="BQ77" s="81">
        <f t="shared" si="57"/>
        <v>426.3</v>
      </c>
      <c r="BR77" s="81">
        <f t="shared" si="57"/>
        <v>66</v>
      </c>
      <c r="BS77" s="81">
        <f t="shared" si="57"/>
        <v>36.200000000000003</v>
      </c>
      <c r="BT77" s="81">
        <f t="shared" si="57"/>
        <v>85.8</v>
      </c>
      <c r="BU77" s="81">
        <f t="shared" si="57"/>
        <v>105.5</v>
      </c>
      <c r="BV77" s="81">
        <f t="shared" si="57"/>
        <v>98.5</v>
      </c>
      <c r="BW77" s="81">
        <f t="shared" si="57"/>
        <v>123</v>
      </c>
    </row>
    <row r="78" spans="1:75" x14ac:dyDescent="0.25">
      <c r="A78" s="64" t="s">
        <v>101</v>
      </c>
      <c r="B78" s="75">
        <v>26</v>
      </c>
      <c r="C78" s="75">
        <v>26</v>
      </c>
      <c r="D78" s="75">
        <v>26</v>
      </c>
      <c r="E78" s="75">
        <v>26.9</v>
      </c>
      <c r="F78" s="75">
        <v>26.9</v>
      </c>
      <c r="G78" s="75">
        <v>26.9</v>
      </c>
      <c r="H78" s="75">
        <v>26.9</v>
      </c>
      <c r="I78" s="75">
        <v>26.9</v>
      </c>
      <c r="J78" s="75">
        <v>15</v>
      </c>
      <c r="K78" s="75">
        <v>16</v>
      </c>
      <c r="L78" s="75">
        <v>22</v>
      </c>
      <c r="M78" s="75">
        <v>13.2</v>
      </c>
      <c r="N78" s="75">
        <v>18.399999999999999</v>
      </c>
      <c r="O78" s="75">
        <v>22.5</v>
      </c>
      <c r="P78" s="75">
        <v>15.4</v>
      </c>
      <c r="Q78" s="75">
        <v>14.4</v>
      </c>
      <c r="R78" s="75">
        <v>14.4</v>
      </c>
      <c r="S78" s="75">
        <v>12.4</v>
      </c>
      <c r="T78" s="75">
        <v>28.2</v>
      </c>
      <c r="U78" s="75">
        <v>28.2</v>
      </c>
      <c r="V78" s="75">
        <v>28.2</v>
      </c>
      <c r="W78" s="75">
        <v>17.100000000000001</v>
      </c>
      <c r="X78" s="75">
        <v>9.9</v>
      </c>
      <c r="Y78" s="75">
        <v>27.8</v>
      </c>
      <c r="Z78" s="75">
        <v>27.8</v>
      </c>
      <c r="AA78" s="75">
        <v>27.8</v>
      </c>
      <c r="AB78" s="75">
        <v>27.6</v>
      </c>
      <c r="AC78" s="75">
        <v>27.6</v>
      </c>
      <c r="AD78" s="75">
        <v>27.6</v>
      </c>
      <c r="AE78" s="75">
        <v>27.6</v>
      </c>
      <c r="AF78" s="75">
        <v>27.6</v>
      </c>
      <c r="AG78" s="65">
        <v>32</v>
      </c>
      <c r="AH78" s="48">
        <f t="shared" si="10"/>
        <v>28.2</v>
      </c>
      <c r="AI78" s="49">
        <f t="shared" si="11"/>
        <v>9.9</v>
      </c>
      <c r="AK78" s="51"/>
      <c r="AZ78" s="81">
        <f t="shared" si="57"/>
        <v>24</v>
      </c>
      <c r="BA78" s="81">
        <f t="shared" si="57"/>
        <v>24</v>
      </c>
      <c r="BB78" s="81">
        <f t="shared" si="57"/>
        <v>22.7</v>
      </c>
      <c r="BC78" s="81">
        <f t="shared" si="57"/>
        <v>36</v>
      </c>
      <c r="BD78" s="81">
        <f t="shared" si="57"/>
        <v>37.200000000000003</v>
      </c>
      <c r="BE78" s="81">
        <f t="shared" si="57"/>
        <v>51.2</v>
      </c>
      <c r="BF78" s="81">
        <f t="shared" si="57"/>
        <v>49.8</v>
      </c>
      <c r="BG78" s="81">
        <f t="shared" si="57"/>
        <v>50.1</v>
      </c>
      <c r="BH78" s="81">
        <f t="shared" si="57"/>
        <v>43.1</v>
      </c>
      <c r="BI78" s="81">
        <f t="shared" si="57"/>
        <v>42.2</v>
      </c>
      <c r="BJ78" s="81">
        <f t="shared" si="57"/>
        <v>43</v>
      </c>
      <c r="BK78" s="81">
        <f t="shared" si="57"/>
        <v>44.8</v>
      </c>
      <c r="BL78" s="81">
        <f t="shared" si="57"/>
        <v>44.8</v>
      </c>
      <c r="BM78" s="81">
        <f t="shared" si="57"/>
        <v>48.1</v>
      </c>
      <c r="BN78" s="81">
        <f t="shared" si="57"/>
        <v>46.6</v>
      </c>
      <c r="BO78" s="81">
        <f t="shared" si="57"/>
        <v>47</v>
      </c>
      <c r="BP78" s="81">
        <f t="shared" si="57"/>
        <v>37.700000000000003</v>
      </c>
      <c r="BQ78" s="81">
        <f t="shared" si="57"/>
        <v>20</v>
      </c>
      <c r="BR78" s="81">
        <f t="shared" si="57"/>
        <v>0</v>
      </c>
      <c r="BS78" s="81">
        <f t="shared" si="57"/>
        <v>0</v>
      </c>
      <c r="BT78" s="81">
        <f t="shared" si="57"/>
        <v>0</v>
      </c>
      <c r="BU78" s="81">
        <f t="shared" si="57"/>
        <v>0</v>
      </c>
      <c r="BV78" s="81">
        <f t="shared" si="57"/>
        <v>0</v>
      </c>
      <c r="BW78" s="81">
        <f t="shared" si="57"/>
        <v>28</v>
      </c>
    </row>
    <row r="79" spans="1:75" ht="15.75" thickBot="1" x14ac:dyDescent="0.3">
      <c r="A79" s="83" t="s">
        <v>102</v>
      </c>
      <c r="B79" s="77">
        <v>9.6999999999999993</v>
      </c>
      <c r="C79" s="77">
        <v>9.6999999999999993</v>
      </c>
      <c r="D79" s="77">
        <v>9.6999999999999993</v>
      </c>
      <c r="E79" s="77">
        <v>9.6</v>
      </c>
      <c r="F79" s="77">
        <v>9.6</v>
      </c>
      <c r="G79" s="77">
        <v>9.6</v>
      </c>
      <c r="H79" s="77">
        <v>9.6</v>
      </c>
      <c r="I79" s="77">
        <v>9.6</v>
      </c>
      <c r="J79" s="77">
        <v>4.5999999999999996</v>
      </c>
      <c r="K79" s="77">
        <v>4.9000000000000004</v>
      </c>
      <c r="L79" s="77">
        <v>7.2</v>
      </c>
      <c r="M79" s="77">
        <v>4.8</v>
      </c>
      <c r="N79" s="77">
        <v>6.7</v>
      </c>
      <c r="O79" s="77">
        <v>8.1999999999999993</v>
      </c>
      <c r="P79" s="77">
        <v>5.6</v>
      </c>
      <c r="Q79" s="77">
        <v>5.3</v>
      </c>
      <c r="R79" s="77">
        <v>5.3</v>
      </c>
      <c r="S79" s="77">
        <v>4.5</v>
      </c>
      <c r="T79" s="77">
        <v>10.3</v>
      </c>
      <c r="U79" s="77">
        <v>10.3</v>
      </c>
      <c r="V79" s="77">
        <v>10.3</v>
      </c>
      <c r="W79" s="77">
        <v>6.2</v>
      </c>
      <c r="X79" s="77">
        <v>3.6</v>
      </c>
      <c r="Y79" s="77">
        <v>10.199999999999999</v>
      </c>
      <c r="Z79" s="77">
        <v>10.199999999999999</v>
      </c>
      <c r="AA79" s="77">
        <v>10.199999999999999</v>
      </c>
      <c r="AB79" s="77">
        <v>10.1</v>
      </c>
      <c r="AC79" s="77">
        <v>10.1</v>
      </c>
      <c r="AD79" s="77">
        <v>10.1</v>
      </c>
      <c r="AE79" s="77">
        <v>10.1</v>
      </c>
      <c r="AF79" s="77">
        <v>10.1</v>
      </c>
      <c r="AG79" s="78">
        <v>14</v>
      </c>
      <c r="AH79" s="48">
        <f t="shared" si="10"/>
        <v>10.3</v>
      </c>
      <c r="AI79" s="49">
        <f t="shared" si="11"/>
        <v>3.6</v>
      </c>
      <c r="AK79" s="51"/>
      <c r="AZ79" s="81">
        <f t="shared" si="57"/>
        <v>80</v>
      </c>
      <c r="BA79" s="81">
        <f t="shared" si="57"/>
        <v>80</v>
      </c>
      <c r="BB79" s="81">
        <f t="shared" si="57"/>
        <v>82</v>
      </c>
      <c r="BC79" s="81">
        <f t="shared" si="57"/>
        <v>85</v>
      </c>
      <c r="BD79" s="81">
        <f t="shared" si="57"/>
        <v>82</v>
      </c>
      <c r="BE79" s="81">
        <f t="shared" si="57"/>
        <v>82</v>
      </c>
      <c r="BF79" s="81">
        <f t="shared" si="57"/>
        <v>125</v>
      </c>
      <c r="BG79" s="81">
        <f t="shared" si="57"/>
        <v>105</v>
      </c>
      <c r="BH79" s="81">
        <f t="shared" si="57"/>
        <v>104.2</v>
      </c>
      <c r="BI79" s="81">
        <f t="shared" si="57"/>
        <v>123.1</v>
      </c>
      <c r="BJ79" s="81">
        <f t="shared" si="57"/>
        <v>135</v>
      </c>
      <c r="BK79" s="81">
        <f t="shared" si="57"/>
        <v>130.69999999999999</v>
      </c>
      <c r="BL79" s="81">
        <f t="shared" si="57"/>
        <v>130.69999999999999</v>
      </c>
      <c r="BM79" s="81">
        <f t="shared" si="57"/>
        <v>141.30000000000001</v>
      </c>
      <c r="BN79" s="81">
        <f t="shared" si="57"/>
        <v>117.4</v>
      </c>
      <c r="BO79" s="81">
        <f t="shared" si="57"/>
        <v>129</v>
      </c>
      <c r="BP79" s="81">
        <f t="shared" si="57"/>
        <v>98.3</v>
      </c>
      <c r="BQ79" s="81">
        <f t="shared" si="57"/>
        <v>94.2</v>
      </c>
      <c r="BR79" s="81">
        <f t="shared" si="57"/>
        <v>0</v>
      </c>
      <c r="BS79" s="81">
        <f t="shared" si="57"/>
        <v>0</v>
      </c>
      <c r="BT79" s="81">
        <f t="shared" si="57"/>
        <v>0</v>
      </c>
      <c r="BU79" s="81">
        <f t="shared" si="57"/>
        <v>0</v>
      </c>
      <c r="BV79" s="81">
        <f t="shared" si="57"/>
        <v>0</v>
      </c>
      <c r="BW79" s="81">
        <f t="shared" si="57"/>
        <v>80</v>
      </c>
    </row>
    <row r="80" spans="1:75" ht="15.75" thickBot="1" x14ac:dyDescent="0.3">
      <c r="A80" s="86" t="s">
        <v>103</v>
      </c>
      <c r="B80" s="70">
        <f t="shared" ref="B80:AA80" si="58">B77+B78+B79</f>
        <v>95.7</v>
      </c>
      <c r="C80" s="70">
        <f t="shared" si="58"/>
        <v>95.7</v>
      </c>
      <c r="D80" s="70">
        <f t="shared" si="58"/>
        <v>95.7</v>
      </c>
      <c r="E80" s="70">
        <f t="shared" si="58"/>
        <v>96.5</v>
      </c>
      <c r="F80" s="70">
        <f t="shared" si="58"/>
        <v>96.5</v>
      </c>
      <c r="G80" s="70">
        <f t="shared" si="58"/>
        <v>96.5</v>
      </c>
      <c r="H80" s="70">
        <f t="shared" si="58"/>
        <v>96.5</v>
      </c>
      <c r="I80" s="70">
        <f t="shared" si="58"/>
        <v>96.5</v>
      </c>
      <c r="J80" s="70">
        <f t="shared" si="58"/>
        <v>49.6</v>
      </c>
      <c r="K80" s="70">
        <f t="shared" si="58"/>
        <v>55.9</v>
      </c>
      <c r="L80" s="70">
        <f t="shared" si="58"/>
        <v>74.2</v>
      </c>
      <c r="M80" s="70">
        <f t="shared" si="58"/>
        <v>60.599999999999994</v>
      </c>
      <c r="N80" s="70">
        <f t="shared" si="58"/>
        <v>67.2</v>
      </c>
      <c r="O80" s="70">
        <f t="shared" si="58"/>
        <v>68.599999999999994</v>
      </c>
      <c r="P80" s="70">
        <f t="shared" si="58"/>
        <v>59.8</v>
      </c>
      <c r="Q80" s="70">
        <f t="shared" si="58"/>
        <v>69.7</v>
      </c>
      <c r="R80" s="70">
        <f t="shared" ref="R80" si="59">R77+R78+R79</f>
        <v>69.7</v>
      </c>
      <c r="S80" s="70">
        <f t="shared" si="58"/>
        <v>48.2</v>
      </c>
      <c r="T80" s="70">
        <f t="shared" si="58"/>
        <v>95.899999999999991</v>
      </c>
      <c r="U80" s="70">
        <f t="shared" si="58"/>
        <v>95.899999999999991</v>
      </c>
      <c r="V80" s="70">
        <f t="shared" si="58"/>
        <v>95.899999999999991</v>
      </c>
      <c r="W80" s="70">
        <f t="shared" si="58"/>
        <v>61.1</v>
      </c>
      <c r="X80" s="70">
        <f t="shared" si="58"/>
        <v>25.1</v>
      </c>
      <c r="Y80" s="70">
        <f>Y77+Y78+Y79</f>
        <v>94.3</v>
      </c>
      <c r="Z80" s="70">
        <f>Z77+Z78+Z79</f>
        <v>95</v>
      </c>
      <c r="AA80" s="70">
        <f t="shared" si="58"/>
        <v>95</v>
      </c>
      <c r="AB80" s="70">
        <f t="shared" ref="AB80:AC80" si="60">AB77+AB78+AB79</f>
        <v>94.9</v>
      </c>
      <c r="AC80" s="70">
        <f t="shared" si="60"/>
        <v>94.9</v>
      </c>
      <c r="AD80" s="70">
        <f t="shared" ref="AD80:AE80" si="61">AD77+AD78+AD79</f>
        <v>94.9</v>
      </c>
      <c r="AE80" s="70">
        <f t="shared" si="61"/>
        <v>94.9</v>
      </c>
      <c r="AF80" s="70">
        <f t="shared" ref="AF80" si="62">AF77+AF78+AF79</f>
        <v>94.9</v>
      </c>
      <c r="AG80" s="71">
        <f>SUM(AG77:AG79)</f>
        <v>106</v>
      </c>
      <c r="AH80" s="48">
        <f t="shared" si="10"/>
        <v>96.5</v>
      </c>
      <c r="AI80" s="49">
        <f t="shared" si="11"/>
        <v>25.1</v>
      </c>
      <c r="AK80" s="51"/>
      <c r="AZ80" s="81">
        <f t="shared" si="57"/>
        <v>57</v>
      </c>
      <c r="BA80" s="81">
        <f t="shared" si="57"/>
        <v>54</v>
      </c>
      <c r="BB80" s="81">
        <f t="shared" si="57"/>
        <v>53.2</v>
      </c>
      <c r="BC80" s="81">
        <f t="shared" si="57"/>
        <v>50.2</v>
      </c>
      <c r="BD80" s="81">
        <f t="shared" si="57"/>
        <v>50</v>
      </c>
      <c r="BE80" s="81">
        <f t="shared" si="57"/>
        <v>47.5</v>
      </c>
      <c r="BF80" s="81">
        <f t="shared" si="57"/>
        <v>54.1</v>
      </c>
      <c r="BG80" s="81">
        <f t="shared" si="57"/>
        <v>51.9</v>
      </c>
      <c r="BH80" s="81">
        <f t="shared" si="57"/>
        <v>51</v>
      </c>
      <c r="BI80" s="81">
        <f t="shared" si="57"/>
        <v>40.700000000000003</v>
      </c>
      <c r="BJ80" s="81">
        <f t="shared" si="57"/>
        <v>44.5</v>
      </c>
      <c r="BK80" s="81">
        <f t="shared" si="57"/>
        <v>41.9</v>
      </c>
      <c r="BL80" s="81">
        <f t="shared" si="57"/>
        <v>41.9</v>
      </c>
      <c r="BM80" s="81">
        <f t="shared" si="57"/>
        <v>45.7</v>
      </c>
      <c r="BN80" s="81">
        <f t="shared" si="57"/>
        <v>45.6</v>
      </c>
      <c r="BO80" s="81">
        <f t="shared" si="57"/>
        <v>47.6</v>
      </c>
      <c r="BP80" s="81">
        <f t="shared" si="57"/>
        <v>49.4</v>
      </c>
      <c r="BQ80" s="81">
        <f t="shared" si="57"/>
        <v>46.3</v>
      </c>
      <c r="BR80" s="81">
        <f t="shared" si="57"/>
        <v>35.299999999999997</v>
      </c>
      <c r="BS80" s="81">
        <f t="shared" si="57"/>
        <v>39.5</v>
      </c>
      <c r="BT80" s="81">
        <f t="shared" si="57"/>
        <v>42.8</v>
      </c>
      <c r="BU80" s="81">
        <f t="shared" si="57"/>
        <v>45.8</v>
      </c>
      <c r="BV80" s="81">
        <f t="shared" si="57"/>
        <v>47.9</v>
      </c>
      <c r="BW80" s="81">
        <f t="shared" si="57"/>
        <v>53</v>
      </c>
    </row>
    <row r="81" spans="1:64" x14ac:dyDescent="0.25">
      <c r="A81" s="45" t="s">
        <v>104</v>
      </c>
      <c r="B81" s="46">
        <v>21</v>
      </c>
      <c r="C81" s="46">
        <v>18</v>
      </c>
      <c r="D81" s="46">
        <v>16</v>
      </c>
      <c r="E81" s="46">
        <v>17</v>
      </c>
      <c r="F81" s="46">
        <v>12.5</v>
      </c>
      <c r="G81" s="46">
        <v>14</v>
      </c>
      <c r="H81" s="46">
        <v>16.399999999999999</v>
      </c>
      <c r="I81" s="46">
        <v>34.799999999999997</v>
      </c>
      <c r="J81" s="46">
        <v>69</v>
      </c>
      <c r="K81" s="46">
        <v>69.8</v>
      </c>
      <c r="L81" s="46">
        <v>68.900000000000006</v>
      </c>
      <c r="M81" s="46">
        <v>71</v>
      </c>
      <c r="N81" s="46">
        <v>48</v>
      </c>
      <c r="O81" s="46">
        <v>71</v>
      </c>
      <c r="P81" s="46">
        <v>55</v>
      </c>
      <c r="Q81" s="46">
        <v>70.5</v>
      </c>
      <c r="R81" s="46">
        <v>70.5</v>
      </c>
      <c r="S81" s="46">
        <v>72.099999999999994</v>
      </c>
      <c r="T81" s="46">
        <v>65.2</v>
      </c>
      <c r="U81" s="46">
        <v>74.7</v>
      </c>
      <c r="V81" s="46">
        <v>66</v>
      </c>
      <c r="W81" s="46">
        <v>67.3</v>
      </c>
      <c r="X81" s="46">
        <v>67.2</v>
      </c>
      <c r="Y81" s="46">
        <v>68.599999999999994</v>
      </c>
      <c r="Z81" s="46">
        <v>69</v>
      </c>
      <c r="AA81" s="46">
        <v>62</v>
      </c>
      <c r="AB81" s="46">
        <v>25.2</v>
      </c>
      <c r="AC81" s="46">
        <v>26.6</v>
      </c>
      <c r="AD81" s="46">
        <v>32.799999999999997</v>
      </c>
      <c r="AE81" s="46">
        <v>37.4</v>
      </c>
      <c r="AF81" s="46">
        <v>27.1</v>
      </c>
      <c r="AG81" s="60"/>
      <c r="AH81" s="48">
        <f t="shared" si="10"/>
        <v>74.7</v>
      </c>
      <c r="AI81" s="49">
        <f t="shared" si="11"/>
        <v>12.5</v>
      </c>
      <c r="AK81" s="51"/>
      <c r="AY81" s="81"/>
    </row>
    <row r="82" spans="1:64" x14ac:dyDescent="0.25">
      <c r="A82" s="64" t="s">
        <v>105</v>
      </c>
      <c r="B82" s="75"/>
      <c r="C82" s="75"/>
      <c r="D82" s="75"/>
      <c r="E82" s="75"/>
      <c r="F82" s="75"/>
      <c r="G82" s="75"/>
      <c r="H82" s="75"/>
      <c r="I82" s="75"/>
      <c r="J82" s="75">
        <v>96</v>
      </c>
      <c r="K82" s="75">
        <f>53*2</f>
        <v>106</v>
      </c>
      <c r="L82" s="75">
        <v>92</v>
      </c>
      <c r="M82" s="75">
        <v>124</v>
      </c>
      <c r="N82" s="75">
        <v>118.5</v>
      </c>
      <c r="O82" s="75" t="s">
        <v>327</v>
      </c>
      <c r="P82" s="75">
        <v>124</v>
      </c>
      <c r="Q82" s="75">
        <v>107</v>
      </c>
      <c r="R82" s="75">
        <v>107</v>
      </c>
      <c r="S82" s="75">
        <v>114.4</v>
      </c>
      <c r="T82" s="75">
        <v>106.3</v>
      </c>
      <c r="U82" s="75">
        <v>121.7</v>
      </c>
      <c r="V82" s="75">
        <v>110.6</v>
      </c>
      <c r="W82" s="75">
        <v>111</v>
      </c>
      <c r="X82" s="75">
        <v>103.6</v>
      </c>
      <c r="Y82" s="75">
        <v>0</v>
      </c>
      <c r="Z82" s="75"/>
      <c r="AA82" s="75"/>
      <c r="AB82" s="75"/>
      <c r="AC82" s="75"/>
      <c r="AD82" s="75"/>
      <c r="AE82" s="75"/>
      <c r="AF82" s="75"/>
      <c r="AG82" s="65"/>
      <c r="AH82" s="48">
        <f t="shared" ref="AH82:AH123" si="63">MAX(B82:AF82)</f>
        <v>124</v>
      </c>
      <c r="AI82" s="49">
        <f t="shared" ref="AI82:AI123" si="64">MIN(B82:AF82)</f>
        <v>0</v>
      </c>
      <c r="AK82" s="51"/>
      <c r="AY82" s="81"/>
      <c r="BF82" s="81"/>
      <c r="BG82" s="81"/>
      <c r="BH82" s="81"/>
      <c r="BI82" s="81"/>
      <c r="BJ82" s="81"/>
      <c r="BK82" s="81"/>
    </row>
    <row r="83" spans="1:64" x14ac:dyDescent="0.25">
      <c r="A83" s="64" t="s">
        <v>106</v>
      </c>
      <c r="B83" s="75">
        <v>123</v>
      </c>
      <c r="C83" s="75">
        <v>99.8</v>
      </c>
      <c r="D83" s="75">
        <v>123</v>
      </c>
      <c r="E83" s="75">
        <v>73</v>
      </c>
      <c r="F83" s="75">
        <v>77.400000000000006</v>
      </c>
      <c r="G83" s="75">
        <v>99</v>
      </c>
      <c r="H83" s="75">
        <v>125</v>
      </c>
      <c r="I83" s="75">
        <v>147</v>
      </c>
      <c r="J83" s="75">
        <v>473</v>
      </c>
      <c r="K83" s="75">
        <v>479</v>
      </c>
      <c r="L83" s="75">
        <v>476</v>
      </c>
      <c r="M83" s="75">
        <v>472.4</v>
      </c>
      <c r="N83" s="75">
        <v>475</v>
      </c>
      <c r="O83" s="75">
        <v>441.1</v>
      </c>
      <c r="P83" s="75">
        <v>478</v>
      </c>
      <c r="Q83" s="75">
        <v>494</v>
      </c>
      <c r="R83" s="75">
        <v>494</v>
      </c>
      <c r="S83" s="75">
        <v>466</v>
      </c>
      <c r="T83" s="75">
        <v>483</v>
      </c>
      <c r="U83" s="75">
        <v>465</v>
      </c>
      <c r="V83" s="75">
        <v>482</v>
      </c>
      <c r="W83" s="75">
        <v>442</v>
      </c>
      <c r="X83" s="75">
        <v>426.3</v>
      </c>
      <c r="Y83" s="75">
        <v>118</v>
      </c>
      <c r="Z83" s="75">
        <v>66</v>
      </c>
      <c r="AA83" s="75">
        <v>53</v>
      </c>
      <c r="AB83" s="75">
        <v>36.200000000000003</v>
      </c>
      <c r="AC83" s="75">
        <v>58</v>
      </c>
      <c r="AD83" s="75">
        <v>85.8</v>
      </c>
      <c r="AE83" s="75">
        <v>105.5</v>
      </c>
      <c r="AF83" s="75">
        <v>98.5</v>
      </c>
      <c r="AG83" s="87"/>
      <c r="AH83" s="48">
        <f t="shared" si="63"/>
        <v>494</v>
      </c>
      <c r="AI83" s="49">
        <f t="shared" si="64"/>
        <v>36.200000000000003</v>
      </c>
      <c r="AK83" s="51"/>
      <c r="AY83" s="81"/>
      <c r="BF83" s="80"/>
      <c r="BG83" s="80"/>
      <c r="BH83" s="80"/>
      <c r="BI83" s="80"/>
      <c r="BJ83" s="80"/>
      <c r="BK83" s="81"/>
    </row>
    <row r="84" spans="1:64" x14ac:dyDescent="0.25">
      <c r="A84" s="64" t="s">
        <v>107</v>
      </c>
      <c r="B84" s="75">
        <v>28</v>
      </c>
      <c r="C84" s="75">
        <v>24</v>
      </c>
      <c r="D84" s="75">
        <v>24</v>
      </c>
      <c r="E84" s="88">
        <v>22.7</v>
      </c>
      <c r="F84" s="88">
        <v>36</v>
      </c>
      <c r="G84" s="88">
        <v>37.200000000000003</v>
      </c>
      <c r="H84" s="88">
        <v>41.2</v>
      </c>
      <c r="I84" s="88">
        <v>51.2</v>
      </c>
      <c r="J84" s="88">
        <v>52</v>
      </c>
      <c r="K84" s="88">
        <v>49.8</v>
      </c>
      <c r="L84" s="88">
        <v>59</v>
      </c>
      <c r="M84" s="88">
        <v>50.1</v>
      </c>
      <c r="N84" s="88">
        <v>43.1</v>
      </c>
      <c r="O84" s="88">
        <v>42.2</v>
      </c>
      <c r="P84" s="88">
        <v>43</v>
      </c>
      <c r="Q84" s="88">
        <v>44.8</v>
      </c>
      <c r="R84" s="88">
        <v>44.8</v>
      </c>
      <c r="S84" s="88">
        <v>48.1</v>
      </c>
      <c r="T84" s="88">
        <v>46.6</v>
      </c>
      <c r="U84" s="88">
        <v>47</v>
      </c>
      <c r="V84" s="88">
        <v>37.700000000000003</v>
      </c>
      <c r="W84" s="88">
        <v>35.9</v>
      </c>
      <c r="X84" s="88">
        <v>20</v>
      </c>
      <c r="Y84" s="88">
        <v>0</v>
      </c>
      <c r="Z84" s="88"/>
      <c r="AA84" s="88"/>
      <c r="AB84" s="88"/>
      <c r="AC84" s="88"/>
      <c r="AD84" s="88"/>
      <c r="AE84" s="88"/>
      <c r="AF84" s="88"/>
      <c r="AG84" s="87"/>
      <c r="AH84" s="48">
        <f t="shared" si="63"/>
        <v>59</v>
      </c>
      <c r="AI84" s="49">
        <f t="shared" si="64"/>
        <v>0</v>
      </c>
      <c r="AK84" s="51"/>
      <c r="AY84" s="81"/>
      <c r="BF84" s="80"/>
      <c r="BG84" s="81">
        <f t="array" ref="BG84:BL107">TRANSPOSE(AZ68:BW73)</f>
        <v>18</v>
      </c>
      <c r="BH84" s="81">
        <v>0</v>
      </c>
      <c r="BI84" s="81">
        <v>100</v>
      </c>
      <c r="BJ84" s="81">
        <v>24</v>
      </c>
      <c r="BK84" s="81">
        <v>80</v>
      </c>
      <c r="BL84" s="81">
        <v>57</v>
      </c>
    </row>
    <row r="85" spans="1:64" x14ac:dyDescent="0.25">
      <c r="A85" s="64" t="s">
        <v>108</v>
      </c>
      <c r="B85" s="46">
        <v>80</v>
      </c>
      <c r="C85" s="46">
        <v>80</v>
      </c>
      <c r="D85" s="46">
        <v>80</v>
      </c>
      <c r="E85" s="46">
        <v>82</v>
      </c>
      <c r="F85" s="46">
        <v>85</v>
      </c>
      <c r="G85" s="46">
        <v>82</v>
      </c>
      <c r="H85" s="46">
        <v>81</v>
      </c>
      <c r="I85" s="46">
        <v>82</v>
      </c>
      <c r="J85" s="46">
        <v>114</v>
      </c>
      <c r="K85" s="46">
        <v>125</v>
      </c>
      <c r="L85" s="46">
        <v>110</v>
      </c>
      <c r="M85" s="46">
        <v>105</v>
      </c>
      <c r="N85" s="46">
        <v>104.2</v>
      </c>
      <c r="O85" s="46">
        <v>123.1</v>
      </c>
      <c r="P85" s="46">
        <v>135</v>
      </c>
      <c r="Q85" s="46">
        <v>130.69999999999999</v>
      </c>
      <c r="R85" s="46">
        <v>130.69999999999999</v>
      </c>
      <c r="S85" s="46">
        <v>141.30000000000001</v>
      </c>
      <c r="T85" s="46">
        <v>117.4</v>
      </c>
      <c r="U85" s="46">
        <v>129</v>
      </c>
      <c r="V85" s="46">
        <v>98.3</v>
      </c>
      <c r="W85" s="46">
        <v>106.4</v>
      </c>
      <c r="X85" s="46">
        <v>94.2</v>
      </c>
      <c r="Y85" s="46">
        <v>0</v>
      </c>
      <c r="Z85" s="46"/>
      <c r="AA85" s="46"/>
      <c r="AB85" s="46"/>
      <c r="AC85" s="46"/>
      <c r="AD85" s="46"/>
      <c r="AE85" s="46"/>
      <c r="AF85" s="46"/>
      <c r="AG85" s="87"/>
      <c r="AH85" s="48">
        <f t="shared" si="63"/>
        <v>141.30000000000001</v>
      </c>
      <c r="AI85" s="49">
        <f t="shared" si="64"/>
        <v>0</v>
      </c>
      <c r="AK85" s="51"/>
      <c r="AY85" s="81"/>
      <c r="BF85" s="80"/>
      <c r="BG85" s="81">
        <v>16</v>
      </c>
      <c r="BH85" s="81">
        <v>0</v>
      </c>
      <c r="BI85" s="81">
        <v>123</v>
      </c>
      <c r="BJ85" s="81">
        <v>24</v>
      </c>
      <c r="BK85" s="81">
        <v>80</v>
      </c>
      <c r="BL85" s="81">
        <v>54</v>
      </c>
    </row>
    <row r="86" spans="1:64" x14ac:dyDescent="0.25">
      <c r="A86" s="64" t="s">
        <v>109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7"/>
      <c r="AH86" s="48">
        <f t="shared" si="63"/>
        <v>0</v>
      </c>
      <c r="AI86" s="49">
        <f t="shared" si="64"/>
        <v>0</v>
      </c>
      <c r="AK86" s="51"/>
      <c r="AY86" s="81"/>
      <c r="BF86" s="80"/>
      <c r="BG86" s="81">
        <v>17</v>
      </c>
      <c r="BH86" s="81">
        <v>0</v>
      </c>
      <c r="BI86" s="81">
        <v>73</v>
      </c>
      <c r="BJ86" s="81">
        <v>22.7</v>
      </c>
      <c r="BK86" s="81">
        <v>82</v>
      </c>
      <c r="BL86" s="81">
        <v>53.2</v>
      </c>
    </row>
    <row r="87" spans="1:64" ht="15.75" thickBot="1" x14ac:dyDescent="0.3">
      <c r="A87" s="64" t="s">
        <v>110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7"/>
      <c r="AH87" s="48">
        <f t="shared" si="63"/>
        <v>0</v>
      </c>
      <c r="AI87" s="49">
        <f t="shared" si="64"/>
        <v>0</v>
      </c>
      <c r="AK87" s="51"/>
      <c r="AL87" s="90" t="s">
        <v>111</v>
      </c>
      <c r="AM87" s="90"/>
      <c r="AY87" s="81"/>
      <c r="BF87" s="81"/>
      <c r="BG87" s="81">
        <v>12.5</v>
      </c>
      <c r="BH87" s="81">
        <v>0</v>
      </c>
      <c r="BI87" s="81">
        <v>77.400000000000006</v>
      </c>
      <c r="BJ87" s="81">
        <v>36</v>
      </c>
      <c r="BK87" s="81">
        <v>85</v>
      </c>
      <c r="BL87" s="81">
        <v>50.2</v>
      </c>
    </row>
    <row r="88" spans="1:64" x14ac:dyDescent="0.25">
      <c r="A88" s="64" t="s">
        <v>112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7"/>
      <c r="AH88" s="48">
        <f t="shared" si="63"/>
        <v>0</v>
      </c>
      <c r="AI88" s="49">
        <f t="shared" si="64"/>
        <v>0</v>
      </c>
      <c r="AK88" s="91"/>
      <c r="AL88" s="92"/>
      <c r="AM88" s="92"/>
      <c r="AN88" s="93"/>
      <c r="AY88" s="81"/>
      <c r="BF88" s="81"/>
      <c r="BG88" s="81">
        <v>14</v>
      </c>
      <c r="BH88" s="81">
        <v>0</v>
      </c>
      <c r="BI88" s="81">
        <v>99</v>
      </c>
      <c r="BJ88" s="81">
        <v>37.200000000000003</v>
      </c>
      <c r="BK88" s="81">
        <v>82</v>
      </c>
      <c r="BL88" s="81">
        <v>50</v>
      </c>
    </row>
    <row r="89" spans="1:64" x14ac:dyDescent="0.25">
      <c r="A89" s="64" t="s">
        <v>113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7"/>
      <c r="AH89" s="48">
        <f t="shared" si="63"/>
        <v>0</v>
      </c>
      <c r="AI89" s="49">
        <f t="shared" si="64"/>
        <v>0</v>
      </c>
      <c r="AK89" s="94" t="s">
        <v>114</v>
      </c>
      <c r="AL89" s="75"/>
      <c r="AM89" s="88"/>
      <c r="AN89" s="95"/>
      <c r="AY89" s="81"/>
      <c r="BF89" s="81"/>
      <c r="BG89" s="81">
        <v>34.799999999999997</v>
      </c>
      <c r="BH89" s="81">
        <v>0</v>
      </c>
      <c r="BI89" s="81">
        <v>147</v>
      </c>
      <c r="BJ89" s="81">
        <v>51.2</v>
      </c>
      <c r="BK89" s="81">
        <v>82</v>
      </c>
      <c r="BL89" s="81">
        <v>47.5</v>
      </c>
    </row>
    <row r="90" spans="1:64" x14ac:dyDescent="0.25">
      <c r="A90" s="96" t="s">
        <v>115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97"/>
      <c r="AH90" s="48">
        <f t="shared" si="63"/>
        <v>0</v>
      </c>
      <c r="AI90" s="49">
        <f t="shared" si="64"/>
        <v>0</v>
      </c>
      <c r="AK90" s="94" t="s">
        <v>116</v>
      </c>
      <c r="AL90" s="88"/>
      <c r="AM90" s="88"/>
      <c r="AN90" s="95"/>
      <c r="AY90" s="81"/>
      <c r="BF90" s="81"/>
      <c r="BG90" s="81">
        <v>69.8</v>
      </c>
      <c r="BH90" s="81">
        <v>106</v>
      </c>
      <c r="BI90" s="81">
        <v>479</v>
      </c>
      <c r="BJ90" s="81">
        <v>49.8</v>
      </c>
      <c r="BK90" s="81">
        <v>125</v>
      </c>
      <c r="BL90" s="81">
        <v>54.1</v>
      </c>
    </row>
    <row r="91" spans="1:64" ht="15.75" thickBot="1" x14ac:dyDescent="0.3">
      <c r="A91" s="96" t="s">
        <v>117</v>
      </c>
      <c r="B91" s="89">
        <v>53</v>
      </c>
      <c r="C91" s="89">
        <v>57</v>
      </c>
      <c r="D91" s="89">
        <v>54</v>
      </c>
      <c r="E91" s="89">
        <v>53.2</v>
      </c>
      <c r="F91" s="89">
        <v>50.2</v>
      </c>
      <c r="G91" s="89">
        <v>50</v>
      </c>
      <c r="H91" s="89">
        <v>45.9</v>
      </c>
      <c r="I91" s="89">
        <v>47.5</v>
      </c>
      <c r="J91" s="89">
        <v>56.6</v>
      </c>
      <c r="K91" s="89">
        <v>54.1</v>
      </c>
      <c r="L91" s="89">
        <v>52.3</v>
      </c>
      <c r="M91" s="89">
        <v>51.9</v>
      </c>
      <c r="N91" s="89">
        <v>51</v>
      </c>
      <c r="O91" s="89">
        <v>40.700000000000003</v>
      </c>
      <c r="P91" s="89">
        <v>44.5</v>
      </c>
      <c r="Q91" s="89">
        <v>41.9</v>
      </c>
      <c r="R91" s="89">
        <v>41.9</v>
      </c>
      <c r="S91" s="89">
        <v>45.7</v>
      </c>
      <c r="T91" s="89">
        <v>45.6</v>
      </c>
      <c r="U91" s="89">
        <v>47.6</v>
      </c>
      <c r="V91" s="89">
        <v>49.4</v>
      </c>
      <c r="W91" s="89">
        <v>50.2</v>
      </c>
      <c r="X91" s="89">
        <v>46.3</v>
      </c>
      <c r="Y91" s="89">
        <v>32.200000000000003</v>
      </c>
      <c r="Z91" s="89">
        <v>35.299999999999997</v>
      </c>
      <c r="AA91" s="89">
        <v>38.200000000000003</v>
      </c>
      <c r="AB91" s="89">
        <v>39.5</v>
      </c>
      <c r="AC91" s="89">
        <v>37</v>
      </c>
      <c r="AD91" s="89">
        <v>42.8</v>
      </c>
      <c r="AE91" s="89">
        <v>45.8</v>
      </c>
      <c r="AF91" s="89">
        <v>47.9</v>
      </c>
      <c r="AG91" s="97"/>
      <c r="AH91" s="48">
        <f t="shared" si="63"/>
        <v>57</v>
      </c>
      <c r="AI91" s="49">
        <f t="shared" si="64"/>
        <v>32.200000000000003</v>
      </c>
      <c r="AK91" s="98"/>
      <c r="AL91" s="46"/>
      <c r="AM91" s="46"/>
      <c r="AN91" s="99"/>
      <c r="AY91" s="81"/>
      <c r="BF91" s="81"/>
      <c r="BG91" s="81">
        <v>71</v>
      </c>
      <c r="BH91" s="81">
        <v>124</v>
      </c>
      <c r="BI91" s="81">
        <v>472.4</v>
      </c>
      <c r="BJ91" s="81">
        <v>50.1</v>
      </c>
      <c r="BK91" s="81">
        <v>105</v>
      </c>
      <c r="BL91" s="81">
        <v>51.9</v>
      </c>
    </row>
    <row r="92" spans="1:64" ht="15.75" thickBot="1" x14ac:dyDescent="0.3">
      <c r="A92" s="86" t="s">
        <v>118</v>
      </c>
      <c r="B92" s="70">
        <f t="shared" ref="B92:AA92" si="65">SUMIF(B81:B91,"&gt;0")</f>
        <v>305</v>
      </c>
      <c r="C92" s="70">
        <f t="shared" si="65"/>
        <v>278.8</v>
      </c>
      <c r="D92" s="70">
        <f t="shared" si="65"/>
        <v>297</v>
      </c>
      <c r="E92" s="70">
        <f t="shared" si="65"/>
        <v>247.89999999999998</v>
      </c>
      <c r="F92" s="70">
        <f t="shared" si="65"/>
        <v>261.10000000000002</v>
      </c>
      <c r="G92" s="70">
        <f t="shared" si="65"/>
        <v>282.2</v>
      </c>
      <c r="H92" s="70">
        <f t="shared" si="65"/>
        <v>309.5</v>
      </c>
      <c r="I92" s="70">
        <f t="shared" si="65"/>
        <v>362.5</v>
      </c>
      <c r="J92" s="70">
        <f t="shared" si="65"/>
        <v>860.6</v>
      </c>
      <c r="K92" s="70">
        <f t="shared" si="65"/>
        <v>883.69999999999993</v>
      </c>
      <c r="L92" s="70">
        <f t="shared" si="65"/>
        <v>858.19999999999993</v>
      </c>
      <c r="M92" s="70">
        <f t="shared" si="65"/>
        <v>874.4</v>
      </c>
      <c r="N92" s="70">
        <f t="shared" si="65"/>
        <v>839.80000000000007</v>
      </c>
      <c r="O92" s="70">
        <f t="shared" si="65"/>
        <v>718.10000000000014</v>
      </c>
      <c r="P92" s="70">
        <f t="shared" si="65"/>
        <v>879.5</v>
      </c>
      <c r="Q92" s="70">
        <f t="shared" si="65"/>
        <v>888.9</v>
      </c>
      <c r="R92" s="70">
        <f t="shared" ref="R92" si="66">SUMIF(R81:R91,"&gt;0")</f>
        <v>888.9</v>
      </c>
      <c r="S92" s="70">
        <f t="shared" si="65"/>
        <v>887.60000000000014</v>
      </c>
      <c r="T92" s="70">
        <f t="shared" si="65"/>
        <v>864.1</v>
      </c>
      <c r="U92" s="70">
        <f t="shared" si="65"/>
        <v>885</v>
      </c>
      <c r="V92" s="70">
        <f t="shared" si="65"/>
        <v>844</v>
      </c>
      <c r="W92" s="70">
        <f t="shared" si="65"/>
        <v>812.8</v>
      </c>
      <c r="X92" s="70">
        <f t="shared" si="65"/>
        <v>757.6</v>
      </c>
      <c r="Y92" s="70">
        <f>SUMIF(Y81:Y91,"&gt;0")</f>
        <v>218.8</v>
      </c>
      <c r="Z92" s="70">
        <f>SUMIF(Z81:Z91,"&gt;0")</f>
        <v>170.3</v>
      </c>
      <c r="AA92" s="70">
        <f t="shared" si="65"/>
        <v>153.19999999999999</v>
      </c>
      <c r="AB92" s="70">
        <f t="shared" ref="AB92:AC92" si="67">SUMIF(AB81:AB91,"&gt;0")</f>
        <v>100.9</v>
      </c>
      <c r="AC92" s="70">
        <f t="shared" si="67"/>
        <v>121.6</v>
      </c>
      <c r="AD92" s="70">
        <f t="shared" ref="AD92:AE92" si="68">SUMIF(AD81:AD91,"&gt;0")</f>
        <v>161.39999999999998</v>
      </c>
      <c r="AE92" s="70">
        <f t="shared" si="68"/>
        <v>188.7</v>
      </c>
      <c r="AF92" s="70">
        <f t="shared" ref="AF92" si="69">SUMIF(AF81:AF91,"&gt;0")</f>
        <v>173.5</v>
      </c>
      <c r="AG92" s="100">
        <f>SUM(AG81:AG91)</f>
        <v>0</v>
      </c>
      <c r="AH92" s="48">
        <f t="shared" si="63"/>
        <v>888.9</v>
      </c>
      <c r="AI92" s="49">
        <f t="shared" si="64"/>
        <v>100.9</v>
      </c>
      <c r="AK92" s="98"/>
      <c r="AL92" s="89"/>
      <c r="AM92" s="101"/>
      <c r="AN92" s="202"/>
      <c r="AY92" s="81"/>
      <c r="BF92" s="81"/>
      <c r="BG92" s="81">
        <v>48</v>
      </c>
      <c r="BH92" s="81">
        <v>118.5</v>
      </c>
      <c r="BI92" s="81">
        <v>475</v>
      </c>
      <c r="BJ92" s="81">
        <v>43.1</v>
      </c>
      <c r="BK92" s="81">
        <v>104.2</v>
      </c>
      <c r="BL92" s="81">
        <v>51</v>
      </c>
    </row>
    <row r="93" spans="1:64" x14ac:dyDescent="0.25">
      <c r="A93" s="45" t="s">
        <v>119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63"/>
        <v>0</v>
      </c>
      <c r="AI93" s="49">
        <f t="shared" si="64"/>
        <v>0</v>
      </c>
      <c r="AK93" s="98"/>
      <c r="AL93" s="89"/>
      <c r="AM93" s="89"/>
      <c r="AN93" s="203"/>
      <c r="BF93" s="81"/>
      <c r="BG93" s="81">
        <v>71</v>
      </c>
      <c r="BH93" s="81" t="str">
        <v>110..6</v>
      </c>
      <c r="BI93" s="81">
        <v>441.1</v>
      </c>
      <c r="BJ93" s="81">
        <v>42.2</v>
      </c>
      <c r="BK93" s="81">
        <v>123.1</v>
      </c>
      <c r="BL93" s="81">
        <v>40.700000000000003</v>
      </c>
    </row>
    <row r="94" spans="1:64" ht="15.75" thickBot="1" x14ac:dyDescent="0.3">
      <c r="A94" s="64" t="s">
        <v>120</v>
      </c>
      <c r="B94" s="89">
        <v>0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63"/>
        <v>0</v>
      </c>
      <c r="AI94" s="49">
        <f t="shared" si="64"/>
        <v>0</v>
      </c>
      <c r="AK94" s="103"/>
      <c r="AL94" s="104"/>
      <c r="AM94" s="104"/>
      <c r="AN94" s="105"/>
      <c r="BF94" s="81"/>
      <c r="BG94" s="81">
        <v>55</v>
      </c>
      <c r="BH94" s="81">
        <v>124</v>
      </c>
      <c r="BI94" s="81">
        <v>478</v>
      </c>
      <c r="BJ94" s="81">
        <v>43</v>
      </c>
      <c r="BK94" s="81">
        <v>135</v>
      </c>
      <c r="BL94" s="81">
        <v>44.5</v>
      </c>
    </row>
    <row r="95" spans="1:64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0</v>
      </c>
      <c r="Y95" s="106">
        <v>0</v>
      </c>
      <c r="Z95" s="106">
        <v>0</v>
      </c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63"/>
        <v>0</v>
      </c>
      <c r="AI95" s="49">
        <f t="shared" si="64"/>
        <v>0</v>
      </c>
      <c r="BF95" s="81"/>
      <c r="BG95" s="81">
        <v>70.5</v>
      </c>
      <c r="BH95" s="81">
        <v>107</v>
      </c>
      <c r="BI95" s="81">
        <v>494</v>
      </c>
      <c r="BJ95" s="81">
        <v>44.8</v>
      </c>
      <c r="BK95" s="81">
        <v>130.69999999999999</v>
      </c>
      <c r="BL95" s="81">
        <v>41.9</v>
      </c>
    </row>
    <row r="96" spans="1:64" ht="15.75" thickBot="1" x14ac:dyDescent="0.3">
      <c r="A96" s="86" t="s">
        <v>122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100">
        <f>SUM(AG93:AG95)</f>
        <v>55.4</v>
      </c>
      <c r="AH96" s="48">
        <f t="shared" si="63"/>
        <v>0</v>
      </c>
      <c r="AI96" s="49">
        <f t="shared" si="64"/>
        <v>0</v>
      </c>
      <c r="BF96" s="81"/>
      <c r="BG96" s="81">
        <v>70.5</v>
      </c>
      <c r="BH96" s="81">
        <v>107</v>
      </c>
      <c r="BI96" s="81">
        <v>494</v>
      </c>
      <c r="BJ96" s="81">
        <v>44.8</v>
      </c>
      <c r="BK96" s="81">
        <v>130.69999999999999</v>
      </c>
      <c r="BL96" s="81">
        <v>41.9</v>
      </c>
    </row>
    <row r="97" spans="1:64" ht="15.75" thickBot="1" x14ac:dyDescent="0.3">
      <c r="A97" s="86" t="s">
        <v>123</v>
      </c>
      <c r="B97" s="107">
        <f t="shared" ref="B97:AG97" si="70">B58+B62+B80+B76+B92+B96</f>
        <v>1170.3900000000001</v>
      </c>
      <c r="C97" s="107">
        <f t="shared" si="70"/>
        <v>1085.7900000000002</v>
      </c>
      <c r="D97" s="107">
        <f t="shared" si="70"/>
        <v>1100.9900000000002</v>
      </c>
      <c r="E97" s="107">
        <f t="shared" si="70"/>
        <v>1048.69</v>
      </c>
      <c r="F97" s="107">
        <f t="shared" si="70"/>
        <v>1061.8899999999999</v>
      </c>
      <c r="G97" s="107">
        <f t="shared" si="70"/>
        <v>1082.99</v>
      </c>
      <c r="H97" s="107">
        <f t="shared" si="70"/>
        <v>1124.19</v>
      </c>
      <c r="I97" s="107">
        <f t="shared" si="70"/>
        <v>1200.8899999999999</v>
      </c>
      <c r="J97" s="107">
        <f t="shared" si="70"/>
        <v>1592.29</v>
      </c>
      <c r="K97" s="107">
        <f t="shared" si="70"/>
        <v>1621.69</v>
      </c>
      <c r="L97" s="107">
        <f t="shared" si="70"/>
        <v>1643.19</v>
      </c>
      <c r="M97" s="107">
        <f t="shared" si="70"/>
        <v>1685.49</v>
      </c>
      <c r="N97" s="107">
        <f t="shared" si="70"/>
        <v>1659.0900000000001</v>
      </c>
      <c r="O97" s="107">
        <f t="shared" si="70"/>
        <v>1558.4900000000002</v>
      </c>
      <c r="P97" s="107">
        <f t="shared" si="70"/>
        <v>1704.8899999999999</v>
      </c>
      <c r="Q97" s="107">
        <f t="shared" si="70"/>
        <v>1699.79</v>
      </c>
      <c r="R97" s="107">
        <f t="shared" ref="R97" si="71">R58+R62+R80+R76+R92+R96</f>
        <v>1696.19</v>
      </c>
      <c r="S97" s="107">
        <f t="shared" si="70"/>
        <v>1654.39</v>
      </c>
      <c r="T97" s="107">
        <f t="shared" si="70"/>
        <v>1668.29</v>
      </c>
      <c r="U97" s="107">
        <f t="shared" si="70"/>
        <v>1664.99</v>
      </c>
      <c r="V97" s="107">
        <f t="shared" si="70"/>
        <v>1611.69</v>
      </c>
      <c r="W97" s="107">
        <f t="shared" si="70"/>
        <v>1544.8899999999999</v>
      </c>
      <c r="X97" s="107">
        <f t="shared" si="70"/>
        <v>1449.8899999999999</v>
      </c>
      <c r="Y97" s="107">
        <f>Y58+Y62+Y80+Y76+Y92+Y96</f>
        <v>1413.6499999999999</v>
      </c>
      <c r="Z97" s="107">
        <f>Z58+Z62+Z80+Z76+Z92+Z96</f>
        <v>1553.6499999999999</v>
      </c>
      <c r="AA97" s="107">
        <f t="shared" si="70"/>
        <v>1549.39</v>
      </c>
      <c r="AB97" s="107">
        <f t="shared" ref="AB97:AC97" si="72">AB58+AB62+AB80+AB76+AB92+AB96</f>
        <v>1412.0900000000001</v>
      </c>
      <c r="AC97" s="107">
        <f t="shared" si="72"/>
        <v>1379.8899999999999</v>
      </c>
      <c r="AD97" s="107">
        <f t="shared" ref="AD97:AE97" si="73">AD58+AD62+AD80+AD76+AD92+AD96</f>
        <v>1323.8899999999999</v>
      </c>
      <c r="AE97" s="107">
        <f t="shared" si="73"/>
        <v>1191.99</v>
      </c>
      <c r="AF97" s="107">
        <f t="shared" ref="AF97" si="74">AF58+AF62+AF80+AF76+AF92+AF96</f>
        <v>1100.4899999999998</v>
      </c>
      <c r="AG97" s="71">
        <f t="shared" si="70"/>
        <v>2231.81</v>
      </c>
      <c r="AH97" s="48">
        <f t="shared" si="63"/>
        <v>1704.8899999999999</v>
      </c>
      <c r="AI97" s="49">
        <f t="shared" si="64"/>
        <v>1048.69</v>
      </c>
      <c r="BF97" s="81"/>
      <c r="BG97" s="81">
        <v>72.099999999999994</v>
      </c>
      <c r="BH97" s="81">
        <v>114.4</v>
      </c>
      <c r="BI97" s="81">
        <v>466</v>
      </c>
      <c r="BJ97" s="81">
        <v>48.1</v>
      </c>
      <c r="BK97" s="81">
        <v>141.30000000000001</v>
      </c>
      <c r="BL97" s="81">
        <v>45.7</v>
      </c>
    </row>
    <row r="98" spans="1:64" ht="15.75" thickBot="1" x14ac:dyDescent="0.3">
      <c r="A98" s="108" t="s">
        <v>124</v>
      </c>
      <c r="B98" s="109">
        <v>300</v>
      </c>
      <c r="C98" s="109">
        <v>300</v>
      </c>
      <c r="D98" s="109">
        <v>300</v>
      </c>
      <c r="E98" s="109">
        <v>300</v>
      </c>
      <c r="F98" s="109">
        <v>300</v>
      </c>
      <c r="G98" s="109">
        <v>300</v>
      </c>
      <c r="H98" s="109">
        <v>300</v>
      </c>
      <c r="I98" s="109">
        <v>280</v>
      </c>
      <c r="J98" s="109">
        <v>20</v>
      </c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>
        <v>300</v>
      </c>
      <c r="AA98" s="109">
        <v>300</v>
      </c>
      <c r="AB98" s="109">
        <v>300</v>
      </c>
      <c r="AC98" s="109">
        <v>301</v>
      </c>
      <c r="AD98" s="109">
        <v>320</v>
      </c>
      <c r="AE98" s="109">
        <v>340</v>
      </c>
      <c r="AF98" s="109">
        <v>340</v>
      </c>
      <c r="AG98" s="100"/>
      <c r="AH98" s="48">
        <f t="shared" si="63"/>
        <v>340</v>
      </c>
      <c r="AI98" s="49">
        <f t="shared" si="64"/>
        <v>20</v>
      </c>
      <c r="BF98" s="81"/>
      <c r="BG98" s="81">
        <v>65.2</v>
      </c>
      <c r="BH98" s="81">
        <v>106.3</v>
      </c>
      <c r="BI98" s="81">
        <v>483</v>
      </c>
      <c r="BJ98" s="81">
        <v>46.6</v>
      </c>
      <c r="BK98" s="81">
        <v>117.4</v>
      </c>
      <c r="BL98" s="81">
        <v>45.6</v>
      </c>
    </row>
    <row r="99" spans="1:64" ht="15.75" thickBot="1" x14ac:dyDescent="0.3">
      <c r="A99" s="86" t="s">
        <v>125</v>
      </c>
      <c r="B99" s="107">
        <f t="shared" ref="B99:AA99" si="75">B97+B98</f>
        <v>1470.39</v>
      </c>
      <c r="C99" s="107">
        <f t="shared" si="75"/>
        <v>1385.7900000000002</v>
      </c>
      <c r="D99" s="107">
        <f t="shared" si="75"/>
        <v>1400.9900000000002</v>
      </c>
      <c r="E99" s="107">
        <f t="shared" si="75"/>
        <v>1348.69</v>
      </c>
      <c r="F99" s="107">
        <f t="shared" si="75"/>
        <v>1361.8899999999999</v>
      </c>
      <c r="G99" s="107">
        <f t="shared" si="75"/>
        <v>1382.99</v>
      </c>
      <c r="H99" s="107">
        <f t="shared" si="75"/>
        <v>1424.19</v>
      </c>
      <c r="I99" s="107">
        <f t="shared" si="75"/>
        <v>1480.8899999999999</v>
      </c>
      <c r="J99" s="107">
        <f t="shared" si="75"/>
        <v>1612.29</v>
      </c>
      <c r="K99" s="107">
        <f t="shared" si="75"/>
        <v>1621.69</v>
      </c>
      <c r="L99" s="107">
        <f t="shared" si="75"/>
        <v>1643.19</v>
      </c>
      <c r="M99" s="107">
        <f t="shared" si="75"/>
        <v>1685.49</v>
      </c>
      <c r="N99" s="107">
        <f t="shared" si="75"/>
        <v>1659.0900000000001</v>
      </c>
      <c r="O99" s="107">
        <f t="shared" si="75"/>
        <v>1558.4900000000002</v>
      </c>
      <c r="P99" s="107">
        <f t="shared" si="75"/>
        <v>1704.8899999999999</v>
      </c>
      <c r="Q99" s="107">
        <f t="shared" si="75"/>
        <v>1699.79</v>
      </c>
      <c r="R99" s="107">
        <f t="shared" ref="R99" si="76">R97+R98</f>
        <v>1696.19</v>
      </c>
      <c r="S99" s="107">
        <f t="shared" si="75"/>
        <v>1654.39</v>
      </c>
      <c r="T99" s="107">
        <f t="shared" si="75"/>
        <v>1668.29</v>
      </c>
      <c r="U99" s="107">
        <f t="shared" si="75"/>
        <v>1664.99</v>
      </c>
      <c r="V99" s="107">
        <f t="shared" si="75"/>
        <v>1611.69</v>
      </c>
      <c r="W99" s="107">
        <f t="shared" si="75"/>
        <v>1544.8899999999999</v>
      </c>
      <c r="X99" s="107">
        <f t="shared" si="75"/>
        <v>1449.8899999999999</v>
      </c>
      <c r="Y99" s="107">
        <f>Y97+Y98</f>
        <v>1413.6499999999999</v>
      </c>
      <c r="Z99" s="107">
        <f>Z97+Z98</f>
        <v>1853.6499999999999</v>
      </c>
      <c r="AA99" s="107">
        <f t="shared" si="75"/>
        <v>1849.39</v>
      </c>
      <c r="AB99" s="107">
        <f t="shared" ref="AB99:AC99" si="77">AB97+AB98</f>
        <v>1712.0900000000001</v>
      </c>
      <c r="AC99" s="107">
        <f t="shared" si="77"/>
        <v>1680.8899999999999</v>
      </c>
      <c r="AD99" s="107">
        <f t="shared" ref="AD99:AE99" si="78">AD97+AD98</f>
        <v>1643.8899999999999</v>
      </c>
      <c r="AE99" s="107">
        <f t="shared" si="78"/>
        <v>1531.99</v>
      </c>
      <c r="AF99" s="107">
        <f t="shared" ref="AF99" si="79">AF97+AF98</f>
        <v>1440.4899999999998</v>
      </c>
      <c r="AG99" s="100">
        <f>AG96+AG92+AG80+AG76+AG58+AG98</f>
        <v>1693.71</v>
      </c>
      <c r="AH99" s="48">
        <f t="shared" si="63"/>
        <v>1853.6499999999999</v>
      </c>
      <c r="AI99" s="49">
        <f t="shared" si="64"/>
        <v>1348.69</v>
      </c>
      <c r="BF99" s="81"/>
      <c r="BG99" s="81">
        <v>74.7</v>
      </c>
      <c r="BH99" s="81">
        <v>121.7</v>
      </c>
      <c r="BI99" s="81">
        <v>465</v>
      </c>
      <c r="BJ99" s="81">
        <v>47</v>
      </c>
      <c r="BK99" s="81">
        <v>129</v>
      </c>
      <c r="BL99" s="81">
        <v>47.6</v>
      </c>
    </row>
    <row r="100" spans="1:64" ht="15.75" thickBot="1" x14ac:dyDescent="0.3">
      <c r="A100" s="86" t="s">
        <v>126</v>
      </c>
      <c r="B100" s="107">
        <f t="shared" ref="B100:M100" si="80">B99-(B107)</f>
        <v>1470.39</v>
      </c>
      <c r="C100" s="107">
        <f t="shared" si="80"/>
        <v>1385.7900000000002</v>
      </c>
      <c r="D100" s="107">
        <f t="shared" si="80"/>
        <v>1400.9900000000002</v>
      </c>
      <c r="E100" s="107">
        <f t="shared" si="80"/>
        <v>1348.69</v>
      </c>
      <c r="F100" s="107">
        <f t="shared" si="80"/>
        <v>1361.8899999999999</v>
      </c>
      <c r="G100" s="107">
        <f t="shared" si="80"/>
        <v>1382.99</v>
      </c>
      <c r="H100" s="107">
        <f t="shared" si="80"/>
        <v>1424.19</v>
      </c>
      <c r="I100" s="107">
        <f t="shared" si="80"/>
        <v>1480.8899999999999</v>
      </c>
      <c r="J100" s="107">
        <f t="shared" si="80"/>
        <v>1612.29</v>
      </c>
      <c r="K100" s="107">
        <f t="shared" si="80"/>
        <v>1621.69</v>
      </c>
      <c r="L100" s="107">
        <f t="shared" si="80"/>
        <v>1643.19</v>
      </c>
      <c r="M100" s="107">
        <f t="shared" si="80"/>
        <v>1685.49</v>
      </c>
      <c r="N100" s="107">
        <f>N99-(N107)</f>
        <v>1659.0900000000001</v>
      </c>
      <c r="O100" s="107">
        <f t="shared" ref="O100:AA100" si="81">O99-(O107)</f>
        <v>1558.4900000000002</v>
      </c>
      <c r="P100" s="107">
        <f t="shared" si="81"/>
        <v>1704.8899999999999</v>
      </c>
      <c r="Q100" s="107">
        <f t="shared" si="81"/>
        <v>1699.79</v>
      </c>
      <c r="R100" s="107">
        <f t="shared" ref="R100" si="82">R99-(R107)</f>
        <v>1695.19</v>
      </c>
      <c r="S100" s="107">
        <f t="shared" si="81"/>
        <v>1654.39</v>
      </c>
      <c r="T100" s="107">
        <f t="shared" si="81"/>
        <v>1668.29</v>
      </c>
      <c r="U100" s="107">
        <f t="shared" si="81"/>
        <v>1664.99</v>
      </c>
      <c r="V100" s="107">
        <f t="shared" si="81"/>
        <v>1611.69</v>
      </c>
      <c r="W100" s="107">
        <f t="shared" si="81"/>
        <v>1544.8899999999999</v>
      </c>
      <c r="X100" s="107">
        <f t="shared" si="81"/>
        <v>1449.8899999999999</v>
      </c>
      <c r="Y100" s="107">
        <f t="shared" si="81"/>
        <v>1413.6499999999999</v>
      </c>
      <c r="Z100" s="107">
        <f t="shared" si="81"/>
        <v>1853.6499999999999</v>
      </c>
      <c r="AA100" s="107">
        <f t="shared" si="81"/>
        <v>1849.39</v>
      </c>
      <c r="AB100" s="107">
        <f t="shared" ref="AB100:AC100" si="83">AB99-(AB107)</f>
        <v>1712.0900000000001</v>
      </c>
      <c r="AC100" s="107">
        <f t="shared" si="83"/>
        <v>1680.8899999999999</v>
      </c>
      <c r="AD100" s="107">
        <f t="shared" ref="AD100:AE100" si="84">AD99-(AD107)</f>
        <v>1643.8899999999999</v>
      </c>
      <c r="AE100" s="107">
        <f t="shared" si="84"/>
        <v>1531.99</v>
      </c>
      <c r="AF100" s="107">
        <f t="shared" ref="AF100" si="85">AF99-(AF107)</f>
        <v>1440.4899999999998</v>
      </c>
      <c r="AG100" s="100"/>
      <c r="AH100" s="48">
        <f t="shared" si="63"/>
        <v>1853.6499999999999</v>
      </c>
      <c r="AI100" s="49">
        <f t="shared" si="64"/>
        <v>1348.69</v>
      </c>
      <c r="BF100" s="81"/>
      <c r="BG100" s="81">
        <v>66</v>
      </c>
      <c r="BH100" s="81">
        <v>110.6</v>
      </c>
      <c r="BI100" s="81">
        <v>482</v>
      </c>
      <c r="BJ100" s="81">
        <v>37.700000000000003</v>
      </c>
      <c r="BK100" s="81">
        <v>98.3</v>
      </c>
      <c r="BL100" s="81">
        <v>49.4</v>
      </c>
    </row>
    <row r="101" spans="1:64" x14ac:dyDescent="0.25">
      <c r="A101" s="45" t="s">
        <v>107</v>
      </c>
      <c r="B101" s="88">
        <f t="shared" ref="B101:AA101" si="86">IF(B84&lt;0,B84*-1,0)</f>
        <v>0</v>
      </c>
      <c r="C101" s="88">
        <f t="shared" si="86"/>
        <v>0</v>
      </c>
      <c r="D101" s="88">
        <f t="shared" si="86"/>
        <v>0</v>
      </c>
      <c r="E101" s="88">
        <f t="shared" si="86"/>
        <v>0</v>
      </c>
      <c r="F101" s="88">
        <f t="shared" si="86"/>
        <v>0</v>
      </c>
      <c r="G101" s="88">
        <f t="shared" si="86"/>
        <v>0</v>
      </c>
      <c r="H101" s="88">
        <f t="shared" si="86"/>
        <v>0</v>
      </c>
      <c r="I101" s="88">
        <f t="shared" si="86"/>
        <v>0</v>
      </c>
      <c r="J101" s="88">
        <f t="shared" si="86"/>
        <v>0</v>
      </c>
      <c r="K101" s="88">
        <f t="shared" si="86"/>
        <v>0</v>
      </c>
      <c r="L101" s="88">
        <f t="shared" si="86"/>
        <v>0</v>
      </c>
      <c r="M101" s="88">
        <f t="shared" si="86"/>
        <v>0</v>
      </c>
      <c r="N101" s="88">
        <f t="shared" si="86"/>
        <v>0</v>
      </c>
      <c r="O101" s="88">
        <f t="shared" si="86"/>
        <v>0</v>
      </c>
      <c r="P101" s="88">
        <f t="shared" si="86"/>
        <v>0</v>
      </c>
      <c r="Q101" s="88">
        <f t="shared" si="86"/>
        <v>0</v>
      </c>
      <c r="R101" s="88">
        <f t="shared" ref="R101" si="87">IF(R84&lt;0,R84*-1,0)</f>
        <v>0</v>
      </c>
      <c r="S101" s="88">
        <f t="shared" si="86"/>
        <v>0</v>
      </c>
      <c r="T101" s="88">
        <f t="shared" si="86"/>
        <v>0</v>
      </c>
      <c r="U101" s="88">
        <f t="shared" si="86"/>
        <v>0</v>
      </c>
      <c r="V101" s="88">
        <f t="shared" si="86"/>
        <v>0</v>
      </c>
      <c r="W101" s="88">
        <f t="shared" si="86"/>
        <v>0</v>
      </c>
      <c r="X101" s="88">
        <f t="shared" si="86"/>
        <v>0</v>
      </c>
      <c r="Y101" s="88">
        <f t="shared" si="86"/>
        <v>0</v>
      </c>
      <c r="Z101" s="88">
        <f t="shared" si="86"/>
        <v>0</v>
      </c>
      <c r="AA101" s="88">
        <f t="shared" si="86"/>
        <v>0</v>
      </c>
      <c r="AB101" s="88">
        <f t="shared" ref="AB101:AC101" si="88">IF(AB84&lt;0,AB84*-1,0)</f>
        <v>0</v>
      </c>
      <c r="AC101" s="88">
        <f t="shared" si="88"/>
        <v>0</v>
      </c>
      <c r="AD101" s="88">
        <f t="shared" ref="AD101:AE101" si="89">IF(AD84&lt;0,AD84*-1,0)</f>
        <v>0</v>
      </c>
      <c r="AE101" s="88">
        <f t="shared" si="89"/>
        <v>0</v>
      </c>
      <c r="AF101" s="88">
        <f t="shared" ref="AF101" si="90">IF(AF84&lt;0,AF84*-1,0)</f>
        <v>0</v>
      </c>
      <c r="AG101" s="60"/>
      <c r="AH101" s="48">
        <f t="shared" si="63"/>
        <v>0</v>
      </c>
      <c r="AI101" s="49">
        <f t="shared" si="64"/>
        <v>0</v>
      </c>
      <c r="BF101" s="80"/>
      <c r="BG101" s="81">
        <v>67.2</v>
      </c>
      <c r="BH101" s="81">
        <v>103.6</v>
      </c>
      <c r="BI101" s="81">
        <v>426.3</v>
      </c>
      <c r="BJ101" s="81">
        <v>20</v>
      </c>
      <c r="BK101" s="81">
        <v>94.2</v>
      </c>
      <c r="BL101" s="81">
        <v>46.3</v>
      </c>
    </row>
    <row r="102" spans="1:64" x14ac:dyDescent="0.25">
      <c r="A102" s="64" t="s">
        <v>105</v>
      </c>
      <c r="B102" s="88">
        <f t="shared" ref="B102:AA102" si="91">IF(B82&lt;0,B82*-1,0)</f>
        <v>0</v>
      </c>
      <c r="C102" s="88">
        <f t="shared" si="91"/>
        <v>0</v>
      </c>
      <c r="D102" s="88">
        <f t="shared" si="91"/>
        <v>0</v>
      </c>
      <c r="E102" s="88">
        <f t="shared" si="91"/>
        <v>0</v>
      </c>
      <c r="F102" s="88">
        <f t="shared" si="91"/>
        <v>0</v>
      </c>
      <c r="G102" s="88">
        <f t="shared" si="91"/>
        <v>0</v>
      </c>
      <c r="H102" s="88">
        <f t="shared" si="91"/>
        <v>0</v>
      </c>
      <c r="I102" s="88">
        <f t="shared" si="91"/>
        <v>0</v>
      </c>
      <c r="J102" s="88">
        <f t="shared" si="91"/>
        <v>0</v>
      </c>
      <c r="K102" s="88">
        <f t="shared" si="91"/>
        <v>0</v>
      </c>
      <c r="L102" s="88">
        <f t="shared" si="91"/>
        <v>0</v>
      </c>
      <c r="M102" s="88">
        <f t="shared" si="91"/>
        <v>0</v>
      </c>
      <c r="N102" s="88">
        <f t="shared" si="91"/>
        <v>0</v>
      </c>
      <c r="O102" s="88">
        <f t="shared" si="91"/>
        <v>0</v>
      </c>
      <c r="P102" s="88">
        <f t="shared" si="91"/>
        <v>0</v>
      </c>
      <c r="Q102" s="88">
        <f t="shared" si="91"/>
        <v>0</v>
      </c>
      <c r="R102" s="88">
        <f t="shared" ref="R102" si="92">IF(R82&lt;0,R82*-1,0)</f>
        <v>0</v>
      </c>
      <c r="S102" s="88">
        <f t="shared" si="91"/>
        <v>0</v>
      </c>
      <c r="T102" s="88">
        <f t="shared" si="91"/>
        <v>0</v>
      </c>
      <c r="U102" s="88">
        <f t="shared" si="91"/>
        <v>0</v>
      </c>
      <c r="V102" s="88">
        <f t="shared" si="91"/>
        <v>0</v>
      </c>
      <c r="W102" s="88">
        <f t="shared" si="91"/>
        <v>0</v>
      </c>
      <c r="X102" s="88">
        <f t="shared" si="91"/>
        <v>0</v>
      </c>
      <c r="Y102" s="88">
        <f t="shared" si="91"/>
        <v>0</v>
      </c>
      <c r="Z102" s="88">
        <f t="shared" si="91"/>
        <v>0</v>
      </c>
      <c r="AA102" s="88">
        <f t="shared" si="91"/>
        <v>0</v>
      </c>
      <c r="AB102" s="88">
        <f t="shared" ref="AB102:AC102" si="93">IF(AB82&lt;0,AB82*-1,0)</f>
        <v>0</v>
      </c>
      <c r="AC102" s="88">
        <f t="shared" si="93"/>
        <v>0</v>
      </c>
      <c r="AD102" s="88">
        <f t="shared" ref="AD102:AE102" si="94">IF(AD82&lt;0,AD82*-1,0)</f>
        <v>0</v>
      </c>
      <c r="AE102" s="88">
        <f t="shared" si="94"/>
        <v>0</v>
      </c>
      <c r="AF102" s="88">
        <f t="shared" ref="AF102" si="95">IF(AF82&lt;0,AF82*-1,0)</f>
        <v>0</v>
      </c>
      <c r="AG102" s="65"/>
      <c r="AH102" s="48">
        <f t="shared" si="63"/>
        <v>0</v>
      </c>
      <c r="AI102" s="49">
        <f t="shared" si="64"/>
        <v>0</v>
      </c>
      <c r="BF102" s="80"/>
      <c r="BG102" s="81">
        <v>69</v>
      </c>
      <c r="BH102" s="81">
        <v>0</v>
      </c>
      <c r="BI102" s="81">
        <v>66</v>
      </c>
      <c r="BJ102" s="81">
        <v>0</v>
      </c>
      <c r="BK102" s="81">
        <v>0</v>
      </c>
      <c r="BL102" s="81">
        <v>35.299999999999997</v>
      </c>
    </row>
    <row r="103" spans="1:64" x14ac:dyDescent="0.25">
      <c r="A103" s="96" t="s">
        <v>127</v>
      </c>
      <c r="B103" s="88">
        <f t="shared" ref="B103:AA103" si="96">IF(B85&lt;0,B85*-1,0)</f>
        <v>0</v>
      </c>
      <c r="C103" s="88">
        <f t="shared" si="96"/>
        <v>0</v>
      </c>
      <c r="D103" s="88">
        <f t="shared" si="96"/>
        <v>0</v>
      </c>
      <c r="E103" s="88">
        <f t="shared" si="96"/>
        <v>0</v>
      </c>
      <c r="F103" s="88">
        <f t="shared" si="96"/>
        <v>0</v>
      </c>
      <c r="G103" s="88">
        <f t="shared" si="96"/>
        <v>0</v>
      </c>
      <c r="H103" s="88">
        <f t="shared" si="96"/>
        <v>0</v>
      </c>
      <c r="I103" s="88">
        <f t="shared" si="96"/>
        <v>0</v>
      </c>
      <c r="J103" s="88">
        <f t="shared" si="96"/>
        <v>0</v>
      </c>
      <c r="K103" s="88">
        <f t="shared" si="96"/>
        <v>0</v>
      </c>
      <c r="L103" s="88">
        <f t="shared" si="96"/>
        <v>0</v>
      </c>
      <c r="M103" s="88">
        <f t="shared" si="96"/>
        <v>0</v>
      </c>
      <c r="N103" s="88">
        <f t="shared" si="96"/>
        <v>0</v>
      </c>
      <c r="O103" s="88">
        <f t="shared" si="96"/>
        <v>0</v>
      </c>
      <c r="P103" s="88">
        <f t="shared" si="96"/>
        <v>0</v>
      </c>
      <c r="Q103" s="88">
        <f t="shared" si="96"/>
        <v>0</v>
      </c>
      <c r="R103" s="88">
        <f t="shared" ref="R103" si="97">IF(R85&lt;0,R85*-1,0)</f>
        <v>0</v>
      </c>
      <c r="S103" s="88">
        <f t="shared" si="96"/>
        <v>0</v>
      </c>
      <c r="T103" s="88">
        <f t="shared" si="96"/>
        <v>0</v>
      </c>
      <c r="U103" s="88">
        <f t="shared" si="96"/>
        <v>0</v>
      </c>
      <c r="V103" s="88">
        <f t="shared" si="96"/>
        <v>0</v>
      </c>
      <c r="W103" s="88">
        <f t="shared" si="96"/>
        <v>0</v>
      </c>
      <c r="X103" s="88">
        <f t="shared" si="96"/>
        <v>0</v>
      </c>
      <c r="Y103" s="88">
        <f t="shared" si="96"/>
        <v>0</v>
      </c>
      <c r="Z103" s="88">
        <f t="shared" si="96"/>
        <v>0</v>
      </c>
      <c r="AA103" s="88">
        <f t="shared" si="96"/>
        <v>0</v>
      </c>
      <c r="AB103" s="88">
        <f t="shared" ref="AB103:AC103" si="98">IF(AB85&lt;0,AB85*-1,0)</f>
        <v>0</v>
      </c>
      <c r="AC103" s="88">
        <f t="shared" si="98"/>
        <v>0</v>
      </c>
      <c r="AD103" s="88">
        <f t="shared" ref="AD103:AE103" si="99">IF(AD85&lt;0,AD85*-1,0)</f>
        <v>0</v>
      </c>
      <c r="AE103" s="88">
        <f t="shared" si="99"/>
        <v>0</v>
      </c>
      <c r="AF103" s="88">
        <f t="shared" ref="AF103" si="100">IF(AF85&lt;0,AF85*-1,0)</f>
        <v>0</v>
      </c>
      <c r="AG103" s="110"/>
      <c r="AH103" s="48">
        <f t="shared" si="63"/>
        <v>0</v>
      </c>
      <c r="AI103" s="49">
        <f t="shared" si="64"/>
        <v>0</v>
      </c>
      <c r="BF103" s="80"/>
      <c r="BG103" s="81">
        <v>25.2</v>
      </c>
      <c r="BH103" s="81">
        <v>0</v>
      </c>
      <c r="BI103" s="81">
        <v>36.200000000000003</v>
      </c>
      <c r="BJ103" s="81">
        <v>0</v>
      </c>
      <c r="BK103" s="81">
        <v>0</v>
      </c>
      <c r="BL103" s="81">
        <v>39.5</v>
      </c>
    </row>
    <row r="104" spans="1:64" x14ac:dyDescent="0.25">
      <c r="A104" s="96" t="s">
        <v>128</v>
      </c>
      <c r="B104" s="88">
        <f t="shared" ref="B104:AA104" si="101">IF(B83&lt;0,B83*-1,0)</f>
        <v>0</v>
      </c>
      <c r="C104" s="88">
        <f t="shared" si="101"/>
        <v>0</v>
      </c>
      <c r="D104" s="88">
        <f t="shared" si="101"/>
        <v>0</v>
      </c>
      <c r="E104" s="88">
        <f t="shared" si="101"/>
        <v>0</v>
      </c>
      <c r="F104" s="88">
        <f t="shared" si="101"/>
        <v>0</v>
      </c>
      <c r="G104" s="88">
        <f t="shared" si="101"/>
        <v>0</v>
      </c>
      <c r="H104" s="88">
        <f t="shared" si="101"/>
        <v>0</v>
      </c>
      <c r="I104" s="88">
        <f t="shared" si="101"/>
        <v>0</v>
      </c>
      <c r="J104" s="88">
        <f t="shared" si="101"/>
        <v>0</v>
      </c>
      <c r="K104" s="88">
        <f t="shared" si="101"/>
        <v>0</v>
      </c>
      <c r="L104" s="88">
        <f t="shared" si="101"/>
        <v>0</v>
      </c>
      <c r="M104" s="88">
        <f t="shared" si="101"/>
        <v>0</v>
      </c>
      <c r="N104" s="88">
        <f t="shared" si="101"/>
        <v>0</v>
      </c>
      <c r="O104" s="88">
        <f t="shared" si="101"/>
        <v>0</v>
      </c>
      <c r="P104" s="88">
        <f t="shared" si="101"/>
        <v>0</v>
      </c>
      <c r="Q104" s="88">
        <f t="shared" si="101"/>
        <v>0</v>
      </c>
      <c r="R104" s="88">
        <f t="shared" ref="R104" si="102">IF(R83&lt;0,R83*-1,0)</f>
        <v>0</v>
      </c>
      <c r="S104" s="88">
        <f t="shared" si="101"/>
        <v>0</v>
      </c>
      <c r="T104" s="88">
        <f t="shared" si="101"/>
        <v>0</v>
      </c>
      <c r="U104" s="88">
        <f t="shared" si="101"/>
        <v>0</v>
      </c>
      <c r="V104" s="88">
        <f t="shared" si="101"/>
        <v>0</v>
      </c>
      <c r="W104" s="88">
        <f t="shared" si="101"/>
        <v>0</v>
      </c>
      <c r="X104" s="88">
        <f t="shared" si="101"/>
        <v>0</v>
      </c>
      <c r="Y104" s="88">
        <f t="shared" si="101"/>
        <v>0</v>
      </c>
      <c r="Z104" s="88">
        <f t="shared" si="101"/>
        <v>0</v>
      </c>
      <c r="AA104" s="88">
        <f t="shared" si="101"/>
        <v>0</v>
      </c>
      <c r="AB104" s="88">
        <f t="shared" ref="AB104:AC104" si="103">IF(AB83&lt;0,AB83*-1,0)</f>
        <v>0</v>
      </c>
      <c r="AC104" s="88">
        <f t="shared" si="103"/>
        <v>0</v>
      </c>
      <c r="AD104" s="88">
        <f t="shared" ref="AD104:AE104" si="104">IF(AD83&lt;0,AD83*-1,0)</f>
        <v>0</v>
      </c>
      <c r="AE104" s="88">
        <f t="shared" si="104"/>
        <v>0</v>
      </c>
      <c r="AF104" s="88">
        <f t="shared" ref="AF104" si="105">IF(AF83&lt;0,AF83*-1,0)</f>
        <v>0</v>
      </c>
      <c r="AG104" s="110"/>
      <c r="AH104" s="48">
        <f t="shared" si="63"/>
        <v>0</v>
      </c>
      <c r="AI104" s="49">
        <f t="shared" si="64"/>
        <v>0</v>
      </c>
      <c r="BF104" s="80"/>
      <c r="BG104" s="81">
        <v>32.799999999999997</v>
      </c>
      <c r="BH104" s="81">
        <v>0</v>
      </c>
      <c r="BI104" s="81">
        <v>85.8</v>
      </c>
      <c r="BJ104" s="81">
        <v>0</v>
      </c>
      <c r="BK104" s="81">
        <v>0</v>
      </c>
      <c r="BL104" s="81">
        <v>42.8</v>
      </c>
    </row>
    <row r="105" spans="1:64" x14ac:dyDescent="0.25">
      <c r="A105" s="96" t="s">
        <v>104</v>
      </c>
      <c r="B105" s="88">
        <f t="shared" ref="B105:AA105" si="106">IF(B81&lt;0,B81*-1,0)</f>
        <v>0</v>
      </c>
      <c r="C105" s="88">
        <f t="shared" si="106"/>
        <v>0</v>
      </c>
      <c r="D105" s="88">
        <f t="shared" si="106"/>
        <v>0</v>
      </c>
      <c r="E105" s="88">
        <f t="shared" si="106"/>
        <v>0</v>
      </c>
      <c r="F105" s="88">
        <f t="shared" si="106"/>
        <v>0</v>
      </c>
      <c r="G105" s="88">
        <f t="shared" si="106"/>
        <v>0</v>
      </c>
      <c r="H105" s="88">
        <f t="shared" si="106"/>
        <v>0</v>
      </c>
      <c r="I105" s="88">
        <f t="shared" si="106"/>
        <v>0</v>
      </c>
      <c r="J105" s="88">
        <f t="shared" si="106"/>
        <v>0</v>
      </c>
      <c r="K105" s="88">
        <f t="shared" si="106"/>
        <v>0</v>
      </c>
      <c r="L105" s="88">
        <f t="shared" si="106"/>
        <v>0</v>
      </c>
      <c r="M105" s="88">
        <f t="shared" si="106"/>
        <v>0</v>
      </c>
      <c r="N105" s="88">
        <f t="shared" si="106"/>
        <v>0</v>
      </c>
      <c r="O105" s="88">
        <f t="shared" si="106"/>
        <v>0</v>
      </c>
      <c r="P105" s="88">
        <f t="shared" si="106"/>
        <v>0</v>
      </c>
      <c r="Q105" s="88">
        <f t="shared" si="106"/>
        <v>0</v>
      </c>
      <c r="R105" s="88">
        <f t="shared" ref="R105" si="107">IF(R81&lt;0,R81*-1,0)</f>
        <v>0</v>
      </c>
      <c r="S105" s="88">
        <f t="shared" si="106"/>
        <v>0</v>
      </c>
      <c r="T105" s="88">
        <f t="shared" si="106"/>
        <v>0</v>
      </c>
      <c r="U105" s="88">
        <f t="shared" si="106"/>
        <v>0</v>
      </c>
      <c r="V105" s="88">
        <f t="shared" si="106"/>
        <v>0</v>
      </c>
      <c r="W105" s="88">
        <f t="shared" si="106"/>
        <v>0</v>
      </c>
      <c r="X105" s="88">
        <f t="shared" si="106"/>
        <v>0</v>
      </c>
      <c r="Y105" s="88">
        <f t="shared" si="106"/>
        <v>0</v>
      </c>
      <c r="Z105" s="88">
        <f t="shared" si="106"/>
        <v>0</v>
      </c>
      <c r="AA105" s="88">
        <f t="shared" si="106"/>
        <v>0</v>
      </c>
      <c r="AB105" s="88">
        <f t="shared" ref="AB105:AC105" si="108">IF(AB81&lt;0,AB81*-1,0)</f>
        <v>0</v>
      </c>
      <c r="AC105" s="88">
        <f t="shared" si="108"/>
        <v>0</v>
      </c>
      <c r="AD105" s="88">
        <f t="shared" ref="AD105:AE105" si="109">IF(AD81&lt;0,AD81*-1,0)</f>
        <v>0</v>
      </c>
      <c r="AE105" s="88">
        <f t="shared" si="109"/>
        <v>0</v>
      </c>
      <c r="AF105" s="88">
        <f t="shared" ref="AF105" si="110">IF(AF81&lt;0,AF81*-1,0)</f>
        <v>0</v>
      </c>
      <c r="AG105" s="110"/>
      <c r="AH105" s="48">
        <f t="shared" si="63"/>
        <v>0</v>
      </c>
      <c r="AI105" s="49">
        <f t="shared" si="64"/>
        <v>0</v>
      </c>
      <c r="BF105" s="80"/>
      <c r="BG105" s="81">
        <v>37.4</v>
      </c>
      <c r="BH105" s="81">
        <v>0</v>
      </c>
      <c r="BI105" s="81">
        <v>105.5</v>
      </c>
      <c r="BJ105" s="81">
        <v>0</v>
      </c>
      <c r="BK105" s="81">
        <v>0</v>
      </c>
      <c r="BL105" s="81">
        <v>45.8</v>
      </c>
    </row>
    <row r="106" spans="1:64" ht="15.75" thickBot="1" x14ac:dyDescent="0.3">
      <c r="A106" s="96" t="s">
        <v>129</v>
      </c>
      <c r="B106" s="106">
        <v>0</v>
      </c>
      <c r="C106" s="106">
        <v>0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1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0</v>
      </c>
      <c r="Y106" s="106">
        <v>0</v>
      </c>
      <c r="Z106" s="106">
        <v>0</v>
      </c>
      <c r="AA106" s="106">
        <v>0</v>
      </c>
      <c r="AB106" s="106">
        <v>0</v>
      </c>
      <c r="AC106" s="106">
        <v>0</v>
      </c>
      <c r="AD106" s="106">
        <v>0</v>
      </c>
      <c r="AE106" s="106">
        <v>0</v>
      </c>
      <c r="AF106" s="106">
        <v>0</v>
      </c>
      <c r="AG106" s="97"/>
      <c r="AH106" s="48">
        <f t="shared" si="63"/>
        <v>1</v>
      </c>
      <c r="AI106" s="49">
        <f t="shared" si="64"/>
        <v>0</v>
      </c>
      <c r="BG106" s="81">
        <v>27.1</v>
      </c>
      <c r="BH106" s="81">
        <v>0</v>
      </c>
      <c r="BI106" s="81">
        <v>98.5</v>
      </c>
      <c r="BJ106" s="81">
        <v>0</v>
      </c>
      <c r="BK106" s="81">
        <v>0</v>
      </c>
      <c r="BL106" s="81">
        <v>47.9</v>
      </c>
    </row>
    <row r="107" spans="1:64" ht="15.75" thickBot="1" x14ac:dyDescent="0.3">
      <c r="A107" s="111" t="s">
        <v>130</v>
      </c>
      <c r="B107" s="70">
        <f t="shared" ref="B107:C107" si="111">SUM(B101:B106)</f>
        <v>0</v>
      </c>
      <c r="C107" s="70">
        <f t="shared" si="111"/>
        <v>0</v>
      </c>
      <c r="D107" s="70">
        <f t="shared" ref="D107:AA107" si="112">SUM(D101:D106)</f>
        <v>0</v>
      </c>
      <c r="E107" s="70">
        <f t="shared" si="112"/>
        <v>0</v>
      </c>
      <c r="F107" s="70">
        <f t="shared" si="112"/>
        <v>0</v>
      </c>
      <c r="G107" s="70">
        <f t="shared" si="112"/>
        <v>0</v>
      </c>
      <c r="H107" s="70">
        <f t="shared" si="112"/>
        <v>0</v>
      </c>
      <c r="I107" s="70">
        <f t="shared" si="112"/>
        <v>0</v>
      </c>
      <c r="J107" s="70">
        <f t="shared" si="112"/>
        <v>0</v>
      </c>
      <c r="K107" s="70">
        <f t="shared" si="112"/>
        <v>0</v>
      </c>
      <c r="L107" s="70">
        <f t="shared" si="112"/>
        <v>0</v>
      </c>
      <c r="M107" s="70">
        <f t="shared" si="112"/>
        <v>0</v>
      </c>
      <c r="N107" s="70">
        <f t="shared" si="112"/>
        <v>0</v>
      </c>
      <c r="O107" s="70">
        <f t="shared" si="112"/>
        <v>0</v>
      </c>
      <c r="P107" s="70">
        <f t="shared" si="112"/>
        <v>0</v>
      </c>
      <c r="Q107" s="70">
        <f t="shared" si="112"/>
        <v>0</v>
      </c>
      <c r="R107" s="70">
        <f t="shared" ref="R107" si="113">SUM(R101:R106)</f>
        <v>1</v>
      </c>
      <c r="S107" s="70">
        <f t="shared" si="112"/>
        <v>0</v>
      </c>
      <c r="T107" s="70">
        <f t="shared" si="112"/>
        <v>0</v>
      </c>
      <c r="U107" s="70">
        <f t="shared" si="112"/>
        <v>0</v>
      </c>
      <c r="V107" s="70">
        <f t="shared" si="112"/>
        <v>0</v>
      </c>
      <c r="W107" s="70">
        <f t="shared" si="112"/>
        <v>0</v>
      </c>
      <c r="X107" s="70">
        <f t="shared" si="112"/>
        <v>0</v>
      </c>
      <c r="Y107" s="70">
        <f t="shared" si="112"/>
        <v>0</v>
      </c>
      <c r="Z107" s="70">
        <f t="shared" si="112"/>
        <v>0</v>
      </c>
      <c r="AA107" s="70">
        <f t="shared" si="112"/>
        <v>0</v>
      </c>
      <c r="AB107" s="70">
        <f t="shared" ref="AB107:AC107" si="114">SUM(AB101:AB106)</f>
        <v>0</v>
      </c>
      <c r="AC107" s="70">
        <f t="shared" si="114"/>
        <v>0</v>
      </c>
      <c r="AD107" s="70">
        <f t="shared" ref="AD107:AE107" si="115">SUM(AD101:AD106)</f>
        <v>0</v>
      </c>
      <c r="AE107" s="70">
        <f t="shared" si="115"/>
        <v>0</v>
      </c>
      <c r="AF107" s="70">
        <f t="shared" ref="AF107" si="116">SUM(AF101:AF106)</f>
        <v>0</v>
      </c>
      <c r="AG107" s="100"/>
      <c r="AH107" s="48">
        <f t="shared" si="63"/>
        <v>1</v>
      </c>
      <c r="AI107" s="49">
        <f t="shared" si="64"/>
        <v>0</v>
      </c>
      <c r="AK107" s="51"/>
      <c r="BG107" s="81">
        <v>21</v>
      </c>
      <c r="BH107" s="81">
        <v>0</v>
      </c>
      <c r="BI107" s="81">
        <v>123</v>
      </c>
      <c r="BJ107" s="81">
        <v>28</v>
      </c>
      <c r="BK107" s="81">
        <v>80</v>
      </c>
      <c r="BL107" s="81">
        <v>53</v>
      </c>
    </row>
    <row r="108" spans="1:64" ht="15.75" thickBot="1" x14ac:dyDescent="0.3">
      <c r="A108" s="86" t="s">
        <v>131</v>
      </c>
      <c r="B108" s="70">
        <f t="shared" ref="B108:AA108" si="117">B92-B107</f>
        <v>305</v>
      </c>
      <c r="C108" s="70">
        <f t="shared" si="117"/>
        <v>278.8</v>
      </c>
      <c r="D108" s="70">
        <f t="shared" si="117"/>
        <v>297</v>
      </c>
      <c r="E108" s="70">
        <f t="shared" si="117"/>
        <v>247.89999999999998</v>
      </c>
      <c r="F108" s="70">
        <f t="shared" si="117"/>
        <v>261.10000000000002</v>
      </c>
      <c r="G108" s="70">
        <f t="shared" si="117"/>
        <v>282.2</v>
      </c>
      <c r="H108" s="70">
        <f t="shared" si="117"/>
        <v>309.5</v>
      </c>
      <c r="I108" s="70">
        <f t="shared" si="117"/>
        <v>362.5</v>
      </c>
      <c r="J108" s="70">
        <f t="shared" si="117"/>
        <v>860.6</v>
      </c>
      <c r="K108" s="70">
        <f t="shared" si="117"/>
        <v>883.69999999999993</v>
      </c>
      <c r="L108" s="70">
        <f t="shared" si="117"/>
        <v>858.19999999999993</v>
      </c>
      <c r="M108" s="70">
        <f t="shared" si="117"/>
        <v>874.4</v>
      </c>
      <c r="N108" s="70">
        <f t="shared" si="117"/>
        <v>839.80000000000007</v>
      </c>
      <c r="O108" s="70">
        <f t="shared" si="117"/>
        <v>718.10000000000014</v>
      </c>
      <c r="P108" s="70">
        <f t="shared" si="117"/>
        <v>879.5</v>
      </c>
      <c r="Q108" s="70">
        <f t="shared" si="117"/>
        <v>888.9</v>
      </c>
      <c r="R108" s="70">
        <f t="shared" ref="R108" si="118">R92-R107</f>
        <v>887.9</v>
      </c>
      <c r="S108" s="70">
        <f t="shared" si="117"/>
        <v>887.60000000000014</v>
      </c>
      <c r="T108" s="70">
        <f t="shared" si="117"/>
        <v>864.1</v>
      </c>
      <c r="U108" s="70">
        <f t="shared" si="117"/>
        <v>885</v>
      </c>
      <c r="V108" s="70">
        <f t="shared" si="117"/>
        <v>844</v>
      </c>
      <c r="W108" s="70">
        <f t="shared" si="117"/>
        <v>812.8</v>
      </c>
      <c r="X108" s="70">
        <f t="shared" si="117"/>
        <v>757.6</v>
      </c>
      <c r="Y108" s="70">
        <f>Y92-Y107</f>
        <v>218.8</v>
      </c>
      <c r="Z108" s="70">
        <f>Z92-Z107</f>
        <v>170.3</v>
      </c>
      <c r="AA108" s="70">
        <f t="shared" si="117"/>
        <v>153.19999999999999</v>
      </c>
      <c r="AB108" s="70">
        <f t="shared" ref="AB108:AC108" si="119">AB92-AB107</f>
        <v>100.9</v>
      </c>
      <c r="AC108" s="70">
        <f t="shared" si="119"/>
        <v>121.6</v>
      </c>
      <c r="AD108" s="70">
        <f t="shared" ref="AD108:AE108" si="120">AD92-AD107</f>
        <v>161.39999999999998</v>
      </c>
      <c r="AE108" s="70">
        <f t="shared" si="120"/>
        <v>188.7</v>
      </c>
      <c r="AF108" s="70">
        <f t="shared" ref="AF108" si="121">AF92-AF107</f>
        <v>173.5</v>
      </c>
      <c r="AG108" s="100"/>
      <c r="AH108" s="48">
        <f t="shared" si="63"/>
        <v>888.9</v>
      </c>
      <c r="AI108" s="49">
        <f t="shared" si="64"/>
        <v>100.9</v>
      </c>
    </row>
    <row r="109" spans="1:64" x14ac:dyDescent="0.25">
      <c r="A109" s="112" t="s">
        <v>132</v>
      </c>
      <c r="B109" s="113">
        <v>50.012</v>
      </c>
      <c r="C109" s="113">
        <v>49.978999999999999</v>
      </c>
      <c r="D109" s="113">
        <v>49.954000000000001</v>
      </c>
      <c r="E109" s="113">
        <v>50.01</v>
      </c>
      <c r="F109" s="113">
        <v>50.024000000000001</v>
      </c>
      <c r="G109" s="113">
        <v>50.000999999999998</v>
      </c>
      <c r="H109" s="113">
        <v>49.953000000000003</v>
      </c>
      <c r="I109" s="113">
        <v>50.021000000000001</v>
      </c>
      <c r="J109" s="113">
        <v>50.04</v>
      </c>
      <c r="K109" s="113">
        <v>49.997999999999998</v>
      </c>
      <c r="L109" s="113">
        <v>50.134</v>
      </c>
      <c r="M109" s="113">
        <v>50.084000000000003</v>
      </c>
      <c r="N109" s="113">
        <v>50.064</v>
      </c>
      <c r="O109" s="113">
        <v>50.01</v>
      </c>
      <c r="P109" s="113">
        <v>49.87</v>
      </c>
      <c r="Q109" s="113">
        <v>49.98</v>
      </c>
      <c r="R109" s="113">
        <v>49.98</v>
      </c>
      <c r="S109" s="113">
        <v>49.991999999999997</v>
      </c>
      <c r="T109" s="113">
        <v>50.045000000000002</v>
      </c>
      <c r="U109" s="113">
        <v>49.959000000000003</v>
      </c>
      <c r="V109" s="113">
        <v>50.029000000000003</v>
      </c>
      <c r="W109" s="113">
        <v>50.084000000000003</v>
      </c>
      <c r="X109" s="113">
        <v>50.41</v>
      </c>
      <c r="Y109" s="113">
        <v>50.000999999999998</v>
      </c>
      <c r="Z109" s="113">
        <v>50.02</v>
      </c>
      <c r="AA109" s="113">
        <v>49.92</v>
      </c>
      <c r="AB109" s="113">
        <v>50.06</v>
      </c>
      <c r="AC109" s="113">
        <v>49.97</v>
      </c>
      <c r="AD109" s="113">
        <v>49.96</v>
      </c>
      <c r="AE109" s="113">
        <v>50.09</v>
      </c>
      <c r="AF109" s="113">
        <v>50.03</v>
      </c>
      <c r="AG109" s="114"/>
      <c r="AH109" s="48">
        <f t="shared" si="63"/>
        <v>50.41</v>
      </c>
      <c r="AI109" s="49">
        <f t="shared" si="64"/>
        <v>49.87</v>
      </c>
    </row>
    <row r="110" spans="1:64" x14ac:dyDescent="0.25">
      <c r="A110" s="115" t="s">
        <v>133</v>
      </c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>
        <v>125</v>
      </c>
      <c r="N110" s="75">
        <v>125.4</v>
      </c>
      <c r="O110" s="75">
        <v>124.5</v>
      </c>
      <c r="P110" s="75">
        <v>124.9</v>
      </c>
      <c r="Q110" s="75">
        <v>125.2</v>
      </c>
      <c r="R110" s="75">
        <v>125.2</v>
      </c>
      <c r="S110" s="75">
        <v>126.1</v>
      </c>
      <c r="T110" s="75">
        <v>126.4</v>
      </c>
      <c r="U110" s="75">
        <v>126.3</v>
      </c>
      <c r="V110" s="75">
        <v>127.5</v>
      </c>
      <c r="W110" s="75">
        <v>128.30000000000001</v>
      </c>
      <c r="X110" s="75">
        <v>128.30000000000001</v>
      </c>
      <c r="Y110" s="75">
        <v>129.19999999999999</v>
      </c>
      <c r="Z110" s="75">
        <v>127.9</v>
      </c>
      <c r="AA110" s="75">
        <v>128.1</v>
      </c>
      <c r="AB110" s="75">
        <v>129.69999999999999</v>
      </c>
      <c r="AC110" s="75">
        <v>129.69999999999999</v>
      </c>
      <c r="AD110" s="75">
        <v>130.6</v>
      </c>
      <c r="AE110" s="75">
        <v>132.4</v>
      </c>
      <c r="AF110" s="75">
        <v>131.69999999999999</v>
      </c>
      <c r="AG110" s="116"/>
      <c r="AH110" s="48">
        <f t="shared" si="63"/>
        <v>132.4</v>
      </c>
      <c r="AI110" s="49">
        <f t="shared" si="64"/>
        <v>124.5</v>
      </c>
    </row>
    <row r="111" spans="1:64" x14ac:dyDescent="0.25">
      <c r="A111" s="115" t="s">
        <v>134</v>
      </c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>
        <v>128</v>
      </c>
      <c r="N111" s="75">
        <v>128.1</v>
      </c>
      <c r="O111" s="75">
        <v>127.1</v>
      </c>
      <c r="P111" s="75">
        <v>128.19999999999999</v>
      </c>
      <c r="Q111" s="75">
        <v>128</v>
      </c>
      <c r="R111" s="75">
        <v>128</v>
      </c>
      <c r="S111" s="75">
        <v>128.5</v>
      </c>
      <c r="T111" s="75">
        <v>128.19999999999999</v>
      </c>
      <c r="U111" s="75">
        <v>128.5</v>
      </c>
      <c r="V111" s="75">
        <v>129.69999999999999</v>
      </c>
      <c r="W111" s="75">
        <v>130.19999999999999</v>
      </c>
      <c r="X111" s="75">
        <v>130</v>
      </c>
      <c r="Y111" s="75">
        <v>131.1</v>
      </c>
      <c r="Z111" s="75">
        <v>129.69999999999999</v>
      </c>
      <c r="AA111" s="75">
        <v>130</v>
      </c>
      <c r="AB111" s="75">
        <v>131.19999999999999</v>
      </c>
      <c r="AC111" s="75">
        <v>131.19999999999999</v>
      </c>
      <c r="AD111" s="75">
        <v>132.6</v>
      </c>
      <c r="AE111" s="75">
        <v>134.69999999999999</v>
      </c>
      <c r="AF111" s="75">
        <v>134.1</v>
      </c>
      <c r="AG111" s="116"/>
      <c r="AH111" s="48">
        <f t="shared" si="63"/>
        <v>134.69999999999999</v>
      </c>
      <c r="AI111" s="49">
        <f t="shared" si="64"/>
        <v>127.1</v>
      </c>
    </row>
    <row r="112" spans="1:64" x14ac:dyDescent="0.25">
      <c r="A112" s="115" t="s">
        <v>135</v>
      </c>
      <c r="B112" s="75">
        <v>131.9</v>
      </c>
      <c r="C112" s="75">
        <v>133.6</v>
      </c>
      <c r="D112" s="75">
        <v>134</v>
      </c>
      <c r="E112" s="75">
        <v>131.30000000000001</v>
      </c>
      <c r="F112" s="75">
        <v>131.5</v>
      </c>
      <c r="G112" s="75">
        <v>130</v>
      </c>
      <c r="H112" s="75">
        <v>129.19999999999999</v>
      </c>
      <c r="I112" s="75">
        <v>129.4</v>
      </c>
      <c r="J112" s="75">
        <v>129.4</v>
      </c>
      <c r="K112" s="75">
        <v>125.3</v>
      </c>
      <c r="L112" s="75">
        <v>125.6</v>
      </c>
      <c r="M112" s="75">
        <v>130.30000000000001</v>
      </c>
      <c r="N112" s="75">
        <v>129.19999999999999</v>
      </c>
      <c r="O112" s="75">
        <v>128.80000000000001</v>
      </c>
      <c r="P112" s="75">
        <v>127</v>
      </c>
      <c r="Q112" s="75">
        <v>127</v>
      </c>
      <c r="R112" s="75">
        <v>127</v>
      </c>
      <c r="S112" s="75">
        <v>127.4</v>
      </c>
      <c r="T112" s="75">
        <v>124.9</v>
      </c>
      <c r="U112" s="75">
        <v>123.9</v>
      </c>
      <c r="V112" s="75">
        <v>130.5</v>
      </c>
      <c r="W112" s="75">
        <v>129.69999999999999</v>
      </c>
      <c r="X112" s="75">
        <v>131</v>
      </c>
      <c r="Y112" s="75">
        <v>128.69999999999999</v>
      </c>
      <c r="Z112" s="75">
        <v>129.1</v>
      </c>
      <c r="AA112" s="75">
        <v>126.1</v>
      </c>
      <c r="AB112" s="75">
        <v>129.80000000000001</v>
      </c>
      <c r="AC112" s="75">
        <v>129.80000000000001</v>
      </c>
      <c r="AD112" s="75">
        <v>129.80000000000001</v>
      </c>
      <c r="AE112" s="75">
        <v>132.19999999999999</v>
      </c>
      <c r="AF112" s="75">
        <v>132.80000000000001</v>
      </c>
      <c r="AG112" s="116"/>
      <c r="AH112" s="48">
        <f t="shared" si="63"/>
        <v>134</v>
      </c>
      <c r="AI112" s="49">
        <f t="shared" si="64"/>
        <v>123.9</v>
      </c>
    </row>
    <row r="113" spans="1:35" x14ac:dyDescent="0.25">
      <c r="A113" s="117" t="s">
        <v>136</v>
      </c>
      <c r="B113" s="75">
        <v>130.19999999999999</v>
      </c>
      <c r="C113" s="75">
        <v>132</v>
      </c>
      <c r="D113" s="75">
        <v>132</v>
      </c>
      <c r="E113" s="75">
        <v>133.9</v>
      </c>
      <c r="F113" s="75">
        <v>134.1</v>
      </c>
      <c r="G113" s="75">
        <v>132.88999999999999</v>
      </c>
      <c r="H113" s="75">
        <v>131.1</v>
      </c>
      <c r="I113" s="75">
        <v>131.69999999999999</v>
      </c>
      <c r="J113" s="75">
        <v>131.69999999999999</v>
      </c>
      <c r="K113" s="75">
        <v>128.6</v>
      </c>
      <c r="L113" s="75">
        <v>128.30000000000001</v>
      </c>
      <c r="M113" s="75">
        <v>126</v>
      </c>
      <c r="N113" s="75">
        <v>123.9</v>
      </c>
      <c r="O113" s="75">
        <v>124.1</v>
      </c>
      <c r="P113" s="75">
        <v>123.2</v>
      </c>
      <c r="Q113" s="75">
        <v>124.2</v>
      </c>
      <c r="R113" s="75">
        <v>124.2</v>
      </c>
      <c r="S113" s="75">
        <v>127.3</v>
      </c>
      <c r="T113" s="75">
        <v>125.8</v>
      </c>
      <c r="U113" s="75">
        <v>118.7</v>
      </c>
      <c r="V113" s="75">
        <v>127.6</v>
      </c>
      <c r="W113" s="75">
        <v>125.4</v>
      </c>
      <c r="X113" s="75">
        <v>126.5</v>
      </c>
      <c r="Y113" s="75">
        <v>124.1</v>
      </c>
      <c r="Z113" s="75">
        <v>126</v>
      </c>
      <c r="AA113" s="75">
        <v>124.2</v>
      </c>
      <c r="AB113" s="75">
        <v>128</v>
      </c>
      <c r="AC113" s="75">
        <v>128</v>
      </c>
      <c r="AD113" s="75">
        <v>128</v>
      </c>
      <c r="AE113" s="75">
        <v>131.1</v>
      </c>
      <c r="AF113" s="75">
        <v>130.80000000000001</v>
      </c>
      <c r="AG113" s="116"/>
      <c r="AH113" s="48">
        <f t="shared" si="63"/>
        <v>134.1</v>
      </c>
      <c r="AI113" s="49">
        <f t="shared" si="64"/>
        <v>118.7</v>
      </c>
    </row>
    <row r="114" spans="1:35" x14ac:dyDescent="0.25">
      <c r="A114" s="117" t="s">
        <v>137</v>
      </c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>
        <v>134</v>
      </c>
      <c r="N114" s="118">
        <v>132.9</v>
      </c>
      <c r="O114" s="118">
        <v>130.1</v>
      </c>
      <c r="P114" s="118">
        <v>134.1</v>
      </c>
      <c r="Q114" s="118">
        <v>133.6</v>
      </c>
      <c r="R114" s="118">
        <v>133.6</v>
      </c>
      <c r="S114" s="118">
        <v>131.80000000000001</v>
      </c>
      <c r="T114" s="118">
        <v>135.4</v>
      </c>
      <c r="U114" s="118">
        <v>132.6</v>
      </c>
      <c r="V114" s="118">
        <v>135.6</v>
      </c>
      <c r="W114" s="118">
        <v>135.4</v>
      </c>
      <c r="X114" s="118">
        <v>134.80000000000001</v>
      </c>
      <c r="Y114" s="118">
        <v>135.5</v>
      </c>
      <c r="Z114" s="118">
        <v>134.80000000000001</v>
      </c>
      <c r="AA114" s="118">
        <v>131.69999999999999</v>
      </c>
      <c r="AB114" s="118">
        <v>134</v>
      </c>
      <c r="AC114" s="118">
        <v>134</v>
      </c>
      <c r="AD114" s="118">
        <v>134.80000000000001</v>
      </c>
      <c r="AE114" s="118">
        <v>135.80000000000001</v>
      </c>
      <c r="AF114" s="118">
        <v>133.30000000000001</v>
      </c>
      <c r="AG114" s="119"/>
      <c r="AH114" s="48">
        <f t="shared" si="63"/>
        <v>135.80000000000001</v>
      </c>
      <c r="AI114" s="49">
        <f t="shared" si="64"/>
        <v>130.1</v>
      </c>
    </row>
    <row r="115" spans="1:35" x14ac:dyDescent="0.25">
      <c r="A115" s="115" t="s">
        <v>138</v>
      </c>
      <c r="B115" s="75">
        <v>134.4</v>
      </c>
      <c r="C115" s="75">
        <v>135.5</v>
      </c>
      <c r="D115" s="75"/>
      <c r="E115" s="75">
        <v>136.30000000000001</v>
      </c>
      <c r="F115" s="75">
        <v>136.19999999999999</v>
      </c>
      <c r="G115" s="75">
        <v>136.19999999999999</v>
      </c>
      <c r="H115" s="75">
        <v>135.4</v>
      </c>
      <c r="I115" s="75">
        <v>128.30000000000001</v>
      </c>
      <c r="J115" s="75">
        <v>128.30000000000001</v>
      </c>
      <c r="K115" s="75">
        <v>129.30000000000001</v>
      </c>
      <c r="L115" s="75">
        <v>129</v>
      </c>
      <c r="M115" s="75">
        <v>122.3</v>
      </c>
      <c r="N115" s="75">
        <v>131.9</v>
      </c>
      <c r="O115" s="75">
        <v>125.1</v>
      </c>
      <c r="P115" s="75">
        <v>133.19999999999999</v>
      </c>
      <c r="Q115" s="75">
        <v>129.6</v>
      </c>
      <c r="R115" s="75">
        <v>129.6</v>
      </c>
      <c r="S115" s="75">
        <v>130.6</v>
      </c>
      <c r="T115" s="75">
        <v>128.19999999999999</v>
      </c>
      <c r="U115" s="75">
        <v>126.5</v>
      </c>
      <c r="V115" s="75">
        <v>126.96</v>
      </c>
      <c r="W115" s="75">
        <v>126.6</v>
      </c>
      <c r="X115" s="75">
        <v>126.1</v>
      </c>
      <c r="Y115" s="75">
        <v>126.6</v>
      </c>
      <c r="Z115" s="75">
        <v>126.9</v>
      </c>
      <c r="AA115" s="75">
        <v>130.6</v>
      </c>
      <c r="AB115" s="75">
        <v>130.1</v>
      </c>
      <c r="AC115" s="75">
        <v>130.1</v>
      </c>
      <c r="AD115" s="75">
        <v>132.4</v>
      </c>
      <c r="AE115" s="75">
        <v>134.19999999999999</v>
      </c>
      <c r="AF115" s="75">
        <v>128.4</v>
      </c>
      <c r="AG115" s="116"/>
      <c r="AH115" s="48">
        <f t="shared" si="63"/>
        <v>136.30000000000001</v>
      </c>
      <c r="AI115" s="49">
        <f t="shared" si="64"/>
        <v>122.3</v>
      </c>
    </row>
    <row r="116" spans="1:35" ht="15.75" thickBot="1" x14ac:dyDescent="0.3">
      <c r="A116" s="115" t="s">
        <v>139</v>
      </c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>
        <v>64.5</v>
      </c>
      <c r="N116" s="104">
        <v>64.599999999999994</v>
      </c>
      <c r="O116" s="104">
        <v>64.099999999999994</v>
      </c>
      <c r="P116" s="104">
        <v>64.7</v>
      </c>
      <c r="Q116" s="104">
        <v>64.8</v>
      </c>
      <c r="R116" s="104">
        <v>64.8</v>
      </c>
      <c r="S116" s="104">
        <v>64.7</v>
      </c>
      <c r="T116" s="104">
        <v>64.599999999999994</v>
      </c>
      <c r="U116" s="104">
        <v>64.8</v>
      </c>
      <c r="V116" s="104">
        <v>129.5</v>
      </c>
      <c r="W116" s="104">
        <v>65.7</v>
      </c>
      <c r="X116" s="104">
        <v>65.5</v>
      </c>
      <c r="Y116" s="104">
        <v>66.099999999999994</v>
      </c>
      <c r="Z116" s="104">
        <v>65.5</v>
      </c>
      <c r="AA116" s="104">
        <v>65.7</v>
      </c>
      <c r="AB116" s="104">
        <v>66</v>
      </c>
      <c r="AC116" s="104">
        <v>66</v>
      </c>
      <c r="AD116" s="104">
        <v>66.3</v>
      </c>
      <c r="AE116" s="104">
        <v>67.400000000000006</v>
      </c>
      <c r="AF116" s="104">
        <v>67.099999999999994</v>
      </c>
      <c r="AG116" s="120"/>
      <c r="AH116" s="48">
        <f t="shared" si="63"/>
        <v>129.5</v>
      </c>
      <c r="AI116" s="49">
        <f t="shared" si="64"/>
        <v>64.099999999999994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 t="s">
        <v>140</v>
      </c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63"/>
        <v>0</v>
      </c>
      <c r="AI117" s="49">
        <f t="shared" si="64"/>
        <v>0</v>
      </c>
    </row>
    <row r="118" spans="1:35" ht="15.75" thickBot="1" x14ac:dyDescent="0.3">
      <c r="A118" s="122" t="s">
        <v>141</v>
      </c>
      <c r="B118" s="123">
        <f>SUM(B22,B28,B31:B32,B66,B68:B69,B71,B73,B119:B123,B155,B161,B167,B176,B178,B190,B197,B200:B201,B208,B210,B212,B216:B218,B220:B222,B227,B233:B234,B236:B238,B246,B251)</f>
        <v>107.94</v>
      </c>
      <c r="C118" s="123">
        <f>SUM(C22,C28,C31:C32,C66,C68:C69,C71,C73,C119:C123,C155,C161,C167,C176,C178,C190,C197,C200:C201,C208,C210,C212,C216:C218,C220:C222,C227,C233:C234,C236:C238,C246,C251)</f>
        <v>104.94</v>
      </c>
      <c r="D118" s="123">
        <f t="shared" ref="D118:O118" si="122">SUM(D22,D28,D31:D32,D66,D68:D69,D71,D73,D119:D123,D155,D161,D167,D176,D178,D190,D197,D200:D201,D208,D210,D212,D216:D218,D220:D222,D227,D233:D234,D236:D238,D246,D251)</f>
        <v>108.94</v>
      </c>
      <c r="E118" s="123">
        <f t="shared" si="122"/>
        <v>94.24</v>
      </c>
      <c r="F118" s="123">
        <f t="shared" si="122"/>
        <v>98.74</v>
      </c>
      <c r="G118" s="123">
        <f t="shared" si="122"/>
        <v>112.64</v>
      </c>
      <c r="H118" s="123">
        <f t="shared" si="122"/>
        <v>126.84</v>
      </c>
      <c r="I118" s="123">
        <f t="shared" si="122"/>
        <v>136.84</v>
      </c>
      <c r="J118" s="123">
        <f t="shared" si="122"/>
        <v>245.54000000000002</v>
      </c>
      <c r="K118" s="123">
        <f t="shared" si="122"/>
        <v>243.54000000000002</v>
      </c>
      <c r="L118" s="123">
        <f t="shared" si="122"/>
        <v>254.94</v>
      </c>
      <c r="M118" s="123">
        <f t="shared" si="122"/>
        <v>325.83999999999997</v>
      </c>
      <c r="N118" s="123">
        <f t="shared" si="122"/>
        <v>325.23999999999995</v>
      </c>
      <c r="O118" s="123">
        <f t="shared" si="122"/>
        <v>312.33999999999997</v>
      </c>
      <c r="P118" s="123">
        <v>42</v>
      </c>
      <c r="Q118" s="123">
        <f t="shared" ref="Q118:AA118" si="123">SUM(Q22,Q28,Q31:Q32,Q66,Q68:Q69,Q71,Q73,Q119:Q123,Q155,Q161,Q167,Q176,Q178,Q190,Q197,Q200:Q201,Q208,Q210,Q212,Q216:Q218,Q220:Q222,Q227,Q233:Q234,Q236:Q238,Q246,Q251)</f>
        <v>301.14</v>
      </c>
      <c r="R118" s="123">
        <f t="shared" si="123"/>
        <v>107.34</v>
      </c>
      <c r="S118" s="123">
        <f t="shared" si="123"/>
        <v>295.04000000000002</v>
      </c>
      <c r="T118" s="123">
        <f t="shared" si="123"/>
        <v>303.44</v>
      </c>
      <c r="U118" s="123">
        <f t="shared" si="123"/>
        <v>284.83999999999997</v>
      </c>
      <c r="V118" s="123">
        <f t="shared" si="123"/>
        <v>286.94</v>
      </c>
      <c r="W118" s="123">
        <f t="shared" si="123"/>
        <v>294.24</v>
      </c>
      <c r="X118" s="123">
        <f t="shared" si="123"/>
        <v>290.83999999999997</v>
      </c>
      <c r="Y118" s="123">
        <f t="shared" ref="Y118:Z118" si="124">SUM(Y20,Y26,Y37:Y38,Y66,Y68:Y69,Y71,Y73,Y119:Y123,Y148,Y154,Y160,Y169,Y171,Y183,Y190,Y193:Y194,Y201,Y203,Y205,Y209:Y211,Y213:Y215,Y220,Y226:Y227,Y229:Y231,Y239,Y244)</f>
        <v>332.70000000000005</v>
      </c>
      <c r="Z118" s="123">
        <f t="shared" si="124"/>
        <v>371.5</v>
      </c>
      <c r="AA118" s="123">
        <f t="shared" si="123"/>
        <v>344.74</v>
      </c>
      <c r="AB118" s="123">
        <f t="shared" ref="AB118:AC118" si="125">SUM(AB22,AB28,AB31:AB32,AB66,AB68:AB69,AB71,AB73,AB119:AB123,AB155,AB161,AB167,AB176,AB178,AB190,AB197,AB200:AB201,AB208,AB210,AB212,AB216:AB218,AB220:AB222,AB227,AB233:AB234,AB236:AB238,AB246,AB251)</f>
        <v>305.94</v>
      </c>
      <c r="AC118" s="123">
        <f t="shared" si="125"/>
        <v>284.64</v>
      </c>
      <c r="AD118" s="123">
        <f t="shared" ref="AD118:AE118" si="126">SUM(AD22,AD28,AD31:AD32,AD66,AD68:AD69,AD71,AD73,AD119:AD123,AD155,AD161,AD167,AD176,AD178,AD190,AD197,AD200:AD201,AD208,AD210,AD212,AD216:AD218,AD220:AD222,AD227,AD233:AD234,AD236:AD238,AD246,AD251)</f>
        <v>257.64000000000004</v>
      </c>
      <c r="AE118" s="123">
        <f t="shared" si="126"/>
        <v>187.94000000000003</v>
      </c>
      <c r="AF118" s="123">
        <f t="shared" ref="AF118" si="127">SUM(AF22,AF28,AF31:AF32,AF66,AF68:AF69,AF71,AF73,AF119:AF123,AF155,AF161,AF167,AF176,AF178,AF190,AF197,AF200:AF201,AF208,AF210,AF212,AF216:AF218,AF220:AF222,AF227,AF233:AF234,AF236:AF238,AF246,AF251)</f>
        <v>144.54</v>
      </c>
      <c r="AG118" s="124"/>
      <c r="AH118" s="48">
        <f t="shared" si="63"/>
        <v>371.5</v>
      </c>
      <c r="AI118" s="49">
        <f t="shared" si="64"/>
        <v>42</v>
      </c>
    </row>
    <row r="119" spans="1:35" x14ac:dyDescent="0.25">
      <c r="A119" s="125" t="s">
        <v>142</v>
      </c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>
        <v>10.9</v>
      </c>
      <c r="N119" s="126">
        <v>10.1</v>
      </c>
      <c r="O119" s="126">
        <v>8.6</v>
      </c>
      <c r="P119" s="126">
        <v>8.6</v>
      </c>
      <c r="Q119" s="126">
        <v>4.5</v>
      </c>
      <c r="R119" s="126"/>
      <c r="S119" s="126">
        <v>3.9</v>
      </c>
      <c r="T119" s="126">
        <v>-4.2</v>
      </c>
      <c r="U119" s="126">
        <v>-9.8000000000000007</v>
      </c>
      <c r="V119" s="126">
        <v>-9.1999999999999993</v>
      </c>
      <c r="W119" s="126">
        <v>-4.8</v>
      </c>
      <c r="X119" s="126">
        <v>-1.4</v>
      </c>
      <c r="Y119" s="126">
        <v>24.5</v>
      </c>
      <c r="Z119" s="126">
        <v>36</v>
      </c>
      <c r="AA119" s="126">
        <v>31.2</v>
      </c>
      <c r="AB119" s="126">
        <v>33</v>
      </c>
      <c r="AC119" s="126">
        <v>40.4</v>
      </c>
      <c r="AD119" s="126">
        <v>42.5</v>
      </c>
      <c r="AE119" s="126">
        <v>36</v>
      </c>
      <c r="AF119" s="126">
        <v>18.899999999999999</v>
      </c>
      <c r="AG119" s="127">
        <v>75</v>
      </c>
      <c r="AH119" s="48">
        <f t="shared" si="63"/>
        <v>42.5</v>
      </c>
      <c r="AI119" s="49">
        <f t="shared" si="64"/>
        <v>-9.8000000000000007</v>
      </c>
    </row>
    <row r="120" spans="1:35" x14ac:dyDescent="0.25">
      <c r="A120" s="128" t="s">
        <v>143</v>
      </c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>
        <v>8.5</v>
      </c>
      <c r="N120" s="129">
        <v>7.9</v>
      </c>
      <c r="O120" s="129">
        <v>4.8</v>
      </c>
      <c r="P120" s="129">
        <v>6</v>
      </c>
      <c r="Q120" s="129">
        <v>3.1</v>
      </c>
      <c r="R120" s="129"/>
      <c r="S120" s="129">
        <v>-0.5</v>
      </c>
      <c r="T120" s="129">
        <v>-11.8</v>
      </c>
      <c r="U120" s="129">
        <v>-16.399999999999999</v>
      </c>
      <c r="V120" s="129">
        <v>-15.7</v>
      </c>
      <c r="W120" s="129">
        <v>-7.9</v>
      </c>
      <c r="X120" s="129">
        <v>-2.4</v>
      </c>
      <c r="Y120" s="129">
        <v>36.299999999999997</v>
      </c>
      <c r="Z120" s="129">
        <v>53</v>
      </c>
      <c r="AA120" s="129">
        <v>47.4</v>
      </c>
      <c r="AB120" s="129">
        <v>50</v>
      </c>
      <c r="AC120" s="129">
        <v>60</v>
      </c>
      <c r="AD120" s="129">
        <v>62.3</v>
      </c>
      <c r="AE120" s="129">
        <v>52.6</v>
      </c>
      <c r="AF120" s="129">
        <v>30.2</v>
      </c>
      <c r="AG120" s="127">
        <v>240</v>
      </c>
      <c r="AH120" s="48">
        <f t="shared" si="63"/>
        <v>62.3</v>
      </c>
      <c r="AI120" s="49">
        <f t="shared" si="64"/>
        <v>-16.399999999999999</v>
      </c>
    </row>
    <row r="121" spans="1:35" x14ac:dyDescent="0.25">
      <c r="A121" s="128" t="s">
        <v>144</v>
      </c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>
        <f>18+16</f>
        <v>34</v>
      </c>
      <c r="N121" s="129">
        <f>19+15</f>
        <v>34</v>
      </c>
      <c r="O121" s="129">
        <f>16.7+13.4</f>
        <v>30.1</v>
      </c>
      <c r="P121" s="129">
        <v>25</v>
      </c>
      <c r="Q121" s="129">
        <v>25.7</v>
      </c>
      <c r="R121" s="129"/>
      <c r="S121" s="129">
        <v>32</v>
      </c>
      <c r="T121" s="129">
        <v>47</v>
      </c>
      <c r="U121" s="129">
        <v>46</v>
      </c>
      <c r="V121" s="129">
        <v>49</v>
      </c>
      <c r="W121" s="129">
        <v>55</v>
      </c>
      <c r="X121" s="129">
        <v>52</v>
      </c>
      <c r="Y121" s="129">
        <v>22</v>
      </c>
      <c r="Z121" s="129">
        <v>21</v>
      </c>
      <c r="AA121" s="129">
        <v>15</v>
      </c>
      <c r="AB121" s="129">
        <v>5.2</v>
      </c>
      <c r="AC121" s="129">
        <v>-4</v>
      </c>
      <c r="AD121" s="129">
        <v>-12</v>
      </c>
      <c r="AE121" s="129">
        <v>-26</v>
      </c>
      <c r="AF121" s="129">
        <v>-29.4</v>
      </c>
      <c r="AG121" s="127">
        <v>240</v>
      </c>
      <c r="AH121" s="48">
        <f t="shared" si="63"/>
        <v>55</v>
      </c>
      <c r="AI121" s="49">
        <f t="shared" si="64"/>
        <v>-29.4</v>
      </c>
    </row>
    <row r="122" spans="1:35" ht="15.75" thickBot="1" x14ac:dyDescent="0.3">
      <c r="A122" s="128" t="s">
        <v>145</v>
      </c>
      <c r="B122" s="129"/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29">
        <v>25.1</v>
      </c>
      <c r="N122" s="129">
        <v>29.1</v>
      </c>
      <c r="O122" s="129">
        <v>18.5</v>
      </c>
      <c r="P122" s="129">
        <v>20.9</v>
      </c>
      <c r="Q122" s="129">
        <v>27.7</v>
      </c>
      <c r="R122" s="129"/>
      <c r="S122" s="129">
        <v>24</v>
      </c>
      <c r="T122" s="129">
        <v>38.4</v>
      </c>
      <c r="U122" s="129">
        <v>32.299999999999997</v>
      </c>
      <c r="V122" s="129">
        <v>36.4</v>
      </c>
      <c r="W122" s="129">
        <v>23</v>
      </c>
      <c r="X122" s="129">
        <v>23.5</v>
      </c>
      <c r="Y122" s="129">
        <v>49</v>
      </c>
      <c r="Z122" s="129">
        <v>47</v>
      </c>
      <c r="AA122" s="129">
        <v>45</v>
      </c>
      <c r="AB122" s="129">
        <v>42.7</v>
      </c>
      <c r="AC122" s="129">
        <v>39.700000000000003</v>
      </c>
      <c r="AD122" s="129">
        <v>40.4</v>
      </c>
      <c r="AE122" s="129">
        <v>33.200000000000003</v>
      </c>
      <c r="AF122" s="129">
        <v>30.4</v>
      </c>
      <c r="AG122" s="127">
        <v>60</v>
      </c>
      <c r="AH122" s="48">
        <f t="shared" si="63"/>
        <v>49</v>
      </c>
      <c r="AI122" s="49">
        <f t="shared" si="64"/>
        <v>18.5</v>
      </c>
    </row>
    <row r="123" spans="1:35" x14ac:dyDescent="0.25">
      <c r="A123" s="125" t="s">
        <v>146</v>
      </c>
      <c r="B123" s="130">
        <v>15</v>
      </c>
      <c r="C123" s="130">
        <v>12</v>
      </c>
      <c r="D123" s="130">
        <v>16</v>
      </c>
      <c r="E123" s="130">
        <v>1.6</v>
      </c>
      <c r="F123" s="130">
        <v>6.1</v>
      </c>
      <c r="G123" s="130">
        <v>20</v>
      </c>
      <c r="H123" s="130">
        <v>34.200000000000003</v>
      </c>
      <c r="I123" s="130">
        <v>43.6</v>
      </c>
      <c r="J123" s="130">
        <v>150</v>
      </c>
      <c r="K123" s="130">
        <v>148</v>
      </c>
      <c r="L123" s="130">
        <v>154</v>
      </c>
      <c r="M123" s="130">
        <v>146</v>
      </c>
      <c r="N123" s="130">
        <v>140</v>
      </c>
      <c r="O123" s="130">
        <v>143.6</v>
      </c>
      <c r="P123" s="130">
        <v>139</v>
      </c>
      <c r="Q123" s="130">
        <v>131</v>
      </c>
      <c r="R123" s="130"/>
      <c r="S123" s="130">
        <v>135.6</v>
      </c>
      <c r="T123" s="130">
        <v>135.9</v>
      </c>
      <c r="U123" s="130">
        <v>139</v>
      </c>
      <c r="V123" s="130">
        <v>136</v>
      </c>
      <c r="W123" s="130">
        <v>139.30000000000001</v>
      </c>
      <c r="X123" s="130">
        <v>133.30000000000001</v>
      </c>
      <c r="Y123" s="130">
        <v>105.4</v>
      </c>
      <c r="Z123" s="130">
        <v>119</v>
      </c>
      <c r="AA123" s="130">
        <v>118.3</v>
      </c>
      <c r="AB123" s="130">
        <v>87.2</v>
      </c>
      <c r="AC123" s="130">
        <v>60.5</v>
      </c>
      <c r="AD123" s="130">
        <v>36.4</v>
      </c>
      <c r="AE123" s="130">
        <v>4.0999999999999996</v>
      </c>
      <c r="AF123" s="130">
        <v>6.4</v>
      </c>
      <c r="AG123" s="131">
        <v>120</v>
      </c>
      <c r="AH123" s="48">
        <f t="shared" si="63"/>
        <v>154</v>
      </c>
      <c r="AI123" s="49">
        <f t="shared" si="64"/>
        <v>1.6</v>
      </c>
    </row>
    <row r="124" spans="1:35" x14ac:dyDescent="0.25">
      <c r="A124" s="128" t="s">
        <v>147</v>
      </c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>
        <v>92.1</v>
      </c>
      <c r="N124" s="130">
        <v>89.1</v>
      </c>
      <c r="O124" s="130">
        <v>91.2</v>
      </c>
      <c r="P124" s="130">
        <v>88</v>
      </c>
      <c r="Q124" s="130">
        <v>84.2</v>
      </c>
      <c r="R124" s="130"/>
      <c r="S124" s="130">
        <v>87</v>
      </c>
      <c r="T124" s="130">
        <v>87</v>
      </c>
      <c r="U124" s="130">
        <v>88</v>
      </c>
      <c r="V124" s="130">
        <v>87</v>
      </c>
      <c r="W124" s="130">
        <v>88</v>
      </c>
      <c r="X124" s="130">
        <v>86.4</v>
      </c>
      <c r="Y124" s="130">
        <v>73</v>
      </c>
      <c r="Z124" s="130">
        <v>79</v>
      </c>
      <c r="AA124" s="130">
        <v>79.099999999999994</v>
      </c>
      <c r="AB124" s="130">
        <v>59.8</v>
      </c>
      <c r="AC124" s="130">
        <v>47.3</v>
      </c>
      <c r="AD124" s="130">
        <v>34.1</v>
      </c>
      <c r="AE124" s="130">
        <v>20.399999999999999</v>
      </c>
      <c r="AF124" s="130">
        <v>21.6</v>
      </c>
      <c r="AG124" s="131"/>
      <c r="AH124" s="48"/>
      <c r="AI124" s="49"/>
    </row>
    <row r="125" spans="1:35" x14ac:dyDescent="0.25">
      <c r="A125" s="128" t="s">
        <v>148</v>
      </c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>
        <v>14.2</v>
      </c>
      <c r="N125" s="130">
        <v>13</v>
      </c>
      <c r="O125" s="130">
        <v>25.5</v>
      </c>
      <c r="P125" s="130">
        <v>28.4</v>
      </c>
      <c r="Q125" s="130">
        <v>27.1</v>
      </c>
      <c r="R125" s="130"/>
      <c r="S125" s="130">
        <v>30</v>
      </c>
      <c r="T125" s="130">
        <v>23.7</v>
      </c>
      <c r="U125" s="130">
        <v>26.2</v>
      </c>
      <c r="V125" s="130">
        <v>24.1</v>
      </c>
      <c r="W125" s="130">
        <v>11</v>
      </c>
      <c r="X125" s="130">
        <v>8</v>
      </c>
      <c r="Y125" s="130">
        <v>-28</v>
      </c>
      <c r="Z125" s="130">
        <v>-53</v>
      </c>
      <c r="AA125" s="130">
        <v>-41</v>
      </c>
      <c r="AB125" s="130">
        <v>-48.7</v>
      </c>
      <c r="AC125" s="130">
        <v>-61.7</v>
      </c>
      <c r="AD125" s="130">
        <v>-67.099999999999994</v>
      </c>
      <c r="AE125" s="130">
        <v>-55.6</v>
      </c>
      <c r="AF125" s="130">
        <v>-28.2</v>
      </c>
      <c r="AG125" s="131"/>
      <c r="AH125" s="48"/>
      <c r="AI125" s="49"/>
    </row>
    <row r="126" spans="1:35" ht="15.75" thickBot="1" x14ac:dyDescent="0.3">
      <c r="A126" s="128" t="s">
        <v>149</v>
      </c>
      <c r="B126" s="130">
        <v>12</v>
      </c>
      <c r="C126" s="130">
        <v>11</v>
      </c>
      <c r="D126" s="130">
        <v>15</v>
      </c>
      <c r="E126" s="130">
        <v>6</v>
      </c>
      <c r="F126" s="130">
        <v>6.8</v>
      </c>
      <c r="G126" s="130">
        <v>15.6</v>
      </c>
      <c r="H126" s="130">
        <v>23.5</v>
      </c>
      <c r="I126" s="130">
        <v>25.6</v>
      </c>
      <c r="J126" s="130">
        <v>103</v>
      </c>
      <c r="K126" s="130">
        <v>107.6</v>
      </c>
      <c r="L126" s="130">
        <v>109</v>
      </c>
      <c r="M126" s="130">
        <v>109</v>
      </c>
      <c r="N126" s="130">
        <v>104.9</v>
      </c>
      <c r="O126" s="130">
        <v>109.2</v>
      </c>
      <c r="P126" s="130">
        <v>107.8</v>
      </c>
      <c r="Q126" s="130">
        <v>102.1</v>
      </c>
      <c r="R126" s="130"/>
      <c r="S126" s="130">
        <v>96.4</v>
      </c>
      <c r="T126" s="130">
        <v>101</v>
      </c>
      <c r="U126" s="130">
        <v>98</v>
      </c>
      <c r="V126" s="130">
        <v>98.2</v>
      </c>
      <c r="W126" s="130">
        <v>86</v>
      </c>
      <c r="X126" s="130">
        <v>97</v>
      </c>
      <c r="Y126" s="130">
        <v>58</v>
      </c>
      <c r="Z126" s="130">
        <v>63</v>
      </c>
      <c r="AA126" s="130">
        <v>61</v>
      </c>
      <c r="AB126" s="130">
        <v>42.6</v>
      </c>
      <c r="AC126" s="130">
        <v>29.5</v>
      </c>
      <c r="AD126" s="130">
        <v>20</v>
      </c>
      <c r="AE126" s="130">
        <v>7.3</v>
      </c>
      <c r="AF126" s="130">
        <v>15</v>
      </c>
      <c r="AG126" s="127"/>
      <c r="AH126" s="48">
        <f>MAX(B126:AF126)</f>
        <v>109.2</v>
      </c>
      <c r="AI126" s="49">
        <f>MIN(B126:AF126)</f>
        <v>6</v>
      </c>
    </row>
    <row r="127" spans="1:35" x14ac:dyDescent="0.25">
      <c r="A127" s="125" t="s">
        <v>305</v>
      </c>
      <c r="B127" s="130">
        <v>-59</v>
      </c>
      <c r="C127" s="130">
        <v>-62</v>
      </c>
      <c r="D127" s="130">
        <v>-60</v>
      </c>
      <c r="E127" s="130">
        <v>-66.2</v>
      </c>
      <c r="F127" s="130">
        <v>-60</v>
      </c>
      <c r="G127" s="130">
        <v>-56.1</v>
      </c>
      <c r="H127" s="130">
        <v>-47.8</v>
      </c>
      <c r="I127" s="130">
        <v>-43.8</v>
      </c>
      <c r="J127" s="130">
        <v>45</v>
      </c>
      <c r="K127" s="130">
        <v>43.8</v>
      </c>
      <c r="L127" s="130">
        <v>44.2</v>
      </c>
      <c r="M127" s="130">
        <v>41.9</v>
      </c>
      <c r="N127" s="130">
        <v>39.299999999999997</v>
      </c>
      <c r="O127" s="130">
        <v>41.6</v>
      </c>
      <c r="P127" s="130">
        <v>38.799999999999997</v>
      </c>
      <c r="Q127" s="130">
        <v>34.700000000000003</v>
      </c>
      <c r="R127" s="130"/>
      <c r="S127" s="130">
        <v>35</v>
      </c>
      <c r="T127" s="130">
        <v>38.299999999999997</v>
      </c>
      <c r="U127" s="130">
        <v>38</v>
      </c>
      <c r="V127" s="130">
        <v>43</v>
      </c>
      <c r="W127" s="130">
        <v>27</v>
      </c>
      <c r="X127" s="130">
        <v>35.6</v>
      </c>
      <c r="Y127" s="130">
        <v>-126</v>
      </c>
      <c r="Z127" s="130">
        <v>-156</v>
      </c>
      <c r="AA127" s="130">
        <v>-175</v>
      </c>
      <c r="AB127" s="130">
        <v>-162.5</v>
      </c>
      <c r="AC127" s="130">
        <v>-138.80000000000001</v>
      </c>
      <c r="AD127" s="130">
        <v>-112.7</v>
      </c>
      <c r="AE127" s="130">
        <v>-78</v>
      </c>
      <c r="AF127" s="130">
        <v>-61.2</v>
      </c>
      <c r="AG127" s="127"/>
      <c r="AH127" s="48">
        <f>MAX(B127:AF127)</f>
        <v>45</v>
      </c>
      <c r="AI127" s="49">
        <f>MIN(B127:AF127)</f>
        <v>-175</v>
      </c>
    </row>
    <row r="128" spans="1:35" x14ac:dyDescent="0.25">
      <c r="A128" s="128" t="s">
        <v>151</v>
      </c>
      <c r="B128" s="118">
        <v>-33</v>
      </c>
      <c r="C128" s="118">
        <v>-31</v>
      </c>
      <c r="D128" s="118">
        <v>-29</v>
      </c>
      <c r="E128" s="118">
        <v>25.1</v>
      </c>
      <c r="F128" s="118">
        <v>-24.2</v>
      </c>
      <c r="G128" s="118">
        <v>-26.6</v>
      </c>
      <c r="H128" s="118">
        <v>-27.1</v>
      </c>
      <c r="I128" s="118">
        <v>-36.700000000000003</v>
      </c>
      <c r="J128" s="118">
        <v>-48</v>
      </c>
      <c r="K128" s="118">
        <v>-51</v>
      </c>
      <c r="L128" s="118">
        <v>-50.25</v>
      </c>
      <c r="M128" s="118">
        <v>-55.4</v>
      </c>
      <c r="N128" s="118">
        <v>-48.8</v>
      </c>
      <c r="O128" s="118">
        <v>-42.7</v>
      </c>
      <c r="P128" s="118">
        <v>-55.4</v>
      </c>
      <c r="Q128" s="118">
        <v>-35.700000000000003</v>
      </c>
      <c r="R128" s="118"/>
      <c r="S128" s="118">
        <v>-40</v>
      </c>
      <c r="T128" s="118">
        <v>-35</v>
      </c>
      <c r="U128" s="118">
        <v>-50.3</v>
      </c>
      <c r="V128" s="118">
        <v>-54</v>
      </c>
      <c r="W128" s="118">
        <v>-58.6</v>
      </c>
      <c r="X128" s="118">
        <v>-61</v>
      </c>
      <c r="Y128" s="118">
        <v>-65</v>
      </c>
      <c r="Z128" s="118">
        <v>-58</v>
      </c>
      <c r="AA128" s="118">
        <v>-62</v>
      </c>
      <c r="AB128" s="118">
        <v>-58.4</v>
      </c>
      <c r="AC128" s="118">
        <v>-54.5</v>
      </c>
      <c r="AD128" s="118">
        <v>-52.3</v>
      </c>
      <c r="AE128" s="118">
        <v>-43</v>
      </c>
      <c r="AF128" s="118">
        <v>-33.700000000000003</v>
      </c>
      <c r="AG128" s="127"/>
      <c r="AH128" s="48">
        <f>MAX(B128:AF128)</f>
        <v>25.1</v>
      </c>
      <c r="AI128" s="49">
        <f>MIN(B128:AF128)</f>
        <v>-65</v>
      </c>
    </row>
    <row r="129" spans="1:37" x14ac:dyDescent="0.25">
      <c r="A129" s="128" t="s">
        <v>306</v>
      </c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>
        <v>69</v>
      </c>
      <c r="N129" s="118">
        <v>71.3</v>
      </c>
      <c r="O129" s="118">
        <v>76.900000000000006</v>
      </c>
      <c r="P129" s="118">
        <v>74</v>
      </c>
      <c r="Q129" s="118">
        <v>80.900000000000006</v>
      </c>
      <c r="R129" s="118"/>
      <c r="S129" s="118">
        <v>85.3</v>
      </c>
      <c r="T129" s="118">
        <v>84</v>
      </c>
      <c r="U129" s="118">
        <v>78</v>
      </c>
      <c r="V129" s="118">
        <v>71.7</v>
      </c>
      <c r="W129" s="118">
        <v>67</v>
      </c>
      <c r="X129" s="118">
        <v>59.3</v>
      </c>
      <c r="Y129" s="118">
        <v>107.3</v>
      </c>
      <c r="Z129" s="118">
        <v>114</v>
      </c>
      <c r="AA129" s="118">
        <v>113</v>
      </c>
      <c r="AB129" s="118">
        <v>105.2</v>
      </c>
      <c r="AC129" s="118">
        <v>101.7</v>
      </c>
      <c r="AD129" s="118">
        <v>98.7</v>
      </c>
      <c r="AE129" s="118">
        <v>91.7</v>
      </c>
      <c r="AF129" s="118">
        <v>72.900000000000006</v>
      </c>
      <c r="AG129" s="127"/>
      <c r="AH129" s="48">
        <f>MAX(B129:AF129)</f>
        <v>114</v>
      </c>
      <c r="AI129" s="49">
        <f>MIN(B129:AF129)</f>
        <v>59.3</v>
      </c>
    </row>
    <row r="130" spans="1:37" ht="15.75" thickBot="1" x14ac:dyDescent="0.3">
      <c r="A130" s="128" t="s">
        <v>153</v>
      </c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>
        <v>73.900000000000006</v>
      </c>
      <c r="N130" s="118">
        <v>74.3</v>
      </c>
      <c r="O130" s="118">
        <v>79.099999999999994</v>
      </c>
      <c r="P130" s="118">
        <v>76.400000000000006</v>
      </c>
      <c r="Q130" s="118">
        <v>82.8</v>
      </c>
      <c r="R130" s="118"/>
      <c r="S130" s="118">
        <v>88</v>
      </c>
      <c r="T130" s="118">
        <v>82.6</v>
      </c>
      <c r="U130" s="118">
        <v>81</v>
      </c>
      <c r="V130" s="118">
        <v>77</v>
      </c>
      <c r="W130" s="118">
        <v>72.3</v>
      </c>
      <c r="X130" s="118">
        <v>70.3</v>
      </c>
      <c r="Y130" s="118">
        <v>117</v>
      </c>
      <c r="Z130" s="118">
        <v>125</v>
      </c>
      <c r="AA130" s="118">
        <v>123</v>
      </c>
      <c r="AB130" s="118">
        <v>116.7</v>
      </c>
      <c r="AC130" s="118">
        <v>113.7</v>
      </c>
      <c r="AD130" s="118">
        <v>109.8</v>
      </c>
      <c r="AE130" s="118">
        <v>103.8</v>
      </c>
      <c r="AF130" s="118">
        <v>84.7</v>
      </c>
      <c r="AG130" s="127"/>
      <c r="AH130" s="48">
        <f>MAX(B130:AF130)</f>
        <v>125</v>
      </c>
      <c r="AI130" s="49">
        <f>MIN(B130:AF130)</f>
        <v>70.3</v>
      </c>
    </row>
    <row r="131" spans="1:37" x14ac:dyDescent="0.25">
      <c r="A131" s="132" t="s">
        <v>154</v>
      </c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4"/>
      <c r="AG131" s="44"/>
      <c r="AH131" s="48"/>
      <c r="AI131" s="49"/>
    </row>
    <row r="132" spans="1:37" x14ac:dyDescent="0.25">
      <c r="A132" s="135" t="s">
        <v>155</v>
      </c>
      <c r="B132" s="136">
        <v>1982.62</v>
      </c>
      <c r="C132" s="136">
        <v>1982.65</v>
      </c>
      <c r="D132" s="136">
        <v>1982.68</v>
      </c>
      <c r="E132" s="136">
        <v>1982.68</v>
      </c>
      <c r="F132" s="136">
        <v>1982.7</v>
      </c>
      <c r="G132" s="136">
        <v>1982.7</v>
      </c>
      <c r="H132" s="136"/>
      <c r="I132" s="136">
        <v>1982.75</v>
      </c>
      <c r="J132" s="136"/>
      <c r="K132" s="136">
        <v>1982.92</v>
      </c>
      <c r="L132" s="136"/>
      <c r="M132" s="136">
        <v>1983.2</v>
      </c>
      <c r="N132" s="136">
        <v>1983.44</v>
      </c>
      <c r="O132" s="136">
        <v>1983.7</v>
      </c>
      <c r="P132" s="136">
        <v>1983.9</v>
      </c>
      <c r="Q132" s="136">
        <v>1984.11</v>
      </c>
      <c r="R132" s="136"/>
      <c r="S132" s="136">
        <v>1984.52</v>
      </c>
      <c r="T132" s="136">
        <v>1984.7</v>
      </c>
      <c r="U132" s="136">
        <v>1984.9</v>
      </c>
      <c r="V132" s="136">
        <v>1985.1</v>
      </c>
      <c r="W132" s="136"/>
      <c r="X132" s="136">
        <v>1985.25</v>
      </c>
      <c r="Y132" s="136"/>
      <c r="Z132" s="136">
        <v>1984.75</v>
      </c>
      <c r="AA132" s="136"/>
      <c r="AB132" s="136">
        <v>1983.6</v>
      </c>
      <c r="AC132" s="136">
        <v>1983.15</v>
      </c>
      <c r="AD132" s="136">
        <v>1982.8</v>
      </c>
      <c r="AE132" s="136"/>
      <c r="AF132" s="137">
        <v>1982.53</v>
      </c>
      <c r="AG132" s="138"/>
      <c r="AH132" s="48"/>
      <c r="AI132" s="49"/>
    </row>
    <row r="133" spans="1:37" x14ac:dyDescent="0.25">
      <c r="A133" s="135" t="s">
        <v>156</v>
      </c>
      <c r="B133" s="139">
        <v>518.55999999999995</v>
      </c>
      <c r="C133" s="139">
        <v>518.80999999999995</v>
      </c>
      <c r="D133" s="139">
        <v>519.05999999999995</v>
      </c>
      <c r="E133" s="139">
        <v>519.26</v>
      </c>
      <c r="F133" s="139">
        <v>519.52</v>
      </c>
      <c r="G133" s="139">
        <v>519.70000000000005</v>
      </c>
      <c r="H133" s="139"/>
      <c r="I133" s="139">
        <v>519.82000000000005</v>
      </c>
      <c r="J133" s="139"/>
      <c r="K133" s="139">
        <v>520.15</v>
      </c>
      <c r="L133" s="139"/>
      <c r="M133" s="139">
        <v>520.48</v>
      </c>
      <c r="N133" s="139">
        <v>520.63</v>
      </c>
      <c r="O133" s="139">
        <v>520.78</v>
      </c>
      <c r="P133" s="139">
        <v>520.91999999999996</v>
      </c>
      <c r="Q133" s="139">
        <v>521.05999999999995</v>
      </c>
      <c r="R133" s="139"/>
      <c r="S133" s="139">
        <v>521.30999999999995</v>
      </c>
      <c r="T133" s="139">
        <v>521.17999999999995</v>
      </c>
      <c r="U133" s="139">
        <v>521.08000000000004</v>
      </c>
      <c r="V133" s="139">
        <v>521.04</v>
      </c>
      <c r="W133" s="139"/>
      <c r="X133" s="139">
        <v>521</v>
      </c>
      <c r="Y133" s="139"/>
      <c r="Z133" s="139">
        <v>520.72</v>
      </c>
      <c r="AA133" s="139"/>
      <c r="AB133" s="139">
        <v>520.1</v>
      </c>
      <c r="AC133" s="139"/>
      <c r="AD133" s="139">
        <v>519.45000000000005</v>
      </c>
      <c r="AE133" s="139"/>
      <c r="AF133" s="140">
        <v>518.67999999999995</v>
      </c>
      <c r="AG133" s="138"/>
      <c r="AH133" s="48"/>
      <c r="AI133" s="49"/>
    </row>
    <row r="134" spans="1:37" x14ac:dyDescent="0.25">
      <c r="A134" s="135" t="s">
        <v>158</v>
      </c>
      <c r="B134" s="139">
        <v>622.04</v>
      </c>
      <c r="C134" s="139">
        <v>622.57000000000005</v>
      </c>
      <c r="D134" s="139">
        <v>623.23</v>
      </c>
      <c r="E134" s="139">
        <v>623.61</v>
      </c>
      <c r="F134" s="139">
        <v>623.97</v>
      </c>
      <c r="G134" s="139">
        <v>624.39</v>
      </c>
      <c r="H134" s="139"/>
      <c r="I134" s="139">
        <v>624.46</v>
      </c>
      <c r="J134" s="139"/>
      <c r="K134" s="139">
        <v>624.46</v>
      </c>
      <c r="L134" s="139"/>
      <c r="M134" s="139">
        <v>624.20000000000005</v>
      </c>
      <c r="N134" s="139">
        <v>624</v>
      </c>
      <c r="O134" s="139">
        <v>623.62</v>
      </c>
      <c r="P134" s="139">
        <v>623.37</v>
      </c>
      <c r="Q134" s="139">
        <v>622.95000000000005</v>
      </c>
      <c r="R134" s="139"/>
      <c r="S134" s="139">
        <v>621.79</v>
      </c>
      <c r="T134" s="139">
        <v>622.39</v>
      </c>
      <c r="U134" s="139">
        <v>622.9</v>
      </c>
      <c r="V134" s="139">
        <v>623.32000000000005</v>
      </c>
      <c r="W134" s="139"/>
      <c r="X134" s="139">
        <v>623.66999999999996</v>
      </c>
      <c r="Y134" s="139"/>
      <c r="Z134" s="139">
        <v>623.42999999999995</v>
      </c>
      <c r="AA134" s="139"/>
      <c r="AB134" s="139">
        <v>622.85</v>
      </c>
      <c r="AC134" s="139"/>
      <c r="AD134" s="139">
        <v>622.13</v>
      </c>
      <c r="AE134" s="139"/>
      <c r="AF134" s="140">
        <v>621.49</v>
      </c>
      <c r="AG134" s="138"/>
      <c r="AH134" s="48"/>
      <c r="AI134" s="49"/>
    </row>
    <row r="135" spans="1:37" x14ac:dyDescent="0.25">
      <c r="A135" s="135" t="s">
        <v>159</v>
      </c>
      <c r="B135" s="139">
        <v>334.03</v>
      </c>
      <c r="C135" s="139">
        <v>334.46</v>
      </c>
      <c r="D135" s="139">
        <v>334.9</v>
      </c>
      <c r="E135" s="139">
        <v>335.24</v>
      </c>
      <c r="F135" s="139">
        <v>335.57</v>
      </c>
      <c r="G135" s="139">
        <v>335.85</v>
      </c>
      <c r="H135" s="139"/>
      <c r="I135" s="139">
        <v>336.1</v>
      </c>
      <c r="J135" s="139"/>
      <c r="K135" s="139">
        <v>336.18</v>
      </c>
      <c r="L135" s="139"/>
      <c r="M135" s="139">
        <v>335.98</v>
      </c>
      <c r="N135" s="139">
        <v>335.67</v>
      </c>
      <c r="O135" s="139">
        <v>335.3</v>
      </c>
      <c r="P135" s="139">
        <v>334.83</v>
      </c>
      <c r="Q135" s="139">
        <v>334.3</v>
      </c>
      <c r="R135" s="139"/>
      <c r="S135" s="139">
        <v>334.39</v>
      </c>
      <c r="T135" s="139">
        <v>334.83</v>
      </c>
      <c r="U135" s="139">
        <v>335.2</v>
      </c>
      <c r="V135" s="139">
        <v>335.56</v>
      </c>
      <c r="W135" s="139"/>
      <c r="X135" s="139">
        <v>335.95</v>
      </c>
      <c r="Y135" s="139"/>
      <c r="Z135" s="139">
        <v>336.09</v>
      </c>
      <c r="AA135" s="139"/>
      <c r="AB135" s="139">
        <v>335.83</v>
      </c>
      <c r="AC135" s="139"/>
      <c r="AD135" s="139">
        <v>335.38</v>
      </c>
      <c r="AE135" s="139"/>
      <c r="AF135" s="140">
        <v>334.19</v>
      </c>
      <c r="AG135" s="138"/>
      <c r="AH135" s="48"/>
      <c r="AI135" s="49"/>
    </row>
    <row r="136" spans="1:37" x14ac:dyDescent="0.25">
      <c r="A136" s="135" t="s">
        <v>160</v>
      </c>
      <c r="B136" s="139">
        <v>884.5</v>
      </c>
      <c r="C136" s="139">
        <v>885.2</v>
      </c>
      <c r="D136" s="139">
        <v>885.8</v>
      </c>
      <c r="E136" s="139">
        <v>886.3</v>
      </c>
      <c r="F136" s="139">
        <v>886.7</v>
      </c>
      <c r="G136" s="139">
        <v>887.2</v>
      </c>
      <c r="H136" s="139"/>
      <c r="I136" s="139">
        <v>887.5</v>
      </c>
      <c r="J136" s="139"/>
      <c r="K136" s="139">
        <v>887.5</v>
      </c>
      <c r="L136" s="139"/>
      <c r="M136" s="139">
        <v>887.4</v>
      </c>
      <c r="N136" s="139">
        <v>887.4</v>
      </c>
      <c r="O136" s="139">
        <v>887.3</v>
      </c>
      <c r="P136" s="139">
        <v>887.3</v>
      </c>
      <c r="Q136" s="139">
        <v>887.3</v>
      </c>
      <c r="R136" s="139"/>
      <c r="S136" s="139">
        <v>887.1</v>
      </c>
      <c r="T136" s="139">
        <v>887</v>
      </c>
      <c r="U136" s="139">
        <v>886.7</v>
      </c>
      <c r="V136" s="139">
        <v>886.4</v>
      </c>
      <c r="W136" s="139"/>
      <c r="X136" s="139">
        <v>886.1</v>
      </c>
      <c r="Y136" s="139"/>
      <c r="Z136" s="139">
        <v>885.6</v>
      </c>
      <c r="AA136" s="139"/>
      <c r="AB136" s="139">
        <v>884.2</v>
      </c>
      <c r="AC136" s="139"/>
      <c r="AD136" s="139">
        <v>882</v>
      </c>
      <c r="AE136" s="139"/>
      <c r="AF136" s="140">
        <v>881.8</v>
      </c>
      <c r="AG136" s="138"/>
      <c r="AH136" s="48"/>
      <c r="AI136" s="49"/>
    </row>
    <row r="137" spans="1:37" ht="15.75" thickBot="1" x14ac:dyDescent="0.3">
      <c r="A137" s="135" t="s">
        <v>161</v>
      </c>
      <c r="B137" s="141">
        <v>1517.53</v>
      </c>
      <c r="C137" s="141">
        <v>1517.51</v>
      </c>
      <c r="D137" s="141">
        <v>1517.48</v>
      </c>
      <c r="E137" s="141">
        <v>1517.46</v>
      </c>
      <c r="F137" s="141">
        <v>1517.44</v>
      </c>
      <c r="G137" s="141">
        <v>1517.41</v>
      </c>
      <c r="H137" s="141"/>
      <c r="I137" s="141">
        <v>1517.39</v>
      </c>
      <c r="J137" s="141"/>
      <c r="K137" s="141">
        <v>1517.36</v>
      </c>
      <c r="L137" s="141"/>
      <c r="M137" s="141"/>
      <c r="N137" s="141"/>
      <c r="O137" s="141">
        <v>1517.31</v>
      </c>
      <c r="P137" s="141"/>
      <c r="Q137" s="141">
        <v>1517.28</v>
      </c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  <c r="AF137" s="142"/>
      <c r="AG137" s="138"/>
      <c r="AH137" s="48"/>
      <c r="AI137" s="49"/>
    </row>
    <row r="138" spans="1:37" ht="15.75" thickBot="1" x14ac:dyDescent="0.3">
      <c r="A138" s="143" t="s">
        <v>162</v>
      </c>
      <c r="B138" s="144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128">SUM(B139:B243)</f>
        <v>0</v>
      </c>
      <c r="C244" s="160">
        <f t="shared" si="128"/>
        <v>0</v>
      </c>
      <c r="D244" s="160">
        <f t="shared" si="128"/>
        <v>0</v>
      </c>
      <c r="E244" s="160">
        <f t="shared" si="128"/>
        <v>0</v>
      </c>
      <c r="F244" s="160">
        <f t="shared" si="128"/>
        <v>0</v>
      </c>
      <c r="G244" s="160">
        <f t="shared" si="128"/>
        <v>0</v>
      </c>
      <c r="H244" s="160">
        <f t="shared" si="128"/>
        <v>0</v>
      </c>
      <c r="I244" s="160">
        <f t="shared" si="128"/>
        <v>0</v>
      </c>
      <c r="J244" s="160">
        <f t="shared" si="128"/>
        <v>0</v>
      </c>
      <c r="K244" s="160">
        <f t="shared" si="128"/>
        <v>0</v>
      </c>
      <c r="L244" s="160">
        <f t="shared" si="128"/>
        <v>0</v>
      </c>
      <c r="M244" s="160">
        <f t="shared" si="128"/>
        <v>0</v>
      </c>
      <c r="N244" s="160">
        <f t="shared" si="128"/>
        <v>0</v>
      </c>
      <c r="O244" s="160">
        <f t="shared" si="128"/>
        <v>0</v>
      </c>
      <c r="P244" s="160">
        <f t="shared" si="128"/>
        <v>0</v>
      </c>
      <c r="Q244" s="160">
        <f t="shared" si="128"/>
        <v>0</v>
      </c>
      <c r="R244" s="160">
        <f t="shared" si="128"/>
        <v>0</v>
      </c>
      <c r="S244" s="160">
        <f t="shared" si="128"/>
        <v>0</v>
      </c>
      <c r="T244" s="160">
        <f t="shared" si="128"/>
        <v>0</v>
      </c>
      <c r="U244" s="160">
        <f t="shared" si="128"/>
        <v>0</v>
      </c>
      <c r="V244" s="160">
        <f t="shared" si="128"/>
        <v>0</v>
      </c>
      <c r="W244" s="160">
        <f t="shared" si="128"/>
        <v>0</v>
      </c>
      <c r="X244" s="160">
        <f t="shared" si="128"/>
        <v>0</v>
      </c>
      <c r="Y244" s="160">
        <f t="shared" si="128"/>
        <v>0</v>
      </c>
      <c r="Z244" s="160">
        <f t="shared" si="128"/>
        <v>0</v>
      </c>
      <c r="AA244" s="160">
        <f t="shared" si="128"/>
        <v>0</v>
      </c>
      <c r="AB244" s="160">
        <f t="shared" si="128"/>
        <v>0</v>
      </c>
      <c r="AC244" s="160">
        <f t="shared" si="128"/>
        <v>0</v>
      </c>
      <c r="AD244" s="160">
        <f t="shared" si="128"/>
        <v>0</v>
      </c>
      <c r="AE244" s="160">
        <f t="shared" si="128"/>
        <v>0</v>
      </c>
      <c r="AF244" s="161">
        <f t="shared" si="128"/>
        <v>0</v>
      </c>
      <c r="AG244" s="162">
        <f t="shared" si="128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129">AF246</f>
        <v>0.3</v>
      </c>
      <c r="C246" s="165">
        <v>0.3</v>
      </c>
      <c r="D246" s="165">
        <f t="shared" ref="D246:S251" si="130">C246</f>
        <v>0.3</v>
      </c>
      <c r="E246" s="165">
        <f t="shared" si="130"/>
        <v>0.3</v>
      </c>
      <c r="F246" s="165">
        <f t="shared" si="130"/>
        <v>0.3</v>
      </c>
      <c r="G246" s="165">
        <f t="shared" si="130"/>
        <v>0.3</v>
      </c>
      <c r="H246" s="165">
        <f t="shared" si="130"/>
        <v>0.3</v>
      </c>
      <c r="I246" s="165">
        <f t="shared" si="130"/>
        <v>0.3</v>
      </c>
      <c r="J246" s="165">
        <f t="shared" si="130"/>
        <v>0.3</v>
      </c>
      <c r="K246" s="165">
        <f t="shared" si="130"/>
        <v>0.3</v>
      </c>
      <c r="L246" s="165">
        <f t="shared" si="130"/>
        <v>0.3</v>
      </c>
      <c r="M246" s="165">
        <f t="shared" si="130"/>
        <v>0.3</v>
      </c>
      <c r="N246" s="165">
        <f t="shared" si="130"/>
        <v>0.3</v>
      </c>
      <c r="O246" s="165">
        <f t="shared" si="130"/>
        <v>0.3</v>
      </c>
      <c r="P246" s="165">
        <f t="shared" si="130"/>
        <v>0.3</v>
      </c>
      <c r="Q246" s="165">
        <f t="shared" si="130"/>
        <v>0.3</v>
      </c>
      <c r="R246" s="165">
        <f t="shared" si="130"/>
        <v>0.3</v>
      </c>
      <c r="S246" s="165">
        <f t="shared" si="130"/>
        <v>0.3</v>
      </c>
      <c r="T246" s="165">
        <f t="shared" ref="T246:AF251" si="131">S246</f>
        <v>0.3</v>
      </c>
      <c r="U246" s="165">
        <f t="shared" si="131"/>
        <v>0.3</v>
      </c>
      <c r="V246" s="165">
        <f t="shared" si="131"/>
        <v>0.3</v>
      </c>
      <c r="W246" s="165">
        <f t="shared" si="131"/>
        <v>0.3</v>
      </c>
      <c r="X246" s="165">
        <f t="shared" si="131"/>
        <v>0.3</v>
      </c>
      <c r="Y246" s="165">
        <f t="shared" si="131"/>
        <v>0.3</v>
      </c>
      <c r="Z246" s="165">
        <f t="shared" si="131"/>
        <v>0.3</v>
      </c>
      <c r="AA246" s="165">
        <f t="shared" si="131"/>
        <v>0.3</v>
      </c>
      <c r="AB246" s="165">
        <f t="shared" si="131"/>
        <v>0.3</v>
      </c>
      <c r="AC246" s="165">
        <f t="shared" si="131"/>
        <v>0.3</v>
      </c>
      <c r="AD246" s="165">
        <f t="shared" si="131"/>
        <v>0.3</v>
      </c>
      <c r="AE246" s="165">
        <f t="shared" si="131"/>
        <v>0.3</v>
      </c>
      <c r="AF246" s="165">
        <f t="shared" si="131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129"/>
        <v>0.4</v>
      </c>
      <c r="C247" s="151">
        <v>0.4</v>
      </c>
      <c r="D247" s="151">
        <f t="shared" si="130"/>
        <v>0.4</v>
      </c>
      <c r="E247" s="151">
        <f t="shared" si="130"/>
        <v>0.4</v>
      </c>
      <c r="F247" s="151">
        <f t="shared" si="130"/>
        <v>0.4</v>
      </c>
      <c r="G247" s="151">
        <f t="shared" si="130"/>
        <v>0.4</v>
      </c>
      <c r="H247" s="151">
        <f t="shared" si="130"/>
        <v>0.4</v>
      </c>
      <c r="I247" s="151">
        <f t="shared" si="130"/>
        <v>0.4</v>
      </c>
      <c r="J247" s="151">
        <f t="shared" si="130"/>
        <v>0.4</v>
      </c>
      <c r="K247" s="151">
        <f t="shared" si="130"/>
        <v>0.4</v>
      </c>
      <c r="L247" s="151">
        <f t="shared" si="130"/>
        <v>0.4</v>
      </c>
      <c r="M247" s="151">
        <f t="shared" si="130"/>
        <v>0.4</v>
      </c>
      <c r="N247" s="151">
        <f t="shared" si="130"/>
        <v>0.4</v>
      </c>
      <c r="O247" s="151">
        <f t="shared" si="130"/>
        <v>0.4</v>
      </c>
      <c r="P247" s="151">
        <f t="shared" si="130"/>
        <v>0.4</v>
      </c>
      <c r="Q247" s="151">
        <f t="shared" si="130"/>
        <v>0.4</v>
      </c>
      <c r="R247" s="151">
        <f t="shared" si="130"/>
        <v>0.4</v>
      </c>
      <c r="S247" s="151">
        <f t="shared" si="130"/>
        <v>0.4</v>
      </c>
      <c r="T247" s="151">
        <f t="shared" si="131"/>
        <v>0.4</v>
      </c>
      <c r="U247" s="151">
        <f t="shared" si="131"/>
        <v>0.4</v>
      </c>
      <c r="V247" s="151">
        <f t="shared" si="131"/>
        <v>0.4</v>
      </c>
      <c r="W247" s="151">
        <f t="shared" si="131"/>
        <v>0.4</v>
      </c>
      <c r="X247" s="151">
        <f t="shared" si="131"/>
        <v>0.4</v>
      </c>
      <c r="Y247" s="151">
        <f t="shared" si="131"/>
        <v>0.4</v>
      </c>
      <c r="Z247" s="151">
        <f t="shared" si="131"/>
        <v>0.4</v>
      </c>
      <c r="AA247" s="151">
        <f t="shared" si="131"/>
        <v>0.4</v>
      </c>
      <c r="AB247" s="151">
        <f t="shared" si="131"/>
        <v>0.4</v>
      </c>
      <c r="AC247" s="151">
        <f t="shared" si="131"/>
        <v>0.4</v>
      </c>
      <c r="AD247" s="151">
        <f t="shared" si="131"/>
        <v>0.4</v>
      </c>
      <c r="AE247" s="151">
        <f t="shared" si="131"/>
        <v>0.4</v>
      </c>
      <c r="AF247" s="151">
        <f t="shared" si="131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129"/>
        <v>1.5</v>
      </c>
      <c r="C248" s="151">
        <v>1.5</v>
      </c>
      <c r="D248" s="151">
        <f t="shared" si="130"/>
        <v>1.5</v>
      </c>
      <c r="E248" s="151">
        <f t="shared" si="130"/>
        <v>1.5</v>
      </c>
      <c r="F248" s="151">
        <f t="shared" si="130"/>
        <v>1.5</v>
      </c>
      <c r="G248" s="151">
        <f t="shared" si="130"/>
        <v>1.5</v>
      </c>
      <c r="H248" s="151">
        <f t="shared" si="130"/>
        <v>1.5</v>
      </c>
      <c r="I248" s="151">
        <f t="shared" si="130"/>
        <v>1.5</v>
      </c>
      <c r="J248" s="151">
        <f t="shared" si="130"/>
        <v>1.5</v>
      </c>
      <c r="K248" s="151">
        <f t="shared" si="130"/>
        <v>1.5</v>
      </c>
      <c r="L248" s="151">
        <f t="shared" si="130"/>
        <v>1.5</v>
      </c>
      <c r="M248" s="151">
        <f t="shared" si="130"/>
        <v>1.5</v>
      </c>
      <c r="N248" s="151">
        <f t="shared" si="130"/>
        <v>1.5</v>
      </c>
      <c r="O248" s="151">
        <f t="shared" si="130"/>
        <v>1.5</v>
      </c>
      <c r="P248" s="151">
        <f t="shared" si="130"/>
        <v>1.5</v>
      </c>
      <c r="Q248" s="151">
        <f t="shared" si="130"/>
        <v>1.5</v>
      </c>
      <c r="R248" s="151">
        <f t="shared" si="130"/>
        <v>1.5</v>
      </c>
      <c r="S248" s="151">
        <f t="shared" si="130"/>
        <v>1.5</v>
      </c>
      <c r="T248" s="151">
        <f t="shared" si="131"/>
        <v>1.5</v>
      </c>
      <c r="U248" s="151">
        <f t="shared" si="131"/>
        <v>1.5</v>
      </c>
      <c r="V248" s="151">
        <f t="shared" si="131"/>
        <v>1.5</v>
      </c>
      <c r="W248" s="151">
        <f t="shared" si="131"/>
        <v>1.5</v>
      </c>
      <c r="X248" s="151">
        <f t="shared" si="131"/>
        <v>1.5</v>
      </c>
      <c r="Y248" s="151">
        <f t="shared" si="131"/>
        <v>1.5</v>
      </c>
      <c r="Z248" s="151">
        <f t="shared" si="131"/>
        <v>1.5</v>
      </c>
      <c r="AA248" s="151">
        <f t="shared" si="131"/>
        <v>1.5</v>
      </c>
      <c r="AB248" s="151">
        <f t="shared" si="131"/>
        <v>1.5</v>
      </c>
      <c r="AC248" s="151">
        <f t="shared" si="131"/>
        <v>1.5</v>
      </c>
      <c r="AD248" s="151">
        <f t="shared" si="131"/>
        <v>1.5</v>
      </c>
      <c r="AE248" s="151">
        <f t="shared" si="131"/>
        <v>1.5</v>
      </c>
      <c r="AF248" s="151">
        <f t="shared" si="131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129"/>
        <v>0.3</v>
      </c>
      <c r="C249" s="151">
        <v>0.3</v>
      </c>
      <c r="D249" s="151">
        <f t="shared" si="130"/>
        <v>0.3</v>
      </c>
      <c r="E249" s="151">
        <f t="shared" si="130"/>
        <v>0.3</v>
      </c>
      <c r="F249" s="151">
        <f t="shared" si="130"/>
        <v>0.3</v>
      </c>
      <c r="G249" s="151">
        <f t="shared" si="130"/>
        <v>0.3</v>
      </c>
      <c r="H249" s="151">
        <f t="shared" si="130"/>
        <v>0.3</v>
      </c>
      <c r="I249" s="151">
        <f t="shared" si="130"/>
        <v>0.3</v>
      </c>
      <c r="J249" s="151">
        <f t="shared" si="130"/>
        <v>0.3</v>
      </c>
      <c r="K249" s="151">
        <f t="shared" si="130"/>
        <v>0.3</v>
      </c>
      <c r="L249" s="151">
        <f t="shared" si="130"/>
        <v>0.3</v>
      </c>
      <c r="M249" s="151">
        <f t="shared" si="130"/>
        <v>0.3</v>
      </c>
      <c r="N249" s="151">
        <f t="shared" si="130"/>
        <v>0.3</v>
      </c>
      <c r="O249" s="151">
        <f t="shared" si="130"/>
        <v>0.3</v>
      </c>
      <c r="P249" s="151">
        <f t="shared" si="130"/>
        <v>0.3</v>
      </c>
      <c r="Q249" s="151">
        <f t="shared" si="130"/>
        <v>0.3</v>
      </c>
      <c r="R249" s="151">
        <f t="shared" si="130"/>
        <v>0.3</v>
      </c>
      <c r="S249" s="151">
        <f t="shared" si="130"/>
        <v>0.3</v>
      </c>
      <c r="T249" s="151">
        <f t="shared" si="131"/>
        <v>0.3</v>
      </c>
      <c r="U249" s="151">
        <f t="shared" si="131"/>
        <v>0.3</v>
      </c>
      <c r="V249" s="151">
        <f t="shared" si="131"/>
        <v>0.3</v>
      </c>
      <c r="W249" s="151">
        <f t="shared" si="131"/>
        <v>0.3</v>
      </c>
      <c r="X249" s="151">
        <f t="shared" si="131"/>
        <v>0.3</v>
      </c>
      <c r="Y249" s="151">
        <f t="shared" si="131"/>
        <v>0.3</v>
      </c>
      <c r="Z249" s="151">
        <f t="shared" si="131"/>
        <v>0.3</v>
      </c>
      <c r="AA249" s="151">
        <f t="shared" si="131"/>
        <v>0.3</v>
      </c>
      <c r="AB249" s="151">
        <f t="shared" si="131"/>
        <v>0.3</v>
      </c>
      <c r="AC249" s="151">
        <f t="shared" si="131"/>
        <v>0.3</v>
      </c>
      <c r="AD249" s="151">
        <f t="shared" si="131"/>
        <v>0.3</v>
      </c>
      <c r="AE249" s="151">
        <f t="shared" si="131"/>
        <v>0.3</v>
      </c>
      <c r="AF249" s="151">
        <f t="shared" si="131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129"/>
        <v>0.4</v>
      </c>
      <c r="C250" s="151">
        <v>0.4</v>
      </c>
      <c r="D250" s="151">
        <f t="shared" si="130"/>
        <v>0.4</v>
      </c>
      <c r="E250" s="151">
        <f t="shared" si="130"/>
        <v>0.4</v>
      </c>
      <c r="F250" s="151">
        <f t="shared" si="130"/>
        <v>0.4</v>
      </c>
      <c r="G250" s="151">
        <f t="shared" si="130"/>
        <v>0.4</v>
      </c>
      <c r="H250" s="151">
        <f t="shared" si="130"/>
        <v>0.4</v>
      </c>
      <c r="I250" s="151">
        <f t="shared" si="130"/>
        <v>0.4</v>
      </c>
      <c r="J250" s="151">
        <f t="shared" si="130"/>
        <v>0.4</v>
      </c>
      <c r="K250" s="151">
        <f t="shared" si="130"/>
        <v>0.4</v>
      </c>
      <c r="L250" s="151">
        <f t="shared" si="130"/>
        <v>0.4</v>
      </c>
      <c r="M250" s="151">
        <f t="shared" si="130"/>
        <v>0.4</v>
      </c>
      <c r="N250" s="151">
        <f t="shared" si="130"/>
        <v>0.4</v>
      </c>
      <c r="O250" s="151">
        <f t="shared" si="130"/>
        <v>0.4</v>
      </c>
      <c r="P250" s="151">
        <f t="shared" si="130"/>
        <v>0.4</v>
      </c>
      <c r="Q250" s="151">
        <f t="shared" si="130"/>
        <v>0.4</v>
      </c>
      <c r="R250" s="151">
        <f t="shared" si="130"/>
        <v>0.4</v>
      </c>
      <c r="S250" s="151">
        <f t="shared" si="130"/>
        <v>0.4</v>
      </c>
      <c r="T250" s="151">
        <f t="shared" si="131"/>
        <v>0.4</v>
      </c>
      <c r="U250" s="151">
        <f t="shared" si="131"/>
        <v>0.4</v>
      </c>
      <c r="V250" s="151">
        <f t="shared" si="131"/>
        <v>0.4</v>
      </c>
      <c r="W250" s="151">
        <f t="shared" si="131"/>
        <v>0.4</v>
      </c>
      <c r="X250" s="151">
        <f t="shared" si="131"/>
        <v>0.4</v>
      </c>
      <c r="Y250" s="151">
        <f t="shared" si="131"/>
        <v>0.4</v>
      </c>
      <c r="Z250" s="151">
        <f t="shared" si="131"/>
        <v>0.4</v>
      </c>
      <c r="AA250" s="151">
        <f t="shared" si="131"/>
        <v>0.4</v>
      </c>
      <c r="AB250" s="151">
        <f t="shared" si="131"/>
        <v>0.4</v>
      </c>
      <c r="AC250" s="151">
        <f t="shared" si="131"/>
        <v>0.4</v>
      </c>
      <c r="AD250" s="151">
        <f t="shared" si="131"/>
        <v>0.4</v>
      </c>
      <c r="AE250" s="151">
        <f t="shared" si="131"/>
        <v>0.4</v>
      </c>
      <c r="AF250" s="151">
        <f t="shared" si="131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129"/>
        <v>0.64</v>
      </c>
      <c r="C251" s="156">
        <v>0.64</v>
      </c>
      <c r="D251" s="156">
        <f t="shared" si="130"/>
        <v>0.64</v>
      </c>
      <c r="E251" s="156">
        <f t="shared" si="130"/>
        <v>0.64</v>
      </c>
      <c r="F251" s="156">
        <f t="shared" si="130"/>
        <v>0.64</v>
      </c>
      <c r="G251" s="156">
        <f t="shared" si="130"/>
        <v>0.64</v>
      </c>
      <c r="H251" s="156">
        <f t="shared" si="130"/>
        <v>0.64</v>
      </c>
      <c r="I251" s="156">
        <f t="shared" si="130"/>
        <v>0.64</v>
      </c>
      <c r="J251" s="156">
        <f t="shared" si="130"/>
        <v>0.64</v>
      </c>
      <c r="K251" s="156">
        <f t="shared" si="130"/>
        <v>0.64</v>
      </c>
      <c r="L251" s="156">
        <f t="shared" si="130"/>
        <v>0.64</v>
      </c>
      <c r="M251" s="156">
        <f t="shared" si="130"/>
        <v>0.64</v>
      </c>
      <c r="N251" s="156">
        <f t="shared" si="130"/>
        <v>0.64</v>
      </c>
      <c r="O251" s="156">
        <f t="shared" si="130"/>
        <v>0.64</v>
      </c>
      <c r="P251" s="156">
        <f t="shared" si="130"/>
        <v>0.64</v>
      </c>
      <c r="Q251" s="156">
        <f t="shared" si="130"/>
        <v>0.64</v>
      </c>
      <c r="R251" s="156">
        <f t="shared" si="130"/>
        <v>0.64</v>
      </c>
      <c r="S251" s="156">
        <f t="shared" si="130"/>
        <v>0.64</v>
      </c>
      <c r="T251" s="156">
        <f t="shared" si="131"/>
        <v>0.64</v>
      </c>
      <c r="U251" s="156">
        <f t="shared" si="131"/>
        <v>0.64</v>
      </c>
      <c r="V251" s="156">
        <f t="shared" si="131"/>
        <v>0.64</v>
      </c>
      <c r="W251" s="156">
        <f t="shared" si="131"/>
        <v>0.64</v>
      </c>
      <c r="X251" s="156">
        <f t="shared" si="131"/>
        <v>0.64</v>
      </c>
      <c r="Y251" s="156">
        <f t="shared" si="131"/>
        <v>0.64</v>
      </c>
      <c r="Z251" s="156">
        <f t="shared" si="131"/>
        <v>0.64</v>
      </c>
      <c r="AA251" s="156">
        <f t="shared" si="131"/>
        <v>0.64</v>
      </c>
      <c r="AB251" s="156">
        <f t="shared" si="131"/>
        <v>0.64</v>
      </c>
      <c r="AC251" s="156">
        <f t="shared" si="131"/>
        <v>0.64</v>
      </c>
      <c r="AD251" s="156">
        <f t="shared" si="131"/>
        <v>0.64</v>
      </c>
      <c r="AE251" s="156">
        <f t="shared" si="131"/>
        <v>0.64</v>
      </c>
      <c r="AF251" s="156">
        <f t="shared" si="131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132">SUM(B246:B251)</f>
        <v>3.54</v>
      </c>
      <c r="C252" s="160">
        <f t="shared" si="132"/>
        <v>3.54</v>
      </c>
      <c r="D252" s="160">
        <f t="shared" si="132"/>
        <v>3.54</v>
      </c>
      <c r="E252" s="160">
        <f t="shared" si="132"/>
        <v>3.54</v>
      </c>
      <c r="F252" s="160">
        <f t="shared" si="132"/>
        <v>3.54</v>
      </c>
      <c r="G252" s="160">
        <f t="shared" si="132"/>
        <v>3.54</v>
      </c>
      <c r="H252" s="160">
        <f t="shared" si="132"/>
        <v>3.54</v>
      </c>
      <c r="I252" s="160">
        <f t="shared" si="132"/>
        <v>3.54</v>
      </c>
      <c r="J252" s="160">
        <f t="shared" si="132"/>
        <v>3.54</v>
      </c>
      <c r="K252" s="160">
        <f t="shared" si="132"/>
        <v>3.54</v>
      </c>
      <c r="L252" s="160">
        <f t="shared" si="132"/>
        <v>3.54</v>
      </c>
      <c r="M252" s="160">
        <f t="shared" si="132"/>
        <v>3.54</v>
      </c>
      <c r="N252" s="160">
        <f t="shared" si="132"/>
        <v>3.54</v>
      </c>
      <c r="O252" s="160">
        <f t="shared" si="132"/>
        <v>3.54</v>
      </c>
      <c r="P252" s="160">
        <f t="shared" si="132"/>
        <v>3.54</v>
      </c>
      <c r="Q252" s="160">
        <f t="shared" si="132"/>
        <v>3.54</v>
      </c>
      <c r="R252" s="160">
        <f t="shared" si="132"/>
        <v>3.54</v>
      </c>
      <c r="S252" s="160">
        <f t="shared" si="132"/>
        <v>3.54</v>
      </c>
      <c r="T252" s="160">
        <f t="shared" si="132"/>
        <v>3.54</v>
      </c>
      <c r="U252" s="160">
        <f t="shared" si="132"/>
        <v>3.54</v>
      </c>
      <c r="V252" s="160">
        <f t="shared" si="132"/>
        <v>3.54</v>
      </c>
      <c r="W252" s="160">
        <f t="shared" si="132"/>
        <v>3.54</v>
      </c>
      <c r="X252" s="160">
        <f t="shared" si="132"/>
        <v>3.54</v>
      </c>
      <c r="Y252" s="160">
        <f t="shared" si="132"/>
        <v>3.54</v>
      </c>
      <c r="Z252" s="160">
        <f t="shared" si="132"/>
        <v>3.54</v>
      </c>
      <c r="AA252" s="160">
        <f t="shared" si="132"/>
        <v>3.54</v>
      </c>
      <c r="AB252" s="160">
        <f t="shared" si="132"/>
        <v>3.54</v>
      </c>
      <c r="AC252" s="160">
        <f t="shared" si="132"/>
        <v>3.54</v>
      </c>
      <c r="AD252" s="160">
        <f t="shared" si="132"/>
        <v>3.54</v>
      </c>
      <c r="AE252" s="160">
        <f t="shared" si="132"/>
        <v>3.54</v>
      </c>
      <c r="AF252" s="160">
        <f t="shared" si="132"/>
        <v>3.54</v>
      </c>
      <c r="AG252" s="170">
        <f t="shared" si="132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1685.49</v>
      </c>
      <c r="C256" s="173">
        <f>INDEX(G9:N9,1,MATCH(MAX(G99:N99),G99:N99,0))</f>
        <v>0.33333333333333331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2080/10/26)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660" priority="90">
      <formula>$AH11=0</formula>
    </cfRule>
  </conditionalFormatting>
  <conditionalFormatting sqref="A132:A253">
    <cfRule type="expression" dxfId="659" priority="91">
      <formula>$AH132=0</formula>
    </cfRule>
  </conditionalFormatting>
  <conditionalFormatting sqref="B8">
    <cfRule type="expression" dxfId="658" priority="151">
      <formula>C$9&lt;8/24</formula>
    </cfRule>
    <cfRule type="expression" dxfId="657" priority="150">
      <formula>AND(C$9&gt;=8/24,C$9&lt;14/24)</formula>
    </cfRule>
    <cfRule type="expression" dxfId="656" priority="149">
      <formula>AND(C$9&gt;=14/24,C$9&lt;20/24)</formula>
    </cfRule>
    <cfRule type="expression" dxfId="655" priority="152">
      <formula>C$9&gt;=20/24</formula>
    </cfRule>
  </conditionalFormatting>
  <conditionalFormatting sqref="B11:H19 I12:L19 M12:AF52 B20:L52 E59:G61 B59:D68 C63:D74 E65:K65 E67:H74 I68:I74 B69:AF74 B77:AF99 B9:AF10 B101:AF117 B119:AF137 B244:AF244 B246:B252">
    <cfRule type="expression" dxfId="654" priority="41">
      <formula>B$9&gt;=20/24</formula>
    </cfRule>
  </conditionalFormatting>
  <conditionalFormatting sqref="B9:AF10 B11:H19 I12:L19 M12:AF52 B20:L52 E59:G61 B59:D68 C63:D74 E65:K65 E67:H74 I68:I74 B69:AF74 B77:AF99 B101:AF117 B119:AF137 B244:AF244 B246:B252">
    <cfRule type="expression" dxfId="653" priority="42">
      <formula>AND(B$9&gt;=14/24,B$9&lt;20/24)</formula>
    </cfRule>
    <cfRule type="expression" dxfId="652" priority="43">
      <formula>AND(B$9&gt;=8/24,B$9&lt;14/24)</formula>
    </cfRule>
  </conditionalFormatting>
  <conditionalFormatting sqref="B9:AF10 B11:H19 I12:L19 M12:AF52 B20:L57 E59:G61 B59:D68 C63:D74 E65:K65 E67:H74 I68:I74 B69:AF74 B77:AF99 B101:AF117 B119:AF137 B244:AF244 B246:B252">
    <cfRule type="expression" dxfId="651" priority="44">
      <formula>B$9&lt;8/24</formula>
    </cfRule>
  </conditionalFormatting>
  <conditionalFormatting sqref="D246:AF252">
    <cfRule type="expression" dxfId="650" priority="137">
      <formula>D$9&lt;8/24</formula>
    </cfRule>
    <cfRule type="expression" dxfId="649" priority="136">
      <formula>AND(D$9&gt;=8/24,D$9&lt;14/24)</formula>
    </cfRule>
    <cfRule type="expression" dxfId="648" priority="134">
      <formula>D$9&gt;=20/24</formula>
    </cfRule>
    <cfRule type="expression" dxfId="647" priority="135">
      <formula>AND(D$9&gt;=14/24,D$9&lt;20/24)</formula>
    </cfRule>
  </conditionalFormatting>
  <conditionalFormatting sqref="E63:I67 J64:K67">
    <cfRule type="expression" dxfId="646" priority="54">
      <formula>E$9&gt;=20/24</formula>
    </cfRule>
    <cfRule type="expression" dxfId="645" priority="55">
      <formula>AND(E$9&gt;=14/24,E$9&lt;20/24)</formula>
    </cfRule>
    <cfRule type="expression" dxfId="644" priority="56">
      <formula>AND(E$9&gt;=8/24,E$9&lt;14/24)</formula>
    </cfRule>
    <cfRule type="expression" dxfId="643" priority="57">
      <formula>E$9&lt;8/24</formula>
    </cfRule>
  </conditionalFormatting>
  <conditionalFormatting sqref="E68:K68">
    <cfRule type="expression" dxfId="642" priority="49">
      <formula>E$9&gt;=20/24</formula>
    </cfRule>
    <cfRule type="expression" dxfId="641" priority="50">
      <formula>AND(E$9&gt;=14/24,E$9&lt;20/24)</formula>
    </cfRule>
    <cfRule type="expression" dxfId="640" priority="51">
      <formula>AND(E$9&gt;=8/24,E$9&lt;14/24)</formula>
    </cfRule>
    <cfRule type="expression" dxfId="639" priority="52">
      <formula>E$9&lt;8/24</formula>
    </cfRule>
  </conditionalFormatting>
  <conditionalFormatting sqref="E11:AF11">
    <cfRule type="expression" dxfId="638" priority="58">
      <formula>E11&gt;$AG11</formula>
    </cfRule>
    <cfRule type="expression" dxfId="637" priority="59">
      <formula>E$9&gt;=20/24</formula>
    </cfRule>
    <cfRule type="expression" dxfId="636" priority="60">
      <formula>AND(E$9&gt;=14/24,E$9&lt;20/24)</formula>
    </cfRule>
    <cfRule type="expression" dxfId="635" priority="61">
      <formula>AND(E$9&gt;=8/24,E$9&lt;14/24)</formula>
    </cfRule>
    <cfRule type="expression" dxfId="634" priority="62">
      <formula>E$9&lt;8/24</formula>
    </cfRule>
  </conditionalFormatting>
  <conditionalFormatting sqref="E59:AF62">
    <cfRule type="expression" dxfId="633" priority="68">
      <formula>E$9&gt;=20/24</formula>
    </cfRule>
    <cfRule type="expression" dxfId="632" priority="69">
      <formula>AND(E$9&gt;=14/24,E$9&lt;20/24)</formula>
    </cfRule>
    <cfRule type="expression" dxfId="631" priority="70">
      <formula>AND(E$9&gt;=8/24,E$9&lt;14/24)</formula>
    </cfRule>
    <cfRule type="expression" dxfId="630" priority="71">
      <formula>E$9&lt;8/24</formula>
    </cfRule>
  </conditionalFormatting>
  <conditionalFormatting sqref="F63:L65">
    <cfRule type="expression" dxfId="629" priority="85">
      <formula>F$9&lt;8/24</formula>
    </cfRule>
    <cfRule type="expression" dxfId="628" priority="84">
      <formula>AND(F$9&gt;=8/24,F$9&lt;14/24)</formula>
    </cfRule>
    <cfRule type="expression" dxfId="627" priority="83">
      <formula>AND(F$9&gt;=14/24,F$9&lt;20/24)</formula>
    </cfRule>
    <cfRule type="expression" dxfId="626" priority="82">
      <formula>F$9&gt;=20/24</formula>
    </cfRule>
  </conditionalFormatting>
  <conditionalFormatting sqref="L68:Y68">
    <cfRule type="expression" dxfId="625" priority="80">
      <formula>AND(L$9&gt;=8/24,L$9&lt;14/24)</formula>
    </cfRule>
    <cfRule type="expression" dxfId="624" priority="81">
      <formula>L$9&lt;8/24</formula>
    </cfRule>
    <cfRule type="expression" dxfId="623" priority="78">
      <formula>L$9&gt;=20/24</formula>
    </cfRule>
    <cfRule type="expression" dxfId="622" priority="79">
      <formula>AND(L$9&gt;=14/24,L$9&lt;20/24)</formula>
    </cfRule>
  </conditionalFormatting>
  <conditionalFormatting sqref="M8 S8 AB8">
    <cfRule type="expression" dxfId="621" priority="143">
      <formula>N$9&lt;8/24</formula>
    </cfRule>
    <cfRule type="expression" dxfId="620" priority="142">
      <formula>AND(N$9&gt;=8/24,N$9&lt;14/24)</formula>
    </cfRule>
    <cfRule type="expression" dxfId="619" priority="141">
      <formula>AND(N$9&gt;=14/24,N$9&lt;20/24)</formula>
    </cfRule>
  </conditionalFormatting>
  <conditionalFormatting sqref="M63:Y67">
    <cfRule type="expression" dxfId="618" priority="86">
      <formula>M$9&gt;=20/24</formula>
    </cfRule>
    <cfRule type="expression" dxfId="617" priority="87">
      <formula>AND(M$9&gt;=14/24,M$9&lt;20/24)</formula>
    </cfRule>
    <cfRule type="expression" dxfId="616" priority="88">
      <formula>AND(M$9&gt;=8/24,M$9&lt;14/24)</formula>
    </cfRule>
    <cfRule type="expression" dxfId="615" priority="89">
      <formula>M$9&lt;8/24</formula>
    </cfRule>
  </conditionalFormatting>
  <conditionalFormatting sqref="M12:AF56 H21:L57 B21:G61 B11:H19 I12:L19 B20:L20 M57:Q57 R57:AF80 H58:Q61 AG62 B62:Q80 AG80">
    <cfRule type="expression" dxfId="614" priority="40">
      <formula>B11&gt;$AG11</formula>
    </cfRule>
  </conditionalFormatting>
  <conditionalFormatting sqref="M53:AF55 B53:L57">
    <cfRule type="expression" dxfId="613" priority="37">
      <formula>B$9&gt;=20/24</formula>
    </cfRule>
    <cfRule type="expression" dxfId="612" priority="38">
      <formula>AND(B$9&gt;=14/24,B$9&lt;20/24)</formula>
    </cfRule>
    <cfRule type="expression" dxfId="611" priority="39">
      <formula>AND(B$9&gt;=8/24,B$9&lt;14/24)</formula>
    </cfRule>
  </conditionalFormatting>
  <conditionalFormatting sqref="M53:AF57">
    <cfRule type="expression" dxfId="610" priority="53">
      <formula>M$9&lt;8/24</formula>
    </cfRule>
  </conditionalFormatting>
  <conditionalFormatting sqref="M56:AF57">
    <cfRule type="expression" dxfId="609" priority="48">
      <formula>AND(M$9&gt;=8/24,M$9&lt;14/24)</formula>
    </cfRule>
    <cfRule type="expression" dxfId="608" priority="47">
      <formula>AND(M$9&gt;=14/24,M$9&lt;20/24)</formula>
    </cfRule>
    <cfRule type="expression" dxfId="607" priority="46">
      <formula>M$9&gt;=20/24</formula>
    </cfRule>
  </conditionalFormatting>
  <conditionalFormatting sqref="O3:P3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606" priority="140">
      <formula>N$9&gt;=20/24</formula>
    </cfRule>
  </conditionalFormatting>
  <conditionalFormatting sqref="S8">
    <cfRule type="expression" dxfId="605" priority="129">
      <formula>AND(U$9&gt;=8/24,U$9&lt;14/24)</formula>
    </cfRule>
    <cfRule type="expression" dxfId="604" priority="127">
      <formula>U$9&gt;=20/24</formula>
    </cfRule>
    <cfRule type="expression" dxfId="603" priority="128">
      <formula>AND(U$9&gt;=14/24,U$9&lt;20/24)</formula>
    </cfRule>
    <cfRule type="expression" dxfId="602" priority="130">
      <formula>U$9&lt;8/24</formula>
    </cfRule>
  </conditionalFormatting>
  <conditionalFormatting sqref="T63:AF68">
    <cfRule type="expression" dxfId="601" priority="75">
      <formula>T$9&lt;8/24</formula>
    </cfRule>
    <cfRule type="expression" dxfId="600" priority="74">
      <formula>AND(T$9&gt;=8/24,T$9&lt;14/24)</formula>
    </cfRule>
    <cfRule type="expression" dxfId="599" priority="73">
      <formula>AND(T$9&gt;=14/24,T$9&lt;20/24)</formula>
    </cfRule>
    <cfRule type="expression" dxfId="598" priority="72">
      <formula>T$9&gt;=20/24</formula>
    </cfRule>
  </conditionalFormatting>
  <conditionalFormatting sqref="V3 AB3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597" priority="126">
      <formula>AD$9&lt;8/24</formula>
    </cfRule>
    <cfRule type="expression" dxfId="596" priority="125">
      <formula>AND(AD$9&gt;=8/24,AD$9&lt;14/24)</formula>
    </cfRule>
    <cfRule type="expression" dxfId="595" priority="124">
      <formula>AND(AD$9&gt;=14/24,AD$9&lt;20/24)</formula>
    </cfRule>
    <cfRule type="expression" dxfId="594" priority="123">
      <formula>AD$9&gt;=20/24</formula>
    </cfRule>
  </conditionalFormatting>
  <conditionalFormatting sqref="AG58">
    <cfRule type="expression" dxfId="593" priority="118">
      <formula>AG58&gt;$AG58</formula>
    </cfRule>
  </conditionalFormatting>
  <conditionalFormatting sqref="AG62">
    <cfRule type="expression" dxfId="592" priority="103">
      <formula>AND(AG$9&gt;=8/24,AG$9&lt;14/24)</formula>
    </cfRule>
    <cfRule type="expression" dxfId="591" priority="104">
      <formula>AG$9&lt;8/24</formula>
    </cfRule>
    <cfRule type="expression" dxfId="590" priority="101">
      <formula>AG$9&gt;=20/24</formula>
    </cfRule>
    <cfRule type="expression" dxfId="589" priority="102">
      <formula>AND(AG$9&gt;=14/24,AG$9&lt;20/24)</formula>
    </cfRule>
  </conditionalFormatting>
  <conditionalFormatting sqref="AG75:AG76">
    <cfRule type="expression" dxfId="588" priority="96">
      <formula>AG75&gt;$AG75</formula>
    </cfRule>
  </conditionalFormatting>
  <conditionalFormatting sqref="AG80">
    <cfRule type="expression" dxfId="587" priority="99">
      <formula>AND(AG$9&gt;=8/24,AG$9&lt;14/24)</formula>
    </cfRule>
    <cfRule type="expression" dxfId="586" priority="97">
      <formula>AG$9&gt;=20/24</formula>
    </cfRule>
    <cfRule type="expression" dxfId="585" priority="98">
      <formula>AND(AG$9&gt;=14/24,AG$9&lt;20/24)</formula>
    </cfRule>
    <cfRule type="expression" dxfId="584" priority="100">
      <formula>AG$9&lt;8/24</formula>
    </cfRule>
  </conditionalFormatting>
  <conditionalFormatting sqref="AG97">
    <cfRule type="expression" dxfId="583" priority="122">
      <formula>AG$9&lt;8/24</formula>
    </cfRule>
    <cfRule type="expression" dxfId="582" priority="121">
      <formula>AND(AG$9&gt;=8/24,AG$9&lt;14/24)</formula>
    </cfRule>
    <cfRule type="expression" dxfId="581" priority="120">
      <formula>AND(AG$9&gt;=14/24,AG$9&lt;20/24)</formula>
    </cfRule>
    <cfRule type="expression" dxfId="580" priority="119">
      <formula>AG$9&gt;=20/24</formula>
    </cfRule>
  </conditionalFormatting>
  <conditionalFormatting sqref="AL4:AL6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579" priority="144">
      <formula>AJ$9&gt;=20/24</formula>
    </cfRule>
    <cfRule type="expression" dxfId="578" priority="145">
      <formula>AND(AJ$9&gt;=14/24,AJ$9&lt;20/24)</formula>
    </cfRule>
    <cfRule type="expression" dxfId="577" priority="146">
      <formula>AND(AJ$9&gt;=8/24,AJ$9&lt;14/24)</formula>
    </cfRule>
    <cfRule type="expression" dxfId="576" priority="147">
      <formula>AJ$9&lt;8/24</formula>
    </cfRule>
  </conditionalFormatting>
  <conditionalFormatting sqref="AL88:AN88 AL94:AN94">
    <cfRule type="expression" dxfId="575" priority="112">
      <formula>AND(AL$9&gt;=14/24,AL$9&lt;20/24)</formula>
    </cfRule>
    <cfRule type="expression" dxfId="574" priority="111">
      <formula>AL$9&gt;=20/24</formula>
    </cfRule>
    <cfRule type="expression" dxfId="573" priority="113">
      <formula>AND(AL$9&gt;=8/24,AL$9&lt;14/24)</formula>
    </cfRule>
    <cfRule type="expression" dxfId="572" priority="114">
      <formula>AL$9&lt;8/24</formula>
    </cfRule>
  </conditionalFormatting>
  <conditionalFormatting sqref="AM15:AM21 AN16:AR21">
    <cfRule type="expression" dxfId="571" priority="16">
      <formula>AX$9&lt;8/24</formula>
    </cfRule>
    <cfRule type="expression" dxfId="570" priority="15">
      <formula>AND(AX$9&gt;=8/24,AX$9&lt;14/24)</formula>
    </cfRule>
    <cfRule type="expression" dxfId="569" priority="14">
      <formula>AND(AX$9&gt;=14/24,AX$9&lt;20/24)</formula>
    </cfRule>
    <cfRule type="expression" dxfId="568" priority="13">
      <formula>AX$9&gt;=20/24</formula>
    </cfRule>
  </conditionalFormatting>
  <conditionalFormatting sqref="AN89:AN92">
    <cfRule type="expression" dxfId="567" priority="107">
      <formula>AN$9&gt;=20/24</formula>
    </cfRule>
    <cfRule type="expression" dxfId="566" priority="108">
      <formula>AND(AN$9&gt;=14/24,AN$9&lt;20/24)</formula>
    </cfRule>
    <cfRule type="expression" dxfId="565" priority="109">
      <formula>AND(AN$9&gt;=8/24,AN$9&lt;14/24)</formula>
    </cfRule>
    <cfRule type="expression" dxfId="564" priority="110">
      <formula>AN$9&lt;8/24</formula>
    </cfRule>
  </conditionalFormatting>
  <conditionalFormatting sqref="AN15:AR15">
    <cfRule type="expression" dxfId="563" priority="2">
      <formula>AND(U$9&gt;=14/24,U$9&lt;20/24)</formula>
    </cfRule>
    <cfRule type="expression" dxfId="562" priority="3">
      <formula>AND(U$9&gt;=8/24,U$9&lt;14/24)</formula>
    </cfRule>
    <cfRule type="expression" dxfId="561" priority="4">
      <formula>U$9&lt;8/24</formula>
    </cfRule>
    <cfRule type="expression" dxfId="560" priority="1">
      <formula>U$9&gt;=20/24</formula>
    </cfRule>
  </conditionalFormatting>
  <conditionalFormatting sqref="AS15">
    <cfRule type="expression" dxfId="559" priority="10">
      <formula>AND(AA$9&gt;=14/24,AA$9&lt;20/24)</formula>
    </cfRule>
    <cfRule type="expression" dxfId="558" priority="11">
      <formula>AND(AA$9&gt;=8/24,AA$9&lt;14/24)</formula>
    </cfRule>
    <cfRule type="expression" dxfId="557" priority="12">
      <formula>AA$9&lt;8/24</formula>
    </cfRule>
    <cfRule type="expression" dxfId="556" priority="9">
      <formula>AA$9&gt;=20/24</formula>
    </cfRule>
  </conditionalFormatting>
  <conditionalFormatting sqref="AS16:AS21">
    <cfRule type="expression" dxfId="555" priority="20">
      <formula>BE$9&lt;8/24</formula>
    </cfRule>
    <cfRule type="expression" dxfId="554" priority="19">
      <formula>AND(BE$9&gt;=8/24,BE$9&lt;14/24)</formula>
    </cfRule>
    <cfRule type="expression" dxfId="553" priority="18">
      <formula>AND(BE$9&gt;=14/24,BE$9&lt;20/24)</formula>
    </cfRule>
    <cfRule type="expression" dxfId="552" priority="17">
      <formula>BE$9&gt;=20/24</formula>
    </cfRule>
  </conditionalFormatting>
  <conditionalFormatting sqref="AT15 AX15:BJ15">
    <cfRule type="expression" dxfId="551" priority="24">
      <formula>AC$9&lt;8/24</formula>
    </cfRule>
    <cfRule type="expression" dxfId="550" priority="21">
      <formula>AC$9&gt;=20/24</formula>
    </cfRule>
    <cfRule type="expression" dxfId="549" priority="23">
      <formula>AND(AC$9&gt;=8/24,AC$9&lt;14/24)</formula>
    </cfRule>
    <cfRule type="expression" dxfId="548" priority="22">
      <formula>AND(AC$9&gt;=14/24,AC$9&lt;20/24)</formula>
    </cfRule>
  </conditionalFormatting>
  <conditionalFormatting sqref="AT16:AT21">
    <cfRule type="expression" dxfId="547" priority="28">
      <formula>BG$9&lt;8/24</formula>
    </cfRule>
    <cfRule type="expression" dxfId="546" priority="27">
      <formula>AND(BG$9&gt;=8/24,BG$9&lt;14/24)</formula>
    </cfRule>
    <cfRule type="expression" dxfId="545" priority="26">
      <formula>AND(BG$9&gt;=14/24,BG$9&lt;20/24)</formula>
    </cfRule>
    <cfRule type="expression" dxfId="544" priority="25">
      <formula>BG$9&gt;=20/24</formula>
    </cfRule>
  </conditionalFormatting>
  <conditionalFormatting sqref="AU15:AV15">
    <cfRule type="expression" dxfId="543" priority="32">
      <formula>AE$9&lt;8/24</formula>
    </cfRule>
    <cfRule type="expression" dxfId="542" priority="31">
      <formula>AND(AE$9&gt;=8/24,AE$9&lt;14/24)</formula>
    </cfRule>
    <cfRule type="expression" dxfId="541" priority="29">
      <formula>AE$9&gt;=20/24</formula>
    </cfRule>
    <cfRule type="expression" dxfId="540" priority="30">
      <formula>AND(AE$9&gt;=14/24,AE$9&lt;20/24)</formula>
    </cfRule>
  </conditionalFormatting>
  <conditionalFormatting sqref="AU16:BJ21">
    <cfRule type="expression" dxfId="539" priority="33">
      <formula>BI$9&gt;=20/24</formula>
    </cfRule>
    <cfRule type="expression" dxfId="538" priority="35">
      <formula>AND(BI$9&gt;=8/24,BI$9&lt;14/24)</formula>
    </cfRule>
    <cfRule type="expression" dxfId="537" priority="34">
      <formula>AND(BI$9&gt;=14/24,BI$9&lt;20/24)</formula>
    </cfRule>
    <cfRule type="expression" dxfId="536" priority="36">
      <formula>BI$9&lt;8/24</formula>
    </cfRule>
  </conditionalFormatting>
  <conditionalFormatting sqref="AW15">
    <cfRule type="expression" dxfId="535" priority="5">
      <formula>B$9&gt;=20/24</formula>
    </cfRule>
    <cfRule type="expression" dxfId="534" priority="8">
      <formula>B$9&lt;8/24</formula>
    </cfRule>
    <cfRule type="expression" dxfId="533" priority="7">
      <formula>AND(B$9&gt;=8/24,B$9&lt;14/24)</formula>
    </cfRule>
    <cfRule type="expression" dxfId="532" priority="6">
      <formula>AND(B$9&gt;=14/24,B$9&lt;20/24)</formula>
    </cfRule>
  </conditionalFormatting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DF6C3-32DB-40AE-AA28-91CD383CC2F6}">
  <sheetPr codeName="Sheet31"/>
  <dimension ref="A1:CJ294"/>
  <sheetViews>
    <sheetView zoomScale="106" workbookViewId="0">
      <pane xSplit="1" ySplit="10" topLeftCell="K65" activePane="bottomRight" state="frozen"/>
      <selection activeCell="Z63" sqref="Z63"/>
      <selection pane="topRight" activeCell="Z63" sqref="Z63"/>
      <selection pane="bottomLeft" activeCell="Z63" sqref="Z63"/>
      <selection pane="bottomRight" activeCell="AB132" sqref="AB132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2080/10/27</v>
      </c>
      <c r="C4" s="214"/>
      <c r="D4" s="214"/>
      <c r="E4" s="215" t="str">
        <f ca="1">"2080/"&amp;"10/"&amp;INT(MID(CELL("filename",G6),FIND("]",CELL("filename",G6))+1,200))</f>
        <v>2080/10/27</v>
      </c>
      <c r="F4" s="215"/>
      <c r="G4" s="215"/>
      <c r="H4" s="215" t="str">
        <f ca="1">TEXT(E4,"dddd")</f>
        <v>Sunday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167.4</v>
      </c>
      <c r="C5" s="30">
        <f t="shared" ref="C5:AE5" si="0">D92</f>
        <v>149</v>
      </c>
      <c r="D5" s="30">
        <f t="shared" si="0"/>
        <v>177.3</v>
      </c>
      <c r="E5" s="30">
        <f t="shared" si="0"/>
        <v>181.89999999999998</v>
      </c>
      <c r="F5" s="30">
        <f t="shared" si="0"/>
        <v>196.8</v>
      </c>
      <c r="G5" s="30">
        <f t="shared" si="0"/>
        <v>203.1</v>
      </c>
      <c r="H5" s="30">
        <f t="shared" si="0"/>
        <v>236.2</v>
      </c>
      <c r="I5" s="30">
        <f t="shared" si="0"/>
        <v>668.69999999999993</v>
      </c>
      <c r="J5" s="30">
        <f t="shared" si="0"/>
        <v>766</v>
      </c>
      <c r="K5" s="30">
        <f t="shared" si="0"/>
        <v>818.50000000000011</v>
      </c>
      <c r="L5" s="30">
        <f t="shared" si="0"/>
        <v>880.7</v>
      </c>
      <c r="M5" s="30">
        <f t="shared" si="0"/>
        <v>880.59999999999991</v>
      </c>
      <c r="N5" s="30">
        <f t="shared" si="0"/>
        <v>893.99999999999989</v>
      </c>
      <c r="O5" s="30">
        <f t="shared" si="0"/>
        <v>898.99999999999989</v>
      </c>
      <c r="P5" s="30">
        <f t="shared" si="0"/>
        <v>847.5</v>
      </c>
      <c r="Q5" s="30">
        <f t="shared" si="0"/>
        <v>934.3</v>
      </c>
      <c r="R5" s="30">
        <f t="shared" si="0"/>
        <v>928.8</v>
      </c>
      <c r="S5" s="30">
        <f t="shared" si="0"/>
        <v>954.5</v>
      </c>
      <c r="T5" s="30">
        <f t="shared" si="0"/>
        <v>931.1</v>
      </c>
      <c r="U5" s="30">
        <f t="shared" si="0"/>
        <v>870.69999999999993</v>
      </c>
      <c r="V5" s="30">
        <f t="shared" si="0"/>
        <v>841.1</v>
      </c>
      <c r="W5" s="30">
        <f t="shared" si="0"/>
        <v>746.5</v>
      </c>
      <c r="X5" s="30">
        <f t="shared" si="0"/>
        <v>196.2</v>
      </c>
      <c r="Y5" s="30">
        <f t="shared" si="0"/>
        <v>196.1</v>
      </c>
      <c r="Z5" s="30">
        <f t="shared" si="0"/>
        <v>132.4</v>
      </c>
      <c r="AA5" s="30">
        <f t="shared" si="0"/>
        <v>149.80000000000001</v>
      </c>
      <c r="AB5" s="30">
        <f t="shared" si="0"/>
        <v>135</v>
      </c>
      <c r="AC5" s="30">
        <f t="shared" si="0"/>
        <v>256.3</v>
      </c>
      <c r="AD5" s="30">
        <f t="shared" si="0"/>
        <v>235.5</v>
      </c>
      <c r="AE5" s="30">
        <f t="shared" si="0"/>
        <v>197.89999999999998</v>
      </c>
      <c r="AF5" s="30">
        <f>B92</f>
        <v>165.5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1709MW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Load=1276</v>
      </c>
      <c r="B7" s="35">
        <f>B100</f>
        <v>1353.69</v>
      </c>
      <c r="C7" s="35">
        <f t="shared" ref="C7:AF7" si="1">C100</f>
        <v>1325.99</v>
      </c>
      <c r="D7" s="35">
        <f t="shared" si="1"/>
        <v>1304.99</v>
      </c>
      <c r="E7" s="35">
        <f t="shared" si="1"/>
        <v>1277.69</v>
      </c>
      <c r="F7" s="35">
        <f t="shared" si="1"/>
        <v>1276.0900000000001</v>
      </c>
      <c r="G7" s="35">
        <f t="shared" si="1"/>
        <v>1322.99</v>
      </c>
      <c r="H7" s="35">
        <f t="shared" si="1"/>
        <v>1351.29</v>
      </c>
      <c r="I7" s="35">
        <f t="shared" si="1"/>
        <v>1423.29</v>
      </c>
      <c r="J7" s="35">
        <f t="shared" si="1"/>
        <v>1558.8899999999999</v>
      </c>
      <c r="K7" s="35">
        <f t="shared" si="1"/>
        <v>1607.69</v>
      </c>
      <c r="L7" s="35">
        <f t="shared" si="1"/>
        <v>1670.89</v>
      </c>
      <c r="M7" s="35">
        <f t="shared" si="1"/>
        <v>1708.79</v>
      </c>
      <c r="N7" s="35">
        <f t="shared" si="1"/>
        <v>1698.79</v>
      </c>
      <c r="O7" s="35">
        <f t="shared" si="1"/>
        <v>1698.1899999999998</v>
      </c>
      <c r="P7" s="35">
        <f t="shared" si="1"/>
        <v>1707.3899999999999</v>
      </c>
      <c r="Q7" s="35">
        <f t="shared" si="1"/>
        <v>1646.29</v>
      </c>
      <c r="R7" s="35">
        <f t="shared" si="1"/>
        <v>1730.09</v>
      </c>
      <c r="S7" s="35">
        <f t="shared" si="1"/>
        <v>1722.79</v>
      </c>
      <c r="T7" s="35">
        <f t="shared" si="1"/>
        <v>1762.09</v>
      </c>
      <c r="U7" s="35">
        <f t="shared" si="1"/>
        <v>1710.29</v>
      </c>
      <c r="V7" s="35">
        <f t="shared" si="1"/>
        <v>1705.19</v>
      </c>
      <c r="W7" s="35">
        <f t="shared" si="1"/>
        <v>1709.19</v>
      </c>
      <c r="X7" s="35">
        <f t="shared" si="1"/>
        <v>1705.99</v>
      </c>
      <c r="Y7" s="35">
        <f t="shared" si="1"/>
        <v>1708.45</v>
      </c>
      <c r="Z7" s="35">
        <f t="shared" si="1"/>
        <v>1826.55</v>
      </c>
      <c r="AA7" s="35">
        <f t="shared" si="1"/>
        <v>1742.0900000000001</v>
      </c>
      <c r="AB7" s="35">
        <f t="shared" si="1"/>
        <v>1729.69</v>
      </c>
      <c r="AC7" s="35">
        <f t="shared" si="1"/>
        <v>1668.69</v>
      </c>
      <c r="AD7" s="35">
        <f t="shared" si="1"/>
        <v>1613.7900000000002</v>
      </c>
      <c r="AE7" s="35">
        <f t="shared" si="1"/>
        <v>1495.69</v>
      </c>
      <c r="AF7" s="35">
        <f t="shared" si="1"/>
        <v>1416.19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1826.55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1826.55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21.8</v>
      </c>
      <c r="C11" s="46">
        <v>21.8</v>
      </c>
      <c r="D11" s="46">
        <v>21.8</v>
      </c>
      <c r="E11" s="46">
        <v>21.8</v>
      </c>
      <c r="F11" s="46">
        <v>21.8</v>
      </c>
      <c r="G11" s="46">
        <v>21.8</v>
      </c>
      <c r="H11" s="46">
        <v>21.8</v>
      </c>
      <c r="I11" s="46">
        <v>21.8</v>
      </c>
      <c r="J11" s="46">
        <v>21.8</v>
      </c>
      <c r="K11" s="46">
        <v>21.8</v>
      </c>
      <c r="L11" s="46">
        <v>21.8</v>
      </c>
      <c r="M11" s="46">
        <v>21.8</v>
      </c>
      <c r="N11" s="46">
        <v>21.8</v>
      </c>
      <c r="O11" s="46">
        <v>21.8</v>
      </c>
      <c r="P11" s="46">
        <v>21.8</v>
      </c>
      <c r="Q11" s="46">
        <v>21.8</v>
      </c>
      <c r="R11" s="46">
        <v>21.8</v>
      </c>
      <c r="S11" s="46">
        <v>21.8</v>
      </c>
      <c r="T11" s="46">
        <v>21.8</v>
      </c>
      <c r="U11" s="46">
        <v>21.8</v>
      </c>
      <c r="V11" s="46">
        <v>21.8</v>
      </c>
      <c r="W11" s="46">
        <v>21.6</v>
      </c>
      <c r="X11" s="46">
        <v>21.6</v>
      </c>
      <c r="Y11" s="46">
        <v>21.6</v>
      </c>
      <c r="Z11" s="46">
        <v>21.6</v>
      </c>
      <c r="AA11" s="46">
        <v>21.6</v>
      </c>
      <c r="AB11" s="46">
        <v>21.9</v>
      </c>
      <c r="AC11" s="46">
        <v>21.6</v>
      </c>
      <c r="AD11" s="46">
        <v>21.6</v>
      </c>
      <c r="AE11" s="46">
        <v>21.6</v>
      </c>
      <c r="AF11" s="46">
        <v>21.3</v>
      </c>
      <c r="AG11" s="47">
        <v>86</v>
      </c>
      <c r="AH11" s="48">
        <f t="shared" ref="AH11:AH16" si="2">MAX(B11:AF11)</f>
        <v>21.9</v>
      </c>
      <c r="AI11" s="49">
        <f t="shared" ref="AI11:AI16" si="3">MIN(B11:AF11)</f>
        <v>21.3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10</v>
      </c>
      <c r="C12" s="46">
        <v>10</v>
      </c>
      <c r="D12" s="46">
        <v>10</v>
      </c>
      <c r="E12" s="46">
        <v>10</v>
      </c>
      <c r="F12" s="46">
        <v>10</v>
      </c>
      <c r="G12" s="46">
        <v>10</v>
      </c>
      <c r="H12" s="46">
        <v>10</v>
      </c>
      <c r="I12" s="46">
        <v>10</v>
      </c>
      <c r="J12" s="46">
        <v>10</v>
      </c>
      <c r="K12" s="46">
        <v>10</v>
      </c>
      <c r="L12" s="46">
        <v>10</v>
      </c>
      <c r="M12" s="46">
        <v>10</v>
      </c>
      <c r="N12" s="46">
        <v>10</v>
      </c>
      <c r="O12" s="46">
        <v>10</v>
      </c>
      <c r="P12" s="46">
        <v>10</v>
      </c>
      <c r="Q12" s="46">
        <v>10</v>
      </c>
      <c r="R12" s="46">
        <v>10</v>
      </c>
      <c r="S12" s="46">
        <v>10</v>
      </c>
      <c r="T12" s="46">
        <v>10</v>
      </c>
      <c r="U12" s="46">
        <v>10</v>
      </c>
      <c r="V12" s="46">
        <v>10</v>
      </c>
      <c r="W12" s="46">
        <v>10</v>
      </c>
      <c r="X12" s="46">
        <v>10</v>
      </c>
      <c r="Y12" s="46">
        <v>10</v>
      </c>
      <c r="Z12" s="46">
        <v>10</v>
      </c>
      <c r="AA12" s="46">
        <v>10</v>
      </c>
      <c r="AB12" s="46">
        <v>10</v>
      </c>
      <c r="AC12" s="46">
        <v>10</v>
      </c>
      <c r="AD12" s="46">
        <v>10</v>
      </c>
      <c r="AE12" s="46">
        <v>10</v>
      </c>
      <c r="AF12" s="46">
        <v>10</v>
      </c>
      <c r="AG12" s="50">
        <v>54</v>
      </c>
      <c r="AH12" s="48">
        <f t="shared" si="2"/>
        <v>10</v>
      </c>
      <c r="AI12" s="49">
        <f t="shared" si="3"/>
        <v>10</v>
      </c>
      <c r="AK12" s="51"/>
      <c r="AL12" s="52" t="str">
        <f ca="1">MID(CELL("filename",C7),FIND("]",CELL("filename",C7))+1,600)</f>
        <v>27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12.9</v>
      </c>
      <c r="C13" s="46">
        <v>12.9</v>
      </c>
      <c r="D13" s="46">
        <v>12.9</v>
      </c>
      <c r="E13" s="46">
        <v>12.9</v>
      </c>
      <c r="F13" s="46">
        <v>12.9</v>
      </c>
      <c r="G13" s="46">
        <v>12.9</v>
      </c>
      <c r="H13" s="46">
        <v>12.9</v>
      </c>
      <c r="I13" s="46">
        <v>12.9</v>
      </c>
      <c r="J13" s="46">
        <v>12.9</v>
      </c>
      <c r="K13" s="46">
        <v>12.9</v>
      </c>
      <c r="L13" s="46">
        <v>12.9</v>
      </c>
      <c r="M13" s="46">
        <v>12.9</v>
      </c>
      <c r="N13" s="46">
        <v>12.9</v>
      </c>
      <c r="O13" s="46">
        <v>12.9</v>
      </c>
      <c r="P13" s="46">
        <v>12.9</v>
      </c>
      <c r="Q13" s="46">
        <v>12.9</v>
      </c>
      <c r="R13" s="46">
        <v>12.9</v>
      </c>
      <c r="S13" s="46">
        <v>12.9</v>
      </c>
      <c r="T13" s="46">
        <v>12.9</v>
      </c>
      <c r="U13" s="46">
        <v>12.9</v>
      </c>
      <c r="V13" s="46">
        <v>12.9</v>
      </c>
      <c r="W13" s="46">
        <v>12.9</v>
      </c>
      <c r="X13" s="46">
        <v>12.9</v>
      </c>
      <c r="Y13" s="46">
        <v>12.9</v>
      </c>
      <c r="Z13" s="46">
        <v>12.9</v>
      </c>
      <c r="AA13" s="46">
        <v>12.9</v>
      </c>
      <c r="AB13" s="46">
        <v>11.9</v>
      </c>
      <c r="AC13" s="46">
        <v>11.9</v>
      </c>
      <c r="AD13" s="46">
        <v>11.9</v>
      </c>
      <c r="AE13" s="46">
        <v>11.9</v>
      </c>
      <c r="AF13" s="46">
        <v>11.9</v>
      </c>
      <c r="AG13" s="50">
        <v>54</v>
      </c>
      <c r="AH13" s="48">
        <f t="shared" si="2"/>
        <v>12.9</v>
      </c>
      <c r="AI13" s="49">
        <f t="shared" si="3"/>
        <v>11.9</v>
      </c>
      <c r="AK13" s="51"/>
      <c r="AL13" s="52" t="str">
        <f ca="1">"Daily Load Curve(Excluding of Export) of Nepal ("&amp;A4&amp;" "&amp;B4&amp;")"</f>
        <v>Daily Load Curve(Excluding of Export) of Nepal (Nepali Date: 2080/10/27)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12.2</v>
      </c>
      <c r="C14" s="46">
        <v>12.2</v>
      </c>
      <c r="D14" s="46">
        <v>12.2</v>
      </c>
      <c r="E14" s="46">
        <v>12.2</v>
      </c>
      <c r="F14" s="46">
        <v>12.2</v>
      </c>
      <c r="G14" s="46">
        <v>12.2</v>
      </c>
      <c r="H14" s="46">
        <v>12.2</v>
      </c>
      <c r="I14" s="46">
        <v>12.2</v>
      </c>
      <c r="J14" s="46">
        <v>12.2</v>
      </c>
      <c r="K14" s="46">
        <v>12.2</v>
      </c>
      <c r="L14" s="46">
        <v>12.2</v>
      </c>
      <c r="M14" s="46">
        <v>12.2</v>
      </c>
      <c r="N14" s="46">
        <v>12.2</v>
      </c>
      <c r="O14" s="46">
        <v>12.2</v>
      </c>
      <c r="P14" s="46">
        <v>12.2</v>
      </c>
      <c r="Q14" s="46">
        <v>12.2</v>
      </c>
      <c r="R14" s="46">
        <v>12.2</v>
      </c>
      <c r="S14" s="46">
        <v>12.2</v>
      </c>
      <c r="T14" s="46">
        <v>12.2</v>
      </c>
      <c r="U14" s="46">
        <v>12.2</v>
      </c>
      <c r="V14" s="46">
        <v>12.2</v>
      </c>
      <c r="W14" s="46">
        <v>12.2</v>
      </c>
      <c r="X14" s="46">
        <v>12.2</v>
      </c>
      <c r="Y14" s="46">
        <v>12.2</v>
      </c>
      <c r="Z14" s="46">
        <v>12.2</v>
      </c>
      <c r="AA14" s="46">
        <v>12.2</v>
      </c>
      <c r="AB14" s="46">
        <v>12.2</v>
      </c>
      <c r="AC14" s="46">
        <v>12.2</v>
      </c>
      <c r="AD14" s="46">
        <v>12.2</v>
      </c>
      <c r="AE14" s="46">
        <v>12.2</v>
      </c>
      <c r="AF14" s="46">
        <v>12.2</v>
      </c>
      <c r="AG14" s="47">
        <v>52.4</v>
      </c>
      <c r="AH14" s="48">
        <f t="shared" si="2"/>
        <v>12.2</v>
      </c>
      <c r="AI14" s="49">
        <f t="shared" si="3"/>
        <v>12.2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29</v>
      </c>
      <c r="C15" s="46">
        <v>29</v>
      </c>
      <c r="D15" s="46">
        <v>29</v>
      </c>
      <c r="E15" s="46">
        <v>29</v>
      </c>
      <c r="F15" s="46">
        <v>29</v>
      </c>
      <c r="G15" s="46">
        <v>29</v>
      </c>
      <c r="H15" s="46">
        <v>29</v>
      </c>
      <c r="I15" s="46">
        <v>29</v>
      </c>
      <c r="J15" s="46">
        <v>29</v>
      </c>
      <c r="K15" s="46">
        <v>29</v>
      </c>
      <c r="L15" s="46">
        <v>29</v>
      </c>
      <c r="M15" s="46">
        <v>29</v>
      </c>
      <c r="N15" s="46">
        <v>29</v>
      </c>
      <c r="O15" s="46">
        <v>29</v>
      </c>
      <c r="P15" s="46">
        <v>29</v>
      </c>
      <c r="Q15" s="46">
        <v>29</v>
      </c>
      <c r="R15" s="46">
        <v>29</v>
      </c>
      <c r="S15" s="46">
        <v>29</v>
      </c>
      <c r="T15" s="46">
        <v>29</v>
      </c>
      <c r="U15" s="46">
        <v>29</v>
      </c>
      <c r="V15" s="46">
        <v>29</v>
      </c>
      <c r="W15" s="46">
        <v>29</v>
      </c>
      <c r="X15" s="46">
        <v>29</v>
      </c>
      <c r="Y15" s="46">
        <v>29</v>
      </c>
      <c r="Z15" s="46">
        <v>29</v>
      </c>
      <c r="AA15" s="46">
        <v>29</v>
      </c>
      <c r="AB15" s="46">
        <v>29.5</v>
      </c>
      <c r="AC15" s="46">
        <v>29.5</v>
      </c>
      <c r="AD15" s="46">
        <v>29.5</v>
      </c>
      <c r="AE15" s="46">
        <v>29.5</v>
      </c>
      <c r="AF15" s="46">
        <v>29</v>
      </c>
      <c r="AG15" s="50">
        <v>50</v>
      </c>
      <c r="AH15" s="48">
        <f t="shared" si="2"/>
        <v>29.5</v>
      </c>
      <c r="AI15" s="49">
        <f t="shared" si="3"/>
        <v>29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15</v>
      </c>
      <c r="C16" s="46">
        <v>15</v>
      </c>
      <c r="D16" s="46">
        <v>15</v>
      </c>
      <c r="E16" s="46">
        <v>15</v>
      </c>
      <c r="F16" s="46">
        <v>15</v>
      </c>
      <c r="G16" s="46">
        <v>15</v>
      </c>
      <c r="H16" s="46">
        <v>15</v>
      </c>
      <c r="I16" s="46">
        <v>15</v>
      </c>
      <c r="J16" s="46">
        <v>15</v>
      </c>
      <c r="K16" s="46">
        <v>15</v>
      </c>
      <c r="L16" s="46">
        <v>15</v>
      </c>
      <c r="M16" s="46">
        <v>15</v>
      </c>
      <c r="N16" s="46">
        <v>15</v>
      </c>
      <c r="O16" s="46">
        <v>15</v>
      </c>
      <c r="P16" s="46">
        <v>15</v>
      </c>
      <c r="Q16" s="46">
        <v>15</v>
      </c>
      <c r="R16" s="46">
        <v>15</v>
      </c>
      <c r="S16" s="46">
        <v>15</v>
      </c>
      <c r="T16" s="46">
        <v>15</v>
      </c>
      <c r="U16" s="46">
        <v>15</v>
      </c>
      <c r="V16" s="46">
        <v>15</v>
      </c>
      <c r="W16" s="46">
        <v>15</v>
      </c>
      <c r="X16" s="46">
        <v>15</v>
      </c>
      <c r="Y16" s="46">
        <v>15</v>
      </c>
      <c r="Z16" s="46">
        <v>15</v>
      </c>
      <c r="AA16" s="46">
        <v>15</v>
      </c>
      <c r="AB16" s="46">
        <v>15</v>
      </c>
      <c r="AC16" s="46">
        <v>15</v>
      </c>
      <c r="AD16" s="46">
        <v>15</v>
      </c>
      <c r="AE16" s="46">
        <v>15</v>
      </c>
      <c r="AF16" s="46">
        <v>15</v>
      </c>
      <c r="AG16" s="50">
        <v>45</v>
      </c>
      <c r="AH16" s="48">
        <f t="shared" si="2"/>
        <v>15</v>
      </c>
      <c r="AI16" s="49">
        <f t="shared" si="3"/>
        <v>15</v>
      </c>
      <c r="AK16" s="51"/>
      <c r="AL16" s="54" t="s">
        <v>7</v>
      </c>
      <c r="AM16" s="59">
        <f>B58</f>
        <v>477.15</v>
      </c>
      <c r="AN16" s="59">
        <f t="shared" ref="AN16:AR16" si="4">C58</f>
        <v>477.15</v>
      </c>
      <c r="AO16" s="59">
        <f t="shared" si="4"/>
        <v>477.15</v>
      </c>
      <c r="AP16" s="59">
        <f t="shared" si="4"/>
        <v>477.15</v>
      </c>
      <c r="AQ16" s="59">
        <f t="shared" si="4"/>
        <v>477.15</v>
      </c>
      <c r="AR16" s="59">
        <f t="shared" si="4"/>
        <v>477.15</v>
      </c>
      <c r="AS16" s="59">
        <f>I58</f>
        <v>477.15</v>
      </c>
      <c r="AT16" s="59">
        <f>K58</f>
        <v>477.15</v>
      </c>
      <c r="AU16" s="59">
        <f t="shared" ref="AU16:BD16" si="5">M58</f>
        <v>477.15</v>
      </c>
      <c r="AV16" s="59">
        <f t="shared" si="5"/>
        <v>477.15</v>
      </c>
      <c r="AW16" s="59">
        <f t="shared" si="5"/>
        <v>477.15</v>
      </c>
      <c r="AX16" s="59">
        <f t="shared" si="5"/>
        <v>477.15</v>
      </c>
      <c r="AY16" s="59">
        <f t="shared" si="5"/>
        <v>477.15</v>
      </c>
      <c r="AZ16" s="59">
        <f t="shared" si="5"/>
        <v>477.15</v>
      </c>
      <c r="BA16" s="59">
        <f t="shared" si="5"/>
        <v>477.15</v>
      </c>
      <c r="BB16" s="59">
        <f t="shared" si="5"/>
        <v>477.15</v>
      </c>
      <c r="BC16" s="59">
        <f t="shared" si="5"/>
        <v>477.15</v>
      </c>
      <c r="BD16" s="59">
        <f t="shared" si="5"/>
        <v>477.15</v>
      </c>
      <c r="BE16" s="197">
        <f>X58</f>
        <v>476.95</v>
      </c>
      <c r="BF16" s="197">
        <f>Z58</f>
        <v>476.95</v>
      </c>
      <c r="BG16" s="197">
        <f>AB58</f>
        <v>476.05</v>
      </c>
      <c r="BH16" s="197">
        <f>AD58</f>
        <v>475.75</v>
      </c>
      <c r="BI16" s="197">
        <f t="shared" ref="BI16:BJ16" si="6">AE58</f>
        <v>475.75</v>
      </c>
      <c r="BJ16" s="197">
        <f t="shared" si="6"/>
        <v>474.95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15.2</v>
      </c>
      <c r="C17" s="46">
        <v>15.2</v>
      </c>
      <c r="D17" s="46">
        <v>15.2</v>
      </c>
      <c r="E17" s="46">
        <v>15.2</v>
      </c>
      <c r="F17" s="46">
        <v>15.2</v>
      </c>
      <c r="G17" s="46">
        <v>15.2</v>
      </c>
      <c r="H17" s="46">
        <v>15.2</v>
      </c>
      <c r="I17" s="46">
        <v>15.2</v>
      </c>
      <c r="J17" s="46">
        <v>15.2</v>
      </c>
      <c r="K17" s="46">
        <v>15.2</v>
      </c>
      <c r="L17" s="46">
        <v>15.2</v>
      </c>
      <c r="M17" s="46">
        <v>15.2</v>
      </c>
      <c r="N17" s="46">
        <v>15.2</v>
      </c>
      <c r="O17" s="46">
        <v>15.2</v>
      </c>
      <c r="P17" s="46">
        <v>15.2</v>
      </c>
      <c r="Q17" s="46">
        <v>15.2</v>
      </c>
      <c r="R17" s="46">
        <v>15.2</v>
      </c>
      <c r="S17" s="46">
        <v>15.2</v>
      </c>
      <c r="T17" s="46">
        <v>15.2</v>
      </c>
      <c r="U17" s="46">
        <v>15.2</v>
      </c>
      <c r="V17" s="46">
        <v>15.2</v>
      </c>
      <c r="W17" s="46">
        <v>15.2</v>
      </c>
      <c r="X17" s="46">
        <v>15.2</v>
      </c>
      <c r="Y17" s="46">
        <v>15.2</v>
      </c>
      <c r="Z17" s="46">
        <v>15.2</v>
      </c>
      <c r="AA17" s="46">
        <v>15.2</v>
      </c>
      <c r="AB17" s="46">
        <v>15.2</v>
      </c>
      <c r="AC17" s="46">
        <v>15.2</v>
      </c>
      <c r="AD17" s="46">
        <v>15.2</v>
      </c>
      <c r="AE17" s="46">
        <v>15.2</v>
      </c>
      <c r="AF17" s="46">
        <v>15.2</v>
      </c>
      <c r="AG17" s="50">
        <v>44</v>
      </c>
      <c r="AH17" s="48">
        <f>MAX(B17:AG17)</f>
        <v>44</v>
      </c>
      <c r="AI17" s="49">
        <f>MIN(B17:AG17)</f>
        <v>15.2</v>
      </c>
      <c r="AK17" s="51"/>
      <c r="AL17" s="54" t="s">
        <v>27</v>
      </c>
      <c r="AM17" s="59">
        <f>B62</f>
        <v>102</v>
      </c>
      <c r="AN17" s="59">
        <f t="shared" ref="AN17:AR17" si="7">C62</f>
        <v>102</v>
      </c>
      <c r="AO17" s="59">
        <f t="shared" si="7"/>
        <v>102</v>
      </c>
      <c r="AP17" s="59">
        <f t="shared" si="7"/>
        <v>107.10000000000001</v>
      </c>
      <c r="AQ17" s="59">
        <f t="shared" si="7"/>
        <v>101.00000000000001</v>
      </c>
      <c r="AR17" s="59">
        <f t="shared" si="7"/>
        <v>101.10000000000001</v>
      </c>
      <c r="AS17" s="59">
        <f>I62</f>
        <v>101.4</v>
      </c>
      <c r="AT17" s="59">
        <f>K62</f>
        <v>31</v>
      </c>
      <c r="AU17" s="59">
        <f t="shared" ref="AU17:BD17" si="8">M62</f>
        <v>31.2</v>
      </c>
      <c r="AV17" s="59">
        <f t="shared" si="8"/>
        <v>31.2</v>
      </c>
      <c r="AW17" s="59">
        <f t="shared" si="8"/>
        <v>31.2</v>
      </c>
      <c r="AX17" s="59">
        <f t="shared" si="8"/>
        <v>31.2</v>
      </c>
      <c r="AY17" s="59">
        <f t="shared" si="8"/>
        <v>31.2</v>
      </c>
      <c r="AZ17" s="59">
        <f t="shared" si="8"/>
        <v>31.2</v>
      </c>
      <c r="BA17" s="59">
        <f t="shared" si="8"/>
        <v>29.900000000000002</v>
      </c>
      <c r="BB17" s="59">
        <f t="shared" si="8"/>
        <v>29.4</v>
      </c>
      <c r="BC17" s="59">
        <f t="shared" si="8"/>
        <v>30.1</v>
      </c>
      <c r="BD17" s="59">
        <f t="shared" si="8"/>
        <v>30.1</v>
      </c>
      <c r="BE17" s="197">
        <f>X62</f>
        <v>29.6</v>
      </c>
      <c r="BF17" s="197">
        <f>Z62</f>
        <v>417.5</v>
      </c>
      <c r="BG17" s="197">
        <f>AB62</f>
        <v>366.7</v>
      </c>
      <c r="BH17" s="197">
        <f>AD62</f>
        <v>195.20000000000002</v>
      </c>
      <c r="BI17" s="197">
        <f t="shared" ref="BI17:BJ17" si="9">AE62</f>
        <v>105.49999999999999</v>
      </c>
      <c r="BJ17" s="197">
        <f t="shared" si="9"/>
        <v>108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7.5</v>
      </c>
      <c r="C18" s="46">
        <v>7.5</v>
      </c>
      <c r="D18" s="46">
        <v>7.5</v>
      </c>
      <c r="E18" s="46">
        <v>7.5</v>
      </c>
      <c r="F18" s="46">
        <v>7.5</v>
      </c>
      <c r="G18" s="46">
        <v>7.5</v>
      </c>
      <c r="H18" s="46">
        <v>7.5</v>
      </c>
      <c r="I18" s="46">
        <v>7.5</v>
      </c>
      <c r="J18" s="46">
        <v>7.5</v>
      </c>
      <c r="K18" s="46">
        <v>7.5</v>
      </c>
      <c r="L18" s="46">
        <v>7.5</v>
      </c>
      <c r="M18" s="46">
        <v>7.5</v>
      </c>
      <c r="N18" s="46">
        <v>7.5</v>
      </c>
      <c r="O18" s="46">
        <v>7.5</v>
      </c>
      <c r="P18" s="46">
        <v>7.5</v>
      </c>
      <c r="Q18" s="46">
        <v>7.5</v>
      </c>
      <c r="R18" s="46">
        <v>7.5</v>
      </c>
      <c r="S18" s="46">
        <v>7.5</v>
      </c>
      <c r="T18" s="46">
        <v>7.5</v>
      </c>
      <c r="U18" s="46">
        <v>7.5</v>
      </c>
      <c r="V18" s="46">
        <v>7.5</v>
      </c>
      <c r="W18" s="46">
        <v>7.5</v>
      </c>
      <c r="X18" s="46">
        <v>7.5</v>
      </c>
      <c r="Y18" s="46">
        <v>7.5</v>
      </c>
      <c r="Z18" s="46">
        <v>7.5</v>
      </c>
      <c r="AA18" s="46">
        <v>7.5</v>
      </c>
      <c r="AB18" s="46">
        <v>7.5</v>
      </c>
      <c r="AC18" s="46">
        <v>7.5</v>
      </c>
      <c r="AD18" s="46">
        <v>7.5</v>
      </c>
      <c r="AE18" s="46">
        <v>7.5</v>
      </c>
      <c r="AF18" s="46">
        <v>7.5</v>
      </c>
      <c r="AG18" s="50">
        <v>42</v>
      </c>
      <c r="AH18" s="48">
        <f t="shared" ref="AH18:AH81" si="10">MAX(B18:AF18)</f>
        <v>7.5</v>
      </c>
      <c r="AI18" s="49">
        <f t="shared" ref="AI18:AI81" si="11">MIN(B18:AF18)</f>
        <v>7.5</v>
      </c>
      <c r="AK18" s="51"/>
      <c r="AL18" s="54" t="s">
        <v>29</v>
      </c>
      <c r="AM18" s="59">
        <f>B76</f>
        <v>214.14</v>
      </c>
      <c r="AN18" s="59">
        <f t="shared" ref="AN18:AR18" si="12">C76</f>
        <v>184.53999999999996</v>
      </c>
      <c r="AO18" s="59">
        <f t="shared" si="12"/>
        <v>181.94</v>
      </c>
      <c r="AP18" s="59">
        <f t="shared" si="12"/>
        <v>120.94000000000001</v>
      </c>
      <c r="AQ18" s="59">
        <f t="shared" si="12"/>
        <v>120.84000000000002</v>
      </c>
      <c r="AR18" s="59">
        <f t="shared" si="12"/>
        <v>153.44</v>
      </c>
      <c r="AS18" s="59">
        <f>I76</f>
        <v>214.53999999999996</v>
      </c>
      <c r="AT18" s="59">
        <f>K76</f>
        <v>143.83999999999997</v>
      </c>
      <c r="AU18" s="59">
        <f t="shared" ref="AU18:BD18" si="13">M76</f>
        <v>223.33999999999997</v>
      </c>
      <c r="AV18" s="59">
        <f t="shared" si="13"/>
        <v>213.44</v>
      </c>
      <c r="AW18" s="59">
        <f t="shared" si="13"/>
        <v>199.43999999999997</v>
      </c>
      <c r="AX18" s="59">
        <f t="shared" si="13"/>
        <v>203.64</v>
      </c>
      <c r="AY18" s="59">
        <f t="shared" si="13"/>
        <v>194.03999999999996</v>
      </c>
      <c r="AZ18" s="59">
        <f t="shared" si="13"/>
        <v>191.03999999999996</v>
      </c>
      <c r="BA18" s="59">
        <f t="shared" si="13"/>
        <v>190.63999999999996</v>
      </c>
      <c r="BB18" s="59">
        <f t="shared" si="13"/>
        <v>207.53999999999996</v>
      </c>
      <c r="BC18" s="59">
        <f t="shared" si="13"/>
        <v>175.73999999999995</v>
      </c>
      <c r="BD18" s="59">
        <f t="shared" si="13"/>
        <v>160.53999999999996</v>
      </c>
      <c r="BE18" s="197">
        <f>X76</f>
        <v>140.83999999999997</v>
      </c>
      <c r="BF18" s="197">
        <f>Z76</f>
        <v>341</v>
      </c>
      <c r="BG18" s="197">
        <f>AB76</f>
        <v>342.84000000000009</v>
      </c>
      <c r="BH18" s="197">
        <f>AD76</f>
        <v>289.44000000000005</v>
      </c>
      <c r="BI18" s="197">
        <f t="shared" ref="BI18:BJ18" si="14">AE76</f>
        <v>233.84</v>
      </c>
      <c r="BJ18" s="197">
        <f t="shared" si="14"/>
        <v>188.94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14</v>
      </c>
      <c r="C19" s="46">
        <v>14</v>
      </c>
      <c r="D19" s="46">
        <v>14</v>
      </c>
      <c r="E19" s="46">
        <v>14</v>
      </c>
      <c r="F19" s="46">
        <v>14</v>
      </c>
      <c r="G19" s="46">
        <v>14</v>
      </c>
      <c r="H19" s="46">
        <v>14</v>
      </c>
      <c r="I19" s="46">
        <v>14</v>
      </c>
      <c r="J19" s="46">
        <v>14</v>
      </c>
      <c r="K19" s="46">
        <v>14</v>
      </c>
      <c r="L19" s="46">
        <v>14</v>
      </c>
      <c r="M19" s="46">
        <v>14</v>
      </c>
      <c r="N19" s="46">
        <v>14</v>
      </c>
      <c r="O19" s="46">
        <v>14</v>
      </c>
      <c r="P19" s="46">
        <v>14</v>
      </c>
      <c r="Q19" s="46">
        <v>14</v>
      </c>
      <c r="R19" s="46">
        <v>14</v>
      </c>
      <c r="S19" s="46">
        <v>14</v>
      </c>
      <c r="T19" s="46">
        <v>14</v>
      </c>
      <c r="U19" s="46">
        <v>14</v>
      </c>
      <c r="V19" s="46">
        <v>14</v>
      </c>
      <c r="W19" s="46">
        <v>14</v>
      </c>
      <c r="X19" s="46">
        <v>14</v>
      </c>
      <c r="Y19" s="46">
        <v>14</v>
      </c>
      <c r="Z19" s="46">
        <v>14</v>
      </c>
      <c r="AA19" s="46">
        <v>14</v>
      </c>
      <c r="AB19" s="46">
        <v>13.8</v>
      </c>
      <c r="AC19" s="46">
        <v>13.8</v>
      </c>
      <c r="AD19" s="46">
        <v>13.8</v>
      </c>
      <c r="AE19" s="46">
        <v>13.8</v>
      </c>
      <c r="AF19" s="46">
        <v>13.8</v>
      </c>
      <c r="AG19" s="50">
        <v>38.46</v>
      </c>
      <c r="AH19" s="48">
        <f t="shared" si="10"/>
        <v>14</v>
      </c>
      <c r="AI19" s="49">
        <f t="shared" si="11"/>
        <v>13.8</v>
      </c>
      <c r="AK19" s="51"/>
      <c r="AL19" s="54" t="s">
        <v>31</v>
      </c>
      <c r="AM19" s="59">
        <f>B92</f>
        <v>165.5</v>
      </c>
      <c r="AN19" s="59">
        <f t="shared" ref="AN19:AR19" si="15">C92</f>
        <v>167.4</v>
      </c>
      <c r="AO19" s="59">
        <f t="shared" si="15"/>
        <v>149</v>
      </c>
      <c r="AP19" s="59">
        <f t="shared" si="15"/>
        <v>177.3</v>
      </c>
      <c r="AQ19" s="59">
        <f t="shared" si="15"/>
        <v>181.89999999999998</v>
      </c>
      <c r="AR19" s="59">
        <f t="shared" si="15"/>
        <v>196.8</v>
      </c>
      <c r="AS19" s="59">
        <f>I92</f>
        <v>236.2</v>
      </c>
      <c r="AT19" s="59">
        <f>K92</f>
        <v>766</v>
      </c>
      <c r="AU19" s="59">
        <f t="shared" ref="AU19:BD19" si="16">M92</f>
        <v>880.7</v>
      </c>
      <c r="AV19" s="59">
        <f t="shared" si="16"/>
        <v>880.59999999999991</v>
      </c>
      <c r="AW19" s="59">
        <f t="shared" si="16"/>
        <v>893.99999999999989</v>
      </c>
      <c r="AX19" s="59">
        <f t="shared" si="16"/>
        <v>898.99999999999989</v>
      </c>
      <c r="AY19" s="59">
        <f t="shared" si="16"/>
        <v>847.5</v>
      </c>
      <c r="AZ19" s="59">
        <f t="shared" si="16"/>
        <v>934.3</v>
      </c>
      <c r="BA19" s="59">
        <f t="shared" si="16"/>
        <v>928.8</v>
      </c>
      <c r="BB19" s="59">
        <f t="shared" si="16"/>
        <v>954.5</v>
      </c>
      <c r="BC19" s="59">
        <f t="shared" si="16"/>
        <v>931.1</v>
      </c>
      <c r="BD19" s="59">
        <f t="shared" si="16"/>
        <v>870.69999999999993</v>
      </c>
      <c r="BE19" s="197">
        <f>X92</f>
        <v>746.5</v>
      </c>
      <c r="BF19" s="197">
        <f>Z92</f>
        <v>196.1</v>
      </c>
      <c r="BG19" s="197">
        <f>AB92</f>
        <v>149.80000000000001</v>
      </c>
      <c r="BH19" s="197">
        <f>AD92</f>
        <v>256.3</v>
      </c>
      <c r="BI19" s="197">
        <f t="shared" ref="BI19:BJ19" si="17">AE92</f>
        <v>235.5</v>
      </c>
      <c r="BJ19" s="197">
        <f t="shared" si="17"/>
        <v>197.89999999999998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11.8</v>
      </c>
      <c r="C20" s="46">
        <v>11.8</v>
      </c>
      <c r="D20" s="46">
        <v>11.8</v>
      </c>
      <c r="E20" s="46">
        <v>11.8</v>
      </c>
      <c r="F20" s="46">
        <v>11.8</v>
      </c>
      <c r="G20" s="46">
        <v>11.8</v>
      </c>
      <c r="H20" s="46">
        <v>11.8</v>
      </c>
      <c r="I20" s="46">
        <v>11.8</v>
      </c>
      <c r="J20" s="46">
        <v>11.8</v>
      </c>
      <c r="K20" s="46">
        <v>11.8</v>
      </c>
      <c r="L20" s="46">
        <v>11.8</v>
      </c>
      <c r="M20" s="46">
        <v>11.8</v>
      </c>
      <c r="N20" s="46">
        <v>11.8</v>
      </c>
      <c r="O20" s="46">
        <v>11.8</v>
      </c>
      <c r="P20" s="46">
        <v>11.8</v>
      </c>
      <c r="Q20" s="46">
        <v>11.8</v>
      </c>
      <c r="R20" s="46">
        <v>11.8</v>
      </c>
      <c r="S20" s="46">
        <v>11.8</v>
      </c>
      <c r="T20" s="46">
        <v>11.8</v>
      </c>
      <c r="U20" s="46">
        <v>11.8</v>
      </c>
      <c r="V20" s="46">
        <v>11.8</v>
      </c>
      <c r="W20" s="46">
        <v>11.8</v>
      </c>
      <c r="X20" s="46">
        <v>11.8</v>
      </c>
      <c r="Y20" s="46">
        <v>11.8</v>
      </c>
      <c r="Z20" s="46">
        <v>11.8</v>
      </c>
      <c r="AA20" s="46">
        <v>11.8</v>
      </c>
      <c r="AB20" s="46">
        <v>11.8</v>
      </c>
      <c r="AC20" s="46">
        <v>11.8</v>
      </c>
      <c r="AD20" s="46">
        <v>11.8</v>
      </c>
      <c r="AE20" s="46">
        <v>11.8</v>
      </c>
      <c r="AF20" s="46">
        <v>11.8</v>
      </c>
      <c r="AG20" s="50">
        <v>38.46</v>
      </c>
      <c r="AH20" s="48">
        <f t="shared" si="10"/>
        <v>11.8</v>
      </c>
      <c r="AI20" s="49">
        <f t="shared" si="11"/>
        <v>11.8</v>
      </c>
      <c r="AK20" s="51"/>
      <c r="AL20" s="54" t="s">
        <v>33</v>
      </c>
      <c r="AM20" s="59">
        <f>B80</f>
        <v>94.9</v>
      </c>
      <c r="AN20" s="59">
        <f t="shared" ref="AN20:AR20" si="18">C80</f>
        <v>94.9</v>
      </c>
      <c r="AO20" s="59">
        <f t="shared" si="18"/>
        <v>94.9</v>
      </c>
      <c r="AP20" s="59">
        <f t="shared" si="18"/>
        <v>95.2</v>
      </c>
      <c r="AQ20" s="59">
        <f t="shared" si="18"/>
        <v>95.2</v>
      </c>
      <c r="AR20" s="59">
        <f t="shared" si="18"/>
        <v>94.5</v>
      </c>
      <c r="AS20" s="59">
        <f>I80</f>
        <v>94</v>
      </c>
      <c r="AT20" s="59">
        <f>K80</f>
        <v>89.7</v>
      </c>
      <c r="AU20" s="59">
        <f t="shared" ref="AU20:BD20" si="19">M80</f>
        <v>96.4</v>
      </c>
      <c r="AV20" s="59">
        <f t="shared" si="19"/>
        <v>96.4</v>
      </c>
      <c r="AW20" s="59">
        <f t="shared" si="19"/>
        <v>96.4</v>
      </c>
      <c r="AX20" s="59">
        <f t="shared" si="19"/>
        <v>96.4</v>
      </c>
      <c r="AY20" s="59">
        <f t="shared" si="19"/>
        <v>96.4</v>
      </c>
      <c r="AZ20" s="59">
        <f t="shared" si="19"/>
        <v>96.4</v>
      </c>
      <c r="BA20" s="59">
        <f t="shared" si="19"/>
        <v>96.3</v>
      </c>
      <c r="BB20" s="59">
        <f t="shared" si="19"/>
        <v>93.5</v>
      </c>
      <c r="BC20" s="59">
        <f t="shared" si="19"/>
        <v>96.199999999999989</v>
      </c>
      <c r="BD20" s="59">
        <f t="shared" si="19"/>
        <v>66.7</v>
      </c>
      <c r="BE20" s="197">
        <f>X80</f>
        <v>62.1</v>
      </c>
      <c r="BF20" s="197">
        <f>Z80</f>
        <v>95</v>
      </c>
      <c r="BG20" s="197">
        <f>AB80</f>
        <v>94.300000000000011</v>
      </c>
      <c r="BH20" s="197">
        <f>AD80</f>
        <v>97.100000000000009</v>
      </c>
      <c r="BI20" s="197">
        <f t="shared" ref="BI20:BJ20" si="20">AE80</f>
        <v>95.100000000000009</v>
      </c>
      <c r="BJ20" s="197">
        <f t="shared" si="20"/>
        <v>96.4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11</v>
      </c>
      <c r="C21" s="46">
        <v>11</v>
      </c>
      <c r="D21" s="46">
        <v>11</v>
      </c>
      <c r="E21" s="46">
        <v>11</v>
      </c>
      <c r="F21" s="46">
        <v>11</v>
      </c>
      <c r="G21" s="46">
        <v>11</v>
      </c>
      <c r="H21" s="46">
        <v>11</v>
      </c>
      <c r="I21" s="46">
        <v>11</v>
      </c>
      <c r="J21" s="46">
        <v>11</v>
      </c>
      <c r="K21" s="46">
        <v>11</v>
      </c>
      <c r="L21" s="46">
        <v>11</v>
      </c>
      <c r="M21" s="46">
        <v>11</v>
      </c>
      <c r="N21" s="46">
        <v>11</v>
      </c>
      <c r="O21" s="46">
        <v>11</v>
      </c>
      <c r="P21" s="46">
        <v>11</v>
      </c>
      <c r="Q21" s="46">
        <v>11</v>
      </c>
      <c r="R21" s="46">
        <v>11</v>
      </c>
      <c r="S21" s="46">
        <v>11</v>
      </c>
      <c r="T21" s="46">
        <v>11</v>
      </c>
      <c r="U21" s="46">
        <v>11</v>
      </c>
      <c r="V21" s="46">
        <v>11</v>
      </c>
      <c r="W21" s="46">
        <v>11</v>
      </c>
      <c r="X21" s="46">
        <v>11</v>
      </c>
      <c r="Y21" s="46">
        <v>11</v>
      </c>
      <c r="Z21" s="46">
        <v>11</v>
      </c>
      <c r="AA21" s="46">
        <v>11</v>
      </c>
      <c r="AB21" s="46">
        <v>11</v>
      </c>
      <c r="AC21" s="46">
        <v>11</v>
      </c>
      <c r="AD21" s="46">
        <v>11</v>
      </c>
      <c r="AE21" s="46">
        <v>11</v>
      </c>
      <c r="AF21" s="46">
        <v>11</v>
      </c>
      <c r="AG21" s="50">
        <v>36</v>
      </c>
      <c r="AH21" s="48">
        <f t="shared" si="10"/>
        <v>11</v>
      </c>
      <c r="AI21" s="49">
        <f t="shared" si="11"/>
        <v>11</v>
      </c>
      <c r="AK21" s="51"/>
      <c r="AL21" s="54" t="s">
        <v>35</v>
      </c>
      <c r="AM21" s="59">
        <f>B98</f>
        <v>300</v>
      </c>
      <c r="AN21" s="59">
        <f t="shared" ref="AN21:AR21" si="21">C98</f>
        <v>300</v>
      </c>
      <c r="AO21" s="59">
        <f t="shared" si="21"/>
        <v>300</v>
      </c>
      <c r="AP21" s="59">
        <f t="shared" si="21"/>
        <v>300</v>
      </c>
      <c r="AQ21" s="59">
        <f t="shared" si="21"/>
        <v>300</v>
      </c>
      <c r="AR21" s="59">
        <f t="shared" si="21"/>
        <v>300</v>
      </c>
      <c r="AS21" s="59">
        <f>I98</f>
        <v>300</v>
      </c>
      <c r="AT21" s="59">
        <f>K98</f>
        <v>100</v>
      </c>
      <c r="AU21" s="59">
        <f t="shared" ref="AU21:BD21" si="22">M98</f>
        <v>0</v>
      </c>
      <c r="AV21" s="59">
        <f t="shared" si="22"/>
        <v>0</v>
      </c>
      <c r="AW21" s="59">
        <f t="shared" si="22"/>
        <v>0</v>
      </c>
      <c r="AX21" s="59">
        <f t="shared" si="22"/>
        <v>0</v>
      </c>
      <c r="AY21" s="59">
        <f t="shared" si="22"/>
        <v>0</v>
      </c>
      <c r="AZ21" s="59">
        <f t="shared" si="22"/>
        <v>0</v>
      </c>
      <c r="BA21" s="59">
        <f t="shared" si="22"/>
        <v>0</v>
      </c>
      <c r="BB21" s="59">
        <f t="shared" si="22"/>
        <v>0</v>
      </c>
      <c r="BC21" s="59">
        <f t="shared" si="22"/>
        <v>0</v>
      </c>
      <c r="BD21" s="59">
        <f t="shared" si="22"/>
        <v>100</v>
      </c>
      <c r="BE21" s="197">
        <f>X98</f>
        <v>250</v>
      </c>
      <c r="BF21" s="197">
        <f>Z98</f>
        <v>300</v>
      </c>
      <c r="BG21" s="197">
        <f>AB98</f>
        <v>300</v>
      </c>
      <c r="BH21" s="197">
        <f>AD98</f>
        <v>300</v>
      </c>
      <c r="BI21" s="197">
        <f t="shared" ref="BI21:BJ21" si="23">AE98</f>
        <v>350</v>
      </c>
      <c r="BJ21" s="197">
        <f t="shared" si="23"/>
        <v>350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6.7</v>
      </c>
      <c r="C22" s="46">
        <v>6.7</v>
      </c>
      <c r="D22" s="46">
        <v>6.7</v>
      </c>
      <c r="E22" s="46">
        <v>6.7</v>
      </c>
      <c r="F22" s="46">
        <v>6.7</v>
      </c>
      <c r="G22" s="46">
        <v>6.7</v>
      </c>
      <c r="H22" s="46">
        <v>6.7</v>
      </c>
      <c r="I22" s="46">
        <v>6.7</v>
      </c>
      <c r="J22" s="46">
        <v>6.7</v>
      </c>
      <c r="K22" s="46">
        <v>6.7</v>
      </c>
      <c r="L22" s="46">
        <v>6.7</v>
      </c>
      <c r="M22" s="46">
        <v>6.7</v>
      </c>
      <c r="N22" s="46">
        <v>6.7</v>
      </c>
      <c r="O22" s="46">
        <v>6.7</v>
      </c>
      <c r="P22" s="46">
        <v>6.7</v>
      </c>
      <c r="Q22" s="46">
        <v>6.7</v>
      </c>
      <c r="R22" s="46">
        <v>6.7</v>
      </c>
      <c r="S22" s="46">
        <v>6.7</v>
      </c>
      <c r="T22" s="46">
        <v>6.7</v>
      </c>
      <c r="U22" s="46">
        <v>6.7</v>
      </c>
      <c r="V22" s="46">
        <v>6.7</v>
      </c>
      <c r="W22" s="46">
        <v>6.7</v>
      </c>
      <c r="X22" s="46">
        <v>6.7</v>
      </c>
      <c r="Y22" s="46">
        <v>6.7</v>
      </c>
      <c r="Z22" s="46">
        <v>6.7</v>
      </c>
      <c r="AA22" s="46">
        <v>6.7</v>
      </c>
      <c r="AB22" s="46">
        <v>7.8</v>
      </c>
      <c r="AC22" s="46">
        <v>7.8</v>
      </c>
      <c r="AD22" s="46">
        <v>7.8</v>
      </c>
      <c r="AE22" s="46">
        <v>7.8</v>
      </c>
      <c r="AF22" s="46">
        <v>7.8</v>
      </c>
      <c r="AG22" s="60">
        <v>30</v>
      </c>
      <c r="AH22" s="48">
        <f t="shared" si="10"/>
        <v>7.8</v>
      </c>
      <c r="AI22" s="49">
        <f t="shared" si="11"/>
        <v>6.7</v>
      </c>
      <c r="AK22" s="51"/>
      <c r="AL22" s="61" t="s">
        <v>37</v>
      </c>
      <c r="AM22" s="62">
        <f>SUM(AM16:AM21)</f>
        <v>1353.69</v>
      </c>
      <c r="AN22" s="62">
        <f t="shared" ref="AN22:BJ22" si="24">SUM(AN16:AN21)</f>
        <v>1325.99</v>
      </c>
      <c r="AO22" s="62">
        <f t="shared" si="24"/>
        <v>1304.9899999999998</v>
      </c>
      <c r="AP22" s="62">
        <f t="shared" si="24"/>
        <v>1277.69</v>
      </c>
      <c r="AQ22" s="62">
        <f t="shared" si="24"/>
        <v>1276.0900000000001</v>
      </c>
      <c r="AR22" s="62">
        <f t="shared" si="24"/>
        <v>1322.99</v>
      </c>
      <c r="AS22" s="62">
        <f t="shared" si="24"/>
        <v>1423.29</v>
      </c>
      <c r="AT22" s="62">
        <f t="shared" si="24"/>
        <v>1607.69</v>
      </c>
      <c r="AU22" s="62">
        <f t="shared" si="24"/>
        <v>1708.79</v>
      </c>
      <c r="AV22" s="62">
        <f t="shared" si="24"/>
        <v>1698.79</v>
      </c>
      <c r="AW22" s="62">
        <f t="shared" si="24"/>
        <v>1698.19</v>
      </c>
      <c r="AX22" s="62">
        <f t="shared" si="24"/>
        <v>1707.3899999999999</v>
      </c>
      <c r="AY22" s="62">
        <f t="shared" si="24"/>
        <v>1646.29</v>
      </c>
      <c r="AZ22" s="62">
        <f t="shared" si="24"/>
        <v>1730.09</v>
      </c>
      <c r="BA22" s="62">
        <f t="shared" si="24"/>
        <v>1722.7899999999997</v>
      </c>
      <c r="BB22" s="62">
        <f t="shared" si="24"/>
        <v>1762.09</v>
      </c>
      <c r="BC22" s="62">
        <f t="shared" si="24"/>
        <v>1710.2900000000002</v>
      </c>
      <c r="BD22" s="62">
        <f t="shared" si="24"/>
        <v>1705.1899999999998</v>
      </c>
      <c r="BE22" s="62">
        <f t="shared" si="24"/>
        <v>1705.9899999999998</v>
      </c>
      <c r="BF22" s="62">
        <f t="shared" si="24"/>
        <v>1826.55</v>
      </c>
      <c r="BG22" s="62">
        <f t="shared" si="24"/>
        <v>1729.69</v>
      </c>
      <c r="BH22" s="62">
        <f t="shared" si="24"/>
        <v>1613.79</v>
      </c>
      <c r="BI22" s="62">
        <f t="shared" si="24"/>
        <v>1495.69</v>
      </c>
      <c r="BJ22" s="62">
        <f t="shared" si="24"/>
        <v>1416.19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4.5</v>
      </c>
      <c r="C23" s="46">
        <v>4.5</v>
      </c>
      <c r="D23" s="46">
        <v>4.5</v>
      </c>
      <c r="E23" s="46">
        <v>4.5</v>
      </c>
      <c r="F23" s="46">
        <v>4.5</v>
      </c>
      <c r="G23" s="46">
        <v>4.5</v>
      </c>
      <c r="H23" s="46">
        <v>4.5</v>
      </c>
      <c r="I23" s="46">
        <v>4.5</v>
      </c>
      <c r="J23" s="46">
        <v>4.5</v>
      </c>
      <c r="K23" s="46">
        <v>4.5</v>
      </c>
      <c r="L23" s="46">
        <v>4.5</v>
      </c>
      <c r="M23" s="46">
        <v>4.5</v>
      </c>
      <c r="N23" s="46">
        <v>4.5</v>
      </c>
      <c r="O23" s="46">
        <v>4.5</v>
      </c>
      <c r="P23" s="46">
        <v>4.5</v>
      </c>
      <c r="Q23" s="46">
        <v>4.5</v>
      </c>
      <c r="R23" s="46">
        <v>4.5</v>
      </c>
      <c r="S23" s="46">
        <v>4.5</v>
      </c>
      <c r="T23" s="46">
        <v>4.5</v>
      </c>
      <c r="U23" s="46">
        <v>4.5</v>
      </c>
      <c r="V23" s="46">
        <v>4.5</v>
      </c>
      <c r="W23" s="46">
        <v>4.5</v>
      </c>
      <c r="X23" s="46">
        <v>4.5</v>
      </c>
      <c r="Y23" s="46">
        <v>4.5</v>
      </c>
      <c r="Z23" s="46">
        <v>4.5</v>
      </c>
      <c r="AA23" s="46">
        <v>4.5</v>
      </c>
      <c r="AB23" s="46">
        <v>4.5</v>
      </c>
      <c r="AC23" s="46">
        <v>4.5</v>
      </c>
      <c r="AD23" s="46">
        <v>4.5</v>
      </c>
      <c r="AE23" s="46">
        <v>4.5</v>
      </c>
      <c r="AF23" s="46">
        <v>4.5</v>
      </c>
      <c r="AG23" s="50">
        <v>24.2</v>
      </c>
      <c r="AH23" s="48">
        <f t="shared" si="10"/>
        <v>4.5</v>
      </c>
      <c r="AI23" s="49">
        <f t="shared" si="11"/>
        <v>4.5</v>
      </c>
      <c r="AK23" s="51"/>
      <c r="AL23" s="61" t="s">
        <v>39</v>
      </c>
      <c r="AM23" s="62">
        <f>B107*-1</f>
        <v>0</v>
      </c>
      <c r="AN23" s="62">
        <f t="shared" ref="AN23:AR23" si="25">C107*-1</f>
        <v>0</v>
      </c>
      <c r="AO23" s="62">
        <f t="shared" si="25"/>
        <v>0</v>
      </c>
      <c r="AP23" s="62">
        <f t="shared" si="25"/>
        <v>0</v>
      </c>
      <c r="AQ23" s="62">
        <f t="shared" si="25"/>
        <v>0</v>
      </c>
      <c r="AR23" s="62">
        <f t="shared" si="25"/>
        <v>0</v>
      </c>
      <c r="AS23" s="62">
        <f>I107*-1</f>
        <v>0</v>
      </c>
      <c r="AT23" s="62">
        <f>K107*-1</f>
        <v>0</v>
      </c>
      <c r="AU23" s="62">
        <f t="shared" ref="AU23:BD23" si="26">M107*-1</f>
        <v>0</v>
      </c>
      <c r="AV23" s="62">
        <f t="shared" si="26"/>
        <v>0</v>
      </c>
      <c r="AW23" s="62">
        <f t="shared" si="26"/>
        <v>0</v>
      </c>
      <c r="AX23" s="62">
        <f t="shared" si="26"/>
        <v>0</v>
      </c>
      <c r="AY23" s="62">
        <f t="shared" si="26"/>
        <v>0</v>
      </c>
      <c r="AZ23" s="62">
        <f t="shared" si="26"/>
        <v>0</v>
      </c>
      <c r="BA23" s="62">
        <f t="shared" si="26"/>
        <v>0</v>
      </c>
      <c r="BB23" s="62">
        <f t="shared" si="26"/>
        <v>0</v>
      </c>
      <c r="BC23" s="62">
        <f t="shared" si="26"/>
        <v>0</v>
      </c>
      <c r="BD23" s="62">
        <f t="shared" si="26"/>
        <v>0</v>
      </c>
      <c r="BE23" s="62">
        <f>X107*-1</f>
        <v>0</v>
      </c>
      <c r="BF23" s="62">
        <f>Z107*-1</f>
        <v>0</v>
      </c>
      <c r="BG23" s="62">
        <f>AB107*-1</f>
        <v>0</v>
      </c>
      <c r="BH23" s="62">
        <f>AD107*-1</f>
        <v>0</v>
      </c>
      <c r="BI23" s="62">
        <f t="shared" ref="BI23:BJ23" si="27">AE107*-1</f>
        <v>0</v>
      </c>
      <c r="BJ23" s="62">
        <f t="shared" si="27"/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6.5</v>
      </c>
      <c r="C24" s="46">
        <v>6.5</v>
      </c>
      <c r="D24" s="46">
        <v>6.5</v>
      </c>
      <c r="E24" s="46">
        <v>6.5</v>
      </c>
      <c r="F24" s="46">
        <v>6.5</v>
      </c>
      <c r="G24" s="46">
        <v>6.5</v>
      </c>
      <c r="H24" s="46">
        <v>6.5</v>
      </c>
      <c r="I24" s="46">
        <v>6.5</v>
      </c>
      <c r="J24" s="46">
        <v>6.5</v>
      </c>
      <c r="K24" s="46">
        <v>6.5</v>
      </c>
      <c r="L24" s="46">
        <v>6.5</v>
      </c>
      <c r="M24" s="46">
        <v>6.5</v>
      </c>
      <c r="N24" s="46">
        <v>6.5</v>
      </c>
      <c r="O24" s="46">
        <v>6.5</v>
      </c>
      <c r="P24" s="46">
        <v>6.5</v>
      </c>
      <c r="Q24" s="46">
        <v>6.5</v>
      </c>
      <c r="R24" s="46">
        <v>6.5</v>
      </c>
      <c r="S24" s="46">
        <v>6.5</v>
      </c>
      <c r="T24" s="46">
        <v>6.5</v>
      </c>
      <c r="U24" s="46">
        <v>6.5</v>
      </c>
      <c r="V24" s="46">
        <v>6.5</v>
      </c>
      <c r="W24" s="46">
        <v>6.5</v>
      </c>
      <c r="X24" s="46">
        <v>6.5</v>
      </c>
      <c r="Y24" s="46">
        <v>6.5</v>
      </c>
      <c r="Z24" s="46">
        <v>6.5</v>
      </c>
      <c r="AA24" s="46">
        <v>6.5</v>
      </c>
      <c r="AB24" s="46">
        <v>6</v>
      </c>
      <c r="AC24" s="46">
        <v>6</v>
      </c>
      <c r="AD24" s="46">
        <v>6</v>
      </c>
      <c r="AE24" s="46">
        <v>6</v>
      </c>
      <c r="AF24" s="46">
        <v>6</v>
      </c>
      <c r="AG24" s="50">
        <v>28</v>
      </c>
      <c r="AH24" s="48">
        <f t="shared" si="10"/>
        <v>6.5</v>
      </c>
      <c r="AI24" s="49">
        <f t="shared" si="11"/>
        <v>6</v>
      </c>
      <c r="AK24" s="51"/>
      <c r="AL24" s="61" t="s">
        <v>41</v>
      </c>
      <c r="AM24" s="62">
        <f>AM22+AM23</f>
        <v>1353.69</v>
      </c>
      <c r="AN24" s="62">
        <f t="shared" ref="AN24:BJ24" si="28">AN22+AN23</f>
        <v>1325.99</v>
      </c>
      <c r="AO24" s="62">
        <f t="shared" si="28"/>
        <v>1304.9899999999998</v>
      </c>
      <c r="AP24" s="62">
        <f t="shared" si="28"/>
        <v>1277.69</v>
      </c>
      <c r="AQ24" s="62">
        <f t="shared" si="28"/>
        <v>1276.0900000000001</v>
      </c>
      <c r="AR24" s="62">
        <f t="shared" si="28"/>
        <v>1322.99</v>
      </c>
      <c r="AS24" s="62">
        <f t="shared" si="28"/>
        <v>1423.29</v>
      </c>
      <c r="AT24" s="62">
        <f t="shared" si="28"/>
        <v>1607.69</v>
      </c>
      <c r="AU24" s="62">
        <f t="shared" si="28"/>
        <v>1708.79</v>
      </c>
      <c r="AV24" s="62">
        <f t="shared" si="28"/>
        <v>1698.79</v>
      </c>
      <c r="AW24" s="62">
        <f t="shared" si="28"/>
        <v>1698.19</v>
      </c>
      <c r="AX24" s="62">
        <f t="shared" si="28"/>
        <v>1707.3899999999999</v>
      </c>
      <c r="AY24" s="62">
        <f t="shared" si="28"/>
        <v>1646.29</v>
      </c>
      <c r="AZ24" s="62">
        <f t="shared" si="28"/>
        <v>1730.09</v>
      </c>
      <c r="BA24" s="62">
        <f t="shared" si="28"/>
        <v>1722.7899999999997</v>
      </c>
      <c r="BB24" s="62">
        <f t="shared" si="28"/>
        <v>1762.09</v>
      </c>
      <c r="BC24" s="62">
        <f t="shared" si="28"/>
        <v>1710.2900000000002</v>
      </c>
      <c r="BD24" s="62">
        <f t="shared" si="28"/>
        <v>1705.1899999999998</v>
      </c>
      <c r="BE24" s="62">
        <f t="shared" si="28"/>
        <v>1705.9899999999998</v>
      </c>
      <c r="BF24" s="62">
        <f t="shared" si="28"/>
        <v>1826.55</v>
      </c>
      <c r="BG24" s="62">
        <f t="shared" si="28"/>
        <v>1729.69</v>
      </c>
      <c r="BH24" s="62">
        <f t="shared" si="28"/>
        <v>1613.79</v>
      </c>
      <c r="BI24" s="62">
        <f t="shared" si="28"/>
        <v>1495.69</v>
      </c>
      <c r="BJ24" s="62">
        <f t="shared" si="28"/>
        <v>1416.19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6.8</v>
      </c>
      <c r="C25" s="46">
        <v>6.8</v>
      </c>
      <c r="D25" s="46">
        <v>6.8</v>
      </c>
      <c r="E25" s="46">
        <v>6.8</v>
      </c>
      <c r="F25" s="46">
        <v>6.8</v>
      </c>
      <c r="G25" s="46">
        <v>6.8</v>
      </c>
      <c r="H25" s="46">
        <v>6.8</v>
      </c>
      <c r="I25" s="46">
        <v>6.8</v>
      </c>
      <c r="J25" s="46">
        <v>6.8</v>
      </c>
      <c r="K25" s="46">
        <v>6.8</v>
      </c>
      <c r="L25" s="46">
        <v>6.8</v>
      </c>
      <c r="M25" s="46">
        <v>6.8</v>
      </c>
      <c r="N25" s="46">
        <v>6.8</v>
      </c>
      <c r="O25" s="46">
        <v>6.8</v>
      </c>
      <c r="P25" s="46">
        <v>6.8</v>
      </c>
      <c r="Q25" s="46">
        <v>6.8</v>
      </c>
      <c r="R25" s="46">
        <v>6.8</v>
      </c>
      <c r="S25" s="46">
        <v>6.8</v>
      </c>
      <c r="T25" s="46">
        <v>6.8</v>
      </c>
      <c r="U25" s="46">
        <v>6.8</v>
      </c>
      <c r="V25" s="46">
        <v>6.8</v>
      </c>
      <c r="W25" s="46">
        <v>6.8</v>
      </c>
      <c r="X25" s="46">
        <v>6.8</v>
      </c>
      <c r="Y25" s="46">
        <v>6.8</v>
      </c>
      <c r="Z25" s="46">
        <v>6.8</v>
      </c>
      <c r="AA25" s="46">
        <v>6.8</v>
      </c>
      <c r="AB25" s="46">
        <v>6.2</v>
      </c>
      <c r="AC25" s="46">
        <v>6.2</v>
      </c>
      <c r="AD25" s="46">
        <v>6.2</v>
      </c>
      <c r="AE25" s="46">
        <v>6.2</v>
      </c>
      <c r="AF25" s="46">
        <v>6.2</v>
      </c>
      <c r="AG25" s="60">
        <v>30</v>
      </c>
      <c r="AH25" s="48">
        <f t="shared" si="10"/>
        <v>6.8</v>
      </c>
      <c r="AI25" s="49">
        <f t="shared" si="11"/>
        <v>6.2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11.1</v>
      </c>
      <c r="C26" s="46">
        <v>11.1</v>
      </c>
      <c r="D26" s="46">
        <v>11.1</v>
      </c>
      <c r="E26" s="46">
        <v>11.1</v>
      </c>
      <c r="F26" s="46">
        <v>11.1</v>
      </c>
      <c r="G26" s="46">
        <v>11.1</v>
      </c>
      <c r="H26" s="46">
        <v>11.1</v>
      </c>
      <c r="I26" s="46">
        <v>11.1</v>
      </c>
      <c r="J26" s="46">
        <v>11.1</v>
      </c>
      <c r="K26" s="46">
        <v>11.1</v>
      </c>
      <c r="L26" s="46">
        <v>11.1</v>
      </c>
      <c r="M26" s="46">
        <v>11.1</v>
      </c>
      <c r="N26" s="46">
        <v>11.1</v>
      </c>
      <c r="O26" s="46">
        <v>11.1</v>
      </c>
      <c r="P26" s="46">
        <v>11.1</v>
      </c>
      <c r="Q26" s="46">
        <v>11.1</v>
      </c>
      <c r="R26" s="46">
        <v>11.1</v>
      </c>
      <c r="S26" s="46">
        <v>11.1</v>
      </c>
      <c r="T26" s="46">
        <v>11.1</v>
      </c>
      <c r="U26" s="46">
        <v>11.1</v>
      </c>
      <c r="V26" s="46">
        <v>11.1</v>
      </c>
      <c r="W26" s="46">
        <v>11.1</v>
      </c>
      <c r="X26" s="46">
        <v>11.1</v>
      </c>
      <c r="Y26" s="46">
        <v>11.1</v>
      </c>
      <c r="Z26" s="46">
        <v>11.1</v>
      </c>
      <c r="AA26" s="46">
        <v>11.1</v>
      </c>
      <c r="AB26" s="46">
        <v>8.5</v>
      </c>
      <c r="AC26" s="46">
        <v>8.5</v>
      </c>
      <c r="AD26" s="46">
        <v>8.5</v>
      </c>
      <c r="AE26" s="46">
        <v>8.5</v>
      </c>
      <c r="AF26" s="46">
        <v>8.5</v>
      </c>
      <c r="AG26" s="50">
        <v>25</v>
      </c>
      <c r="AH26" s="48">
        <f t="shared" si="10"/>
        <v>11.1</v>
      </c>
      <c r="AI26" s="49">
        <f t="shared" si="11"/>
        <v>8.5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5</v>
      </c>
      <c r="N27" s="46">
        <v>5</v>
      </c>
      <c r="O27" s="46">
        <v>5</v>
      </c>
      <c r="P27" s="46">
        <v>5</v>
      </c>
      <c r="Q27" s="46">
        <v>5</v>
      </c>
      <c r="R27" s="46">
        <v>5</v>
      </c>
      <c r="S27" s="46">
        <v>5</v>
      </c>
      <c r="T27" s="46">
        <v>5</v>
      </c>
      <c r="U27" s="46">
        <v>5</v>
      </c>
      <c r="V27" s="46">
        <v>5</v>
      </c>
      <c r="W27" s="46">
        <v>5</v>
      </c>
      <c r="X27" s="46">
        <v>5</v>
      </c>
      <c r="Y27" s="46">
        <v>5</v>
      </c>
      <c r="Z27" s="46">
        <v>5</v>
      </c>
      <c r="AA27" s="46">
        <v>5</v>
      </c>
      <c r="AB27" s="46">
        <v>5</v>
      </c>
      <c r="AC27" s="46">
        <v>5</v>
      </c>
      <c r="AD27" s="46">
        <v>5</v>
      </c>
      <c r="AE27" s="46">
        <v>5</v>
      </c>
      <c r="AF27" s="46">
        <v>5</v>
      </c>
      <c r="AG27" s="50">
        <v>25</v>
      </c>
      <c r="AH27" s="48">
        <f t="shared" si="10"/>
        <v>5</v>
      </c>
      <c r="AI27" s="49">
        <f t="shared" si="11"/>
        <v>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10</v>
      </c>
      <c r="C28" s="46">
        <v>10</v>
      </c>
      <c r="D28" s="46">
        <v>10</v>
      </c>
      <c r="E28" s="46">
        <v>10</v>
      </c>
      <c r="F28" s="46">
        <v>10</v>
      </c>
      <c r="G28" s="46">
        <v>10</v>
      </c>
      <c r="H28" s="46">
        <v>10</v>
      </c>
      <c r="I28" s="46">
        <v>10</v>
      </c>
      <c r="J28" s="46">
        <v>10</v>
      </c>
      <c r="K28" s="46">
        <v>10</v>
      </c>
      <c r="L28" s="46">
        <v>10</v>
      </c>
      <c r="M28" s="46">
        <v>10</v>
      </c>
      <c r="N28" s="46">
        <v>10</v>
      </c>
      <c r="O28" s="46">
        <v>10</v>
      </c>
      <c r="P28" s="46">
        <v>10</v>
      </c>
      <c r="Q28" s="46">
        <v>10</v>
      </c>
      <c r="R28" s="46">
        <v>10</v>
      </c>
      <c r="S28" s="46">
        <v>10</v>
      </c>
      <c r="T28" s="46">
        <v>10</v>
      </c>
      <c r="U28" s="46">
        <v>10</v>
      </c>
      <c r="V28" s="46">
        <v>10</v>
      </c>
      <c r="W28" s="46">
        <v>10</v>
      </c>
      <c r="X28" s="46">
        <v>10</v>
      </c>
      <c r="Y28" s="46">
        <v>10</v>
      </c>
      <c r="Z28" s="46">
        <v>10</v>
      </c>
      <c r="AA28" s="46">
        <v>10</v>
      </c>
      <c r="AB28" s="46">
        <v>10</v>
      </c>
      <c r="AC28" s="46">
        <v>10</v>
      </c>
      <c r="AD28" s="46">
        <v>10</v>
      </c>
      <c r="AE28" s="46">
        <v>10</v>
      </c>
      <c r="AF28" s="46">
        <v>10</v>
      </c>
      <c r="AG28" s="50">
        <v>25</v>
      </c>
      <c r="AH28" s="48">
        <f t="shared" si="10"/>
        <v>10</v>
      </c>
      <c r="AI28" s="49">
        <f t="shared" si="11"/>
        <v>10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8.6999999999999993</v>
      </c>
      <c r="C29" s="46">
        <v>8.6999999999999993</v>
      </c>
      <c r="D29" s="46">
        <v>8.6999999999999993</v>
      </c>
      <c r="E29" s="46">
        <v>8.6999999999999993</v>
      </c>
      <c r="F29" s="46">
        <v>8.6999999999999993</v>
      </c>
      <c r="G29" s="46">
        <v>8.6999999999999993</v>
      </c>
      <c r="H29" s="46">
        <v>8.6999999999999993</v>
      </c>
      <c r="I29" s="46">
        <v>8.6999999999999993</v>
      </c>
      <c r="J29" s="46">
        <v>8.6999999999999993</v>
      </c>
      <c r="K29" s="46">
        <v>8.6999999999999993</v>
      </c>
      <c r="L29" s="46">
        <v>8.6999999999999993</v>
      </c>
      <c r="M29" s="46">
        <v>8.6999999999999993</v>
      </c>
      <c r="N29" s="46">
        <v>8.6999999999999993</v>
      </c>
      <c r="O29" s="46">
        <v>8.6999999999999993</v>
      </c>
      <c r="P29" s="46">
        <v>8.6999999999999993</v>
      </c>
      <c r="Q29" s="46">
        <v>8.6999999999999993</v>
      </c>
      <c r="R29" s="46">
        <v>8.6999999999999993</v>
      </c>
      <c r="S29" s="46">
        <v>8.6999999999999993</v>
      </c>
      <c r="T29" s="46">
        <v>8.6999999999999993</v>
      </c>
      <c r="U29" s="46">
        <v>8.6999999999999993</v>
      </c>
      <c r="V29" s="46">
        <v>8.6999999999999993</v>
      </c>
      <c r="W29" s="46">
        <v>8.6999999999999993</v>
      </c>
      <c r="X29" s="46">
        <v>8.6999999999999993</v>
      </c>
      <c r="Y29" s="46">
        <v>8.6999999999999993</v>
      </c>
      <c r="Z29" s="46">
        <v>8.6999999999999993</v>
      </c>
      <c r="AA29" s="46">
        <v>8.6999999999999993</v>
      </c>
      <c r="AB29" s="46">
        <v>8</v>
      </c>
      <c r="AC29" s="46">
        <v>8</v>
      </c>
      <c r="AD29" s="46">
        <v>8</v>
      </c>
      <c r="AE29" s="46">
        <v>8</v>
      </c>
      <c r="AF29" s="46">
        <v>8</v>
      </c>
      <c r="AG29" s="50">
        <v>25</v>
      </c>
      <c r="AH29" s="48">
        <f t="shared" si="10"/>
        <v>8.6999999999999993</v>
      </c>
      <c r="AI29" s="49">
        <f t="shared" si="11"/>
        <v>8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5.6</v>
      </c>
      <c r="C30" s="46">
        <v>5.6</v>
      </c>
      <c r="D30" s="46">
        <v>5.6</v>
      </c>
      <c r="E30" s="46">
        <v>5.6</v>
      </c>
      <c r="F30" s="46">
        <v>5.6</v>
      </c>
      <c r="G30" s="46">
        <v>5.6</v>
      </c>
      <c r="H30" s="46">
        <v>5.6</v>
      </c>
      <c r="I30" s="46">
        <v>5.6</v>
      </c>
      <c r="J30" s="46">
        <v>5.6</v>
      </c>
      <c r="K30" s="46">
        <v>5.6</v>
      </c>
      <c r="L30" s="46">
        <v>5.6</v>
      </c>
      <c r="M30" s="46">
        <v>5.6</v>
      </c>
      <c r="N30" s="46">
        <v>5.6</v>
      </c>
      <c r="O30" s="46">
        <v>5.6</v>
      </c>
      <c r="P30" s="46">
        <v>5.6</v>
      </c>
      <c r="Q30" s="46">
        <v>5.6</v>
      </c>
      <c r="R30" s="46">
        <v>5.6</v>
      </c>
      <c r="S30" s="46">
        <v>5.6</v>
      </c>
      <c r="T30" s="46">
        <v>5.6</v>
      </c>
      <c r="U30" s="46">
        <v>5.6</v>
      </c>
      <c r="V30" s="46">
        <v>5.6</v>
      </c>
      <c r="W30" s="46">
        <v>5.6</v>
      </c>
      <c r="X30" s="46">
        <v>5.6</v>
      </c>
      <c r="Y30" s="46">
        <v>5.6</v>
      </c>
      <c r="Z30" s="46">
        <v>5.6</v>
      </c>
      <c r="AA30" s="46">
        <v>5.6</v>
      </c>
      <c r="AB30" s="46">
        <v>6.6</v>
      </c>
      <c r="AC30" s="46">
        <v>6.6</v>
      </c>
      <c r="AD30" s="46">
        <v>6.6</v>
      </c>
      <c r="AE30" s="46">
        <v>6.6</v>
      </c>
      <c r="AF30" s="46">
        <v>6.6</v>
      </c>
      <c r="AG30" s="50">
        <v>23.5</v>
      </c>
      <c r="AH30" s="48">
        <f t="shared" si="10"/>
        <v>6.6</v>
      </c>
      <c r="AI30" s="49">
        <f t="shared" si="11"/>
        <v>5.6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>
        <v>3</v>
      </c>
      <c r="V31" s="46">
        <v>3</v>
      </c>
      <c r="W31" s="46">
        <v>3</v>
      </c>
      <c r="X31" s="46">
        <v>3</v>
      </c>
      <c r="Y31" s="46">
        <v>3</v>
      </c>
      <c r="Z31" s="46">
        <v>3</v>
      </c>
      <c r="AA31" s="46">
        <v>3</v>
      </c>
      <c r="AB31" s="46">
        <v>3</v>
      </c>
      <c r="AC31" s="46">
        <v>3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10"/>
        <v>3</v>
      </c>
      <c r="AI31" s="49">
        <f t="shared" si="11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5.5</v>
      </c>
      <c r="Q32" s="46">
        <v>5.5</v>
      </c>
      <c r="R32" s="46">
        <v>5.5</v>
      </c>
      <c r="S32" s="46">
        <v>5.5</v>
      </c>
      <c r="T32" s="46">
        <v>5.5</v>
      </c>
      <c r="U32" s="46">
        <v>5.5</v>
      </c>
      <c r="V32" s="46">
        <v>5.5</v>
      </c>
      <c r="W32" s="46">
        <v>5.5</v>
      </c>
      <c r="X32" s="46">
        <v>5.5</v>
      </c>
      <c r="Y32" s="46">
        <v>5.5</v>
      </c>
      <c r="Z32" s="46">
        <v>5.5</v>
      </c>
      <c r="AA32" s="46">
        <v>5.5</v>
      </c>
      <c r="AB32" s="46">
        <v>5.5</v>
      </c>
      <c r="AC32" s="46">
        <v>5.5</v>
      </c>
      <c r="AD32" s="46">
        <v>5.5</v>
      </c>
      <c r="AE32" s="46">
        <v>5.5</v>
      </c>
      <c r="AF32" s="46">
        <v>5.5</v>
      </c>
      <c r="AG32" s="50">
        <v>22.1</v>
      </c>
      <c r="AH32" s="48">
        <f t="shared" si="10"/>
        <v>5.5</v>
      </c>
      <c r="AI32" s="49">
        <f t="shared" si="11"/>
        <v>5.5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5</v>
      </c>
      <c r="C33" s="46">
        <v>5</v>
      </c>
      <c r="D33" s="46">
        <v>5</v>
      </c>
      <c r="E33" s="46">
        <v>5</v>
      </c>
      <c r="F33" s="46">
        <v>5</v>
      </c>
      <c r="G33" s="46">
        <v>5</v>
      </c>
      <c r="H33" s="46">
        <v>5</v>
      </c>
      <c r="I33" s="46">
        <v>5</v>
      </c>
      <c r="J33" s="46">
        <v>5</v>
      </c>
      <c r="K33" s="46">
        <v>5</v>
      </c>
      <c r="L33" s="46">
        <v>5</v>
      </c>
      <c r="M33" s="46">
        <v>5</v>
      </c>
      <c r="N33" s="46">
        <v>5</v>
      </c>
      <c r="O33" s="46">
        <v>5</v>
      </c>
      <c r="P33" s="46">
        <v>5</v>
      </c>
      <c r="Q33" s="46">
        <v>5</v>
      </c>
      <c r="R33" s="46">
        <v>5</v>
      </c>
      <c r="S33" s="46">
        <v>5</v>
      </c>
      <c r="T33" s="46">
        <v>5</v>
      </c>
      <c r="U33" s="46">
        <v>5</v>
      </c>
      <c r="V33" s="46">
        <v>5</v>
      </c>
      <c r="W33" s="46">
        <v>5</v>
      </c>
      <c r="X33" s="46">
        <v>5</v>
      </c>
      <c r="Y33" s="46">
        <v>5</v>
      </c>
      <c r="Z33" s="46">
        <v>5</v>
      </c>
      <c r="AA33" s="46">
        <v>5</v>
      </c>
      <c r="AB33" s="46">
        <v>5</v>
      </c>
      <c r="AC33" s="46">
        <v>5</v>
      </c>
      <c r="AD33" s="46">
        <v>5</v>
      </c>
      <c r="AE33" s="46">
        <v>5</v>
      </c>
      <c r="AF33" s="46">
        <v>5</v>
      </c>
      <c r="AG33" s="50">
        <v>22</v>
      </c>
      <c r="AH33" s="48">
        <f t="shared" si="10"/>
        <v>5</v>
      </c>
      <c r="AI33" s="49">
        <f t="shared" si="11"/>
        <v>5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6</v>
      </c>
      <c r="C34" s="46">
        <v>6</v>
      </c>
      <c r="D34" s="46">
        <v>6</v>
      </c>
      <c r="E34" s="46">
        <v>6</v>
      </c>
      <c r="F34" s="46">
        <v>6</v>
      </c>
      <c r="G34" s="46">
        <v>6</v>
      </c>
      <c r="H34" s="46">
        <v>6</v>
      </c>
      <c r="I34" s="46">
        <v>6</v>
      </c>
      <c r="J34" s="46">
        <v>6</v>
      </c>
      <c r="K34" s="46">
        <v>6</v>
      </c>
      <c r="L34" s="46">
        <v>6</v>
      </c>
      <c r="M34" s="46">
        <v>6</v>
      </c>
      <c r="N34" s="46">
        <v>6</v>
      </c>
      <c r="O34" s="46">
        <v>6</v>
      </c>
      <c r="P34" s="46">
        <v>6</v>
      </c>
      <c r="Q34" s="46">
        <v>6</v>
      </c>
      <c r="R34" s="46">
        <v>6</v>
      </c>
      <c r="S34" s="46">
        <v>6</v>
      </c>
      <c r="T34" s="46">
        <v>6</v>
      </c>
      <c r="U34" s="46">
        <v>6</v>
      </c>
      <c r="V34" s="46">
        <v>6</v>
      </c>
      <c r="W34" s="46">
        <v>6</v>
      </c>
      <c r="X34" s="46">
        <v>6</v>
      </c>
      <c r="Y34" s="46">
        <v>6</v>
      </c>
      <c r="Z34" s="46">
        <v>6</v>
      </c>
      <c r="AA34" s="46">
        <v>6</v>
      </c>
      <c r="AB34" s="46">
        <v>7.8</v>
      </c>
      <c r="AC34" s="46">
        <v>7.8</v>
      </c>
      <c r="AD34" s="46">
        <v>7.8</v>
      </c>
      <c r="AE34" s="46">
        <v>7.8</v>
      </c>
      <c r="AF34" s="46">
        <v>7.8</v>
      </c>
      <c r="AG34" s="50">
        <v>22</v>
      </c>
      <c r="AH34" s="48">
        <f t="shared" si="10"/>
        <v>7.8</v>
      </c>
      <c r="AI34" s="49">
        <f t="shared" si="11"/>
        <v>6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10"/>
        <v>4</v>
      </c>
      <c r="AI35" s="49">
        <f t="shared" si="11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>
        <v>4</v>
      </c>
      <c r="V36" s="46">
        <v>4</v>
      </c>
      <c r="W36" s="46">
        <v>4</v>
      </c>
      <c r="X36" s="46">
        <v>4</v>
      </c>
      <c r="Y36" s="46">
        <v>4</v>
      </c>
      <c r="Z36" s="46">
        <v>4</v>
      </c>
      <c r="AA36" s="46">
        <v>4</v>
      </c>
      <c r="AB36" s="46">
        <v>4</v>
      </c>
      <c r="AC36" s="46">
        <v>4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10"/>
        <v>4</v>
      </c>
      <c r="AI36" s="49">
        <f t="shared" si="11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>
        <v>5.7</v>
      </c>
      <c r="V37" s="46">
        <v>5.7</v>
      </c>
      <c r="W37" s="46">
        <v>5.7</v>
      </c>
      <c r="X37" s="46">
        <v>5.7</v>
      </c>
      <c r="Y37" s="46">
        <v>5.7</v>
      </c>
      <c r="Z37" s="46">
        <v>5.7</v>
      </c>
      <c r="AA37" s="46">
        <v>5.7</v>
      </c>
      <c r="AB37" s="46">
        <v>5.7</v>
      </c>
      <c r="AC37" s="46">
        <v>5.7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10"/>
        <v>5.7</v>
      </c>
      <c r="AI37" s="49">
        <f t="shared" si="11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7.2</v>
      </c>
      <c r="Q38" s="46">
        <v>7.2</v>
      </c>
      <c r="R38" s="46">
        <v>7.2</v>
      </c>
      <c r="S38" s="46">
        <v>7.2</v>
      </c>
      <c r="T38" s="46">
        <v>7.2</v>
      </c>
      <c r="U38" s="46">
        <v>7.2</v>
      </c>
      <c r="V38" s="46">
        <v>7.2</v>
      </c>
      <c r="W38" s="46">
        <v>7.2</v>
      </c>
      <c r="X38" s="46">
        <v>7.2</v>
      </c>
      <c r="Y38" s="46">
        <v>7.2</v>
      </c>
      <c r="Z38" s="46">
        <v>7.2</v>
      </c>
      <c r="AA38" s="46">
        <v>7.2</v>
      </c>
      <c r="AB38" s="46">
        <v>7.2</v>
      </c>
      <c r="AC38" s="46">
        <v>7.2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10"/>
        <v>7.2</v>
      </c>
      <c r="AI38" s="49">
        <f t="shared" si="11"/>
        <v>7.2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10"/>
        <v>0</v>
      </c>
      <c r="AI39" s="49">
        <f t="shared" si="11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8</v>
      </c>
      <c r="C40" s="46">
        <v>8</v>
      </c>
      <c r="D40" s="46">
        <v>8</v>
      </c>
      <c r="E40" s="46">
        <v>8</v>
      </c>
      <c r="F40" s="46">
        <v>8</v>
      </c>
      <c r="G40" s="46">
        <v>8</v>
      </c>
      <c r="H40" s="46">
        <v>8</v>
      </c>
      <c r="I40" s="46">
        <v>8</v>
      </c>
      <c r="J40" s="46">
        <v>8</v>
      </c>
      <c r="K40" s="46">
        <v>8</v>
      </c>
      <c r="L40" s="46">
        <v>8</v>
      </c>
      <c r="M40" s="46">
        <v>8</v>
      </c>
      <c r="N40" s="46">
        <v>8</v>
      </c>
      <c r="O40" s="46">
        <v>8</v>
      </c>
      <c r="P40" s="46">
        <v>8</v>
      </c>
      <c r="Q40" s="46">
        <v>8</v>
      </c>
      <c r="R40" s="46">
        <v>8</v>
      </c>
      <c r="S40" s="46">
        <v>8</v>
      </c>
      <c r="T40" s="46">
        <v>8</v>
      </c>
      <c r="U40" s="46">
        <v>8</v>
      </c>
      <c r="V40" s="46">
        <v>8</v>
      </c>
      <c r="W40" s="46">
        <v>8</v>
      </c>
      <c r="X40" s="46">
        <v>8</v>
      </c>
      <c r="Y40" s="46">
        <v>8</v>
      </c>
      <c r="Z40" s="46">
        <v>8</v>
      </c>
      <c r="AA40" s="46">
        <v>8</v>
      </c>
      <c r="AB40" s="46">
        <v>8</v>
      </c>
      <c r="AC40" s="46">
        <v>8</v>
      </c>
      <c r="AD40" s="46">
        <v>8</v>
      </c>
      <c r="AE40" s="46">
        <v>8</v>
      </c>
      <c r="AF40" s="46">
        <v>8</v>
      </c>
      <c r="AG40" s="50">
        <v>14.9</v>
      </c>
      <c r="AH40" s="48">
        <f t="shared" si="10"/>
        <v>8</v>
      </c>
      <c r="AI40" s="49">
        <f t="shared" si="11"/>
        <v>8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10"/>
        <v>4</v>
      </c>
      <c r="AI41" s="49">
        <f t="shared" si="11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>
        <v>1.8</v>
      </c>
      <c r="V42" s="46">
        <v>1.8</v>
      </c>
      <c r="W42" s="46">
        <v>1.8</v>
      </c>
      <c r="X42" s="46">
        <v>1.8</v>
      </c>
      <c r="Y42" s="46">
        <v>1.8</v>
      </c>
      <c r="Z42" s="46">
        <v>1.8</v>
      </c>
      <c r="AA42" s="46">
        <v>1.8</v>
      </c>
      <c r="AB42" s="46">
        <v>1.8</v>
      </c>
      <c r="AC42" s="46">
        <v>1.8</v>
      </c>
      <c r="AD42" s="46">
        <v>1.8</v>
      </c>
      <c r="AE42" s="46">
        <v>1.8</v>
      </c>
      <c r="AF42" s="46">
        <v>1.8</v>
      </c>
      <c r="AG42" s="50">
        <v>13.6</v>
      </c>
      <c r="AH42" s="48">
        <f t="shared" si="10"/>
        <v>1.8</v>
      </c>
      <c r="AI42" s="49">
        <f t="shared" si="11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>
        <v>3.8</v>
      </c>
      <c r="V43" s="46">
        <v>3.8</v>
      </c>
      <c r="W43" s="46">
        <v>3.8</v>
      </c>
      <c r="X43" s="46">
        <v>3.8</v>
      </c>
      <c r="Y43" s="46">
        <v>3.8</v>
      </c>
      <c r="Z43" s="46">
        <v>3.8</v>
      </c>
      <c r="AA43" s="46">
        <v>3.8</v>
      </c>
      <c r="AB43" s="46">
        <v>3.8</v>
      </c>
      <c r="AC43" s="46">
        <v>3.8</v>
      </c>
      <c r="AD43" s="46">
        <v>3.8</v>
      </c>
      <c r="AE43" s="46">
        <v>3.8</v>
      </c>
      <c r="AF43" s="46">
        <v>3.8</v>
      </c>
      <c r="AG43" s="50">
        <v>13</v>
      </c>
      <c r="AH43" s="48">
        <f t="shared" si="10"/>
        <v>3.8</v>
      </c>
      <c r="AI43" s="49">
        <f t="shared" si="11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6.4</v>
      </c>
      <c r="C44" s="46">
        <v>6.4</v>
      </c>
      <c r="D44" s="46">
        <v>6.4</v>
      </c>
      <c r="E44" s="46">
        <v>6.4</v>
      </c>
      <c r="F44" s="46">
        <v>6.4</v>
      </c>
      <c r="G44" s="46">
        <v>6.4</v>
      </c>
      <c r="H44" s="46">
        <v>6.4</v>
      </c>
      <c r="I44" s="46">
        <v>6.4</v>
      </c>
      <c r="J44" s="46">
        <v>6.4</v>
      </c>
      <c r="K44" s="46">
        <v>6.4</v>
      </c>
      <c r="L44" s="46">
        <v>6.4</v>
      </c>
      <c r="M44" s="46">
        <v>6.4</v>
      </c>
      <c r="N44" s="46">
        <v>6.4</v>
      </c>
      <c r="O44" s="46">
        <v>6.4</v>
      </c>
      <c r="P44" s="46">
        <v>6.4</v>
      </c>
      <c r="Q44" s="46">
        <v>6.4</v>
      </c>
      <c r="R44" s="46">
        <v>6.4</v>
      </c>
      <c r="S44" s="46">
        <v>6.4</v>
      </c>
      <c r="T44" s="46">
        <v>6.4</v>
      </c>
      <c r="U44" s="46">
        <v>6.4</v>
      </c>
      <c r="V44" s="46">
        <v>6.4</v>
      </c>
      <c r="W44" s="46">
        <v>6.4</v>
      </c>
      <c r="X44" s="46">
        <v>6.4</v>
      </c>
      <c r="Y44" s="46">
        <v>6.4</v>
      </c>
      <c r="Z44" s="46">
        <v>6.4</v>
      </c>
      <c r="AA44" s="46">
        <v>6.4</v>
      </c>
      <c r="AB44" s="46">
        <v>6.4</v>
      </c>
      <c r="AC44" s="46">
        <v>6.4</v>
      </c>
      <c r="AD44" s="46">
        <v>6.4</v>
      </c>
      <c r="AE44" s="46">
        <v>6.4</v>
      </c>
      <c r="AF44" s="46">
        <v>6.4</v>
      </c>
      <c r="AG44" s="50">
        <v>12</v>
      </c>
      <c r="AH44" s="48">
        <f t="shared" si="10"/>
        <v>6.4</v>
      </c>
      <c r="AI44" s="49">
        <f t="shared" si="11"/>
        <v>6.4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>
        <v>9</v>
      </c>
      <c r="V45" s="46">
        <v>9</v>
      </c>
      <c r="W45" s="46">
        <v>9</v>
      </c>
      <c r="X45" s="46">
        <v>9</v>
      </c>
      <c r="Y45" s="46">
        <v>9</v>
      </c>
      <c r="Z45" s="46">
        <v>9</v>
      </c>
      <c r="AA45" s="46">
        <v>9</v>
      </c>
      <c r="AB45" s="46">
        <v>9</v>
      </c>
      <c r="AC45" s="46">
        <v>9</v>
      </c>
      <c r="AD45" s="46">
        <v>9</v>
      </c>
      <c r="AE45" s="46">
        <v>9</v>
      </c>
      <c r="AF45" s="46">
        <v>9</v>
      </c>
      <c r="AG45" s="50">
        <v>12</v>
      </c>
      <c r="AH45" s="48">
        <f t="shared" si="10"/>
        <v>9</v>
      </c>
      <c r="AI45" s="49">
        <f t="shared" si="11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10"/>
        <v>3</v>
      </c>
      <c r="AI46" s="49">
        <f t="shared" si="11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>
        <v>3.5</v>
      </c>
      <c r="V47" s="46">
        <v>3.5</v>
      </c>
      <c r="W47" s="46">
        <v>3.5</v>
      </c>
      <c r="X47" s="46">
        <v>3.5</v>
      </c>
      <c r="Y47" s="46">
        <v>3.5</v>
      </c>
      <c r="Z47" s="46">
        <v>3.5</v>
      </c>
      <c r="AA47" s="46">
        <v>3.5</v>
      </c>
      <c r="AB47" s="46">
        <v>3.5</v>
      </c>
      <c r="AC47" s="46">
        <v>3.5</v>
      </c>
      <c r="AD47" s="46">
        <v>3.5</v>
      </c>
      <c r="AE47" s="46">
        <v>3.5</v>
      </c>
      <c r="AF47" s="46">
        <v>3.5</v>
      </c>
      <c r="AG47" s="63">
        <v>22</v>
      </c>
      <c r="AH47" s="48">
        <f t="shared" si="10"/>
        <v>3.5</v>
      </c>
      <c r="AI47" s="49">
        <f t="shared" si="11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>
        <v>5</v>
      </c>
      <c r="V48" s="46">
        <v>5</v>
      </c>
      <c r="W48" s="46">
        <v>5</v>
      </c>
      <c r="X48" s="46">
        <v>5</v>
      </c>
      <c r="Y48" s="46">
        <v>5</v>
      </c>
      <c r="Z48" s="46">
        <v>5</v>
      </c>
      <c r="AA48" s="46">
        <v>5</v>
      </c>
      <c r="AB48" s="46">
        <v>5</v>
      </c>
      <c r="AC48" s="46">
        <v>5</v>
      </c>
      <c r="AD48" s="46">
        <v>5</v>
      </c>
      <c r="AE48" s="46">
        <v>5</v>
      </c>
      <c r="AF48" s="46">
        <v>5</v>
      </c>
      <c r="AG48" s="60">
        <v>11.88</v>
      </c>
      <c r="AH48" s="48">
        <f t="shared" si="10"/>
        <v>5</v>
      </c>
      <c r="AI48" s="49">
        <f t="shared" si="11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5">
        <v>11</v>
      </c>
      <c r="AH49" s="48">
        <f t="shared" si="10"/>
        <v>3</v>
      </c>
      <c r="AI49" s="49">
        <f t="shared" si="11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4" t="s">
        <v>67</v>
      </c>
      <c r="B50" s="46">
        <v>2.4500000000000002</v>
      </c>
      <c r="C50" s="46">
        <v>2.4500000000000002</v>
      </c>
      <c r="D50" s="46">
        <v>2.4500000000000002</v>
      </c>
      <c r="E50" s="46">
        <v>2.4500000000000002</v>
      </c>
      <c r="F50" s="46">
        <v>2.4500000000000002</v>
      </c>
      <c r="G50" s="46">
        <v>2.4500000000000002</v>
      </c>
      <c r="H50" s="46">
        <v>2.4500000000000002</v>
      </c>
      <c r="I50" s="46">
        <v>2.4500000000000002</v>
      </c>
      <c r="J50" s="46">
        <v>2.4500000000000002</v>
      </c>
      <c r="K50" s="46">
        <v>2.4500000000000002</v>
      </c>
      <c r="L50" s="46">
        <v>2.4500000000000002</v>
      </c>
      <c r="M50" s="46">
        <v>2.4500000000000002</v>
      </c>
      <c r="N50" s="46">
        <v>2.4500000000000002</v>
      </c>
      <c r="O50" s="46">
        <v>2.4500000000000002</v>
      </c>
      <c r="P50" s="46">
        <v>2.4500000000000002</v>
      </c>
      <c r="Q50" s="46">
        <v>2.4500000000000002</v>
      </c>
      <c r="R50" s="46">
        <v>2.4500000000000002</v>
      </c>
      <c r="S50" s="46">
        <v>2.4500000000000002</v>
      </c>
      <c r="T50" s="46">
        <v>2.4500000000000002</v>
      </c>
      <c r="U50" s="46">
        <v>2.4500000000000002</v>
      </c>
      <c r="V50" s="46">
        <v>2.4500000000000002</v>
      </c>
      <c r="W50" s="46">
        <v>2.4500000000000002</v>
      </c>
      <c r="X50" s="46">
        <v>2.4500000000000002</v>
      </c>
      <c r="Y50" s="46">
        <v>2.4500000000000002</v>
      </c>
      <c r="Z50" s="46">
        <v>2.4500000000000002</v>
      </c>
      <c r="AA50" s="46">
        <v>2.4500000000000002</v>
      </c>
      <c r="AB50" s="46">
        <v>2.4500000000000002</v>
      </c>
      <c r="AC50" s="46">
        <v>2.4500000000000002</v>
      </c>
      <c r="AD50" s="46">
        <v>2.4500000000000002</v>
      </c>
      <c r="AE50" s="46">
        <v>2.4500000000000002</v>
      </c>
      <c r="AF50" s="46">
        <v>2.4500000000000002</v>
      </c>
      <c r="AG50" s="65">
        <v>11</v>
      </c>
      <c r="AH50" s="48">
        <f t="shared" si="10"/>
        <v>2.4500000000000002</v>
      </c>
      <c r="AI50" s="49">
        <f t="shared" si="11"/>
        <v>2.4500000000000002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65">
        <v>11</v>
      </c>
      <c r="AH51" s="48">
        <f t="shared" si="10"/>
        <v>3</v>
      </c>
      <c r="AI51" s="49">
        <f t="shared" si="11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5">
        <v>10</v>
      </c>
      <c r="AH52" s="48">
        <f t="shared" si="10"/>
        <v>4</v>
      </c>
      <c r="AI52" s="49">
        <f t="shared" si="11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>
        <v>4.5</v>
      </c>
      <c r="V53" s="46">
        <v>4.5</v>
      </c>
      <c r="W53" s="46">
        <v>4.5</v>
      </c>
      <c r="X53" s="46">
        <v>4.5</v>
      </c>
      <c r="Y53" s="46">
        <v>4.5</v>
      </c>
      <c r="Z53" s="46">
        <v>4.5</v>
      </c>
      <c r="AA53" s="46">
        <v>4.5</v>
      </c>
      <c r="AB53" s="46">
        <v>4.5</v>
      </c>
      <c r="AC53" s="46">
        <v>4.5</v>
      </c>
      <c r="AD53" s="46">
        <v>4.5</v>
      </c>
      <c r="AE53" s="46">
        <v>4.5</v>
      </c>
      <c r="AF53" s="46">
        <v>4.5</v>
      </c>
      <c r="AG53" s="65">
        <v>10</v>
      </c>
      <c r="AH53" s="48">
        <f t="shared" si="10"/>
        <v>4.5</v>
      </c>
      <c r="AI53" s="49">
        <f t="shared" si="11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5">
        <v>10</v>
      </c>
      <c r="AH54" s="48">
        <f t="shared" si="10"/>
        <v>0</v>
      </c>
      <c r="AI54" s="49">
        <f t="shared" si="11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5">
        <v>10</v>
      </c>
      <c r="AH55" s="48">
        <f t="shared" si="10"/>
        <v>0</v>
      </c>
      <c r="AI55" s="49">
        <f t="shared" si="11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>
        <v>150</v>
      </c>
      <c r="W56" s="67">
        <v>150</v>
      </c>
      <c r="X56" s="67">
        <v>150</v>
      </c>
      <c r="Y56" s="67">
        <v>150</v>
      </c>
      <c r="Z56" s="67">
        <v>150</v>
      </c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10"/>
        <v>150</v>
      </c>
      <c r="AI56" s="49">
        <f t="shared" si="11"/>
        <v>150</v>
      </c>
      <c r="AK56" s="51"/>
    </row>
    <row r="57" spans="1:88" ht="15.75" thickBot="1" x14ac:dyDescent="0.3">
      <c r="A57" s="68" t="s">
        <v>74</v>
      </c>
      <c r="B57" s="67">
        <v>26.1</v>
      </c>
      <c r="C57" s="67">
        <v>23.5</v>
      </c>
      <c r="D57" s="67">
        <v>23.5</v>
      </c>
      <c r="E57" s="67">
        <f>10.6+16.2</f>
        <v>26.799999999999997</v>
      </c>
      <c r="F57" s="67">
        <f>9.7+16</f>
        <v>25.7</v>
      </c>
      <c r="G57" s="67">
        <f>9.7+15.7</f>
        <v>25.4</v>
      </c>
      <c r="H57" s="67">
        <f>9.5+14.7</f>
        <v>24.2</v>
      </c>
      <c r="I57" s="67">
        <f>9+13.5</f>
        <v>22.5</v>
      </c>
      <c r="J57" s="67">
        <f>9+13.2</f>
        <v>22.2</v>
      </c>
      <c r="K57" s="53">
        <f>9.8+15.4</f>
        <v>25.200000000000003</v>
      </c>
      <c r="L57" s="53">
        <f>9.2+13.5</f>
        <v>22.7</v>
      </c>
      <c r="M57" s="53">
        <v>21.2</v>
      </c>
      <c r="N57" s="53">
        <v>24.7</v>
      </c>
      <c r="O57" s="53">
        <v>24</v>
      </c>
      <c r="P57" s="53">
        <v>24</v>
      </c>
      <c r="Q57" s="53">
        <v>24</v>
      </c>
      <c r="R57" s="53">
        <v>24</v>
      </c>
      <c r="S57" s="53">
        <v>24</v>
      </c>
      <c r="T57" s="53">
        <v>24</v>
      </c>
      <c r="U57" s="53">
        <v>24</v>
      </c>
      <c r="V57" s="53">
        <v>24</v>
      </c>
      <c r="W57" s="53">
        <v>24</v>
      </c>
      <c r="X57" s="53">
        <v>24</v>
      </c>
      <c r="Y57" s="53">
        <v>24</v>
      </c>
      <c r="Z57" s="53">
        <v>24</v>
      </c>
      <c r="AA57" s="53">
        <v>24</v>
      </c>
      <c r="AB57" s="53">
        <f>4.8+9.7</f>
        <v>14.5</v>
      </c>
      <c r="AC57" s="67">
        <f>12+7.4</f>
        <v>19.399999999999999</v>
      </c>
      <c r="AD57" s="67">
        <f>8.4+3.1</f>
        <v>11.5</v>
      </c>
      <c r="AE57" s="67">
        <f>11.3+17.3</f>
        <v>28.6</v>
      </c>
      <c r="AF57" s="67">
        <f>11.3+17.3</f>
        <v>28.6</v>
      </c>
      <c r="AG57" s="65">
        <v>240</v>
      </c>
      <c r="AH57" s="48">
        <f t="shared" si="10"/>
        <v>28.6</v>
      </c>
      <c r="AI57" s="49">
        <f t="shared" si="11"/>
        <v>11.5</v>
      </c>
      <c r="AK57" s="51"/>
    </row>
    <row r="58" spans="1:88" ht="15.75" thickBot="1" x14ac:dyDescent="0.3">
      <c r="A58" s="69" t="s">
        <v>75</v>
      </c>
      <c r="B58" s="70">
        <f t="shared" ref="B58:C58" si="29">SUM(B11:B56)</f>
        <v>477.15</v>
      </c>
      <c r="C58" s="70">
        <f t="shared" si="29"/>
        <v>477.15</v>
      </c>
      <c r="D58" s="70">
        <f t="shared" ref="D58" si="30">SUM(D11:D56)</f>
        <v>477.15</v>
      </c>
      <c r="E58" s="70">
        <f t="shared" ref="E58:AD58" si="31">SUM(E11:E56)</f>
        <v>477.15</v>
      </c>
      <c r="F58" s="70">
        <f t="shared" si="31"/>
        <v>477.15</v>
      </c>
      <c r="G58" s="70">
        <f t="shared" si="31"/>
        <v>477.15</v>
      </c>
      <c r="H58" s="70">
        <f t="shared" si="31"/>
        <v>477.15</v>
      </c>
      <c r="I58" s="70">
        <f t="shared" si="31"/>
        <v>477.15</v>
      </c>
      <c r="J58" s="70">
        <f t="shared" si="31"/>
        <v>477.15</v>
      </c>
      <c r="K58" s="70">
        <f t="shared" si="31"/>
        <v>477.15</v>
      </c>
      <c r="L58" s="70">
        <f t="shared" si="31"/>
        <v>477.15</v>
      </c>
      <c r="M58" s="70">
        <f t="shared" si="31"/>
        <v>477.15</v>
      </c>
      <c r="N58" s="70">
        <f t="shared" si="31"/>
        <v>477.15</v>
      </c>
      <c r="O58" s="70">
        <f t="shared" si="31"/>
        <v>477.15</v>
      </c>
      <c r="P58" s="70">
        <f t="shared" si="31"/>
        <v>477.15</v>
      </c>
      <c r="Q58" s="70">
        <f t="shared" si="31"/>
        <v>477.15</v>
      </c>
      <c r="R58" s="70">
        <f t="shared" si="31"/>
        <v>477.15</v>
      </c>
      <c r="S58" s="70">
        <f t="shared" si="31"/>
        <v>477.15</v>
      </c>
      <c r="T58" s="70">
        <f t="shared" si="31"/>
        <v>477.15</v>
      </c>
      <c r="U58" s="70">
        <f t="shared" si="31"/>
        <v>477.15</v>
      </c>
      <c r="V58" s="70">
        <f t="shared" si="31"/>
        <v>477.15</v>
      </c>
      <c r="W58" s="70">
        <f t="shared" si="31"/>
        <v>476.95</v>
      </c>
      <c r="X58" s="70">
        <f t="shared" si="31"/>
        <v>476.95</v>
      </c>
      <c r="Y58" s="70">
        <f t="shared" si="31"/>
        <v>476.95</v>
      </c>
      <c r="Z58" s="70">
        <f t="shared" si="31"/>
        <v>476.95</v>
      </c>
      <c r="AA58" s="70">
        <f t="shared" si="31"/>
        <v>476.95</v>
      </c>
      <c r="AB58" s="70">
        <f t="shared" ref="AB58" si="32">SUM(AB11:AB56)</f>
        <v>476.05</v>
      </c>
      <c r="AC58" s="70">
        <f t="shared" si="31"/>
        <v>475.75</v>
      </c>
      <c r="AD58" s="70">
        <f t="shared" si="31"/>
        <v>475.75</v>
      </c>
      <c r="AE58" s="70">
        <f t="shared" ref="AE58:AF58" si="33">SUM(AE11:AE56)</f>
        <v>475.75</v>
      </c>
      <c r="AF58" s="70">
        <f t="shared" si="33"/>
        <v>474.95</v>
      </c>
      <c r="AG58" s="71">
        <f>SUM(AG14:AG56)</f>
        <v>1042.4000000000001</v>
      </c>
      <c r="AH58" s="48">
        <f t="shared" si="10"/>
        <v>477.15</v>
      </c>
      <c r="AI58" s="49">
        <f t="shared" si="11"/>
        <v>474.95</v>
      </c>
      <c r="AK58" s="51"/>
    </row>
    <row r="59" spans="1:88" x14ac:dyDescent="0.25">
      <c r="A59" s="72" t="s">
        <v>76</v>
      </c>
      <c r="B59" s="46">
        <v>70.400000000000006</v>
      </c>
      <c r="C59" s="46">
        <v>70.400000000000006</v>
      </c>
      <c r="D59" s="46">
        <v>70.400000000000006</v>
      </c>
      <c r="E59" s="46">
        <v>76.3</v>
      </c>
      <c r="F59" s="46">
        <v>70.400000000000006</v>
      </c>
      <c r="G59" s="46">
        <v>70.400000000000006</v>
      </c>
      <c r="H59" s="46">
        <v>76.400000000000006</v>
      </c>
      <c r="I59" s="46">
        <v>70.400000000000006</v>
      </c>
      <c r="J59" s="46">
        <v>0</v>
      </c>
      <c r="K59" s="46">
        <v>0</v>
      </c>
      <c r="L59" s="46">
        <v>0</v>
      </c>
      <c r="M59" s="46">
        <v>0</v>
      </c>
      <c r="N59" s="46">
        <v>0</v>
      </c>
      <c r="O59" s="46">
        <v>0</v>
      </c>
      <c r="P59" s="46">
        <v>0</v>
      </c>
      <c r="Q59" s="46">
        <v>0</v>
      </c>
      <c r="R59" s="46">
        <v>0</v>
      </c>
      <c r="S59" s="73">
        <v>0</v>
      </c>
      <c r="T59" s="73">
        <v>0</v>
      </c>
      <c r="U59" s="73">
        <v>0</v>
      </c>
      <c r="V59" s="73">
        <v>0</v>
      </c>
      <c r="W59" s="46">
        <v>0</v>
      </c>
      <c r="X59" s="46">
        <v>0</v>
      </c>
      <c r="Y59" s="46">
        <v>381</v>
      </c>
      <c r="Z59" s="46">
        <v>381.8</v>
      </c>
      <c r="AA59" s="46">
        <v>361.9</v>
      </c>
      <c r="AB59" s="46">
        <v>331.5</v>
      </c>
      <c r="AC59" s="46">
        <v>311.2</v>
      </c>
      <c r="AD59" s="46">
        <v>160</v>
      </c>
      <c r="AE59" s="46">
        <v>70.3</v>
      </c>
      <c r="AF59" s="46">
        <v>76.2</v>
      </c>
      <c r="AG59" s="60">
        <v>456</v>
      </c>
      <c r="AH59" s="48">
        <f t="shared" si="10"/>
        <v>381.8</v>
      </c>
      <c r="AI59" s="49">
        <f t="shared" si="11"/>
        <v>0</v>
      </c>
      <c r="AK59" s="51"/>
    </row>
    <row r="60" spans="1:88" x14ac:dyDescent="0.25">
      <c r="A60" s="74" t="s">
        <v>77</v>
      </c>
      <c r="B60" s="75">
        <v>20.6</v>
      </c>
      <c r="C60" s="75">
        <v>20.6</v>
      </c>
      <c r="D60" s="75">
        <v>20.6</v>
      </c>
      <c r="E60" s="75">
        <v>20.6</v>
      </c>
      <c r="F60" s="75">
        <v>20.399999999999999</v>
      </c>
      <c r="G60" s="75">
        <v>20.399999999999999</v>
      </c>
      <c r="H60" s="75">
        <v>20.2</v>
      </c>
      <c r="I60" s="75">
        <v>20.8</v>
      </c>
      <c r="J60" s="75">
        <v>20.100000000000001</v>
      </c>
      <c r="K60" s="75">
        <v>20.7</v>
      </c>
      <c r="L60" s="75">
        <v>20.9</v>
      </c>
      <c r="M60" s="75">
        <v>20.9</v>
      </c>
      <c r="N60" s="75">
        <v>20.9</v>
      </c>
      <c r="O60" s="75">
        <v>20.9</v>
      </c>
      <c r="P60" s="75">
        <v>20.9</v>
      </c>
      <c r="Q60" s="75">
        <v>20.9</v>
      </c>
      <c r="R60" s="75">
        <v>20.9</v>
      </c>
      <c r="S60" s="75">
        <v>20.6</v>
      </c>
      <c r="T60" s="75">
        <v>20.2</v>
      </c>
      <c r="U60" s="75">
        <v>20.8</v>
      </c>
      <c r="V60" s="75">
        <v>20.7</v>
      </c>
      <c r="W60" s="75">
        <v>20.3</v>
      </c>
      <c r="X60" s="75">
        <v>20.3</v>
      </c>
      <c r="Y60" s="75">
        <v>21.1</v>
      </c>
      <c r="Z60" s="75">
        <v>20.9</v>
      </c>
      <c r="AA60" s="75">
        <v>20.5</v>
      </c>
      <c r="AB60" s="75">
        <v>20.399999999999999</v>
      </c>
      <c r="AC60" s="75">
        <v>20.399999999999999</v>
      </c>
      <c r="AD60" s="75">
        <v>20.399999999999999</v>
      </c>
      <c r="AE60" s="75">
        <v>20.399999999999999</v>
      </c>
      <c r="AF60" s="75">
        <v>20.399999999999999</v>
      </c>
      <c r="AG60" s="65">
        <v>60</v>
      </c>
      <c r="AH60" s="48">
        <f t="shared" si="10"/>
        <v>21.1</v>
      </c>
      <c r="AI60" s="49">
        <f t="shared" si="11"/>
        <v>20.100000000000001</v>
      </c>
      <c r="AK60" s="51"/>
    </row>
    <row r="61" spans="1:88" ht="15.75" thickBot="1" x14ac:dyDescent="0.3">
      <c r="A61" s="76" t="s">
        <v>78</v>
      </c>
      <c r="B61" s="77">
        <v>11</v>
      </c>
      <c r="C61" s="77">
        <v>11</v>
      </c>
      <c r="D61" s="77">
        <v>11</v>
      </c>
      <c r="E61" s="77">
        <v>10.199999999999999</v>
      </c>
      <c r="F61" s="77">
        <v>10.199999999999999</v>
      </c>
      <c r="G61" s="77">
        <v>10.3</v>
      </c>
      <c r="H61" s="77">
        <v>10.3</v>
      </c>
      <c r="I61" s="77">
        <v>10.199999999999999</v>
      </c>
      <c r="J61" s="77">
        <v>10.3</v>
      </c>
      <c r="K61" s="77">
        <v>10.3</v>
      </c>
      <c r="L61" s="77">
        <v>10.3</v>
      </c>
      <c r="M61" s="77">
        <v>10.3</v>
      </c>
      <c r="N61" s="77">
        <v>10.3</v>
      </c>
      <c r="O61" s="77">
        <v>10.3</v>
      </c>
      <c r="P61" s="77">
        <v>10.3</v>
      </c>
      <c r="Q61" s="77">
        <v>10.3</v>
      </c>
      <c r="R61" s="77">
        <v>10.3</v>
      </c>
      <c r="S61" s="77">
        <v>9.3000000000000007</v>
      </c>
      <c r="T61" s="77">
        <v>9.1999999999999993</v>
      </c>
      <c r="U61" s="77">
        <v>9.3000000000000007</v>
      </c>
      <c r="V61" s="77">
        <v>9.4</v>
      </c>
      <c r="W61" s="77">
        <v>9.3000000000000007</v>
      </c>
      <c r="X61" s="77">
        <v>9.3000000000000007</v>
      </c>
      <c r="Y61" s="77">
        <v>14.9</v>
      </c>
      <c r="Z61" s="77">
        <v>14.8</v>
      </c>
      <c r="AA61" s="77">
        <v>14.8</v>
      </c>
      <c r="AB61" s="77">
        <v>14.8</v>
      </c>
      <c r="AC61" s="77">
        <v>14.9</v>
      </c>
      <c r="AD61" s="77">
        <v>14.8</v>
      </c>
      <c r="AE61" s="77">
        <v>14.8</v>
      </c>
      <c r="AF61" s="77">
        <v>11.4</v>
      </c>
      <c r="AG61" s="78">
        <v>22.1</v>
      </c>
      <c r="AH61" s="48">
        <f t="shared" si="10"/>
        <v>14.9</v>
      </c>
      <c r="AI61" s="49">
        <f t="shared" si="11"/>
        <v>9.1999999999999993</v>
      </c>
      <c r="AK61" s="51"/>
    </row>
    <row r="62" spans="1:88" ht="15.75" thickBot="1" x14ac:dyDescent="0.3">
      <c r="A62" s="79" t="s">
        <v>79</v>
      </c>
      <c r="B62" s="70">
        <f t="shared" ref="B62:C62" si="34">SUM(B59:B61)</f>
        <v>102</v>
      </c>
      <c r="C62" s="70">
        <f t="shared" si="34"/>
        <v>102</v>
      </c>
      <c r="D62" s="70">
        <f t="shared" ref="D62" si="35">SUM(D59:D61)</f>
        <v>102</v>
      </c>
      <c r="E62" s="70">
        <f t="shared" ref="E62:AG62" si="36">SUM(E59:E61)</f>
        <v>107.10000000000001</v>
      </c>
      <c r="F62" s="70">
        <f t="shared" si="36"/>
        <v>101.00000000000001</v>
      </c>
      <c r="G62" s="70">
        <f t="shared" si="36"/>
        <v>101.10000000000001</v>
      </c>
      <c r="H62" s="70">
        <f t="shared" si="36"/>
        <v>106.9</v>
      </c>
      <c r="I62" s="70">
        <f t="shared" si="36"/>
        <v>101.4</v>
      </c>
      <c r="J62" s="70">
        <f t="shared" si="36"/>
        <v>30.400000000000002</v>
      </c>
      <c r="K62" s="70">
        <f t="shared" si="36"/>
        <v>31</v>
      </c>
      <c r="L62" s="70">
        <f t="shared" si="36"/>
        <v>31.2</v>
      </c>
      <c r="M62" s="70">
        <f t="shared" si="36"/>
        <v>31.2</v>
      </c>
      <c r="N62" s="70">
        <f t="shared" si="36"/>
        <v>31.2</v>
      </c>
      <c r="O62" s="70">
        <f t="shared" si="36"/>
        <v>31.2</v>
      </c>
      <c r="P62" s="70">
        <f t="shared" si="36"/>
        <v>31.2</v>
      </c>
      <c r="Q62" s="70">
        <f t="shared" si="36"/>
        <v>31.2</v>
      </c>
      <c r="R62" s="70">
        <f t="shared" si="36"/>
        <v>31.2</v>
      </c>
      <c r="S62" s="70">
        <f t="shared" si="36"/>
        <v>29.900000000000002</v>
      </c>
      <c r="T62" s="70">
        <f t="shared" si="36"/>
        <v>29.4</v>
      </c>
      <c r="U62" s="70">
        <f t="shared" si="36"/>
        <v>30.1</v>
      </c>
      <c r="V62" s="70">
        <f t="shared" si="36"/>
        <v>30.1</v>
      </c>
      <c r="W62" s="70">
        <f t="shared" si="36"/>
        <v>29.6</v>
      </c>
      <c r="X62" s="70">
        <f t="shared" si="36"/>
        <v>29.6</v>
      </c>
      <c r="Y62" s="70">
        <f t="shared" si="36"/>
        <v>417</v>
      </c>
      <c r="Z62" s="70">
        <f t="shared" si="36"/>
        <v>417.5</v>
      </c>
      <c r="AA62" s="70">
        <f t="shared" si="36"/>
        <v>397.2</v>
      </c>
      <c r="AB62" s="70">
        <f t="shared" ref="AB62" si="37">SUM(AB59:AB61)</f>
        <v>366.7</v>
      </c>
      <c r="AC62" s="70">
        <f t="shared" si="36"/>
        <v>346.49999999999994</v>
      </c>
      <c r="AD62" s="70">
        <f t="shared" si="36"/>
        <v>195.20000000000002</v>
      </c>
      <c r="AE62" s="70">
        <f t="shared" ref="AE62:AF62" si="38">SUM(AE59:AE61)</f>
        <v>105.49999999999999</v>
      </c>
      <c r="AF62" s="70">
        <f t="shared" si="38"/>
        <v>108</v>
      </c>
      <c r="AG62" s="71">
        <f t="shared" si="36"/>
        <v>538.1</v>
      </c>
      <c r="AH62" s="48">
        <f t="shared" si="10"/>
        <v>417.5</v>
      </c>
      <c r="AI62" s="49">
        <f t="shared" si="11"/>
        <v>29.4</v>
      </c>
      <c r="AK62" s="51"/>
    </row>
    <row r="63" spans="1:88" x14ac:dyDescent="0.25">
      <c r="A63" s="45" t="s">
        <v>80</v>
      </c>
      <c r="B63" s="46">
        <v>60</v>
      </c>
      <c r="C63" s="46">
        <v>45.5</v>
      </c>
      <c r="D63" s="46">
        <v>45.5</v>
      </c>
      <c r="E63" s="46">
        <v>0</v>
      </c>
      <c r="F63" s="46">
        <v>0</v>
      </c>
      <c r="G63" s="46">
        <v>30.3</v>
      </c>
      <c r="H63" s="46">
        <v>48.3</v>
      </c>
      <c r="I63" s="46">
        <v>48.3</v>
      </c>
      <c r="J63" s="46">
        <v>30.1</v>
      </c>
      <c r="K63" s="46">
        <v>30.2</v>
      </c>
      <c r="L63" s="46">
        <v>30.5</v>
      </c>
      <c r="M63" s="46">
        <v>48</v>
      </c>
      <c r="N63" s="46">
        <v>40</v>
      </c>
      <c r="O63" s="46">
        <v>48.4</v>
      </c>
      <c r="P63" s="46">
        <v>48.4</v>
      </c>
      <c r="Q63" s="46">
        <v>36.4</v>
      </c>
      <c r="R63" s="46">
        <v>36.4</v>
      </c>
      <c r="S63" s="46">
        <v>36.299999999999997</v>
      </c>
      <c r="T63" s="46">
        <v>45.2</v>
      </c>
      <c r="U63" s="46">
        <v>36.200000000000003</v>
      </c>
      <c r="V63" s="46">
        <v>60.8</v>
      </c>
      <c r="W63" s="46">
        <v>60.9</v>
      </c>
      <c r="X63" s="46">
        <v>67</v>
      </c>
      <c r="Y63" s="46">
        <v>91.8</v>
      </c>
      <c r="Z63" s="46">
        <v>142</v>
      </c>
      <c r="AA63" s="46">
        <v>140.9</v>
      </c>
      <c r="AB63" s="46">
        <v>139.9</v>
      </c>
      <c r="AC63" s="46">
        <v>122</v>
      </c>
      <c r="AD63" s="46">
        <v>100</v>
      </c>
      <c r="AE63" s="46">
        <v>70.5</v>
      </c>
      <c r="AF63" s="46">
        <v>48.4</v>
      </c>
      <c r="AG63" s="60">
        <v>144</v>
      </c>
      <c r="AH63" s="48">
        <f t="shared" si="10"/>
        <v>142</v>
      </c>
      <c r="AI63" s="49">
        <f t="shared" si="11"/>
        <v>0</v>
      </c>
      <c r="AK63" s="51"/>
    </row>
    <row r="64" spans="1:88" x14ac:dyDescent="0.25">
      <c r="A64" s="64" t="s">
        <v>81</v>
      </c>
      <c r="B64" s="75">
        <v>34.5</v>
      </c>
      <c r="C64" s="75">
        <v>35.299999999999997</v>
      </c>
      <c r="D64" s="75">
        <v>32.700000000000003</v>
      </c>
      <c r="E64" s="75">
        <v>25.5</v>
      </c>
      <c r="F64" s="75">
        <v>24.6</v>
      </c>
      <c r="G64" s="75">
        <v>24.9</v>
      </c>
      <c r="H64" s="75">
        <v>25.3</v>
      </c>
      <c r="I64" s="75">
        <v>35.5</v>
      </c>
      <c r="J64" s="75">
        <v>0</v>
      </c>
      <c r="K64" s="75">
        <v>0</v>
      </c>
      <c r="L64" s="75">
        <v>34.700000000000003</v>
      </c>
      <c r="M64" s="75">
        <v>31.4</v>
      </c>
      <c r="N64" s="75">
        <v>34.799999999999997</v>
      </c>
      <c r="O64" s="75">
        <v>23.2</v>
      </c>
      <c r="P64" s="75">
        <v>23.2</v>
      </c>
      <c r="Q64" s="75">
        <v>23.2</v>
      </c>
      <c r="R64" s="75">
        <v>23.2</v>
      </c>
      <c r="S64" s="75">
        <v>23.2</v>
      </c>
      <c r="T64" s="75">
        <v>34.799999999999997</v>
      </c>
      <c r="U64" s="75">
        <v>29.8</v>
      </c>
      <c r="V64" s="75">
        <v>25</v>
      </c>
      <c r="W64" s="46">
        <v>0</v>
      </c>
      <c r="X64" s="46">
        <v>0</v>
      </c>
      <c r="Y64" s="46">
        <v>49.1</v>
      </c>
      <c r="Z64" s="46">
        <v>68.599999999999994</v>
      </c>
      <c r="AA64" s="46">
        <v>70.3</v>
      </c>
      <c r="AB64" s="46">
        <v>60.3</v>
      </c>
      <c r="AC64" s="46">
        <v>59.9</v>
      </c>
      <c r="AD64" s="46">
        <v>54.6</v>
      </c>
      <c r="AE64" s="46">
        <v>26.5</v>
      </c>
      <c r="AF64" s="46">
        <v>25.7</v>
      </c>
      <c r="AG64" s="65">
        <v>70</v>
      </c>
      <c r="AH64" s="48">
        <f t="shared" si="10"/>
        <v>70.3</v>
      </c>
      <c r="AI64" s="49">
        <f t="shared" si="11"/>
        <v>0</v>
      </c>
      <c r="AK64" s="51"/>
    </row>
    <row r="65" spans="1:75" x14ac:dyDescent="0.25">
      <c r="A65" s="64" t="s">
        <v>82</v>
      </c>
      <c r="B65" s="75">
        <v>37.5</v>
      </c>
      <c r="C65" s="75">
        <v>31.4</v>
      </c>
      <c r="D65" s="75">
        <v>31.4</v>
      </c>
      <c r="E65" s="75">
        <v>22</v>
      </c>
      <c r="F65" s="75">
        <v>22.8</v>
      </c>
      <c r="G65" s="75">
        <v>23.3</v>
      </c>
      <c r="H65" s="75">
        <v>23.4</v>
      </c>
      <c r="I65" s="75">
        <v>46.8</v>
      </c>
      <c r="J65" s="75">
        <v>0</v>
      </c>
      <c r="K65" s="75">
        <v>17.600000000000001</v>
      </c>
      <c r="L65" s="75">
        <v>44.1</v>
      </c>
      <c r="M65" s="75">
        <v>44.1</v>
      </c>
      <c r="N65" s="75">
        <v>44.1</v>
      </c>
      <c r="O65" s="75">
        <v>32.200000000000003</v>
      </c>
      <c r="P65" s="75">
        <v>32.200000000000003</v>
      </c>
      <c r="Q65" s="75">
        <v>32.200000000000003</v>
      </c>
      <c r="R65" s="75">
        <v>32.200000000000003</v>
      </c>
      <c r="S65" s="75">
        <v>32.4</v>
      </c>
      <c r="T65" s="75">
        <v>34.299999999999997</v>
      </c>
      <c r="U65" s="75">
        <v>34.200000000000003</v>
      </c>
      <c r="V65" s="75">
        <v>0</v>
      </c>
      <c r="W65" s="46">
        <v>0</v>
      </c>
      <c r="X65" s="46">
        <v>0</v>
      </c>
      <c r="Y65" s="46">
        <v>0</v>
      </c>
      <c r="Z65" s="46">
        <v>45.5</v>
      </c>
      <c r="AA65" s="46">
        <v>46.1</v>
      </c>
      <c r="AB65" s="46">
        <v>46.4</v>
      </c>
      <c r="AC65" s="46">
        <v>46</v>
      </c>
      <c r="AD65" s="46">
        <v>46.2</v>
      </c>
      <c r="AE65" s="46">
        <v>46</v>
      </c>
      <c r="AF65" s="46">
        <v>22.1</v>
      </c>
      <c r="AG65" s="65">
        <v>69</v>
      </c>
      <c r="AH65" s="48">
        <f t="shared" si="10"/>
        <v>46.8</v>
      </c>
      <c r="AI65" s="49">
        <f t="shared" si="11"/>
        <v>0</v>
      </c>
      <c r="AK65" s="51"/>
    </row>
    <row r="66" spans="1:75" x14ac:dyDescent="0.25">
      <c r="A66" s="64" t="s">
        <v>83</v>
      </c>
      <c r="B66" s="75">
        <v>35.200000000000003</v>
      </c>
      <c r="C66" s="75">
        <v>35.200000000000003</v>
      </c>
      <c r="D66" s="75">
        <v>35.200000000000003</v>
      </c>
      <c r="E66" s="75">
        <v>36.299999999999997</v>
      </c>
      <c r="F66" s="75">
        <v>36.299999999999997</v>
      </c>
      <c r="G66" s="75">
        <v>37.799999999999997</v>
      </c>
      <c r="H66" s="75">
        <v>35.799999999999997</v>
      </c>
      <c r="I66" s="75">
        <v>36.299999999999997</v>
      </c>
      <c r="J66" s="75">
        <v>36.299999999999997</v>
      </c>
      <c r="K66" s="67">
        <v>36.299999999999997</v>
      </c>
      <c r="L66" s="67">
        <v>36</v>
      </c>
      <c r="M66" s="67">
        <v>36</v>
      </c>
      <c r="N66" s="67">
        <v>36</v>
      </c>
      <c r="O66" s="67">
        <v>35.299999999999997</v>
      </c>
      <c r="P66" s="67">
        <v>35.299999999999997</v>
      </c>
      <c r="Q66" s="67">
        <v>35.299999999999997</v>
      </c>
      <c r="R66" s="67">
        <v>35.299999999999997</v>
      </c>
      <c r="S66" s="75">
        <v>35.299999999999997</v>
      </c>
      <c r="T66" s="75">
        <v>33.9</v>
      </c>
      <c r="U66" s="75">
        <v>33</v>
      </c>
      <c r="V66" s="75">
        <v>33.5</v>
      </c>
      <c r="W66" s="46">
        <v>33.299999999999997</v>
      </c>
      <c r="X66" s="46">
        <v>33.5</v>
      </c>
      <c r="Y66" s="46">
        <v>33.299999999999997</v>
      </c>
      <c r="Z66" s="46">
        <v>33.5</v>
      </c>
      <c r="AA66" s="46">
        <v>34</v>
      </c>
      <c r="AB66" s="46">
        <v>34</v>
      </c>
      <c r="AC66" s="46">
        <v>34</v>
      </c>
      <c r="AD66" s="46">
        <v>34</v>
      </c>
      <c r="AE66" s="46">
        <v>36.299999999999997</v>
      </c>
      <c r="AF66" s="46">
        <v>38.299999999999997</v>
      </c>
      <c r="AG66" s="65">
        <v>60</v>
      </c>
      <c r="AH66" s="48">
        <f t="shared" si="10"/>
        <v>38.299999999999997</v>
      </c>
      <c r="AI66" s="49">
        <f t="shared" si="11"/>
        <v>33</v>
      </c>
      <c r="AK66" s="51"/>
    </row>
    <row r="67" spans="1:75" x14ac:dyDescent="0.25">
      <c r="A67" s="64" t="s">
        <v>84</v>
      </c>
      <c r="B67" s="46">
        <v>9.8000000000000007</v>
      </c>
      <c r="C67" s="46">
        <v>0</v>
      </c>
      <c r="D67" s="46">
        <v>0</v>
      </c>
      <c r="E67" s="75">
        <v>0</v>
      </c>
      <c r="F67" s="75">
        <v>0</v>
      </c>
      <c r="G67" s="75">
        <v>0</v>
      </c>
      <c r="H67" s="75">
        <v>0</v>
      </c>
      <c r="I67" s="75">
        <v>10.5</v>
      </c>
      <c r="J67" s="75">
        <v>10.5</v>
      </c>
      <c r="K67" s="75">
        <v>22.6</v>
      </c>
      <c r="L67" s="67">
        <v>22.5</v>
      </c>
      <c r="M67" s="67">
        <v>22.5</v>
      </c>
      <c r="N67" s="67">
        <v>14.4</v>
      </c>
      <c r="O67" s="67">
        <v>10.1</v>
      </c>
      <c r="P67" s="67">
        <v>13</v>
      </c>
      <c r="Q67" s="67">
        <v>13</v>
      </c>
      <c r="R67" s="67">
        <v>10</v>
      </c>
      <c r="S67" s="75">
        <v>12</v>
      </c>
      <c r="T67" s="75">
        <v>14</v>
      </c>
      <c r="U67" s="75">
        <v>0</v>
      </c>
      <c r="V67" s="75">
        <v>0</v>
      </c>
      <c r="W67" s="46">
        <v>0</v>
      </c>
      <c r="X67" s="46">
        <v>0</v>
      </c>
      <c r="Y67" s="46">
        <v>9.5</v>
      </c>
      <c r="Z67" s="46">
        <v>9.6999999999999993</v>
      </c>
      <c r="AA67" s="46">
        <v>9.6999999999999993</v>
      </c>
      <c r="AB67" s="46">
        <v>22.1</v>
      </c>
      <c r="AC67" s="46">
        <v>14.5</v>
      </c>
      <c r="AD67" s="46">
        <v>14.5</v>
      </c>
      <c r="AE67" s="46">
        <v>14.4</v>
      </c>
      <c r="AF67" s="46">
        <v>14.3</v>
      </c>
      <c r="AG67" s="65">
        <v>30</v>
      </c>
      <c r="AH67" s="48">
        <f t="shared" si="10"/>
        <v>22.6</v>
      </c>
      <c r="AI67" s="49">
        <f t="shared" si="11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</row>
    <row r="68" spans="1:75" x14ac:dyDescent="0.25">
      <c r="A68" s="64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75">
        <v>2.7</v>
      </c>
      <c r="M68" s="75">
        <v>4.2</v>
      </c>
      <c r="N68" s="75">
        <v>7</v>
      </c>
      <c r="O68" s="75">
        <v>10.7</v>
      </c>
      <c r="P68" s="75">
        <v>12</v>
      </c>
      <c r="Q68" s="75">
        <v>13.6</v>
      </c>
      <c r="R68" s="75">
        <v>13.6</v>
      </c>
      <c r="S68" s="75">
        <v>11.1</v>
      </c>
      <c r="T68" s="75">
        <v>5</v>
      </c>
      <c r="U68" s="75">
        <v>2.2000000000000002</v>
      </c>
      <c r="V68" s="75">
        <v>0.9</v>
      </c>
      <c r="W68" s="46">
        <v>0.5</v>
      </c>
      <c r="X68" s="46">
        <v>0</v>
      </c>
      <c r="Y68" s="46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5">
        <v>25</v>
      </c>
      <c r="AH68" s="48">
        <f t="shared" si="10"/>
        <v>13.6</v>
      </c>
      <c r="AI68" s="49">
        <f t="shared" si="11"/>
        <v>0</v>
      </c>
      <c r="AK68" s="51"/>
      <c r="AY68" s="1" t="s">
        <v>86</v>
      </c>
      <c r="AZ68" s="81">
        <f>ROUND(C81,0)</f>
        <v>31</v>
      </c>
      <c r="BA68" s="80">
        <f t="shared" ref="BA68:BD72" si="39">D81</f>
        <v>27.7</v>
      </c>
      <c r="BB68" s="80">
        <f t="shared" si="39"/>
        <v>38.5</v>
      </c>
      <c r="BC68" s="80">
        <f t="shared" si="39"/>
        <v>37.299999999999997</v>
      </c>
      <c r="BD68" s="80">
        <f t="shared" si="39"/>
        <v>37.299999999999997</v>
      </c>
      <c r="BE68" s="81">
        <f>I81</f>
        <v>41.5</v>
      </c>
      <c r="BF68" s="81">
        <f>K81</f>
        <v>55</v>
      </c>
      <c r="BG68" s="81">
        <f t="shared" ref="BG68:BP72" si="40">M81</f>
        <v>62.4</v>
      </c>
      <c r="BH68" s="81">
        <f t="shared" si="40"/>
        <v>62.1</v>
      </c>
      <c r="BI68" s="81">
        <f t="shared" si="40"/>
        <v>62.4</v>
      </c>
      <c r="BJ68" s="81">
        <f t="shared" si="40"/>
        <v>62.4</v>
      </c>
      <c r="BK68" s="81">
        <f t="shared" si="40"/>
        <v>63.5</v>
      </c>
      <c r="BL68" s="81">
        <f t="shared" si="40"/>
        <v>72.900000000000006</v>
      </c>
      <c r="BM68" s="81">
        <f t="shared" si="40"/>
        <v>72</v>
      </c>
      <c r="BN68" s="81">
        <f t="shared" si="40"/>
        <v>76</v>
      </c>
      <c r="BO68" s="81">
        <f t="shared" si="40"/>
        <v>74.400000000000006</v>
      </c>
      <c r="BP68" s="81">
        <f t="shared" si="40"/>
        <v>73.099999999999994</v>
      </c>
      <c r="BQ68" s="81">
        <f>X81</f>
        <v>68.400000000000006</v>
      </c>
      <c r="BR68" s="81">
        <f>Z81</f>
        <v>26</v>
      </c>
      <c r="BS68" s="80">
        <f>AB81</f>
        <v>14.8</v>
      </c>
      <c r="BT68" s="80">
        <f>AD81</f>
        <v>16</v>
      </c>
      <c r="BU68" s="80">
        <f>AE81</f>
        <v>45.9</v>
      </c>
      <c r="BV68" s="80">
        <f>AF81</f>
        <v>38.1</v>
      </c>
      <c r="BW68" s="80">
        <f>B81</f>
        <v>24.4</v>
      </c>
    </row>
    <row r="69" spans="1:75" x14ac:dyDescent="0.25">
      <c r="A69" s="64" t="s">
        <v>87</v>
      </c>
      <c r="B69" s="75">
        <v>15</v>
      </c>
      <c r="C69" s="75">
        <v>15</v>
      </c>
      <c r="D69" s="75">
        <v>15</v>
      </c>
      <c r="E69" s="75">
        <v>15</v>
      </c>
      <c r="F69" s="75">
        <v>15</v>
      </c>
      <c r="G69" s="75">
        <v>15</v>
      </c>
      <c r="H69" s="75">
        <v>15</v>
      </c>
      <c r="I69" s="75">
        <v>15</v>
      </c>
      <c r="J69" s="75">
        <v>15</v>
      </c>
      <c r="K69" s="75">
        <v>15</v>
      </c>
      <c r="L69" s="75">
        <v>15</v>
      </c>
      <c r="M69" s="75">
        <v>15</v>
      </c>
      <c r="N69" s="75">
        <v>15</v>
      </c>
      <c r="O69" s="75">
        <v>15</v>
      </c>
      <c r="P69" s="75">
        <v>15</v>
      </c>
      <c r="Q69" s="75">
        <v>15</v>
      </c>
      <c r="R69" s="75">
        <v>15</v>
      </c>
      <c r="S69" s="75">
        <v>15</v>
      </c>
      <c r="T69" s="75">
        <v>15</v>
      </c>
      <c r="U69" s="75">
        <v>15</v>
      </c>
      <c r="V69" s="75">
        <v>15</v>
      </c>
      <c r="W69" s="75">
        <v>15</v>
      </c>
      <c r="X69" s="75">
        <v>15</v>
      </c>
      <c r="Y69" s="75">
        <v>15</v>
      </c>
      <c r="Z69" s="75">
        <v>15</v>
      </c>
      <c r="AA69" s="75">
        <v>15</v>
      </c>
      <c r="AB69" s="75">
        <v>15</v>
      </c>
      <c r="AC69" s="75">
        <v>15</v>
      </c>
      <c r="AD69" s="75">
        <v>15</v>
      </c>
      <c r="AE69" s="75">
        <v>15</v>
      </c>
      <c r="AF69" s="75">
        <v>15</v>
      </c>
      <c r="AG69" s="65">
        <v>24</v>
      </c>
      <c r="AH69" s="48">
        <f t="shared" si="10"/>
        <v>15</v>
      </c>
      <c r="AI69" s="49">
        <f t="shared" si="11"/>
        <v>15</v>
      </c>
      <c r="AK69" s="51"/>
      <c r="AY69" s="1" t="s">
        <v>88</v>
      </c>
      <c r="AZ69" s="81">
        <f>ROUND(C82,0)</f>
        <v>0</v>
      </c>
      <c r="BA69" s="80">
        <f t="shared" si="39"/>
        <v>0</v>
      </c>
      <c r="BB69" s="80">
        <f t="shared" si="39"/>
        <v>0</v>
      </c>
      <c r="BC69" s="80">
        <f t="shared" si="39"/>
        <v>0</v>
      </c>
      <c r="BD69" s="80">
        <f t="shared" si="39"/>
        <v>0</v>
      </c>
      <c r="BE69" s="81">
        <f t="shared" ref="BE69:BE72" si="41">I82</f>
        <v>0</v>
      </c>
      <c r="BF69" s="81">
        <f t="shared" ref="BF69:BF72" si="42">K82</f>
        <v>0</v>
      </c>
      <c r="BG69" s="81">
        <f t="shared" si="40"/>
        <v>118</v>
      </c>
      <c r="BH69" s="81">
        <f t="shared" si="40"/>
        <v>125</v>
      </c>
      <c r="BI69" s="81">
        <f t="shared" si="40"/>
        <v>117</v>
      </c>
      <c r="BJ69" s="81">
        <f t="shared" si="40"/>
        <v>120</v>
      </c>
      <c r="BK69" s="81">
        <f t="shared" si="40"/>
        <v>120.4</v>
      </c>
      <c r="BL69" s="81">
        <f t="shared" si="40"/>
        <v>116.4</v>
      </c>
      <c r="BM69" s="81">
        <f t="shared" si="40"/>
        <v>126.2</v>
      </c>
      <c r="BN69" s="81">
        <f t="shared" si="40"/>
        <v>125</v>
      </c>
      <c r="BO69" s="81">
        <f t="shared" si="40"/>
        <v>128.19999999999999</v>
      </c>
      <c r="BP69" s="81">
        <f t="shared" si="40"/>
        <v>119.4</v>
      </c>
      <c r="BQ69" s="81">
        <f t="shared" ref="BQ69:BQ72" si="43">X82</f>
        <v>112.5</v>
      </c>
      <c r="BR69" s="81">
        <f t="shared" ref="BR69:BR72" si="44">Z82</f>
        <v>0</v>
      </c>
      <c r="BS69" s="80">
        <f t="shared" ref="BS69:BS72" si="45">AB82</f>
        <v>0</v>
      </c>
      <c r="BT69" s="80">
        <f t="shared" ref="BT69:BV72" si="46">AD82</f>
        <v>0</v>
      </c>
      <c r="BU69" s="80">
        <f t="shared" si="46"/>
        <v>0</v>
      </c>
      <c r="BV69" s="80">
        <f t="shared" si="46"/>
        <v>0</v>
      </c>
      <c r="BW69" s="80">
        <f t="shared" ref="BW69:BW72" si="47">B82</f>
        <v>0</v>
      </c>
    </row>
    <row r="70" spans="1:75" x14ac:dyDescent="0.25">
      <c r="A70" s="64" t="s">
        <v>89</v>
      </c>
      <c r="B70" s="75">
        <v>0</v>
      </c>
      <c r="C70" s="75">
        <v>0</v>
      </c>
      <c r="D70" s="75">
        <v>0</v>
      </c>
      <c r="E70" s="75">
        <v>0</v>
      </c>
      <c r="F70" s="75">
        <v>0</v>
      </c>
      <c r="G70" s="75">
        <v>0</v>
      </c>
      <c r="H70" s="75">
        <v>0</v>
      </c>
      <c r="I70" s="75">
        <v>0</v>
      </c>
      <c r="J70" s="75">
        <v>0</v>
      </c>
      <c r="K70" s="75">
        <v>0</v>
      </c>
      <c r="L70" s="75">
        <v>0</v>
      </c>
      <c r="M70" s="75">
        <v>0</v>
      </c>
      <c r="N70" s="75">
        <v>0</v>
      </c>
      <c r="O70" s="75">
        <v>0</v>
      </c>
      <c r="P70" s="75">
        <v>0</v>
      </c>
      <c r="Q70" s="75">
        <v>0</v>
      </c>
      <c r="R70" s="75">
        <v>0</v>
      </c>
      <c r="S70" s="75">
        <v>0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5">
        <v>0</v>
      </c>
      <c r="Z70" s="75">
        <v>0</v>
      </c>
      <c r="AA70" s="75">
        <v>0</v>
      </c>
      <c r="AB70" s="75">
        <v>0</v>
      </c>
      <c r="AC70" s="75">
        <v>0</v>
      </c>
      <c r="AD70" s="75">
        <v>0</v>
      </c>
      <c r="AE70" s="75">
        <v>0</v>
      </c>
      <c r="AF70" s="75">
        <v>0</v>
      </c>
      <c r="AG70" s="65">
        <v>15</v>
      </c>
      <c r="AH70" s="48">
        <f t="shared" si="10"/>
        <v>0</v>
      </c>
      <c r="AI70" s="49">
        <f t="shared" si="11"/>
        <v>0</v>
      </c>
      <c r="AK70" s="51"/>
      <c r="AL70" s="82"/>
      <c r="AO70" s="82"/>
      <c r="AY70" s="1" t="s">
        <v>90</v>
      </c>
      <c r="AZ70" s="81">
        <f>ROUND(C83,0)</f>
        <v>91</v>
      </c>
      <c r="BA70" s="80">
        <f t="shared" si="39"/>
        <v>74.8</v>
      </c>
      <c r="BB70" s="80">
        <f t="shared" si="39"/>
        <v>94</v>
      </c>
      <c r="BC70" s="80">
        <f t="shared" si="39"/>
        <v>100.6</v>
      </c>
      <c r="BD70" s="80">
        <f t="shared" si="39"/>
        <v>116.8</v>
      </c>
      <c r="BE70" s="81">
        <f t="shared" si="41"/>
        <v>142.4</v>
      </c>
      <c r="BF70" s="81">
        <f t="shared" si="42"/>
        <v>506.8</v>
      </c>
      <c r="BG70" s="81">
        <f t="shared" si="40"/>
        <v>474</v>
      </c>
      <c r="BH70" s="81">
        <f t="shared" si="40"/>
        <v>462.6</v>
      </c>
      <c r="BI70" s="81">
        <f t="shared" si="40"/>
        <v>488</v>
      </c>
      <c r="BJ70" s="81">
        <f t="shared" si="40"/>
        <v>490</v>
      </c>
      <c r="BK70" s="81">
        <f t="shared" si="40"/>
        <v>493</v>
      </c>
      <c r="BL70" s="81">
        <f t="shared" si="40"/>
        <v>513</v>
      </c>
      <c r="BM70" s="81">
        <f t="shared" si="40"/>
        <v>502.3</v>
      </c>
      <c r="BN70" s="81">
        <f t="shared" si="40"/>
        <v>489</v>
      </c>
      <c r="BO70" s="81">
        <f t="shared" si="40"/>
        <v>488.7</v>
      </c>
      <c r="BP70" s="81">
        <f t="shared" si="40"/>
        <v>471</v>
      </c>
      <c r="BQ70" s="81">
        <f t="shared" si="43"/>
        <v>403.5</v>
      </c>
      <c r="BR70" s="81">
        <f t="shared" si="44"/>
        <v>121.6</v>
      </c>
      <c r="BS70" s="80">
        <f t="shared" si="45"/>
        <v>88.2</v>
      </c>
      <c r="BT70" s="80">
        <f t="shared" si="46"/>
        <v>193.5</v>
      </c>
      <c r="BU70" s="80">
        <f t="shared" si="46"/>
        <v>142.30000000000001</v>
      </c>
      <c r="BV70" s="80">
        <f t="shared" si="46"/>
        <v>114.5</v>
      </c>
      <c r="BW70" s="80">
        <f t="shared" si="47"/>
        <v>93.8</v>
      </c>
    </row>
    <row r="71" spans="1:75" s="82" customFormat="1" x14ac:dyDescent="0.25">
      <c r="A71" s="64" t="s">
        <v>91</v>
      </c>
      <c r="B71" s="75">
        <v>8</v>
      </c>
      <c r="C71" s="75">
        <v>8</v>
      </c>
      <c r="D71" s="75">
        <v>8</v>
      </c>
      <c r="E71" s="75">
        <v>8</v>
      </c>
      <c r="F71" s="75">
        <v>8</v>
      </c>
      <c r="G71" s="75">
        <v>8</v>
      </c>
      <c r="H71" s="75">
        <v>8</v>
      </c>
      <c r="I71" s="75">
        <v>8</v>
      </c>
      <c r="J71" s="75">
        <v>8</v>
      </c>
      <c r="K71" s="75">
        <v>8</v>
      </c>
      <c r="L71" s="75">
        <v>8</v>
      </c>
      <c r="M71" s="75">
        <v>8</v>
      </c>
      <c r="N71" s="75">
        <v>8</v>
      </c>
      <c r="O71" s="75">
        <v>10.4</v>
      </c>
      <c r="P71" s="75">
        <v>10.4</v>
      </c>
      <c r="Q71" s="75">
        <v>10.4</v>
      </c>
      <c r="R71" s="75">
        <v>10.4</v>
      </c>
      <c r="S71" s="75">
        <v>10.4</v>
      </c>
      <c r="T71" s="75">
        <v>10.4</v>
      </c>
      <c r="U71" s="75">
        <v>10.4</v>
      </c>
      <c r="V71" s="75">
        <v>10.4</v>
      </c>
      <c r="W71" s="75">
        <v>10.4</v>
      </c>
      <c r="X71" s="75">
        <v>10.4</v>
      </c>
      <c r="Y71" s="75">
        <v>10.4</v>
      </c>
      <c r="Z71" s="75">
        <v>9.1</v>
      </c>
      <c r="AA71" s="75">
        <v>9.1</v>
      </c>
      <c r="AB71" s="75">
        <v>9.6</v>
      </c>
      <c r="AC71" s="75">
        <v>9.6</v>
      </c>
      <c r="AD71" s="75">
        <v>9.6</v>
      </c>
      <c r="AE71" s="75">
        <v>9.6</v>
      </c>
      <c r="AF71" s="75">
        <v>9.6</v>
      </c>
      <c r="AG71" s="65">
        <v>14.1</v>
      </c>
      <c r="AH71" s="48">
        <f t="shared" si="10"/>
        <v>10.4</v>
      </c>
      <c r="AI71" s="49">
        <f t="shared" si="11"/>
        <v>8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0</v>
      </c>
      <c r="BA71" s="80">
        <f t="shared" si="39"/>
        <v>0</v>
      </c>
      <c r="BB71" s="80">
        <f t="shared" si="39"/>
        <v>0</v>
      </c>
      <c r="BC71" s="80">
        <f t="shared" si="39"/>
        <v>0</v>
      </c>
      <c r="BD71" s="80">
        <f t="shared" si="39"/>
        <v>0</v>
      </c>
      <c r="BE71" s="81">
        <f t="shared" si="41"/>
        <v>0</v>
      </c>
      <c r="BF71" s="81">
        <f t="shared" si="42"/>
        <v>44</v>
      </c>
      <c r="BG71" s="81">
        <f t="shared" si="40"/>
        <v>45.1</v>
      </c>
      <c r="BH71" s="81">
        <f t="shared" si="40"/>
        <v>48.3</v>
      </c>
      <c r="BI71" s="81">
        <f t="shared" si="40"/>
        <v>33.5</v>
      </c>
      <c r="BJ71" s="81">
        <f t="shared" si="40"/>
        <v>33.5</v>
      </c>
      <c r="BK71" s="81">
        <f t="shared" si="40"/>
        <v>50.5</v>
      </c>
      <c r="BL71" s="81">
        <f t="shared" si="40"/>
        <v>41</v>
      </c>
      <c r="BM71" s="81">
        <f t="shared" si="40"/>
        <v>52.5</v>
      </c>
      <c r="BN71" s="81">
        <f t="shared" si="40"/>
        <v>48.6</v>
      </c>
      <c r="BO71" s="81">
        <f t="shared" si="40"/>
        <v>45.2</v>
      </c>
      <c r="BP71" s="81">
        <f t="shared" si="40"/>
        <v>28.9</v>
      </c>
      <c r="BQ71" s="81">
        <f t="shared" si="43"/>
        <v>34.1</v>
      </c>
      <c r="BR71" s="81">
        <f t="shared" si="44"/>
        <v>0</v>
      </c>
      <c r="BS71" s="80">
        <f t="shared" si="45"/>
        <v>0</v>
      </c>
      <c r="BT71" s="80">
        <f t="shared" si="46"/>
        <v>0</v>
      </c>
      <c r="BU71" s="80">
        <f t="shared" si="46"/>
        <v>0</v>
      </c>
      <c r="BV71" s="80">
        <f t="shared" si="46"/>
        <v>0</v>
      </c>
      <c r="BW71" s="80">
        <f t="shared" si="47"/>
        <v>0</v>
      </c>
    </row>
    <row r="72" spans="1:75" x14ac:dyDescent="0.25">
      <c r="A72" s="83" t="s">
        <v>93</v>
      </c>
      <c r="B72" s="75">
        <v>4.9000000000000004</v>
      </c>
      <c r="C72" s="75">
        <v>4.9000000000000004</v>
      </c>
      <c r="D72" s="75">
        <v>4.9000000000000004</v>
      </c>
      <c r="E72" s="75">
        <v>4.9000000000000004</v>
      </c>
      <c r="F72" s="75">
        <v>4.9000000000000004</v>
      </c>
      <c r="G72" s="75">
        <v>4.9000000000000004</v>
      </c>
      <c r="H72" s="75">
        <v>4.9000000000000004</v>
      </c>
      <c r="I72" s="75">
        <v>4.9000000000000004</v>
      </c>
      <c r="J72" s="75">
        <v>4.9000000000000004</v>
      </c>
      <c r="K72" s="75">
        <v>4.9000000000000004</v>
      </c>
      <c r="L72" s="75">
        <v>4.9000000000000004</v>
      </c>
      <c r="M72" s="75">
        <v>4.9000000000000004</v>
      </c>
      <c r="N72" s="75">
        <v>4.9000000000000004</v>
      </c>
      <c r="O72" s="75">
        <v>4.9000000000000004</v>
      </c>
      <c r="P72" s="75">
        <v>4.9000000000000004</v>
      </c>
      <c r="Q72" s="75">
        <v>5.7</v>
      </c>
      <c r="R72" s="75">
        <v>5.7</v>
      </c>
      <c r="S72" s="75">
        <v>5.7</v>
      </c>
      <c r="T72" s="75">
        <v>5.7</v>
      </c>
      <c r="U72" s="75">
        <v>5.7</v>
      </c>
      <c r="V72" s="75">
        <v>5.7</v>
      </c>
      <c r="W72" s="75">
        <v>5.7</v>
      </c>
      <c r="X72" s="75">
        <v>5.7</v>
      </c>
      <c r="Y72" s="75">
        <v>5.7</v>
      </c>
      <c r="Z72" s="75">
        <v>6.4</v>
      </c>
      <c r="AA72" s="75">
        <v>6.4</v>
      </c>
      <c r="AB72" s="75">
        <v>6.3</v>
      </c>
      <c r="AC72" s="75">
        <v>6.3</v>
      </c>
      <c r="AD72" s="75">
        <v>6.3</v>
      </c>
      <c r="AE72" s="75">
        <v>6.3</v>
      </c>
      <c r="AF72" s="75">
        <v>6.3</v>
      </c>
      <c r="AG72" s="65">
        <v>14</v>
      </c>
      <c r="AH72" s="48">
        <f t="shared" si="10"/>
        <v>6.4</v>
      </c>
      <c r="AI72" s="49">
        <f t="shared" si="11"/>
        <v>4.9000000000000004</v>
      </c>
      <c r="AK72" s="51"/>
      <c r="AY72" s="1" t="s">
        <v>94</v>
      </c>
      <c r="AZ72" s="81">
        <f>ROUND(C85,0)</f>
        <v>0</v>
      </c>
      <c r="BA72" s="80">
        <f t="shared" si="39"/>
        <v>0</v>
      </c>
      <c r="BB72" s="80">
        <f t="shared" si="39"/>
        <v>0</v>
      </c>
      <c r="BC72" s="80">
        <f t="shared" si="39"/>
        <v>0</v>
      </c>
      <c r="BD72" s="80">
        <f t="shared" si="39"/>
        <v>0</v>
      </c>
      <c r="BE72" s="81">
        <f t="shared" si="41"/>
        <v>0</v>
      </c>
      <c r="BF72" s="81">
        <f t="shared" si="42"/>
        <v>108</v>
      </c>
      <c r="BG72" s="81">
        <f t="shared" si="40"/>
        <v>127.2</v>
      </c>
      <c r="BH72" s="81">
        <f t="shared" si="40"/>
        <v>127.3</v>
      </c>
      <c r="BI72" s="81">
        <f t="shared" si="40"/>
        <v>138.19999999999999</v>
      </c>
      <c r="BJ72" s="81">
        <f t="shared" si="40"/>
        <v>138.19999999999999</v>
      </c>
      <c r="BK72" s="81">
        <f t="shared" si="40"/>
        <v>65.2</v>
      </c>
      <c r="BL72" s="81">
        <f t="shared" si="40"/>
        <v>132</v>
      </c>
      <c r="BM72" s="81">
        <f t="shared" si="40"/>
        <v>114.9</v>
      </c>
      <c r="BN72" s="81">
        <f t="shared" si="40"/>
        <v>151.4</v>
      </c>
      <c r="BO72" s="81">
        <f t="shared" si="40"/>
        <v>133.69999999999999</v>
      </c>
      <c r="BP72" s="81">
        <f t="shared" si="40"/>
        <v>124.4</v>
      </c>
      <c r="BQ72" s="81">
        <f t="shared" si="43"/>
        <v>74.2</v>
      </c>
      <c r="BR72" s="81">
        <f t="shared" si="44"/>
        <v>0</v>
      </c>
      <c r="BS72" s="80">
        <f t="shared" si="45"/>
        <v>0</v>
      </c>
      <c r="BT72" s="80">
        <f t="shared" si="46"/>
        <v>0</v>
      </c>
      <c r="BU72" s="80">
        <f t="shared" si="46"/>
        <v>0</v>
      </c>
      <c r="BV72" s="80">
        <f t="shared" si="46"/>
        <v>0</v>
      </c>
      <c r="BW72" s="80">
        <f t="shared" si="47"/>
        <v>0</v>
      </c>
    </row>
    <row r="73" spans="1:75" x14ac:dyDescent="0.25">
      <c r="A73" s="64" t="s">
        <v>95</v>
      </c>
      <c r="B73" s="75">
        <v>3.7</v>
      </c>
      <c r="C73" s="75">
        <v>3.7</v>
      </c>
      <c r="D73" s="75">
        <v>3.7</v>
      </c>
      <c r="E73" s="75">
        <v>3.7</v>
      </c>
      <c r="F73" s="75">
        <v>3.7</v>
      </c>
      <c r="G73" s="75">
        <v>3.7</v>
      </c>
      <c r="H73" s="75">
        <v>3.7</v>
      </c>
      <c r="I73" s="75">
        <v>3.7</v>
      </c>
      <c r="J73" s="75">
        <v>3.7</v>
      </c>
      <c r="K73" s="75">
        <v>3.7</v>
      </c>
      <c r="L73" s="75">
        <v>3.7</v>
      </c>
      <c r="M73" s="75">
        <v>3.7</v>
      </c>
      <c r="N73" s="75">
        <v>3.7</v>
      </c>
      <c r="O73" s="75">
        <v>3.7</v>
      </c>
      <c r="P73" s="75">
        <v>3.7</v>
      </c>
      <c r="Q73" s="75">
        <v>3.7</v>
      </c>
      <c r="R73" s="75">
        <v>3.7</v>
      </c>
      <c r="S73" s="75">
        <v>3.7</v>
      </c>
      <c r="T73" s="75">
        <v>3.7</v>
      </c>
      <c r="U73" s="75">
        <v>3.7</v>
      </c>
      <c r="V73" s="75">
        <v>3.7</v>
      </c>
      <c r="W73" s="75">
        <v>3.7</v>
      </c>
      <c r="X73" s="75">
        <v>3.7</v>
      </c>
      <c r="Y73" s="75">
        <v>3.7</v>
      </c>
      <c r="Z73" s="75">
        <v>3.7</v>
      </c>
      <c r="AA73" s="75">
        <v>3.7</v>
      </c>
      <c r="AB73" s="75">
        <v>3.7</v>
      </c>
      <c r="AC73" s="75">
        <v>3.7</v>
      </c>
      <c r="AD73" s="75">
        <v>3.7</v>
      </c>
      <c r="AE73" s="75">
        <v>3.7</v>
      </c>
      <c r="AF73" s="75">
        <v>3.7</v>
      </c>
      <c r="AG73" s="65">
        <v>10.050000000000001</v>
      </c>
      <c r="AH73" s="48">
        <f t="shared" si="10"/>
        <v>3.7</v>
      </c>
      <c r="AI73" s="49">
        <f t="shared" si="11"/>
        <v>3.7</v>
      </c>
      <c r="AK73" s="51"/>
      <c r="AY73" s="1" t="s">
        <v>96</v>
      </c>
      <c r="AZ73" s="81">
        <f>ROUND(C91,0)</f>
        <v>45</v>
      </c>
      <c r="BA73" s="81">
        <f>D91</f>
        <v>46.5</v>
      </c>
      <c r="BB73" s="81">
        <f>E91</f>
        <v>44.8</v>
      </c>
      <c r="BC73" s="81">
        <f>F91</f>
        <v>44</v>
      </c>
      <c r="BD73" s="81">
        <f>G91</f>
        <v>42.7</v>
      </c>
      <c r="BE73" s="81">
        <f>I91</f>
        <v>52.3</v>
      </c>
      <c r="BF73" s="81">
        <f>K91</f>
        <v>52.2</v>
      </c>
      <c r="BG73" s="81">
        <f t="shared" ref="BG73:BP73" si="48">M91</f>
        <v>54</v>
      </c>
      <c r="BH73" s="81">
        <f t="shared" si="48"/>
        <v>55.3</v>
      </c>
      <c r="BI73" s="81">
        <f t="shared" si="48"/>
        <v>54.9</v>
      </c>
      <c r="BJ73" s="81">
        <f t="shared" si="48"/>
        <v>54.9</v>
      </c>
      <c r="BK73" s="81">
        <f t="shared" si="48"/>
        <v>54.9</v>
      </c>
      <c r="BL73" s="81">
        <f t="shared" si="48"/>
        <v>59</v>
      </c>
      <c r="BM73" s="81">
        <f t="shared" si="48"/>
        <v>60.9</v>
      </c>
      <c r="BN73" s="81">
        <f t="shared" si="48"/>
        <v>64.5</v>
      </c>
      <c r="BO73" s="81">
        <f t="shared" si="48"/>
        <v>60.9</v>
      </c>
      <c r="BP73" s="81">
        <f t="shared" si="48"/>
        <v>53.9</v>
      </c>
      <c r="BQ73" s="81">
        <f>X91</f>
        <v>53.8</v>
      </c>
      <c r="BR73" s="81">
        <f>Z91</f>
        <v>48.5</v>
      </c>
      <c r="BS73" s="81">
        <f>AB91</f>
        <v>46.8</v>
      </c>
      <c r="BT73" s="81">
        <f>AD91</f>
        <v>46.8</v>
      </c>
      <c r="BU73" s="81">
        <f>AE91</f>
        <v>47.3</v>
      </c>
      <c r="BV73" s="81">
        <f>AF91</f>
        <v>45.3</v>
      </c>
      <c r="BW73" s="81">
        <f>B91</f>
        <v>47.3</v>
      </c>
    </row>
    <row r="74" spans="1:75" x14ac:dyDescent="0.25">
      <c r="A74" s="64" t="s">
        <v>97</v>
      </c>
      <c r="B74" s="75">
        <v>2</v>
      </c>
      <c r="C74" s="75">
        <v>2</v>
      </c>
      <c r="D74" s="75">
        <v>2</v>
      </c>
      <c r="E74" s="75">
        <v>2</v>
      </c>
      <c r="F74" s="75">
        <v>2</v>
      </c>
      <c r="G74" s="75">
        <v>2</v>
      </c>
      <c r="H74" s="75">
        <v>2</v>
      </c>
      <c r="I74" s="75">
        <v>2</v>
      </c>
      <c r="J74" s="75">
        <v>2</v>
      </c>
      <c r="K74" s="75">
        <v>2</v>
      </c>
      <c r="L74" s="75">
        <v>2</v>
      </c>
      <c r="M74" s="75">
        <v>2</v>
      </c>
      <c r="N74" s="75">
        <v>2</v>
      </c>
      <c r="O74" s="75">
        <v>2</v>
      </c>
      <c r="P74" s="75">
        <v>2</v>
      </c>
      <c r="Q74" s="75">
        <v>2</v>
      </c>
      <c r="R74" s="75">
        <v>2</v>
      </c>
      <c r="S74" s="75">
        <v>2</v>
      </c>
      <c r="T74" s="75">
        <v>2</v>
      </c>
      <c r="U74" s="75">
        <v>2</v>
      </c>
      <c r="V74" s="75">
        <v>2</v>
      </c>
      <c r="W74" s="75">
        <v>2</v>
      </c>
      <c r="X74" s="75">
        <v>2</v>
      </c>
      <c r="Y74" s="75">
        <v>2</v>
      </c>
      <c r="Z74" s="75">
        <v>2</v>
      </c>
      <c r="AA74" s="75">
        <v>2</v>
      </c>
      <c r="AB74" s="75">
        <v>2</v>
      </c>
      <c r="AC74" s="75">
        <v>2</v>
      </c>
      <c r="AD74" s="75">
        <v>2</v>
      </c>
      <c r="AE74" s="75">
        <v>2</v>
      </c>
      <c r="AF74" s="75">
        <v>2</v>
      </c>
      <c r="AG74" s="65">
        <v>6.2</v>
      </c>
      <c r="AH74" s="48">
        <f t="shared" si="10"/>
        <v>2</v>
      </c>
      <c r="AI74" s="49">
        <f t="shared" si="11"/>
        <v>2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</row>
    <row r="75" spans="1:75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>
        <v>3.54</v>
      </c>
      <c r="W75" s="84">
        <v>3.54</v>
      </c>
      <c r="X75" s="84">
        <v>3.54</v>
      </c>
      <c r="Y75" s="84">
        <v>3.5</v>
      </c>
      <c r="Z75" s="84">
        <v>5.5</v>
      </c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10"/>
        <v>5.5</v>
      </c>
      <c r="AI75" s="49">
        <f t="shared" si="11"/>
        <v>3.5</v>
      </c>
      <c r="AK75" s="51"/>
      <c r="AZ75" s="81">
        <f>VALUE(AZ68)</f>
        <v>31</v>
      </c>
      <c r="BA75" s="81">
        <f t="shared" ref="BA75:BW75" si="49">VALUE(BA68)</f>
        <v>27.7</v>
      </c>
      <c r="BB75" s="81">
        <f t="shared" si="49"/>
        <v>38.5</v>
      </c>
      <c r="BC75" s="81">
        <f t="shared" si="49"/>
        <v>37.299999999999997</v>
      </c>
      <c r="BD75" s="81">
        <f t="shared" si="49"/>
        <v>37.299999999999997</v>
      </c>
      <c r="BE75" s="81">
        <f t="shared" si="49"/>
        <v>41.5</v>
      </c>
      <c r="BF75" s="81">
        <f t="shared" si="49"/>
        <v>55</v>
      </c>
      <c r="BG75" s="81">
        <f t="shared" si="49"/>
        <v>62.4</v>
      </c>
      <c r="BH75" s="81">
        <f t="shared" si="49"/>
        <v>62.1</v>
      </c>
      <c r="BI75" s="81">
        <f t="shared" si="49"/>
        <v>62.4</v>
      </c>
      <c r="BJ75" s="81">
        <f t="shared" si="49"/>
        <v>62.4</v>
      </c>
      <c r="BK75" s="81">
        <f t="shared" si="49"/>
        <v>63.5</v>
      </c>
      <c r="BL75" s="81">
        <f t="shared" si="49"/>
        <v>72.900000000000006</v>
      </c>
      <c r="BM75" s="81">
        <f t="shared" si="49"/>
        <v>72</v>
      </c>
      <c r="BN75" s="81">
        <f t="shared" si="49"/>
        <v>76</v>
      </c>
      <c r="BO75" s="81">
        <f t="shared" si="49"/>
        <v>74.400000000000006</v>
      </c>
      <c r="BP75" s="81">
        <f t="shared" si="49"/>
        <v>73.099999999999994</v>
      </c>
      <c r="BQ75" s="81">
        <f t="shared" si="49"/>
        <v>68.400000000000006</v>
      </c>
      <c r="BR75" s="81">
        <f t="shared" si="49"/>
        <v>26</v>
      </c>
      <c r="BS75" s="81">
        <f t="shared" si="49"/>
        <v>14.8</v>
      </c>
      <c r="BT75" s="81">
        <f t="shared" si="49"/>
        <v>16</v>
      </c>
      <c r="BU75" s="81">
        <f t="shared" si="49"/>
        <v>45.9</v>
      </c>
      <c r="BV75" s="81">
        <f t="shared" si="49"/>
        <v>38.1</v>
      </c>
      <c r="BW75" s="81">
        <f t="shared" si="49"/>
        <v>24.4</v>
      </c>
    </row>
    <row r="76" spans="1:75" ht="15.75" thickBot="1" x14ac:dyDescent="0.3">
      <c r="A76" s="86" t="s">
        <v>99</v>
      </c>
      <c r="B76" s="70">
        <f t="shared" ref="B76:C76" si="50">SUM(B63:B75)</f>
        <v>214.14</v>
      </c>
      <c r="C76" s="70">
        <f t="shared" si="50"/>
        <v>184.53999999999996</v>
      </c>
      <c r="D76" s="70">
        <f t="shared" ref="D76" si="51">SUM(D63:D75)</f>
        <v>181.94</v>
      </c>
      <c r="E76" s="70">
        <f t="shared" ref="E76:AG76" si="52">SUM(E63:E75)</f>
        <v>120.94000000000001</v>
      </c>
      <c r="F76" s="70">
        <f t="shared" si="52"/>
        <v>120.84000000000002</v>
      </c>
      <c r="G76" s="70">
        <f t="shared" si="52"/>
        <v>153.44</v>
      </c>
      <c r="H76" s="70">
        <f t="shared" si="52"/>
        <v>169.94</v>
      </c>
      <c r="I76" s="70">
        <f t="shared" si="52"/>
        <v>214.53999999999996</v>
      </c>
      <c r="J76" s="70">
        <f t="shared" si="52"/>
        <v>114.04000000000002</v>
      </c>
      <c r="K76" s="70">
        <f t="shared" si="52"/>
        <v>143.83999999999997</v>
      </c>
      <c r="L76" s="70">
        <f t="shared" si="52"/>
        <v>207.64</v>
      </c>
      <c r="M76" s="70">
        <f t="shared" si="52"/>
        <v>223.33999999999997</v>
      </c>
      <c r="N76" s="70">
        <f t="shared" si="52"/>
        <v>213.44</v>
      </c>
      <c r="O76" s="70">
        <f t="shared" si="52"/>
        <v>199.43999999999997</v>
      </c>
      <c r="P76" s="70">
        <f t="shared" si="52"/>
        <v>203.64</v>
      </c>
      <c r="Q76" s="70">
        <f t="shared" si="52"/>
        <v>194.03999999999996</v>
      </c>
      <c r="R76" s="70">
        <f t="shared" si="52"/>
        <v>191.03999999999996</v>
      </c>
      <c r="S76" s="70">
        <f t="shared" si="52"/>
        <v>190.63999999999996</v>
      </c>
      <c r="T76" s="70">
        <f t="shared" si="52"/>
        <v>207.53999999999996</v>
      </c>
      <c r="U76" s="70">
        <f t="shared" si="52"/>
        <v>175.73999999999995</v>
      </c>
      <c r="V76" s="70">
        <f t="shared" si="52"/>
        <v>160.53999999999996</v>
      </c>
      <c r="W76" s="70">
        <f t="shared" si="52"/>
        <v>135.04</v>
      </c>
      <c r="X76" s="70">
        <f t="shared" si="52"/>
        <v>140.83999999999997</v>
      </c>
      <c r="Y76" s="70">
        <f>SUM(Y63:Y75)</f>
        <v>223.99999999999997</v>
      </c>
      <c r="Z76" s="70">
        <f>SUM(Z63:Z75)</f>
        <v>341</v>
      </c>
      <c r="AA76" s="70">
        <f t="shared" si="52"/>
        <v>340.74</v>
      </c>
      <c r="AB76" s="70">
        <f t="shared" ref="AB76" si="53">SUM(AB63:AB75)</f>
        <v>342.84000000000009</v>
      </c>
      <c r="AC76" s="70">
        <f t="shared" si="52"/>
        <v>316.54000000000002</v>
      </c>
      <c r="AD76" s="70">
        <f t="shared" si="52"/>
        <v>289.44000000000005</v>
      </c>
      <c r="AE76" s="70">
        <f t="shared" ref="AE76:AF76" si="54">SUM(AE63:AE75)</f>
        <v>233.84</v>
      </c>
      <c r="AF76" s="70">
        <f t="shared" si="54"/>
        <v>188.94</v>
      </c>
      <c r="AG76" s="71">
        <f t="shared" si="52"/>
        <v>489.91</v>
      </c>
      <c r="AH76" s="48">
        <f t="shared" si="10"/>
        <v>342.84000000000009</v>
      </c>
      <c r="AI76" s="49">
        <f t="shared" si="11"/>
        <v>114.04000000000002</v>
      </c>
      <c r="AK76" s="51"/>
      <c r="AZ76" s="81">
        <f t="shared" ref="AZ76:BW80" si="55">VALUE(AZ69)</f>
        <v>0</v>
      </c>
      <c r="BA76" s="81">
        <f t="shared" si="55"/>
        <v>0</v>
      </c>
      <c r="BB76" s="81">
        <f t="shared" si="55"/>
        <v>0</v>
      </c>
      <c r="BC76" s="81">
        <f t="shared" si="55"/>
        <v>0</v>
      </c>
      <c r="BD76" s="81">
        <f t="shared" si="55"/>
        <v>0</v>
      </c>
      <c r="BE76" s="81">
        <f t="shared" si="55"/>
        <v>0</v>
      </c>
      <c r="BF76" s="81">
        <f t="shared" si="55"/>
        <v>0</v>
      </c>
      <c r="BG76" s="81">
        <f t="shared" si="55"/>
        <v>118</v>
      </c>
      <c r="BH76" s="81">
        <f t="shared" si="55"/>
        <v>125</v>
      </c>
      <c r="BI76" s="81">
        <f t="shared" si="55"/>
        <v>117</v>
      </c>
      <c r="BJ76" s="81">
        <f t="shared" si="55"/>
        <v>120</v>
      </c>
      <c r="BK76" s="81">
        <f t="shared" si="55"/>
        <v>120.4</v>
      </c>
      <c r="BL76" s="81">
        <f t="shared" si="55"/>
        <v>116.4</v>
      </c>
      <c r="BM76" s="81">
        <f t="shared" si="55"/>
        <v>126.2</v>
      </c>
      <c r="BN76" s="81">
        <f t="shared" si="55"/>
        <v>125</v>
      </c>
      <c r="BO76" s="81">
        <f t="shared" si="55"/>
        <v>128.19999999999999</v>
      </c>
      <c r="BP76" s="81">
        <f t="shared" si="55"/>
        <v>119.4</v>
      </c>
      <c r="BQ76" s="81">
        <f t="shared" si="55"/>
        <v>112.5</v>
      </c>
      <c r="BR76" s="81">
        <f t="shared" si="55"/>
        <v>0</v>
      </c>
      <c r="BS76" s="81">
        <f t="shared" si="55"/>
        <v>0</v>
      </c>
      <c r="BT76" s="81">
        <f t="shared" si="55"/>
        <v>0</v>
      </c>
      <c r="BU76" s="81">
        <f t="shared" si="55"/>
        <v>0</v>
      </c>
      <c r="BV76" s="81">
        <f t="shared" si="55"/>
        <v>0</v>
      </c>
      <c r="BW76" s="81">
        <f t="shared" si="55"/>
        <v>0</v>
      </c>
    </row>
    <row r="77" spans="1:75" x14ac:dyDescent="0.25">
      <c r="A77" s="45" t="s">
        <v>100</v>
      </c>
      <c r="B77" s="46">
        <v>57.2</v>
      </c>
      <c r="C77" s="46">
        <v>57.2</v>
      </c>
      <c r="D77" s="46">
        <v>57.2</v>
      </c>
      <c r="E77" s="46">
        <v>58.1</v>
      </c>
      <c r="F77" s="46">
        <v>58.1</v>
      </c>
      <c r="G77" s="46">
        <v>58</v>
      </c>
      <c r="H77" s="46">
        <v>57.6</v>
      </c>
      <c r="I77" s="46">
        <v>57.4</v>
      </c>
      <c r="J77" s="46">
        <v>11.5</v>
      </c>
      <c r="K77" s="46">
        <v>57.1</v>
      </c>
      <c r="L77" s="46">
        <v>57.6</v>
      </c>
      <c r="M77" s="46">
        <v>57.6</v>
      </c>
      <c r="N77" s="46">
        <v>57.6</v>
      </c>
      <c r="O77" s="46">
        <v>57.6</v>
      </c>
      <c r="P77" s="46">
        <v>57.6</v>
      </c>
      <c r="Q77" s="46">
        <v>57.6</v>
      </c>
      <c r="R77" s="46">
        <v>57.6</v>
      </c>
      <c r="S77" s="46">
        <v>58.5</v>
      </c>
      <c r="T77" s="46">
        <v>57.6</v>
      </c>
      <c r="U77" s="46">
        <v>58.5</v>
      </c>
      <c r="V77" s="46">
        <v>42</v>
      </c>
      <c r="W77" s="46">
        <v>47</v>
      </c>
      <c r="X77" s="46">
        <v>37.5</v>
      </c>
      <c r="Y77" s="46">
        <v>57</v>
      </c>
      <c r="Z77" s="46">
        <v>57</v>
      </c>
      <c r="AA77" s="46">
        <v>57.1</v>
      </c>
      <c r="AB77" s="46">
        <v>57.4</v>
      </c>
      <c r="AC77" s="46">
        <v>57.6</v>
      </c>
      <c r="AD77" s="46">
        <v>60</v>
      </c>
      <c r="AE77" s="46">
        <v>58.1</v>
      </c>
      <c r="AF77" s="46">
        <v>59.4</v>
      </c>
      <c r="AG77" s="60">
        <v>60</v>
      </c>
      <c r="AH77" s="48">
        <f t="shared" si="10"/>
        <v>60</v>
      </c>
      <c r="AI77" s="49">
        <f t="shared" si="11"/>
        <v>11.5</v>
      </c>
      <c r="AK77" s="51"/>
      <c r="AZ77" s="81">
        <f t="shared" si="55"/>
        <v>91</v>
      </c>
      <c r="BA77" s="81">
        <f t="shared" si="55"/>
        <v>74.8</v>
      </c>
      <c r="BB77" s="81">
        <f t="shared" si="55"/>
        <v>94</v>
      </c>
      <c r="BC77" s="81">
        <f t="shared" si="55"/>
        <v>100.6</v>
      </c>
      <c r="BD77" s="81">
        <f t="shared" si="55"/>
        <v>116.8</v>
      </c>
      <c r="BE77" s="81">
        <f t="shared" si="55"/>
        <v>142.4</v>
      </c>
      <c r="BF77" s="81">
        <f t="shared" si="55"/>
        <v>506.8</v>
      </c>
      <c r="BG77" s="81">
        <f t="shared" si="55"/>
        <v>474</v>
      </c>
      <c r="BH77" s="81">
        <f t="shared" si="55"/>
        <v>462.6</v>
      </c>
      <c r="BI77" s="81">
        <f t="shared" si="55"/>
        <v>488</v>
      </c>
      <c r="BJ77" s="81">
        <f t="shared" si="55"/>
        <v>490</v>
      </c>
      <c r="BK77" s="81">
        <f t="shared" si="55"/>
        <v>493</v>
      </c>
      <c r="BL77" s="81">
        <f t="shared" si="55"/>
        <v>513</v>
      </c>
      <c r="BM77" s="81">
        <f t="shared" si="55"/>
        <v>502.3</v>
      </c>
      <c r="BN77" s="81">
        <f t="shared" si="55"/>
        <v>489</v>
      </c>
      <c r="BO77" s="81">
        <f t="shared" si="55"/>
        <v>488.7</v>
      </c>
      <c r="BP77" s="81">
        <f t="shared" si="55"/>
        <v>471</v>
      </c>
      <c r="BQ77" s="81">
        <f t="shared" si="55"/>
        <v>403.5</v>
      </c>
      <c r="BR77" s="81">
        <f t="shared" si="55"/>
        <v>121.6</v>
      </c>
      <c r="BS77" s="81">
        <f t="shared" si="55"/>
        <v>88.2</v>
      </c>
      <c r="BT77" s="81">
        <f t="shared" si="55"/>
        <v>193.5</v>
      </c>
      <c r="BU77" s="81">
        <f t="shared" si="55"/>
        <v>142.30000000000001</v>
      </c>
      <c r="BV77" s="81">
        <f t="shared" si="55"/>
        <v>114.5</v>
      </c>
      <c r="BW77" s="81">
        <f t="shared" si="55"/>
        <v>93.8</v>
      </c>
    </row>
    <row r="78" spans="1:75" x14ac:dyDescent="0.25">
      <c r="A78" s="64" t="s">
        <v>101</v>
      </c>
      <c r="B78" s="75">
        <v>27.6</v>
      </c>
      <c r="C78" s="75">
        <v>27.6</v>
      </c>
      <c r="D78" s="75">
        <v>27.6</v>
      </c>
      <c r="E78" s="75">
        <v>27.2</v>
      </c>
      <c r="F78" s="75">
        <v>27.2</v>
      </c>
      <c r="G78" s="75">
        <v>26.7</v>
      </c>
      <c r="H78" s="75">
        <v>26.8</v>
      </c>
      <c r="I78" s="75">
        <v>26.8</v>
      </c>
      <c r="J78" s="75">
        <v>5.3</v>
      </c>
      <c r="K78" s="75">
        <v>23.9</v>
      </c>
      <c r="L78" s="75">
        <v>28.4</v>
      </c>
      <c r="M78" s="75">
        <v>28.4</v>
      </c>
      <c r="N78" s="75">
        <v>28.4</v>
      </c>
      <c r="O78" s="75">
        <v>28.4</v>
      </c>
      <c r="P78" s="75">
        <v>28.4</v>
      </c>
      <c r="Q78" s="75">
        <v>28.4</v>
      </c>
      <c r="R78" s="75">
        <v>28.4</v>
      </c>
      <c r="S78" s="75">
        <v>27.7</v>
      </c>
      <c r="T78" s="75">
        <v>26.3</v>
      </c>
      <c r="U78" s="75">
        <v>27.6</v>
      </c>
      <c r="V78" s="75">
        <v>18.100000000000001</v>
      </c>
      <c r="W78" s="75">
        <v>21.6</v>
      </c>
      <c r="X78" s="75">
        <v>18</v>
      </c>
      <c r="Y78" s="75">
        <v>27.3</v>
      </c>
      <c r="Z78" s="75">
        <v>27.8</v>
      </c>
      <c r="AA78" s="75">
        <v>27.6</v>
      </c>
      <c r="AB78" s="75">
        <v>27</v>
      </c>
      <c r="AC78" s="75">
        <v>27.3</v>
      </c>
      <c r="AD78" s="75">
        <v>27.2</v>
      </c>
      <c r="AE78" s="75">
        <v>27.1</v>
      </c>
      <c r="AF78" s="75">
        <v>27.1</v>
      </c>
      <c r="AG78" s="65">
        <v>32</v>
      </c>
      <c r="AH78" s="48">
        <f t="shared" si="10"/>
        <v>28.4</v>
      </c>
      <c r="AI78" s="49">
        <f t="shared" si="11"/>
        <v>5.3</v>
      </c>
      <c r="AK78" s="51"/>
      <c r="AZ78" s="81">
        <f t="shared" si="55"/>
        <v>0</v>
      </c>
      <c r="BA78" s="81">
        <f t="shared" si="55"/>
        <v>0</v>
      </c>
      <c r="BB78" s="81">
        <f t="shared" si="55"/>
        <v>0</v>
      </c>
      <c r="BC78" s="81">
        <f t="shared" si="55"/>
        <v>0</v>
      </c>
      <c r="BD78" s="81">
        <f t="shared" si="55"/>
        <v>0</v>
      </c>
      <c r="BE78" s="81">
        <f t="shared" si="55"/>
        <v>0</v>
      </c>
      <c r="BF78" s="81">
        <f t="shared" si="55"/>
        <v>44</v>
      </c>
      <c r="BG78" s="81">
        <f t="shared" si="55"/>
        <v>45.1</v>
      </c>
      <c r="BH78" s="81">
        <f t="shared" si="55"/>
        <v>48.3</v>
      </c>
      <c r="BI78" s="81">
        <f t="shared" si="55"/>
        <v>33.5</v>
      </c>
      <c r="BJ78" s="81">
        <f t="shared" si="55"/>
        <v>33.5</v>
      </c>
      <c r="BK78" s="81">
        <f t="shared" si="55"/>
        <v>50.5</v>
      </c>
      <c r="BL78" s="81">
        <f t="shared" si="55"/>
        <v>41</v>
      </c>
      <c r="BM78" s="81">
        <f t="shared" si="55"/>
        <v>52.5</v>
      </c>
      <c r="BN78" s="81">
        <f t="shared" si="55"/>
        <v>48.6</v>
      </c>
      <c r="BO78" s="81">
        <f t="shared" si="55"/>
        <v>45.2</v>
      </c>
      <c r="BP78" s="81">
        <f t="shared" si="55"/>
        <v>28.9</v>
      </c>
      <c r="BQ78" s="81">
        <f t="shared" si="55"/>
        <v>34.1</v>
      </c>
      <c r="BR78" s="81">
        <f t="shared" si="55"/>
        <v>0</v>
      </c>
      <c r="BS78" s="81">
        <f t="shared" si="55"/>
        <v>0</v>
      </c>
      <c r="BT78" s="81">
        <f t="shared" si="55"/>
        <v>0</v>
      </c>
      <c r="BU78" s="81">
        <f t="shared" si="55"/>
        <v>0</v>
      </c>
      <c r="BV78" s="81">
        <f t="shared" si="55"/>
        <v>0</v>
      </c>
      <c r="BW78" s="81">
        <f t="shared" si="55"/>
        <v>0</v>
      </c>
    </row>
    <row r="79" spans="1:75" ht="15.75" thickBot="1" x14ac:dyDescent="0.3">
      <c r="A79" s="83" t="s">
        <v>102</v>
      </c>
      <c r="B79" s="77">
        <v>10.1</v>
      </c>
      <c r="C79" s="77">
        <v>10.1</v>
      </c>
      <c r="D79" s="77">
        <v>10.1</v>
      </c>
      <c r="E79" s="77">
        <v>9.9</v>
      </c>
      <c r="F79" s="77">
        <v>9.9</v>
      </c>
      <c r="G79" s="77">
        <v>9.8000000000000007</v>
      </c>
      <c r="H79" s="77">
        <v>9.8000000000000007</v>
      </c>
      <c r="I79" s="77">
        <v>9.8000000000000007</v>
      </c>
      <c r="J79" s="77">
        <v>1.8</v>
      </c>
      <c r="K79" s="77">
        <v>8.6999999999999993</v>
      </c>
      <c r="L79" s="77">
        <v>10.4</v>
      </c>
      <c r="M79" s="77">
        <v>10.4</v>
      </c>
      <c r="N79" s="77">
        <v>10.4</v>
      </c>
      <c r="O79" s="77">
        <v>10.4</v>
      </c>
      <c r="P79" s="77">
        <v>10.4</v>
      </c>
      <c r="Q79" s="77">
        <v>10.4</v>
      </c>
      <c r="R79" s="77">
        <v>10.4</v>
      </c>
      <c r="S79" s="77">
        <v>10.1</v>
      </c>
      <c r="T79" s="77">
        <v>9.6</v>
      </c>
      <c r="U79" s="77">
        <v>10.1</v>
      </c>
      <c r="V79" s="77">
        <v>6.6</v>
      </c>
      <c r="W79" s="77">
        <v>7.9</v>
      </c>
      <c r="X79" s="77">
        <v>6.6</v>
      </c>
      <c r="Y79" s="77">
        <v>10</v>
      </c>
      <c r="Z79" s="77">
        <v>10.199999999999999</v>
      </c>
      <c r="AA79" s="77">
        <v>10.1</v>
      </c>
      <c r="AB79" s="77">
        <v>9.9</v>
      </c>
      <c r="AC79" s="77">
        <v>10</v>
      </c>
      <c r="AD79" s="77">
        <v>9.9</v>
      </c>
      <c r="AE79" s="77">
        <v>9.9</v>
      </c>
      <c r="AF79" s="77">
        <v>9.9</v>
      </c>
      <c r="AG79" s="78">
        <v>14</v>
      </c>
      <c r="AH79" s="48">
        <f t="shared" si="10"/>
        <v>10.4</v>
      </c>
      <c r="AI79" s="49">
        <f t="shared" si="11"/>
        <v>1.8</v>
      </c>
      <c r="AK79" s="51"/>
      <c r="AZ79" s="81">
        <f t="shared" si="55"/>
        <v>0</v>
      </c>
      <c r="BA79" s="81">
        <f t="shared" si="55"/>
        <v>0</v>
      </c>
      <c r="BB79" s="81">
        <f t="shared" si="55"/>
        <v>0</v>
      </c>
      <c r="BC79" s="81">
        <f t="shared" si="55"/>
        <v>0</v>
      </c>
      <c r="BD79" s="81">
        <f t="shared" si="55"/>
        <v>0</v>
      </c>
      <c r="BE79" s="81">
        <f t="shared" si="55"/>
        <v>0</v>
      </c>
      <c r="BF79" s="81">
        <f t="shared" si="55"/>
        <v>108</v>
      </c>
      <c r="BG79" s="81">
        <f t="shared" si="55"/>
        <v>127.2</v>
      </c>
      <c r="BH79" s="81">
        <f t="shared" si="55"/>
        <v>127.3</v>
      </c>
      <c r="BI79" s="81">
        <f t="shared" si="55"/>
        <v>138.19999999999999</v>
      </c>
      <c r="BJ79" s="81">
        <f t="shared" si="55"/>
        <v>138.19999999999999</v>
      </c>
      <c r="BK79" s="81">
        <f t="shared" si="55"/>
        <v>65.2</v>
      </c>
      <c r="BL79" s="81">
        <f t="shared" si="55"/>
        <v>132</v>
      </c>
      <c r="BM79" s="81">
        <f t="shared" si="55"/>
        <v>114.9</v>
      </c>
      <c r="BN79" s="81">
        <f t="shared" si="55"/>
        <v>151.4</v>
      </c>
      <c r="BO79" s="81">
        <f t="shared" si="55"/>
        <v>133.69999999999999</v>
      </c>
      <c r="BP79" s="81">
        <f t="shared" si="55"/>
        <v>124.4</v>
      </c>
      <c r="BQ79" s="81">
        <f t="shared" si="55"/>
        <v>74.2</v>
      </c>
      <c r="BR79" s="81">
        <f t="shared" si="55"/>
        <v>0</v>
      </c>
      <c r="BS79" s="81">
        <f t="shared" si="55"/>
        <v>0</v>
      </c>
      <c r="BT79" s="81">
        <f t="shared" si="55"/>
        <v>0</v>
      </c>
      <c r="BU79" s="81">
        <f t="shared" si="55"/>
        <v>0</v>
      </c>
      <c r="BV79" s="81">
        <f t="shared" si="55"/>
        <v>0</v>
      </c>
      <c r="BW79" s="81">
        <f t="shared" si="55"/>
        <v>0</v>
      </c>
    </row>
    <row r="80" spans="1:75" ht="15.75" thickBot="1" x14ac:dyDescent="0.3">
      <c r="A80" s="86" t="s">
        <v>103</v>
      </c>
      <c r="B80" s="70">
        <f t="shared" ref="B80:C80" si="56">B77+B78+B79</f>
        <v>94.9</v>
      </c>
      <c r="C80" s="70">
        <f t="shared" si="56"/>
        <v>94.9</v>
      </c>
      <c r="D80" s="70">
        <f t="shared" ref="D80" si="57">D77+D78+D79</f>
        <v>94.9</v>
      </c>
      <c r="E80" s="70">
        <f t="shared" ref="E80:AD80" si="58">E77+E78+E79</f>
        <v>95.2</v>
      </c>
      <c r="F80" s="70">
        <f t="shared" si="58"/>
        <v>95.2</v>
      </c>
      <c r="G80" s="70">
        <f t="shared" si="58"/>
        <v>94.5</v>
      </c>
      <c r="H80" s="70">
        <f t="shared" si="58"/>
        <v>94.2</v>
      </c>
      <c r="I80" s="70">
        <f t="shared" si="58"/>
        <v>94</v>
      </c>
      <c r="J80" s="70">
        <f t="shared" si="58"/>
        <v>18.600000000000001</v>
      </c>
      <c r="K80" s="70">
        <f t="shared" si="58"/>
        <v>89.7</v>
      </c>
      <c r="L80" s="70">
        <f t="shared" si="58"/>
        <v>96.4</v>
      </c>
      <c r="M80" s="70">
        <f t="shared" si="58"/>
        <v>96.4</v>
      </c>
      <c r="N80" s="70">
        <f t="shared" si="58"/>
        <v>96.4</v>
      </c>
      <c r="O80" s="70">
        <f t="shared" si="58"/>
        <v>96.4</v>
      </c>
      <c r="P80" s="70">
        <f t="shared" si="58"/>
        <v>96.4</v>
      </c>
      <c r="Q80" s="70">
        <f t="shared" si="58"/>
        <v>96.4</v>
      </c>
      <c r="R80" s="70">
        <f t="shared" si="58"/>
        <v>96.4</v>
      </c>
      <c r="S80" s="70">
        <f t="shared" si="58"/>
        <v>96.3</v>
      </c>
      <c r="T80" s="70">
        <f t="shared" si="58"/>
        <v>93.5</v>
      </c>
      <c r="U80" s="70">
        <f t="shared" si="58"/>
        <v>96.199999999999989</v>
      </c>
      <c r="V80" s="70">
        <f t="shared" si="58"/>
        <v>66.7</v>
      </c>
      <c r="W80" s="70">
        <f t="shared" si="58"/>
        <v>76.5</v>
      </c>
      <c r="X80" s="70">
        <f t="shared" si="58"/>
        <v>62.1</v>
      </c>
      <c r="Y80" s="70">
        <f>Y77+Y78+Y79</f>
        <v>94.3</v>
      </c>
      <c r="Z80" s="70">
        <f>Z77+Z78+Z79</f>
        <v>95</v>
      </c>
      <c r="AA80" s="70">
        <f t="shared" si="58"/>
        <v>94.8</v>
      </c>
      <c r="AB80" s="70">
        <f t="shared" ref="AB80" si="59">AB77+AB78+AB79</f>
        <v>94.300000000000011</v>
      </c>
      <c r="AC80" s="70">
        <f t="shared" si="58"/>
        <v>94.9</v>
      </c>
      <c r="AD80" s="70">
        <f t="shared" si="58"/>
        <v>97.100000000000009</v>
      </c>
      <c r="AE80" s="70">
        <f t="shared" ref="AE80:AF80" si="60">AE77+AE78+AE79</f>
        <v>95.100000000000009</v>
      </c>
      <c r="AF80" s="70">
        <f t="shared" si="60"/>
        <v>96.4</v>
      </c>
      <c r="AG80" s="71">
        <f>SUM(AG77:AG79)</f>
        <v>106</v>
      </c>
      <c r="AH80" s="48">
        <f t="shared" si="10"/>
        <v>97.100000000000009</v>
      </c>
      <c r="AI80" s="49">
        <f t="shared" si="11"/>
        <v>18.600000000000001</v>
      </c>
      <c r="AK80" s="51"/>
      <c r="AZ80" s="81">
        <f t="shared" si="55"/>
        <v>45</v>
      </c>
      <c r="BA80" s="81">
        <f t="shared" si="55"/>
        <v>46.5</v>
      </c>
      <c r="BB80" s="81">
        <f t="shared" si="55"/>
        <v>44.8</v>
      </c>
      <c r="BC80" s="81">
        <f t="shared" si="55"/>
        <v>44</v>
      </c>
      <c r="BD80" s="81">
        <f t="shared" si="55"/>
        <v>42.7</v>
      </c>
      <c r="BE80" s="81">
        <f t="shared" si="55"/>
        <v>52.3</v>
      </c>
      <c r="BF80" s="81">
        <f t="shared" si="55"/>
        <v>52.2</v>
      </c>
      <c r="BG80" s="81">
        <f t="shared" si="55"/>
        <v>54</v>
      </c>
      <c r="BH80" s="81">
        <f t="shared" si="55"/>
        <v>55.3</v>
      </c>
      <c r="BI80" s="81">
        <f t="shared" si="55"/>
        <v>54.9</v>
      </c>
      <c r="BJ80" s="81">
        <f t="shared" si="55"/>
        <v>54.9</v>
      </c>
      <c r="BK80" s="81">
        <f t="shared" si="55"/>
        <v>54.9</v>
      </c>
      <c r="BL80" s="81">
        <f t="shared" si="55"/>
        <v>59</v>
      </c>
      <c r="BM80" s="81">
        <f t="shared" si="55"/>
        <v>60.9</v>
      </c>
      <c r="BN80" s="81">
        <f t="shared" si="55"/>
        <v>64.5</v>
      </c>
      <c r="BO80" s="81">
        <f t="shared" si="55"/>
        <v>60.9</v>
      </c>
      <c r="BP80" s="81">
        <f t="shared" si="55"/>
        <v>53.9</v>
      </c>
      <c r="BQ80" s="81">
        <f t="shared" si="55"/>
        <v>53.8</v>
      </c>
      <c r="BR80" s="81">
        <f t="shared" si="55"/>
        <v>48.5</v>
      </c>
      <c r="BS80" s="81">
        <f t="shared" si="55"/>
        <v>46.8</v>
      </c>
      <c r="BT80" s="81">
        <f t="shared" si="55"/>
        <v>46.8</v>
      </c>
      <c r="BU80" s="81">
        <f t="shared" si="55"/>
        <v>47.3</v>
      </c>
      <c r="BV80" s="81">
        <f t="shared" si="55"/>
        <v>45.3</v>
      </c>
      <c r="BW80" s="81">
        <f t="shared" si="55"/>
        <v>47.3</v>
      </c>
    </row>
    <row r="81" spans="1:64" x14ac:dyDescent="0.25">
      <c r="A81" s="45" t="s">
        <v>104</v>
      </c>
      <c r="B81" s="46">
        <v>24.4</v>
      </c>
      <c r="C81" s="46">
        <v>31.2</v>
      </c>
      <c r="D81" s="46">
        <v>27.7</v>
      </c>
      <c r="E81" s="46">
        <v>38.5</v>
      </c>
      <c r="F81" s="46">
        <v>37.299999999999997</v>
      </c>
      <c r="G81" s="46">
        <v>37.299999999999997</v>
      </c>
      <c r="H81" s="46">
        <v>41.5</v>
      </c>
      <c r="I81" s="46">
        <v>41.5</v>
      </c>
      <c r="J81" s="46">
        <v>60.4</v>
      </c>
      <c r="K81" s="46">
        <v>55</v>
      </c>
      <c r="L81" s="46">
        <v>61.1</v>
      </c>
      <c r="M81" s="46">
        <v>62.4</v>
      </c>
      <c r="N81" s="46">
        <v>62.1</v>
      </c>
      <c r="O81" s="46">
        <v>62.4</v>
      </c>
      <c r="P81" s="46">
        <v>62.4</v>
      </c>
      <c r="Q81" s="46">
        <v>63.5</v>
      </c>
      <c r="R81" s="46">
        <v>72.900000000000006</v>
      </c>
      <c r="S81" s="46">
        <v>72</v>
      </c>
      <c r="T81" s="46">
        <v>76</v>
      </c>
      <c r="U81" s="46">
        <v>74.400000000000006</v>
      </c>
      <c r="V81" s="46">
        <v>73.099999999999994</v>
      </c>
      <c r="W81" s="46">
        <v>69.2</v>
      </c>
      <c r="X81" s="46">
        <v>68.400000000000006</v>
      </c>
      <c r="Y81" s="46">
        <v>20.6</v>
      </c>
      <c r="Z81" s="46">
        <v>26</v>
      </c>
      <c r="AA81" s="46">
        <v>29.3</v>
      </c>
      <c r="AB81" s="46">
        <v>14.8</v>
      </c>
      <c r="AC81" s="46">
        <v>18</v>
      </c>
      <c r="AD81" s="46">
        <v>16</v>
      </c>
      <c r="AE81" s="46">
        <v>45.9</v>
      </c>
      <c r="AF81" s="46">
        <v>38.1</v>
      </c>
      <c r="AG81" s="60"/>
      <c r="AH81" s="48">
        <f t="shared" si="10"/>
        <v>76</v>
      </c>
      <c r="AI81" s="49">
        <f t="shared" si="11"/>
        <v>14.8</v>
      </c>
      <c r="AK81" s="51"/>
      <c r="AY81" s="81"/>
    </row>
    <row r="82" spans="1:64" x14ac:dyDescent="0.25">
      <c r="A82" s="64" t="s">
        <v>105</v>
      </c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>
        <v>118</v>
      </c>
      <c r="N82" s="75">
        <v>125</v>
      </c>
      <c r="O82" s="75">
        <v>117</v>
      </c>
      <c r="P82" s="75">
        <v>120</v>
      </c>
      <c r="Q82" s="75">
        <v>120.4</v>
      </c>
      <c r="R82" s="75">
        <v>116.4</v>
      </c>
      <c r="S82" s="75">
        <v>126.2</v>
      </c>
      <c r="T82" s="75">
        <v>125</v>
      </c>
      <c r="U82" s="75">
        <v>128.19999999999999</v>
      </c>
      <c r="V82" s="75">
        <v>119.4</v>
      </c>
      <c r="W82" s="75">
        <v>121.9</v>
      </c>
      <c r="X82" s="75">
        <v>112.5</v>
      </c>
      <c r="Y82" s="75">
        <v>0</v>
      </c>
      <c r="Z82" s="75">
        <v>0</v>
      </c>
      <c r="AA82" s="75">
        <v>0</v>
      </c>
      <c r="AB82" s="75">
        <v>0</v>
      </c>
      <c r="AC82" s="75">
        <v>0</v>
      </c>
      <c r="AD82" s="75">
        <v>0</v>
      </c>
      <c r="AE82" s="75">
        <v>0</v>
      </c>
      <c r="AF82" s="75">
        <v>0</v>
      </c>
      <c r="AG82" s="65"/>
      <c r="AH82" s="48">
        <f t="shared" ref="AH82:AH125" si="61">MAX(B82:AF82)</f>
        <v>128.19999999999999</v>
      </c>
      <c r="AI82" s="49">
        <f t="shared" ref="AI82:AI125" si="62">MIN(B82:AF82)</f>
        <v>0</v>
      </c>
      <c r="AK82" s="51"/>
      <c r="AY82" s="81"/>
      <c r="BF82" s="81"/>
      <c r="BG82" s="81"/>
      <c r="BH82" s="81"/>
      <c r="BI82" s="81"/>
      <c r="BJ82" s="81"/>
      <c r="BK82" s="81"/>
    </row>
    <row r="83" spans="1:64" x14ac:dyDescent="0.25">
      <c r="A83" s="64" t="s">
        <v>106</v>
      </c>
      <c r="B83" s="75">
        <v>93.8</v>
      </c>
      <c r="C83" s="75">
        <v>91</v>
      </c>
      <c r="D83" s="75">
        <v>74.8</v>
      </c>
      <c r="E83" s="75">
        <v>94</v>
      </c>
      <c r="F83" s="75">
        <v>100.6</v>
      </c>
      <c r="G83" s="75">
        <v>116.8</v>
      </c>
      <c r="H83" s="75">
        <v>119</v>
      </c>
      <c r="I83" s="75">
        <v>142.4</v>
      </c>
      <c r="J83" s="75">
        <v>430</v>
      </c>
      <c r="K83" s="75">
        <v>506.8</v>
      </c>
      <c r="L83" s="75">
        <v>521.1</v>
      </c>
      <c r="M83" s="75">
        <v>474</v>
      </c>
      <c r="N83" s="75">
        <v>462.6</v>
      </c>
      <c r="O83" s="75">
        <v>488</v>
      </c>
      <c r="P83" s="75">
        <v>490</v>
      </c>
      <c r="Q83" s="75">
        <v>493</v>
      </c>
      <c r="R83" s="75">
        <v>513</v>
      </c>
      <c r="S83" s="75">
        <v>502.3</v>
      </c>
      <c r="T83" s="75">
        <v>489</v>
      </c>
      <c r="U83" s="75">
        <v>488.7</v>
      </c>
      <c r="V83" s="75">
        <v>471</v>
      </c>
      <c r="W83" s="75">
        <v>468.8</v>
      </c>
      <c r="X83" s="75">
        <v>403.5</v>
      </c>
      <c r="Y83" s="75">
        <v>121</v>
      </c>
      <c r="Z83" s="75">
        <v>121.6</v>
      </c>
      <c r="AA83" s="75">
        <v>56.4</v>
      </c>
      <c r="AB83" s="75">
        <v>88.2</v>
      </c>
      <c r="AC83" s="75">
        <v>70.400000000000006</v>
      </c>
      <c r="AD83" s="75">
        <v>193.5</v>
      </c>
      <c r="AE83" s="75">
        <v>142.30000000000001</v>
      </c>
      <c r="AF83" s="75">
        <v>114.5</v>
      </c>
      <c r="AG83" s="87"/>
      <c r="AH83" s="48">
        <f t="shared" si="61"/>
        <v>521.1</v>
      </c>
      <c r="AI83" s="49">
        <f t="shared" si="62"/>
        <v>56.4</v>
      </c>
      <c r="AK83" s="51"/>
      <c r="AY83" s="81"/>
      <c r="BF83" s="80"/>
      <c r="BG83" s="80"/>
      <c r="BH83" s="80"/>
      <c r="BI83" s="80"/>
      <c r="BJ83" s="80"/>
      <c r="BK83" s="81"/>
    </row>
    <row r="84" spans="1:64" x14ac:dyDescent="0.25">
      <c r="A84" s="64" t="s">
        <v>107</v>
      </c>
      <c r="B84" s="75"/>
      <c r="C84" s="75"/>
      <c r="D84" s="75"/>
      <c r="E84" s="88"/>
      <c r="F84" s="88"/>
      <c r="G84" s="88"/>
      <c r="H84" s="88"/>
      <c r="I84" s="88"/>
      <c r="J84" s="88">
        <v>34</v>
      </c>
      <c r="K84" s="88">
        <v>44</v>
      </c>
      <c r="L84" s="88">
        <v>55.2</v>
      </c>
      <c r="M84" s="88">
        <v>45.1</v>
      </c>
      <c r="N84" s="88">
        <v>48.3</v>
      </c>
      <c r="O84" s="88">
        <v>33.5</v>
      </c>
      <c r="P84" s="88">
        <v>33.5</v>
      </c>
      <c r="Q84" s="88">
        <v>50.5</v>
      </c>
      <c r="R84" s="88">
        <v>41</v>
      </c>
      <c r="S84" s="88">
        <v>52.5</v>
      </c>
      <c r="T84" s="88">
        <v>48.6</v>
      </c>
      <c r="U84" s="88">
        <v>45.2</v>
      </c>
      <c r="V84" s="88">
        <v>28.9</v>
      </c>
      <c r="W84" s="88">
        <v>25</v>
      </c>
      <c r="X84" s="88">
        <v>34.1</v>
      </c>
      <c r="Y84" s="88">
        <v>0</v>
      </c>
      <c r="Z84" s="88">
        <v>0</v>
      </c>
      <c r="AA84" s="88"/>
      <c r="AB84" s="88"/>
      <c r="AC84" s="88">
        <v>0</v>
      </c>
      <c r="AD84" s="88"/>
      <c r="AE84" s="88"/>
      <c r="AF84" s="88"/>
      <c r="AG84" s="87"/>
      <c r="AH84" s="48">
        <f t="shared" si="61"/>
        <v>55.2</v>
      </c>
      <c r="AI84" s="49">
        <f t="shared" si="62"/>
        <v>0</v>
      </c>
      <c r="AK84" s="51"/>
      <c r="AY84" s="81"/>
      <c r="BF84" s="80"/>
      <c r="BG84" s="81">
        <f t="array" ref="BG84:BL107">TRANSPOSE(AZ68:BW73)</f>
        <v>31</v>
      </c>
      <c r="BH84" s="81">
        <v>0</v>
      </c>
      <c r="BI84" s="81">
        <v>91</v>
      </c>
      <c r="BJ84" s="81">
        <v>0</v>
      </c>
      <c r="BK84" s="81">
        <v>0</v>
      </c>
      <c r="BL84" s="81">
        <v>45</v>
      </c>
    </row>
    <row r="85" spans="1:64" x14ac:dyDescent="0.25">
      <c r="A85" s="64" t="s">
        <v>108</v>
      </c>
      <c r="B85" s="46"/>
      <c r="C85" s="46"/>
      <c r="D85" s="46"/>
      <c r="E85" s="46"/>
      <c r="F85" s="46"/>
      <c r="G85" s="46"/>
      <c r="H85" s="46"/>
      <c r="I85" s="46"/>
      <c r="J85" s="46">
        <v>92</v>
      </c>
      <c r="K85" s="46">
        <v>108</v>
      </c>
      <c r="L85" s="46">
        <v>126.7</v>
      </c>
      <c r="M85" s="46">
        <v>127.2</v>
      </c>
      <c r="N85" s="46">
        <v>127.3</v>
      </c>
      <c r="O85" s="46">
        <v>138.19999999999999</v>
      </c>
      <c r="P85" s="46">
        <v>138.19999999999999</v>
      </c>
      <c r="Q85" s="46">
        <v>65.2</v>
      </c>
      <c r="R85" s="46">
        <v>132</v>
      </c>
      <c r="S85" s="46">
        <v>114.9</v>
      </c>
      <c r="T85" s="46">
        <v>151.4</v>
      </c>
      <c r="U85" s="46">
        <v>133.69999999999999</v>
      </c>
      <c r="V85" s="46">
        <v>124.4</v>
      </c>
      <c r="W85" s="46">
        <v>103.9</v>
      </c>
      <c r="X85" s="46">
        <v>74.2</v>
      </c>
      <c r="Y85" s="46">
        <v>0</v>
      </c>
      <c r="Z85" s="46">
        <v>0</v>
      </c>
      <c r="AA85" s="46"/>
      <c r="AB85" s="46"/>
      <c r="AC85" s="46">
        <v>0</v>
      </c>
      <c r="AD85" s="46"/>
      <c r="AE85" s="46"/>
      <c r="AF85" s="46"/>
      <c r="AG85" s="87"/>
      <c r="AH85" s="48">
        <f t="shared" si="61"/>
        <v>151.4</v>
      </c>
      <c r="AI85" s="49">
        <f t="shared" si="62"/>
        <v>0</v>
      </c>
      <c r="AK85" s="51"/>
      <c r="AY85" s="81"/>
      <c r="BF85" s="80"/>
      <c r="BG85" s="81">
        <v>27.7</v>
      </c>
      <c r="BH85" s="81">
        <v>0</v>
      </c>
      <c r="BI85" s="81">
        <v>74.8</v>
      </c>
      <c r="BJ85" s="81">
        <v>0</v>
      </c>
      <c r="BK85" s="81">
        <v>0</v>
      </c>
      <c r="BL85" s="81">
        <v>46.5</v>
      </c>
    </row>
    <row r="86" spans="1:64" x14ac:dyDescent="0.25">
      <c r="A86" s="64" t="s">
        <v>109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7"/>
      <c r="AH86" s="48">
        <f t="shared" si="61"/>
        <v>0</v>
      </c>
      <c r="AI86" s="49">
        <f t="shared" si="62"/>
        <v>0</v>
      </c>
      <c r="AK86" s="51"/>
      <c r="AY86" s="81"/>
      <c r="BF86" s="80"/>
      <c r="BG86" s="81">
        <v>38.5</v>
      </c>
      <c r="BH86" s="81">
        <v>0</v>
      </c>
      <c r="BI86" s="81">
        <v>94</v>
      </c>
      <c r="BJ86" s="81">
        <v>0</v>
      </c>
      <c r="BK86" s="81">
        <v>0</v>
      </c>
      <c r="BL86" s="81">
        <v>44.8</v>
      </c>
    </row>
    <row r="87" spans="1:64" ht="15.75" thickBot="1" x14ac:dyDescent="0.3">
      <c r="A87" s="64" t="s">
        <v>110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7"/>
      <c r="AH87" s="48">
        <f t="shared" si="61"/>
        <v>0</v>
      </c>
      <c r="AI87" s="49">
        <f t="shared" si="62"/>
        <v>0</v>
      </c>
      <c r="AK87" s="51"/>
      <c r="AL87" s="90" t="s">
        <v>111</v>
      </c>
      <c r="AM87" s="90"/>
      <c r="AY87" s="81"/>
      <c r="BF87" s="81"/>
      <c r="BG87" s="81">
        <v>37.299999999999997</v>
      </c>
      <c r="BH87" s="81">
        <v>0</v>
      </c>
      <c r="BI87" s="81">
        <v>100.6</v>
      </c>
      <c r="BJ87" s="81">
        <v>0</v>
      </c>
      <c r="BK87" s="81">
        <v>0</v>
      </c>
      <c r="BL87" s="81">
        <v>44</v>
      </c>
    </row>
    <row r="88" spans="1:64" x14ac:dyDescent="0.25">
      <c r="A88" s="64" t="s">
        <v>112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7"/>
      <c r="AH88" s="48">
        <f t="shared" si="61"/>
        <v>0</v>
      </c>
      <c r="AI88" s="49">
        <f t="shared" si="62"/>
        <v>0</v>
      </c>
      <c r="AK88" s="91"/>
      <c r="AL88" s="92"/>
      <c r="AM88" s="92"/>
      <c r="AN88" s="93"/>
      <c r="AY88" s="81"/>
      <c r="BF88" s="81"/>
      <c r="BG88" s="81">
        <v>37.299999999999997</v>
      </c>
      <c r="BH88" s="81">
        <v>0</v>
      </c>
      <c r="BI88" s="81">
        <v>116.8</v>
      </c>
      <c r="BJ88" s="81">
        <v>0</v>
      </c>
      <c r="BK88" s="81">
        <v>0</v>
      </c>
      <c r="BL88" s="81">
        <v>42.7</v>
      </c>
    </row>
    <row r="89" spans="1:64" x14ac:dyDescent="0.25">
      <c r="A89" s="64" t="s">
        <v>113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7"/>
      <c r="AH89" s="48">
        <f t="shared" si="61"/>
        <v>0</v>
      </c>
      <c r="AI89" s="49">
        <f t="shared" si="62"/>
        <v>0</v>
      </c>
      <c r="AK89" s="94" t="s">
        <v>114</v>
      </c>
      <c r="AL89" s="75"/>
      <c r="AM89" s="88"/>
      <c r="AN89" s="95"/>
      <c r="AY89" s="81"/>
      <c r="BF89" s="81"/>
      <c r="BG89" s="81">
        <v>41.5</v>
      </c>
      <c r="BH89" s="81">
        <v>0</v>
      </c>
      <c r="BI89" s="81">
        <v>142.4</v>
      </c>
      <c r="BJ89" s="81">
        <v>0</v>
      </c>
      <c r="BK89" s="81">
        <v>0</v>
      </c>
      <c r="BL89" s="81">
        <v>52.3</v>
      </c>
    </row>
    <row r="90" spans="1:64" x14ac:dyDescent="0.25">
      <c r="A90" s="96" t="s">
        <v>115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97"/>
      <c r="AH90" s="48">
        <f t="shared" si="61"/>
        <v>0</v>
      </c>
      <c r="AI90" s="49">
        <f t="shared" si="62"/>
        <v>0</v>
      </c>
      <c r="AK90" s="94" t="s">
        <v>116</v>
      </c>
      <c r="AL90" s="88"/>
      <c r="AM90" s="88"/>
      <c r="AN90" s="95"/>
      <c r="AY90" s="81"/>
      <c r="BF90" s="81"/>
      <c r="BG90" s="81">
        <v>55</v>
      </c>
      <c r="BH90" s="81">
        <v>0</v>
      </c>
      <c r="BI90" s="81">
        <v>506.8</v>
      </c>
      <c r="BJ90" s="81">
        <v>44</v>
      </c>
      <c r="BK90" s="81">
        <v>108</v>
      </c>
      <c r="BL90" s="81">
        <v>52.2</v>
      </c>
    </row>
    <row r="91" spans="1:64" ht="15.75" thickBot="1" x14ac:dyDescent="0.3">
      <c r="A91" s="96" t="s">
        <v>117</v>
      </c>
      <c r="B91" s="89">
        <v>47.3</v>
      </c>
      <c r="C91" s="89">
        <v>45.2</v>
      </c>
      <c r="D91" s="89">
        <v>46.5</v>
      </c>
      <c r="E91" s="89">
        <v>44.8</v>
      </c>
      <c r="F91" s="89">
        <v>44</v>
      </c>
      <c r="G91" s="89">
        <v>42.7</v>
      </c>
      <c r="H91" s="89">
        <v>42.6</v>
      </c>
      <c r="I91" s="89">
        <v>52.3</v>
      </c>
      <c r="J91" s="89">
        <v>52.3</v>
      </c>
      <c r="K91" s="89">
        <v>52.2</v>
      </c>
      <c r="L91" s="89">
        <v>54.4</v>
      </c>
      <c r="M91" s="89">
        <v>54</v>
      </c>
      <c r="N91" s="89">
        <v>55.3</v>
      </c>
      <c r="O91" s="89">
        <v>54.9</v>
      </c>
      <c r="P91" s="89">
        <v>54.9</v>
      </c>
      <c r="Q91" s="89">
        <v>54.9</v>
      </c>
      <c r="R91" s="89">
        <v>59</v>
      </c>
      <c r="S91" s="89">
        <v>60.9</v>
      </c>
      <c r="T91" s="89">
        <v>64.5</v>
      </c>
      <c r="U91" s="89">
        <v>60.9</v>
      </c>
      <c r="V91" s="89">
        <v>53.9</v>
      </c>
      <c r="W91" s="89">
        <v>52.3</v>
      </c>
      <c r="X91" s="89">
        <v>53.8</v>
      </c>
      <c r="Y91" s="89">
        <v>54.6</v>
      </c>
      <c r="Z91" s="89">
        <v>48.5</v>
      </c>
      <c r="AA91" s="89">
        <v>46.7</v>
      </c>
      <c r="AB91" s="89">
        <v>46.8</v>
      </c>
      <c r="AC91" s="89">
        <v>46.6</v>
      </c>
      <c r="AD91" s="89">
        <v>46.8</v>
      </c>
      <c r="AE91" s="89">
        <v>47.3</v>
      </c>
      <c r="AF91" s="89">
        <v>45.3</v>
      </c>
      <c r="AG91" s="97"/>
      <c r="AH91" s="48">
        <f t="shared" si="61"/>
        <v>64.5</v>
      </c>
      <c r="AI91" s="49">
        <f t="shared" si="62"/>
        <v>42.6</v>
      </c>
      <c r="AK91" s="98"/>
      <c r="AL91" s="46"/>
      <c r="AM91" s="46"/>
      <c r="AN91" s="99"/>
      <c r="AY91" s="81"/>
      <c r="BF91" s="81"/>
      <c r="BG91" s="81">
        <v>62.4</v>
      </c>
      <c r="BH91" s="81">
        <v>118</v>
      </c>
      <c r="BI91" s="81">
        <v>474</v>
      </c>
      <c r="BJ91" s="81">
        <v>45.1</v>
      </c>
      <c r="BK91" s="81">
        <v>127.2</v>
      </c>
      <c r="BL91" s="81">
        <v>54</v>
      </c>
    </row>
    <row r="92" spans="1:64" ht="15.75" thickBot="1" x14ac:dyDescent="0.3">
      <c r="A92" s="86" t="s">
        <v>118</v>
      </c>
      <c r="B92" s="70">
        <f t="shared" ref="B92:C92" si="63">SUMIF(B81:B91,"&gt;0")</f>
        <v>165.5</v>
      </c>
      <c r="C92" s="70">
        <f t="shared" si="63"/>
        <v>167.4</v>
      </c>
      <c r="D92" s="70">
        <f t="shared" ref="D92" si="64">SUMIF(D81:D91,"&gt;0")</f>
        <v>149</v>
      </c>
      <c r="E92" s="70">
        <f t="shared" ref="E92:AF92" si="65">SUMIF(E81:E91,"&gt;0")</f>
        <v>177.3</v>
      </c>
      <c r="F92" s="70">
        <f t="shared" si="65"/>
        <v>181.89999999999998</v>
      </c>
      <c r="G92" s="70">
        <f t="shared" si="65"/>
        <v>196.8</v>
      </c>
      <c r="H92" s="70">
        <f t="shared" si="65"/>
        <v>203.1</v>
      </c>
      <c r="I92" s="70">
        <f t="shared" si="65"/>
        <v>236.2</v>
      </c>
      <c r="J92" s="70">
        <f t="shared" si="65"/>
        <v>668.69999999999993</v>
      </c>
      <c r="K92" s="70">
        <f t="shared" si="65"/>
        <v>766</v>
      </c>
      <c r="L92" s="70">
        <f t="shared" si="65"/>
        <v>818.50000000000011</v>
      </c>
      <c r="M92" s="70">
        <f t="shared" si="65"/>
        <v>880.7</v>
      </c>
      <c r="N92" s="70">
        <f t="shared" si="65"/>
        <v>880.59999999999991</v>
      </c>
      <c r="O92" s="70">
        <f t="shared" si="65"/>
        <v>893.99999999999989</v>
      </c>
      <c r="P92" s="70">
        <f t="shared" si="65"/>
        <v>898.99999999999989</v>
      </c>
      <c r="Q92" s="70">
        <f t="shared" si="65"/>
        <v>847.5</v>
      </c>
      <c r="R92" s="70">
        <f t="shared" si="65"/>
        <v>934.3</v>
      </c>
      <c r="S92" s="70">
        <f t="shared" si="65"/>
        <v>928.8</v>
      </c>
      <c r="T92" s="70">
        <f t="shared" si="65"/>
        <v>954.5</v>
      </c>
      <c r="U92" s="70">
        <f t="shared" si="65"/>
        <v>931.1</v>
      </c>
      <c r="V92" s="70">
        <f t="shared" si="65"/>
        <v>870.69999999999993</v>
      </c>
      <c r="W92" s="70">
        <f t="shared" si="65"/>
        <v>841.1</v>
      </c>
      <c r="X92" s="70">
        <f t="shared" si="65"/>
        <v>746.5</v>
      </c>
      <c r="Y92" s="70">
        <f>SUMIF(Y81:Y91,"&gt;0")</f>
        <v>196.2</v>
      </c>
      <c r="Z92" s="70">
        <f>SUMIF(Z81:Z91,"&gt;0")</f>
        <v>196.1</v>
      </c>
      <c r="AA92" s="70">
        <f t="shared" si="65"/>
        <v>132.4</v>
      </c>
      <c r="AB92" s="70">
        <f t="shared" ref="AB92" si="66">SUMIF(AB81:AB91,"&gt;0")</f>
        <v>149.80000000000001</v>
      </c>
      <c r="AC92" s="70">
        <f t="shared" si="65"/>
        <v>135</v>
      </c>
      <c r="AD92" s="70">
        <f t="shared" si="65"/>
        <v>256.3</v>
      </c>
      <c r="AE92" s="70">
        <f t="shared" ref="AE92" si="67">SUMIF(AE81:AE91,"&gt;0")</f>
        <v>235.5</v>
      </c>
      <c r="AF92" s="70">
        <f t="shared" si="65"/>
        <v>197.89999999999998</v>
      </c>
      <c r="AG92" s="100">
        <f>SUM(AG81:AG91)</f>
        <v>0</v>
      </c>
      <c r="AH92" s="48">
        <f t="shared" si="61"/>
        <v>954.5</v>
      </c>
      <c r="AI92" s="49">
        <f t="shared" si="62"/>
        <v>132.4</v>
      </c>
      <c r="AK92" s="98"/>
      <c r="AL92" s="89"/>
      <c r="AM92" s="101"/>
      <c r="AN92" s="202"/>
      <c r="AY92" s="81"/>
      <c r="BF92" s="81"/>
      <c r="BG92" s="81">
        <v>62.1</v>
      </c>
      <c r="BH92" s="81">
        <v>125</v>
      </c>
      <c r="BI92" s="81">
        <v>462.6</v>
      </c>
      <c r="BJ92" s="81">
        <v>48.3</v>
      </c>
      <c r="BK92" s="81">
        <v>127.3</v>
      </c>
      <c r="BL92" s="81">
        <v>55.3</v>
      </c>
    </row>
    <row r="93" spans="1:64" x14ac:dyDescent="0.25">
      <c r="A93" s="45" t="s">
        <v>119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61"/>
        <v>0</v>
      </c>
      <c r="AI93" s="49">
        <f t="shared" si="62"/>
        <v>0</v>
      </c>
      <c r="AK93" s="98"/>
      <c r="AL93" s="89"/>
      <c r="AM93" s="89"/>
      <c r="AN93" s="203"/>
      <c r="BF93" s="81"/>
      <c r="BG93" s="81">
        <v>62.4</v>
      </c>
      <c r="BH93" s="81">
        <v>117</v>
      </c>
      <c r="BI93" s="81">
        <v>488</v>
      </c>
      <c r="BJ93" s="81">
        <v>33.5</v>
      </c>
      <c r="BK93" s="81">
        <v>138.19999999999999</v>
      </c>
      <c r="BL93" s="81">
        <v>54.9</v>
      </c>
    </row>
    <row r="94" spans="1:64" ht="15.75" thickBot="1" x14ac:dyDescent="0.3">
      <c r="A94" s="64" t="s">
        <v>120</v>
      </c>
      <c r="B94" s="89">
        <v>0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61"/>
        <v>0</v>
      </c>
      <c r="AI94" s="49">
        <f t="shared" si="62"/>
        <v>0</v>
      </c>
      <c r="AK94" s="103"/>
      <c r="AL94" s="104"/>
      <c r="AM94" s="104"/>
      <c r="AN94" s="105"/>
      <c r="BF94" s="81"/>
      <c r="BG94" s="81">
        <v>62.4</v>
      </c>
      <c r="BH94" s="81">
        <v>120</v>
      </c>
      <c r="BI94" s="81">
        <v>490</v>
      </c>
      <c r="BJ94" s="81">
        <v>33.5</v>
      </c>
      <c r="BK94" s="81">
        <v>138.19999999999999</v>
      </c>
      <c r="BL94" s="81">
        <v>54.9</v>
      </c>
    </row>
    <row r="95" spans="1:64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0</v>
      </c>
      <c r="Y95" s="106">
        <v>0</v>
      </c>
      <c r="Z95" s="106">
        <v>0</v>
      </c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61"/>
        <v>0</v>
      </c>
      <c r="AI95" s="49">
        <f t="shared" si="62"/>
        <v>0</v>
      </c>
      <c r="BF95" s="81"/>
      <c r="BG95" s="81">
        <v>63.5</v>
      </c>
      <c r="BH95" s="81">
        <v>120.4</v>
      </c>
      <c r="BI95" s="81">
        <v>493</v>
      </c>
      <c r="BJ95" s="81">
        <v>50.5</v>
      </c>
      <c r="BK95" s="81">
        <v>65.2</v>
      </c>
      <c r="BL95" s="81">
        <v>54.9</v>
      </c>
    </row>
    <row r="96" spans="1:64" ht="15.75" thickBot="1" x14ac:dyDescent="0.3">
      <c r="A96" s="86" t="s">
        <v>122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>
        <v>0</v>
      </c>
      <c r="Y96" s="70"/>
      <c r="Z96" s="70"/>
      <c r="AA96" s="70"/>
      <c r="AB96" s="70"/>
      <c r="AC96" s="70"/>
      <c r="AD96" s="70"/>
      <c r="AE96" s="70"/>
      <c r="AF96" s="70"/>
      <c r="AG96" s="100">
        <f>SUM(AG93:AG95)</f>
        <v>55.4</v>
      </c>
      <c r="AH96" s="48">
        <f t="shared" si="61"/>
        <v>0</v>
      </c>
      <c r="AI96" s="49">
        <f t="shared" si="62"/>
        <v>0</v>
      </c>
      <c r="BF96" s="81"/>
      <c r="BG96" s="81">
        <v>72.900000000000006</v>
      </c>
      <c r="BH96" s="81">
        <v>116.4</v>
      </c>
      <c r="BI96" s="81">
        <v>513</v>
      </c>
      <c r="BJ96" s="81">
        <v>41</v>
      </c>
      <c r="BK96" s="81">
        <v>132</v>
      </c>
      <c r="BL96" s="81">
        <v>59</v>
      </c>
    </row>
    <row r="97" spans="1:64" ht="15.75" thickBot="1" x14ac:dyDescent="0.3">
      <c r="A97" s="86" t="s">
        <v>123</v>
      </c>
      <c r="B97" s="107">
        <f t="shared" ref="B97:C97" si="68">B58+B62+B80+B76+B92+B96</f>
        <v>1053.69</v>
      </c>
      <c r="C97" s="107">
        <f t="shared" si="68"/>
        <v>1025.99</v>
      </c>
      <c r="D97" s="107">
        <f t="shared" ref="D97" si="69">D58+D62+D80+D76+D92+D96</f>
        <v>1004.99</v>
      </c>
      <c r="E97" s="107">
        <f t="shared" ref="E97:AG97" si="70">E58+E62+E80+E76+E92+E96</f>
        <v>977.69</v>
      </c>
      <c r="F97" s="107">
        <f t="shared" si="70"/>
        <v>976.09</v>
      </c>
      <c r="G97" s="107">
        <f t="shared" si="70"/>
        <v>1022.99</v>
      </c>
      <c r="H97" s="107">
        <f t="shared" si="70"/>
        <v>1051.29</v>
      </c>
      <c r="I97" s="107">
        <f t="shared" si="70"/>
        <v>1123.29</v>
      </c>
      <c r="J97" s="107">
        <f t="shared" si="70"/>
        <v>1308.8899999999999</v>
      </c>
      <c r="K97" s="107">
        <f t="shared" si="70"/>
        <v>1507.69</v>
      </c>
      <c r="L97" s="107">
        <f t="shared" si="70"/>
        <v>1630.89</v>
      </c>
      <c r="M97" s="107">
        <f t="shared" si="70"/>
        <v>1708.79</v>
      </c>
      <c r="N97" s="107">
        <f t="shared" si="70"/>
        <v>1698.79</v>
      </c>
      <c r="O97" s="107">
        <f t="shared" si="70"/>
        <v>1698.1899999999998</v>
      </c>
      <c r="P97" s="107">
        <f t="shared" si="70"/>
        <v>1707.3899999999999</v>
      </c>
      <c r="Q97" s="107">
        <f t="shared" si="70"/>
        <v>1646.29</v>
      </c>
      <c r="R97" s="107">
        <f t="shared" si="70"/>
        <v>1730.09</v>
      </c>
      <c r="S97" s="107">
        <f t="shared" si="70"/>
        <v>1722.79</v>
      </c>
      <c r="T97" s="107">
        <f t="shared" si="70"/>
        <v>1762.09</v>
      </c>
      <c r="U97" s="107">
        <f t="shared" si="70"/>
        <v>1710.29</v>
      </c>
      <c r="V97" s="107">
        <f t="shared" si="70"/>
        <v>1605.19</v>
      </c>
      <c r="W97" s="107">
        <f t="shared" si="70"/>
        <v>1559.19</v>
      </c>
      <c r="X97" s="107">
        <f t="shared" si="70"/>
        <v>1455.99</v>
      </c>
      <c r="Y97" s="107">
        <f>Y58+Y62+Y80+Y76+Y92+Y96</f>
        <v>1408.45</v>
      </c>
      <c r="Z97" s="107">
        <f>Z58+Z62+Z80+Z76+Z92+Z96</f>
        <v>1526.55</v>
      </c>
      <c r="AA97" s="107">
        <f t="shared" si="70"/>
        <v>1442.0900000000001</v>
      </c>
      <c r="AB97" s="107">
        <f t="shared" ref="AB97" si="71">AB58+AB62+AB80+AB76+AB92+AB96</f>
        <v>1429.69</v>
      </c>
      <c r="AC97" s="107">
        <f t="shared" si="70"/>
        <v>1368.69</v>
      </c>
      <c r="AD97" s="107">
        <f t="shared" si="70"/>
        <v>1313.7900000000002</v>
      </c>
      <c r="AE97" s="107">
        <f t="shared" ref="AE97" si="72">AE58+AE62+AE80+AE76+AE92+AE96</f>
        <v>1145.69</v>
      </c>
      <c r="AF97" s="107">
        <f t="shared" si="70"/>
        <v>1066.19</v>
      </c>
      <c r="AG97" s="71">
        <f t="shared" si="70"/>
        <v>2231.81</v>
      </c>
      <c r="AH97" s="48">
        <f t="shared" si="61"/>
        <v>1762.09</v>
      </c>
      <c r="AI97" s="49">
        <f t="shared" si="62"/>
        <v>976.09</v>
      </c>
      <c r="BF97" s="81"/>
      <c r="BG97" s="81">
        <v>72</v>
      </c>
      <c r="BH97" s="81">
        <v>126.2</v>
      </c>
      <c r="BI97" s="81">
        <v>502.3</v>
      </c>
      <c r="BJ97" s="81">
        <v>52.5</v>
      </c>
      <c r="BK97" s="81">
        <v>114.9</v>
      </c>
      <c r="BL97" s="81">
        <v>60.9</v>
      </c>
    </row>
    <row r="98" spans="1:64" ht="15.75" thickBot="1" x14ac:dyDescent="0.3">
      <c r="A98" s="108" t="s">
        <v>124</v>
      </c>
      <c r="B98" s="109">
        <v>300</v>
      </c>
      <c r="C98" s="109">
        <v>300</v>
      </c>
      <c r="D98" s="109">
        <v>300</v>
      </c>
      <c r="E98" s="109">
        <v>300</v>
      </c>
      <c r="F98" s="109">
        <v>300</v>
      </c>
      <c r="G98" s="109">
        <v>300</v>
      </c>
      <c r="H98" s="109">
        <v>300</v>
      </c>
      <c r="I98" s="109">
        <v>300</v>
      </c>
      <c r="J98" s="109">
        <v>250</v>
      </c>
      <c r="K98" s="109">
        <v>100</v>
      </c>
      <c r="L98" s="109">
        <v>40</v>
      </c>
      <c r="M98" s="109"/>
      <c r="N98" s="109"/>
      <c r="O98" s="109"/>
      <c r="P98" s="109"/>
      <c r="Q98" s="109"/>
      <c r="R98" s="109"/>
      <c r="S98" s="109"/>
      <c r="T98" s="109"/>
      <c r="U98" s="109"/>
      <c r="V98" s="109">
        <v>100</v>
      </c>
      <c r="W98" s="109">
        <v>150</v>
      </c>
      <c r="X98" s="109">
        <v>250</v>
      </c>
      <c r="Y98" s="109">
        <v>300</v>
      </c>
      <c r="Z98" s="109">
        <v>300</v>
      </c>
      <c r="AA98" s="109">
        <v>300</v>
      </c>
      <c r="AB98" s="109">
        <v>300</v>
      </c>
      <c r="AC98" s="109">
        <v>300</v>
      </c>
      <c r="AD98" s="109">
        <v>300</v>
      </c>
      <c r="AE98" s="109">
        <v>350</v>
      </c>
      <c r="AF98" s="109">
        <v>350</v>
      </c>
      <c r="AG98" s="100"/>
      <c r="AH98" s="48">
        <f t="shared" si="61"/>
        <v>350</v>
      </c>
      <c r="AI98" s="49">
        <f t="shared" si="62"/>
        <v>40</v>
      </c>
      <c r="BF98" s="81"/>
      <c r="BG98" s="81">
        <v>76</v>
      </c>
      <c r="BH98" s="81">
        <v>125</v>
      </c>
      <c r="BI98" s="81">
        <v>489</v>
      </c>
      <c r="BJ98" s="81">
        <v>48.6</v>
      </c>
      <c r="BK98" s="81">
        <v>151.4</v>
      </c>
      <c r="BL98" s="81">
        <v>64.5</v>
      </c>
    </row>
    <row r="99" spans="1:64" ht="15.75" thickBot="1" x14ac:dyDescent="0.3">
      <c r="A99" s="86" t="s">
        <v>125</v>
      </c>
      <c r="B99" s="107">
        <f t="shared" ref="B99:C99" si="73">B97+B98</f>
        <v>1353.69</v>
      </c>
      <c r="C99" s="107">
        <f t="shared" si="73"/>
        <v>1325.99</v>
      </c>
      <c r="D99" s="107">
        <f t="shared" ref="D99" si="74">D97+D98</f>
        <v>1304.99</v>
      </c>
      <c r="E99" s="107">
        <f t="shared" ref="E99:AF99" si="75">E97+E98</f>
        <v>1277.69</v>
      </c>
      <c r="F99" s="107">
        <f t="shared" si="75"/>
        <v>1276.0900000000001</v>
      </c>
      <c r="G99" s="107">
        <f t="shared" si="75"/>
        <v>1322.99</v>
      </c>
      <c r="H99" s="107">
        <f t="shared" si="75"/>
        <v>1351.29</v>
      </c>
      <c r="I99" s="107">
        <f t="shared" si="75"/>
        <v>1423.29</v>
      </c>
      <c r="J99" s="107">
        <f t="shared" si="75"/>
        <v>1558.8899999999999</v>
      </c>
      <c r="K99" s="107">
        <f t="shared" si="75"/>
        <v>1607.69</v>
      </c>
      <c r="L99" s="107">
        <f t="shared" si="75"/>
        <v>1670.89</v>
      </c>
      <c r="M99" s="107">
        <f t="shared" si="75"/>
        <v>1708.79</v>
      </c>
      <c r="N99" s="107">
        <f t="shared" si="75"/>
        <v>1698.79</v>
      </c>
      <c r="O99" s="107">
        <f t="shared" si="75"/>
        <v>1698.1899999999998</v>
      </c>
      <c r="P99" s="107">
        <f t="shared" si="75"/>
        <v>1707.3899999999999</v>
      </c>
      <c r="Q99" s="107">
        <f t="shared" si="75"/>
        <v>1646.29</v>
      </c>
      <c r="R99" s="107">
        <f t="shared" si="75"/>
        <v>1730.09</v>
      </c>
      <c r="S99" s="107">
        <f t="shared" si="75"/>
        <v>1722.79</v>
      </c>
      <c r="T99" s="107">
        <f t="shared" si="75"/>
        <v>1762.09</v>
      </c>
      <c r="U99" s="107">
        <f t="shared" si="75"/>
        <v>1710.29</v>
      </c>
      <c r="V99" s="107">
        <f t="shared" si="75"/>
        <v>1705.19</v>
      </c>
      <c r="W99" s="107">
        <f t="shared" si="75"/>
        <v>1709.19</v>
      </c>
      <c r="X99" s="107">
        <f t="shared" si="75"/>
        <v>1705.99</v>
      </c>
      <c r="Y99" s="107">
        <f>Y97+Y98</f>
        <v>1708.45</v>
      </c>
      <c r="Z99" s="107">
        <f>Z97+Z98</f>
        <v>1826.55</v>
      </c>
      <c r="AA99" s="107">
        <f t="shared" si="75"/>
        <v>1742.0900000000001</v>
      </c>
      <c r="AB99" s="107">
        <f t="shared" ref="AB99" si="76">AB97+AB98</f>
        <v>1729.69</v>
      </c>
      <c r="AC99" s="107">
        <f t="shared" si="75"/>
        <v>1668.69</v>
      </c>
      <c r="AD99" s="107">
        <f t="shared" si="75"/>
        <v>1613.7900000000002</v>
      </c>
      <c r="AE99" s="107">
        <f t="shared" ref="AE99" si="77">AE97+AE98</f>
        <v>1495.69</v>
      </c>
      <c r="AF99" s="107">
        <f t="shared" si="75"/>
        <v>1416.19</v>
      </c>
      <c r="AG99" s="100">
        <f>AG96+AG92+AG80+AG76+AG58+AG98</f>
        <v>1693.71</v>
      </c>
      <c r="AH99" s="48">
        <f t="shared" si="61"/>
        <v>1826.55</v>
      </c>
      <c r="AI99" s="49">
        <f t="shared" si="62"/>
        <v>1276.0900000000001</v>
      </c>
      <c r="BF99" s="81"/>
      <c r="BG99" s="81">
        <v>74.400000000000006</v>
      </c>
      <c r="BH99" s="81">
        <v>128.19999999999999</v>
      </c>
      <c r="BI99" s="81">
        <v>488.7</v>
      </c>
      <c r="BJ99" s="81">
        <v>45.2</v>
      </c>
      <c r="BK99" s="81">
        <v>133.69999999999999</v>
      </c>
      <c r="BL99" s="81">
        <v>60.9</v>
      </c>
    </row>
    <row r="100" spans="1:64" ht="15.75" thickBot="1" x14ac:dyDescent="0.3">
      <c r="A100" s="86" t="s">
        <v>126</v>
      </c>
      <c r="B100" s="107">
        <f t="shared" ref="B100:C100" si="78">B99-(B107)</f>
        <v>1353.69</v>
      </c>
      <c r="C100" s="107">
        <f t="shared" si="78"/>
        <v>1325.99</v>
      </c>
      <c r="D100" s="107">
        <f t="shared" ref="D100" si="79">D99-(D107)</f>
        <v>1304.99</v>
      </c>
      <c r="E100" s="107">
        <f t="shared" ref="E100:M100" si="80">E99-(E107)</f>
        <v>1277.69</v>
      </c>
      <c r="F100" s="107">
        <f t="shared" si="80"/>
        <v>1276.0900000000001</v>
      </c>
      <c r="G100" s="107">
        <f t="shared" si="80"/>
        <v>1322.99</v>
      </c>
      <c r="H100" s="107">
        <f t="shared" si="80"/>
        <v>1351.29</v>
      </c>
      <c r="I100" s="107">
        <f t="shared" si="80"/>
        <v>1423.29</v>
      </c>
      <c r="J100" s="107">
        <f t="shared" si="80"/>
        <v>1558.8899999999999</v>
      </c>
      <c r="K100" s="107">
        <f t="shared" si="80"/>
        <v>1607.69</v>
      </c>
      <c r="L100" s="107">
        <f t="shared" si="80"/>
        <v>1670.89</v>
      </c>
      <c r="M100" s="107">
        <f t="shared" si="80"/>
        <v>1708.79</v>
      </c>
      <c r="N100" s="107">
        <f>N99-(N107)</f>
        <v>1698.79</v>
      </c>
      <c r="O100" s="107">
        <f t="shared" ref="O100:AF100" si="81">O99-(O107)</f>
        <v>1698.1899999999998</v>
      </c>
      <c r="P100" s="107">
        <f t="shared" si="81"/>
        <v>1707.3899999999999</v>
      </c>
      <c r="Q100" s="107">
        <f t="shared" si="81"/>
        <v>1646.29</v>
      </c>
      <c r="R100" s="107">
        <f t="shared" si="81"/>
        <v>1730.09</v>
      </c>
      <c r="S100" s="107">
        <f t="shared" si="81"/>
        <v>1722.79</v>
      </c>
      <c r="T100" s="107">
        <f t="shared" si="81"/>
        <v>1762.09</v>
      </c>
      <c r="U100" s="107">
        <f t="shared" si="81"/>
        <v>1710.29</v>
      </c>
      <c r="V100" s="107">
        <f t="shared" si="81"/>
        <v>1705.19</v>
      </c>
      <c r="W100" s="107">
        <f t="shared" si="81"/>
        <v>1709.19</v>
      </c>
      <c r="X100" s="107">
        <f t="shared" si="81"/>
        <v>1705.99</v>
      </c>
      <c r="Y100" s="107">
        <f t="shared" si="81"/>
        <v>1708.45</v>
      </c>
      <c r="Z100" s="107">
        <f t="shared" si="81"/>
        <v>1826.55</v>
      </c>
      <c r="AA100" s="107">
        <f t="shared" si="81"/>
        <v>1742.0900000000001</v>
      </c>
      <c r="AB100" s="107">
        <f t="shared" ref="AB100" si="82">AB99-(AB107)</f>
        <v>1729.69</v>
      </c>
      <c r="AC100" s="107">
        <f t="shared" si="81"/>
        <v>1668.69</v>
      </c>
      <c r="AD100" s="107">
        <f t="shared" si="81"/>
        <v>1613.7900000000002</v>
      </c>
      <c r="AE100" s="107">
        <f t="shared" ref="AE100" si="83">AE99-(AE107)</f>
        <v>1495.69</v>
      </c>
      <c r="AF100" s="107">
        <f t="shared" si="81"/>
        <v>1416.19</v>
      </c>
      <c r="AG100" s="100"/>
      <c r="AH100" s="48">
        <f t="shared" si="61"/>
        <v>1826.55</v>
      </c>
      <c r="AI100" s="49">
        <f t="shared" si="62"/>
        <v>1276.0900000000001</v>
      </c>
      <c r="BF100" s="81"/>
      <c r="BG100" s="81">
        <v>73.099999999999994</v>
      </c>
      <c r="BH100" s="81">
        <v>119.4</v>
      </c>
      <c r="BI100" s="81">
        <v>471</v>
      </c>
      <c r="BJ100" s="81">
        <v>28.9</v>
      </c>
      <c r="BK100" s="81">
        <v>124.4</v>
      </c>
      <c r="BL100" s="81">
        <v>53.9</v>
      </c>
    </row>
    <row r="101" spans="1:64" x14ac:dyDescent="0.25">
      <c r="A101" s="45" t="s">
        <v>107</v>
      </c>
      <c r="B101" s="88">
        <f t="shared" ref="B101:C101" si="84">IF(B84&lt;0,B84*-1,0)</f>
        <v>0</v>
      </c>
      <c r="C101" s="88">
        <f t="shared" si="84"/>
        <v>0</v>
      </c>
      <c r="D101" s="88">
        <f t="shared" ref="D101" si="85">IF(D84&lt;0,D84*-1,0)</f>
        <v>0</v>
      </c>
      <c r="E101" s="88">
        <f t="shared" ref="E101:AF101" si="86">IF(E84&lt;0,E84*-1,0)</f>
        <v>0</v>
      </c>
      <c r="F101" s="88">
        <f t="shared" si="86"/>
        <v>0</v>
      </c>
      <c r="G101" s="88">
        <f t="shared" si="86"/>
        <v>0</v>
      </c>
      <c r="H101" s="88">
        <f t="shared" si="86"/>
        <v>0</v>
      </c>
      <c r="I101" s="88">
        <f t="shared" si="86"/>
        <v>0</v>
      </c>
      <c r="J101" s="88">
        <f t="shared" si="86"/>
        <v>0</v>
      </c>
      <c r="K101" s="88">
        <f t="shared" si="86"/>
        <v>0</v>
      </c>
      <c r="L101" s="88">
        <f t="shared" si="86"/>
        <v>0</v>
      </c>
      <c r="M101" s="88">
        <f t="shared" si="86"/>
        <v>0</v>
      </c>
      <c r="N101" s="88">
        <f t="shared" si="86"/>
        <v>0</v>
      </c>
      <c r="O101" s="88">
        <f t="shared" si="86"/>
        <v>0</v>
      </c>
      <c r="P101" s="88">
        <f t="shared" si="86"/>
        <v>0</v>
      </c>
      <c r="Q101" s="88">
        <f t="shared" si="86"/>
        <v>0</v>
      </c>
      <c r="R101" s="88">
        <f t="shared" si="86"/>
        <v>0</v>
      </c>
      <c r="S101" s="88">
        <f t="shared" si="86"/>
        <v>0</v>
      </c>
      <c r="T101" s="88">
        <f t="shared" si="86"/>
        <v>0</v>
      </c>
      <c r="U101" s="88">
        <f t="shared" si="86"/>
        <v>0</v>
      </c>
      <c r="V101" s="88">
        <f t="shared" si="86"/>
        <v>0</v>
      </c>
      <c r="W101" s="88">
        <f t="shared" si="86"/>
        <v>0</v>
      </c>
      <c r="X101" s="88">
        <f t="shared" si="86"/>
        <v>0</v>
      </c>
      <c r="Y101" s="88">
        <f t="shared" si="86"/>
        <v>0</v>
      </c>
      <c r="Z101" s="88">
        <f t="shared" si="86"/>
        <v>0</v>
      </c>
      <c r="AA101" s="88">
        <f t="shared" si="86"/>
        <v>0</v>
      </c>
      <c r="AB101" s="88">
        <f t="shared" ref="AB101" si="87">IF(AB84&lt;0,AB84*-1,0)</f>
        <v>0</v>
      </c>
      <c r="AC101" s="88">
        <f t="shared" si="86"/>
        <v>0</v>
      </c>
      <c r="AD101" s="88">
        <f t="shared" si="86"/>
        <v>0</v>
      </c>
      <c r="AE101" s="88">
        <f t="shared" ref="AE101" si="88">IF(AE84&lt;0,AE84*-1,0)</f>
        <v>0</v>
      </c>
      <c r="AF101" s="88">
        <f t="shared" si="86"/>
        <v>0</v>
      </c>
      <c r="AG101" s="60"/>
      <c r="AH101" s="48">
        <f t="shared" si="61"/>
        <v>0</v>
      </c>
      <c r="AI101" s="49">
        <f t="shared" si="62"/>
        <v>0</v>
      </c>
      <c r="BF101" s="80"/>
      <c r="BG101" s="81">
        <v>68.400000000000006</v>
      </c>
      <c r="BH101" s="81">
        <v>112.5</v>
      </c>
      <c r="BI101" s="81">
        <v>403.5</v>
      </c>
      <c r="BJ101" s="81">
        <v>34.1</v>
      </c>
      <c r="BK101" s="81">
        <v>74.2</v>
      </c>
      <c r="BL101" s="81">
        <v>53.8</v>
      </c>
    </row>
    <row r="102" spans="1:64" x14ac:dyDescent="0.25">
      <c r="A102" s="64" t="s">
        <v>105</v>
      </c>
      <c r="B102" s="88">
        <f t="shared" ref="B102:C102" si="89">IF(B82&lt;0,B82*-1,0)</f>
        <v>0</v>
      </c>
      <c r="C102" s="88">
        <f t="shared" si="89"/>
        <v>0</v>
      </c>
      <c r="D102" s="88">
        <f t="shared" ref="D102" si="90">IF(D82&lt;0,D82*-1,0)</f>
        <v>0</v>
      </c>
      <c r="E102" s="88">
        <f t="shared" ref="E102:AF102" si="91">IF(E82&lt;0,E82*-1,0)</f>
        <v>0</v>
      </c>
      <c r="F102" s="88">
        <f t="shared" si="91"/>
        <v>0</v>
      </c>
      <c r="G102" s="88">
        <f t="shared" si="91"/>
        <v>0</v>
      </c>
      <c r="H102" s="88">
        <f t="shared" si="91"/>
        <v>0</v>
      </c>
      <c r="I102" s="88">
        <f t="shared" si="91"/>
        <v>0</v>
      </c>
      <c r="J102" s="88">
        <f t="shared" si="91"/>
        <v>0</v>
      </c>
      <c r="K102" s="88">
        <f t="shared" si="91"/>
        <v>0</v>
      </c>
      <c r="L102" s="88">
        <f t="shared" si="91"/>
        <v>0</v>
      </c>
      <c r="M102" s="88">
        <f t="shared" si="91"/>
        <v>0</v>
      </c>
      <c r="N102" s="88">
        <f t="shared" si="91"/>
        <v>0</v>
      </c>
      <c r="O102" s="88">
        <f t="shared" si="91"/>
        <v>0</v>
      </c>
      <c r="P102" s="88">
        <f t="shared" si="91"/>
        <v>0</v>
      </c>
      <c r="Q102" s="88">
        <f t="shared" si="91"/>
        <v>0</v>
      </c>
      <c r="R102" s="88">
        <f t="shared" si="91"/>
        <v>0</v>
      </c>
      <c r="S102" s="88">
        <f t="shared" si="91"/>
        <v>0</v>
      </c>
      <c r="T102" s="88">
        <f t="shared" si="91"/>
        <v>0</v>
      </c>
      <c r="U102" s="88">
        <f t="shared" si="91"/>
        <v>0</v>
      </c>
      <c r="V102" s="88">
        <f t="shared" si="91"/>
        <v>0</v>
      </c>
      <c r="W102" s="88">
        <f t="shared" si="91"/>
        <v>0</v>
      </c>
      <c r="X102" s="88">
        <f t="shared" si="91"/>
        <v>0</v>
      </c>
      <c r="Y102" s="88">
        <f t="shared" si="91"/>
        <v>0</v>
      </c>
      <c r="Z102" s="88">
        <f t="shared" si="91"/>
        <v>0</v>
      </c>
      <c r="AA102" s="88">
        <f t="shared" si="91"/>
        <v>0</v>
      </c>
      <c r="AB102" s="88">
        <f t="shared" ref="AB102" si="92">IF(AB82&lt;0,AB82*-1,0)</f>
        <v>0</v>
      </c>
      <c r="AC102" s="88">
        <f t="shared" si="91"/>
        <v>0</v>
      </c>
      <c r="AD102" s="88">
        <f t="shared" si="91"/>
        <v>0</v>
      </c>
      <c r="AE102" s="88">
        <f t="shared" ref="AE102" si="93">IF(AE82&lt;0,AE82*-1,0)</f>
        <v>0</v>
      </c>
      <c r="AF102" s="88">
        <f t="shared" si="91"/>
        <v>0</v>
      </c>
      <c r="AG102" s="65"/>
      <c r="AH102" s="48">
        <f t="shared" si="61"/>
        <v>0</v>
      </c>
      <c r="AI102" s="49">
        <f t="shared" si="62"/>
        <v>0</v>
      </c>
      <c r="BF102" s="80"/>
      <c r="BG102" s="81">
        <v>26</v>
      </c>
      <c r="BH102" s="81">
        <v>0</v>
      </c>
      <c r="BI102" s="81">
        <v>121.6</v>
      </c>
      <c r="BJ102" s="81">
        <v>0</v>
      </c>
      <c r="BK102" s="81">
        <v>0</v>
      </c>
      <c r="BL102" s="81">
        <v>48.5</v>
      </c>
    </row>
    <row r="103" spans="1:64" x14ac:dyDescent="0.25">
      <c r="A103" s="96" t="s">
        <v>127</v>
      </c>
      <c r="B103" s="88">
        <f t="shared" ref="B103:C103" si="94">IF(B85&lt;0,B85*-1,0)</f>
        <v>0</v>
      </c>
      <c r="C103" s="88">
        <f t="shared" si="94"/>
        <v>0</v>
      </c>
      <c r="D103" s="88">
        <f t="shared" ref="D103" si="95">IF(D85&lt;0,D85*-1,0)</f>
        <v>0</v>
      </c>
      <c r="E103" s="88">
        <f t="shared" ref="E103:AF103" si="96">IF(E85&lt;0,E85*-1,0)</f>
        <v>0</v>
      </c>
      <c r="F103" s="88">
        <f t="shared" si="96"/>
        <v>0</v>
      </c>
      <c r="G103" s="88">
        <f t="shared" si="96"/>
        <v>0</v>
      </c>
      <c r="H103" s="88">
        <f t="shared" si="96"/>
        <v>0</v>
      </c>
      <c r="I103" s="88">
        <f t="shared" si="96"/>
        <v>0</v>
      </c>
      <c r="J103" s="88">
        <f t="shared" si="96"/>
        <v>0</v>
      </c>
      <c r="K103" s="88">
        <f t="shared" si="96"/>
        <v>0</v>
      </c>
      <c r="L103" s="88">
        <f t="shared" si="96"/>
        <v>0</v>
      </c>
      <c r="M103" s="88">
        <f t="shared" si="96"/>
        <v>0</v>
      </c>
      <c r="N103" s="88">
        <f t="shared" si="96"/>
        <v>0</v>
      </c>
      <c r="O103" s="88">
        <f t="shared" si="96"/>
        <v>0</v>
      </c>
      <c r="P103" s="88">
        <f t="shared" si="96"/>
        <v>0</v>
      </c>
      <c r="Q103" s="88">
        <f t="shared" si="96"/>
        <v>0</v>
      </c>
      <c r="R103" s="88">
        <f t="shared" si="96"/>
        <v>0</v>
      </c>
      <c r="S103" s="88">
        <f t="shared" si="96"/>
        <v>0</v>
      </c>
      <c r="T103" s="88">
        <f t="shared" si="96"/>
        <v>0</v>
      </c>
      <c r="U103" s="88">
        <f t="shared" si="96"/>
        <v>0</v>
      </c>
      <c r="V103" s="88">
        <f t="shared" si="96"/>
        <v>0</v>
      </c>
      <c r="W103" s="88">
        <f t="shared" si="96"/>
        <v>0</v>
      </c>
      <c r="X103" s="88">
        <f t="shared" si="96"/>
        <v>0</v>
      </c>
      <c r="Y103" s="88">
        <f t="shared" si="96"/>
        <v>0</v>
      </c>
      <c r="Z103" s="88">
        <f t="shared" si="96"/>
        <v>0</v>
      </c>
      <c r="AA103" s="88">
        <f t="shared" si="96"/>
        <v>0</v>
      </c>
      <c r="AB103" s="88">
        <f t="shared" ref="AB103" si="97">IF(AB85&lt;0,AB85*-1,0)</f>
        <v>0</v>
      </c>
      <c r="AC103" s="88">
        <f t="shared" si="96"/>
        <v>0</v>
      </c>
      <c r="AD103" s="88">
        <f t="shared" si="96"/>
        <v>0</v>
      </c>
      <c r="AE103" s="88">
        <f t="shared" ref="AE103" si="98">IF(AE85&lt;0,AE85*-1,0)</f>
        <v>0</v>
      </c>
      <c r="AF103" s="88">
        <f t="shared" si="96"/>
        <v>0</v>
      </c>
      <c r="AG103" s="110"/>
      <c r="AH103" s="48">
        <f t="shared" si="61"/>
        <v>0</v>
      </c>
      <c r="AI103" s="49">
        <f t="shared" si="62"/>
        <v>0</v>
      </c>
      <c r="BF103" s="80"/>
      <c r="BG103" s="81">
        <v>14.8</v>
      </c>
      <c r="BH103" s="81">
        <v>0</v>
      </c>
      <c r="BI103" s="81">
        <v>88.2</v>
      </c>
      <c r="BJ103" s="81">
        <v>0</v>
      </c>
      <c r="BK103" s="81">
        <v>0</v>
      </c>
      <c r="BL103" s="81">
        <v>46.8</v>
      </c>
    </row>
    <row r="104" spans="1:64" x14ac:dyDescent="0.25">
      <c r="A104" s="96" t="s">
        <v>128</v>
      </c>
      <c r="B104" s="88">
        <f t="shared" ref="B104:C104" si="99">IF(B83&lt;0,B83*-1,0)</f>
        <v>0</v>
      </c>
      <c r="C104" s="88">
        <f t="shared" si="99"/>
        <v>0</v>
      </c>
      <c r="D104" s="88">
        <f t="shared" ref="D104" si="100">IF(D83&lt;0,D83*-1,0)</f>
        <v>0</v>
      </c>
      <c r="E104" s="88">
        <f t="shared" ref="E104:AF104" si="101">IF(E83&lt;0,E83*-1,0)</f>
        <v>0</v>
      </c>
      <c r="F104" s="88">
        <f t="shared" si="101"/>
        <v>0</v>
      </c>
      <c r="G104" s="88">
        <f t="shared" si="101"/>
        <v>0</v>
      </c>
      <c r="H104" s="88">
        <f t="shared" si="101"/>
        <v>0</v>
      </c>
      <c r="I104" s="88">
        <f t="shared" si="101"/>
        <v>0</v>
      </c>
      <c r="J104" s="88">
        <f t="shared" si="101"/>
        <v>0</v>
      </c>
      <c r="K104" s="88">
        <f t="shared" si="101"/>
        <v>0</v>
      </c>
      <c r="L104" s="88">
        <f t="shared" si="101"/>
        <v>0</v>
      </c>
      <c r="M104" s="88">
        <f t="shared" si="101"/>
        <v>0</v>
      </c>
      <c r="N104" s="88">
        <f t="shared" si="101"/>
        <v>0</v>
      </c>
      <c r="O104" s="88">
        <f t="shared" si="101"/>
        <v>0</v>
      </c>
      <c r="P104" s="88">
        <f t="shared" si="101"/>
        <v>0</v>
      </c>
      <c r="Q104" s="88">
        <f t="shared" si="101"/>
        <v>0</v>
      </c>
      <c r="R104" s="88">
        <f t="shared" si="101"/>
        <v>0</v>
      </c>
      <c r="S104" s="88">
        <f t="shared" si="101"/>
        <v>0</v>
      </c>
      <c r="T104" s="88">
        <f t="shared" si="101"/>
        <v>0</v>
      </c>
      <c r="U104" s="88">
        <f t="shared" si="101"/>
        <v>0</v>
      </c>
      <c r="V104" s="88">
        <f t="shared" si="101"/>
        <v>0</v>
      </c>
      <c r="W104" s="88">
        <f t="shared" si="101"/>
        <v>0</v>
      </c>
      <c r="X104" s="88">
        <f t="shared" si="101"/>
        <v>0</v>
      </c>
      <c r="Y104" s="88">
        <f t="shared" si="101"/>
        <v>0</v>
      </c>
      <c r="Z104" s="88">
        <f t="shared" si="101"/>
        <v>0</v>
      </c>
      <c r="AA104" s="88">
        <f t="shared" si="101"/>
        <v>0</v>
      </c>
      <c r="AB104" s="88">
        <f t="shared" ref="AB104" si="102">IF(AB83&lt;0,AB83*-1,0)</f>
        <v>0</v>
      </c>
      <c r="AC104" s="88">
        <f t="shared" si="101"/>
        <v>0</v>
      </c>
      <c r="AD104" s="88">
        <f t="shared" si="101"/>
        <v>0</v>
      </c>
      <c r="AE104" s="88">
        <f t="shared" ref="AE104" si="103">IF(AE83&lt;0,AE83*-1,0)</f>
        <v>0</v>
      </c>
      <c r="AF104" s="88">
        <f t="shared" si="101"/>
        <v>0</v>
      </c>
      <c r="AG104" s="110"/>
      <c r="AH104" s="48">
        <f t="shared" si="61"/>
        <v>0</v>
      </c>
      <c r="AI104" s="49">
        <f t="shared" si="62"/>
        <v>0</v>
      </c>
      <c r="BF104" s="80"/>
      <c r="BG104" s="81">
        <v>16</v>
      </c>
      <c r="BH104" s="81">
        <v>0</v>
      </c>
      <c r="BI104" s="81">
        <v>193.5</v>
      </c>
      <c r="BJ104" s="81">
        <v>0</v>
      </c>
      <c r="BK104" s="81">
        <v>0</v>
      </c>
      <c r="BL104" s="81">
        <v>46.8</v>
      </c>
    </row>
    <row r="105" spans="1:64" x14ac:dyDescent="0.25">
      <c r="A105" s="96" t="s">
        <v>104</v>
      </c>
      <c r="B105" s="88">
        <f t="shared" ref="B105:C105" si="104">IF(B81&lt;0,B81*-1,0)</f>
        <v>0</v>
      </c>
      <c r="C105" s="88">
        <f t="shared" si="104"/>
        <v>0</v>
      </c>
      <c r="D105" s="88">
        <f t="shared" ref="D105" si="105">IF(D81&lt;0,D81*-1,0)</f>
        <v>0</v>
      </c>
      <c r="E105" s="88">
        <f t="shared" ref="E105:AF105" si="106">IF(E81&lt;0,E81*-1,0)</f>
        <v>0</v>
      </c>
      <c r="F105" s="88">
        <f t="shared" si="106"/>
        <v>0</v>
      </c>
      <c r="G105" s="88">
        <f t="shared" si="106"/>
        <v>0</v>
      </c>
      <c r="H105" s="88">
        <f t="shared" si="106"/>
        <v>0</v>
      </c>
      <c r="I105" s="88">
        <f t="shared" si="106"/>
        <v>0</v>
      </c>
      <c r="J105" s="88">
        <f t="shared" si="106"/>
        <v>0</v>
      </c>
      <c r="K105" s="88">
        <f t="shared" si="106"/>
        <v>0</v>
      </c>
      <c r="L105" s="88">
        <f t="shared" si="106"/>
        <v>0</v>
      </c>
      <c r="M105" s="88">
        <f t="shared" si="106"/>
        <v>0</v>
      </c>
      <c r="N105" s="88">
        <f t="shared" si="106"/>
        <v>0</v>
      </c>
      <c r="O105" s="88">
        <f t="shared" si="106"/>
        <v>0</v>
      </c>
      <c r="P105" s="88">
        <f t="shared" si="106"/>
        <v>0</v>
      </c>
      <c r="Q105" s="88">
        <f t="shared" si="106"/>
        <v>0</v>
      </c>
      <c r="R105" s="88">
        <f t="shared" si="106"/>
        <v>0</v>
      </c>
      <c r="S105" s="88">
        <f t="shared" si="106"/>
        <v>0</v>
      </c>
      <c r="T105" s="88">
        <f t="shared" si="106"/>
        <v>0</v>
      </c>
      <c r="U105" s="88">
        <f t="shared" si="106"/>
        <v>0</v>
      </c>
      <c r="V105" s="88">
        <f t="shared" si="106"/>
        <v>0</v>
      </c>
      <c r="W105" s="88">
        <f t="shared" si="106"/>
        <v>0</v>
      </c>
      <c r="X105" s="88">
        <f t="shared" si="106"/>
        <v>0</v>
      </c>
      <c r="Y105" s="88">
        <f t="shared" si="106"/>
        <v>0</v>
      </c>
      <c r="Z105" s="88">
        <f t="shared" si="106"/>
        <v>0</v>
      </c>
      <c r="AA105" s="88">
        <f t="shared" si="106"/>
        <v>0</v>
      </c>
      <c r="AB105" s="88">
        <f t="shared" ref="AB105" si="107">IF(AB81&lt;0,AB81*-1,0)</f>
        <v>0</v>
      </c>
      <c r="AC105" s="88">
        <f t="shared" si="106"/>
        <v>0</v>
      </c>
      <c r="AD105" s="88">
        <f t="shared" si="106"/>
        <v>0</v>
      </c>
      <c r="AE105" s="88">
        <f t="shared" ref="AE105" si="108">IF(AE81&lt;0,AE81*-1,0)</f>
        <v>0</v>
      </c>
      <c r="AF105" s="88">
        <f t="shared" si="106"/>
        <v>0</v>
      </c>
      <c r="AG105" s="110"/>
      <c r="AH105" s="48">
        <f t="shared" si="61"/>
        <v>0</v>
      </c>
      <c r="AI105" s="49">
        <f t="shared" si="62"/>
        <v>0</v>
      </c>
      <c r="BF105" s="80"/>
      <c r="BG105" s="81">
        <v>45.9</v>
      </c>
      <c r="BH105" s="81">
        <v>0</v>
      </c>
      <c r="BI105" s="81">
        <v>142.30000000000001</v>
      </c>
      <c r="BJ105" s="81">
        <v>0</v>
      </c>
      <c r="BK105" s="81">
        <v>0</v>
      </c>
      <c r="BL105" s="81">
        <v>47.3</v>
      </c>
    </row>
    <row r="106" spans="1:64" ht="15.75" thickBot="1" x14ac:dyDescent="0.3">
      <c r="A106" s="96" t="s">
        <v>129</v>
      </c>
      <c r="B106" s="106">
        <v>0</v>
      </c>
      <c r="C106" s="106">
        <v>0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0</v>
      </c>
      <c r="Y106" s="106">
        <v>0</v>
      </c>
      <c r="Z106" s="106">
        <v>0</v>
      </c>
      <c r="AA106" s="106">
        <v>0</v>
      </c>
      <c r="AB106" s="106">
        <v>0</v>
      </c>
      <c r="AC106" s="106">
        <v>0</v>
      </c>
      <c r="AD106" s="106">
        <v>0</v>
      </c>
      <c r="AE106" s="106">
        <v>0</v>
      </c>
      <c r="AF106" s="106">
        <v>0</v>
      </c>
      <c r="AG106" s="97"/>
      <c r="AH106" s="48">
        <f t="shared" si="61"/>
        <v>0</v>
      </c>
      <c r="AI106" s="49">
        <f t="shared" si="62"/>
        <v>0</v>
      </c>
      <c r="BG106" s="81">
        <v>38.1</v>
      </c>
      <c r="BH106" s="81">
        <v>0</v>
      </c>
      <c r="BI106" s="81">
        <v>114.5</v>
      </c>
      <c r="BJ106" s="81">
        <v>0</v>
      </c>
      <c r="BK106" s="81">
        <v>0</v>
      </c>
      <c r="BL106" s="81">
        <v>45.3</v>
      </c>
    </row>
    <row r="107" spans="1:64" ht="15.75" thickBot="1" x14ac:dyDescent="0.3">
      <c r="A107" s="111" t="s">
        <v>130</v>
      </c>
      <c r="B107" s="70">
        <f t="shared" ref="B107:C107" si="109">SUM(B101:B106)</f>
        <v>0</v>
      </c>
      <c r="C107" s="70">
        <f t="shared" si="109"/>
        <v>0</v>
      </c>
      <c r="D107" s="70">
        <f t="shared" ref="D107" si="110">SUM(D101:D106)</f>
        <v>0</v>
      </c>
      <c r="E107" s="70">
        <f t="shared" ref="E107:AF107" si="111">SUM(E101:E106)</f>
        <v>0</v>
      </c>
      <c r="F107" s="70">
        <f t="shared" si="111"/>
        <v>0</v>
      </c>
      <c r="G107" s="70">
        <f t="shared" si="111"/>
        <v>0</v>
      </c>
      <c r="H107" s="70">
        <f t="shared" si="111"/>
        <v>0</v>
      </c>
      <c r="I107" s="70">
        <f t="shared" si="111"/>
        <v>0</v>
      </c>
      <c r="J107" s="70">
        <f t="shared" si="111"/>
        <v>0</v>
      </c>
      <c r="K107" s="70">
        <f t="shared" si="111"/>
        <v>0</v>
      </c>
      <c r="L107" s="70">
        <f t="shared" si="111"/>
        <v>0</v>
      </c>
      <c r="M107" s="70">
        <f t="shared" si="111"/>
        <v>0</v>
      </c>
      <c r="N107" s="70">
        <f t="shared" si="111"/>
        <v>0</v>
      </c>
      <c r="O107" s="70">
        <f t="shared" si="111"/>
        <v>0</v>
      </c>
      <c r="P107" s="70">
        <f t="shared" si="111"/>
        <v>0</v>
      </c>
      <c r="Q107" s="70">
        <f t="shared" si="111"/>
        <v>0</v>
      </c>
      <c r="R107" s="70">
        <f t="shared" si="111"/>
        <v>0</v>
      </c>
      <c r="S107" s="70">
        <f t="shared" si="111"/>
        <v>0</v>
      </c>
      <c r="T107" s="70">
        <f t="shared" si="111"/>
        <v>0</v>
      </c>
      <c r="U107" s="70">
        <f t="shared" si="111"/>
        <v>0</v>
      </c>
      <c r="V107" s="70">
        <f t="shared" si="111"/>
        <v>0</v>
      </c>
      <c r="W107" s="70">
        <f t="shared" si="111"/>
        <v>0</v>
      </c>
      <c r="X107" s="70">
        <f t="shared" si="111"/>
        <v>0</v>
      </c>
      <c r="Y107" s="70">
        <f t="shared" si="111"/>
        <v>0</v>
      </c>
      <c r="Z107" s="70">
        <f t="shared" si="111"/>
        <v>0</v>
      </c>
      <c r="AA107" s="70">
        <f t="shared" si="111"/>
        <v>0</v>
      </c>
      <c r="AB107" s="70">
        <f t="shared" ref="AB107" si="112">SUM(AB101:AB106)</f>
        <v>0</v>
      </c>
      <c r="AC107" s="70">
        <f t="shared" si="111"/>
        <v>0</v>
      </c>
      <c r="AD107" s="70">
        <f t="shared" si="111"/>
        <v>0</v>
      </c>
      <c r="AE107" s="70">
        <f t="shared" ref="AE107" si="113">SUM(AE101:AE106)</f>
        <v>0</v>
      </c>
      <c r="AF107" s="70">
        <f t="shared" si="111"/>
        <v>0</v>
      </c>
      <c r="AG107" s="100"/>
      <c r="AH107" s="48">
        <f t="shared" si="61"/>
        <v>0</v>
      </c>
      <c r="AI107" s="49">
        <f t="shared" si="62"/>
        <v>0</v>
      </c>
      <c r="AK107" s="51"/>
      <c r="BG107" s="81">
        <v>24.4</v>
      </c>
      <c r="BH107" s="81">
        <v>0</v>
      </c>
      <c r="BI107" s="81">
        <v>93.8</v>
      </c>
      <c r="BJ107" s="81">
        <v>0</v>
      </c>
      <c r="BK107" s="81">
        <v>0</v>
      </c>
      <c r="BL107" s="81">
        <v>47.3</v>
      </c>
    </row>
    <row r="108" spans="1:64" ht="15.75" thickBot="1" x14ac:dyDescent="0.3">
      <c r="A108" s="86" t="s">
        <v>131</v>
      </c>
      <c r="B108" s="70">
        <f t="shared" ref="B108:C108" si="114">B92-B107</f>
        <v>165.5</v>
      </c>
      <c r="C108" s="70">
        <f t="shared" si="114"/>
        <v>167.4</v>
      </c>
      <c r="D108" s="70">
        <f t="shared" ref="D108" si="115">D92-D107</f>
        <v>149</v>
      </c>
      <c r="E108" s="70">
        <f t="shared" ref="E108:AF108" si="116">E92-E107</f>
        <v>177.3</v>
      </c>
      <c r="F108" s="70">
        <f t="shared" si="116"/>
        <v>181.89999999999998</v>
      </c>
      <c r="G108" s="70">
        <f t="shared" si="116"/>
        <v>196.8</v>
      </c>
      <c r="H108" s="70">
        <f t="shared" si="116"/>
        <v>203.1</v>
      </c>
      <c r="I108" s="70">
        <f t="shared" si="116"/>
        <v>236.2</v>
      </c>
      <c r="J108" s="70">
        <f t="shared" si="116"/>
        <v>668.69999999999993</v>
      </c>
      <c r="K108" s="70">
        <f t="shared" si="116"/>
        <v>766</v>
      </c>
      <c r="L108" s="70">
        <f t="shared" si="116"/>
        <v>818.50000000000011</v>
      </c>
      <c r="M108" s="70">
        <f t="shared" si="116"/>
        <v>880.7</v>
      </c>
      <c r="N108" s="70">
        <f t="shared" si="116"/>
        <v>880.59999999999991</v>
      </c>
      <c r="O108" s="70">
        <f t="shared" si="116"/>
        <v>893.99999999999989</v>
      </c>
      <c r="P108" s="70">
        <f t="shared" si="116"/>
        <v>898.99999999999989</v>
      </c>
      <c r="Q108" s="70">
        <f t="shared" si="116"/>
        <v>847.5</v>
      </c>
      <c r="R108" s="70">
        <f t="shared" si="116"/>
        <v>934.3</v>
      </c>
      <c r="S108" s="70">
        <f t="shared" si="116"/>
        <v>928.8</v>
      </c>
      <c r="T108" s="70">
        <f t="shared" si="116"/>
        <v>954.5</v>
      </c>
      <c r="U108" s="70">
        <f t="shared" si="116"/>
        <v>931.1</v>
      </c>
      <c r="V108" s="70">
        <f t="shared" si="116"/>
        <v>870.69999999999993</v>
      </c>
      <c r="W108" s="70">
        <f t="shared" si="116"/>
        <v>841.1</v>
      </c>
      <c r="X108" s="70">
        <f t="shared" si="116"/>
        <v>746.5</v>
      </c>
      <c r="Y108" s="70">
        <f>Y92-Y107</f>
        <v>196.2</v>
      </c>
      <c r="Z108" s="70">
        <f>Z92-Z107</f>
        <v>196.1</v>
      </c>
      <c r="AA108" s="70">
        <f t="shared" si="116"/>
        <v>132.4</v>
      </c>
      <c r="AB108" s="70">
        <f t="shared" ref="AB108" si="117">AB92-AB107</f>
        <v>149.80000000000001</v>
      </c>
      <c r="AC108" s="70">
        <f t="shared" si="116"/>
        <v>135</v>
      </c>
      <c r="AD108" s="70">
        <f t="shared" si="116"/>
        <v>256.3</v>
      </c>
      <c r="AE108" s="70">
        <f t="shared" ref="AE108" si="118">AE92-AE107</f>
        <v>235.5</v>
      </c>
      <c r="AF108" s="70">
        <f t="shared" si="116"/>
        <v>197.89999999999998</v>
      </c>
      <c r="AG108" s="100"/>
      <c r="AH108" s="48">
        <f t="shared" si="61"/>
        <v>954.5</v>
      </c>
      <c r="AI108" s="49">
        <f t="shared" si="62"/>
        <v>132.4</v>
      </c>
    </row>
    <row r="109" spans="1:64" x14ac:dyDescent="0.25">
      <c r="A109" s="112" t="s">
        <v>132</v>
      </c>
      <c r="B109" s="113">
        <v>50.01</v>
      </c>
      <c r="C109" s="113">
        <v>49.93</v>
      </c>
      <c r="D109" s="113">
        <v>50.04</v>
      </c>
      <c r="E109" s="113">
        <v>49.957000000000001</v>
      </c>
      <c r="F109" s="113">
        <v>49.978999999999999</v>
      </c>
      <c r="G109" s="113">
        <v>50.01</v>
      </c>
      <c r="H109" s="113">
        <v>49.991</v>
      </c>
      <c r="I109" s="113">
        <v>49.994999999999997</v>
      </c>
      <c r="J109" s="113">
        <v>49.869</v>
      </c>
      <c r="K109" s="113">
        <v>49.963000000000001</v>
      </c>
      <c r="L109" s="113">
        <v>50.104999999999997</v>
      </c>
      <c r="M109" s="113">
        <v>50.030999999999999</v>
      </c>
      <c r="N109" s="113">
        <v>50.006999999999998</v>
      </c>
      <c r="O109" s="113">
        <v>49.936999999999998</v>
      </c>
      <c r="P109" s="113">
        <v>49.936999999999998</v>
      </c>
      <c r="Q109" s="113">
        <v>49.981999999999999</v>
      </c>
      <c r="R109" s="113">
        <v>50.034999999999997</v>
      </c>
      <c r="S109" s="113">
        <v>49.863999999999997</v>
      </c>
      <c r="T109" s="113">
        <v>49.978999999999999</v>
      </c>
      <c r="U109" s="113">
        <v>49.963000000000001</v>
      </c>
      <c r="V109" s="113">
        <v>50.021000000000001</v>
      </c>
      <c r="W109" s="113">
        <v>50.104999999999997</v>
      </c>
      <c r="X109" s="113">
        <v>50.036999999999999</v>
      </c>
      <c r="Y109" s="113">
        <v>50.042000000000002</v>
      </c>
      <c r="Z109" s="113">
        <v>49.966000000000001</v>
      </c>
      <c r="AA109" s="113">
        <v>49.881</v>
      </c>
      <c r="AB109" s="113">
        <v>50.040999999999997</v>
      </c>
      <c r="AC109" s="113">
        <v>50.029000000000003</v>
      </c>
      <c r="AD109" s="113">
        <v>49.935000000000002</v>
      </c>
      <c r="AE109" s="113">
        <v>49.99</v>
      </c>
      <c r="AF109" s="113">
        <v>49.99</v>
      </c>
      <c r="AG109" s="114"/>
      <c r="AH109" s="48">
        <f t="shared" si="61"/>
        <v>50.104999999999997</v>
      </c>
      <c r="AI109" s="49">
        <f t="shared" si="62"/>
        <v>49.863999999999997</v>
      </c>
    </row>
    <row r="110" spans="1:64" x14ac:dyDescent="0.25">
      <c r="A110" s="115" t="s">
        <v>133</v>
      </c>
      <c r="B110" s="75">
        <v>132.4</v>
      </c>
      <c r="C110" s="75">
        <v>132.4</v>
      </c>
      <c r="D110" s="75">
        <v>132.4</v>
      </c>
      <c r="E110" s="75">
        <v>134</v>
      </c>
      <c r="F110" s="75">
        <v>133.80000000000001</v>
      </c>
      <c r="G110" s="75">
        <v>133.5</v>
      </c>
      <c r="H110" s="75">
        <v>132.80000000000001</v>
      </c>
      <c r="I110" s="75">
        <v>131.5</v>
      </c>
      <c r="J110" s="75">
        <v>128.30000000000001</v>
      </c>
      <c r="K110" s="75">
        <v>126.3</v>
      </c>
      <c r="L110" s="75">
        <v>126.3</v>
      </c>
      <c r="M110" s="75">
        <v>124.6</v>
      </c>
      <c r="N110" s="75">
        <v>125.3</v>
      </c>
      <c r="O110" s="75">
        <v>124.9</v>
      </c>
      <c r="P110" s="75">
        <v>124.9</v>
      </c>
      <c r="Q110" s="75">
        <v>126.3</v>
      </c>
      <c r="R110" s="75">
        <v>125.7</v>
      </c>
      <c r="S110" s="75">
        <v>125.3</v>
      </c>
      <c r="T110" s="75">
        <v>125.8</v>
      </c>
      <c r="U110" s="75">
        <v>125.5</v>
      </c>
      <c r="V110" s="75">
        <v>125.6</v>
      </c>
      <c r="W110" s="75">
        <v>126.6</v>
      </c>
      <c r="X110" s="75">
        <v>128.9</v>
      </c>
      <c r="Y110" s="75">
        <v>126.8</v>
      </c>
      <c r="Z110" s="75">
        <v>127.7</v>
      </c>
      <c r="AA110" s="75">
        <v>129.4</v>
      </c>
      <c r="AB110" s="75">
        <v>129.6</v>
      </c>
      <c r="AC110" s="75">
        <v>130.19999999999999</v>
      </c>
      <c r="AD110" s="75">
        <v>130.5</v>
      </c>
      <c r="AE110" s="75">
        <v>132</v>
      </c>
      <c r="AF110" s="75">
        <v>132.69999999999999</v>
      </c>
      <c r="AG110" s="116"/>
      <c r="AH110" s="48">
        <f t="shared" si="61"/>
        <v>134</v>
      </c>
      <c r="AI110" s="49">
        <f t="shared" si="62"/>
        <v>124.6</v>
      </c>
    </row>
    <row r="111" spans="1:64" x14ac:dyDescent="0.25">
      <c r="A111" s="115" t="s">
        <v>134</v>
      </c>
      <c r="B111" s="75">
        <v>134.80000000000001</v>
      </c>
      <c r="C111" s="75">
        <v>134.80000000000001</v>
      </c>
      <c r="D111" s="75">
        <v>134.80000000000001</v>
      </c>
      <c r="E111" s="75">
        <v>136.1</v>
      </c>
      <c r="F111" s="75">
        <v>136</v>
      </c>
      <c r="G111" s="75">
        <v>135.6</v>
      </c>
      <c r="H111" s="75">
        <v>134.69999999999999</v>
      </c>
      <c r="I111" s="75">
        <v>133.1</v>
      </c>
      <c r="J111" s="75">
        <v>129.69999999999999</v>
      </c>
      <c r="K111" s="75">
        <v>128</v>
      </c>
      <c r="L111" s="75">
        <v>128</v>
      </c>
      <c r="M111" s="75">
        <v>126.8</v>
      </c>
      <c r="N111" s="75">
        <v>127.8</v>
      </c>
      <c r="O111" s="75">
        <v>127.2</v>
      </c>
      <c r="P111" s="75">
        <v>127.2</v>
      </c>
      <c r="Q111" s="75">
        <v>128.19999999999999</v>
      </c>
      <c r="R111" s="75">
        <v>128.19999999999999</v>
      </c>
      <c r="S111" s="75">
        <v>127.9</v>
      </c>
      <c r="T111" s="75">
        <v>128</v>
      </c>
      <c r="U111" s="75">
        <v>127.9</v>
      </c>
      <c r="V111" s="75">
        <v>127.8</v>
      </c>
      <c r="W111" s="75">
        <v>128.80000000000001</v>
      </c>
      <c r="X111" s="75">
        <v>130.69999999999999</v>
      </c>
      <c r="Y111" s="75">
        <v>122.5</v>
      </c>
      <c r="Z111" s="75">
        <v>129.4</v>
      </c>
      <c r="AA111" s="75">
        <v>130.9</v>
      </c>
      <c r="AB111" s="75">
        <v>131.6</v>
      </c>
      <c r="AC111" s="75">
        <v>132.19999999999999</v>
      </c>
      <c r="AD111" s="75">
        <v>132.4</v>
      </c>
      <c r="AE111" s="75">
        <v>134.4</v>
      </c>
      <c r="AF111" s="75">
        <v>135.4</v>
      </c>
      <c r="AG111" s="116"/>
      <c r="AH111" s="48">
        <f t="shared" si="61"/>
        <v>136.1</v>
      </c>
      <c r="AI111" s="49">
        <f t="shared" si="62"/>
        <v>122.5</v>
      </c>
    </row>
    <row r="112" spans="1:64" x14ac:dyDescent="0.25">
      <c r="A112" s="115" t="s">
        <v>135</v>
      </c>
      <c r="B112" s="75">
        <v>131.69999999999999</v>
      </c>
      <c r="C112" s="75">
        <v>131.69999999999999</v>
      </c>
      <c r="D112" s="75">
        <v>131.69999999999999</v>
      </c>
      <c r="E112" s="75">
        <v>133.4</v>
      </c>
      <c r="F112" s="75">
        <v>132.5</v>
      </c>
      <c r="G112" s="75">
        <v>133.1</v>
      </c>
      <c r="H112" s="75">
        <v>130.4</v>
      </c>
      <c r="I112" s="75">
        <v>129.6</v>
      </c>
      <c r="J112" s="75">
        <v>124.2</v>
      </c>
      <c r="K112" s="75">
        <v>125.2</v>
      </c>
      <c r="L112" s="75">
        <v>125.2</v>
      </c>
      <c r="M112" s="75">
        <v>122.9</v>
      </c>
      <c r="N112" s="75">
        <v>127.7</v>
      </c>
      <c r="O112" s="75">
        <v>124.8</v>
      </c>
      <c r="P112" s="75">
        <v>124.8</v>
      </c>
      <c r="Q112" s="75">
        <v>124.6</v>
      </c>
      <c r="R112" s="75">
        <v>122</v>
      </c>
      <c r="S112" s="75">
        <v>122.5</v>
      </c>
      <c r="T112" s="75">
        <v>125.4</v>
      </c>
      <c r="U112" s="75">
        <v>124.6</v>
      </c>
      <c r="V112" s="75">
        <v>126.1</v>
      </c>
      <c r="W112" s="75">
        <v>127.9</v>
      </c>
      <c r="X112" s="75">
        <v>129.19999999999999</v>
      </c>
      <c r="Y112" s="75">
        <v>122.5</v>
      </c>
      <c r="Z112" s="75">
        <v>124.4</v>
      </c>
      <c r="AA112" s="75">
        <v>127.3</v>
      </c>
      <c r="AB112" s="75">
        <v>128.1</v>
      </c>
      <c r="AC112" s="75">
        <v>128.1</v>
      </c>
      <c r="AD112" s="75">
        <v>128.80000000000001</v>
      </c>
      <c r="AE112" s="75">
        <v>131.6</v>
      </c>
      <c r="AF112" s="75">
        <v>133.30000000000001</v>
      </c>
      <c r="AG112" s="116"/>
      <c r="AH112" s="48">
        <f t="shared" si="61"/>
        <v>133.4</v>
      </c>
      <c r="AI112" s="49">
        <f t="shared" si="62"/>
        <v>122</v>
      </c>
    </row>
    <row r="113" spans="1:35" x14ac:dyDescent="0.25">
      <c r="A113" s="117" t="s">
        <v>136</v>
      </c>
      <c r="B113" s="75">
        <v>130.4</v>
      </c>
      <c r="C113" s="75">
        <v>130.4</v>
      </c>
      <c r="D113" s="75">
        <v>130.4</v>
      </c>
      <c r="E113" s="75">
        <v>132.4</v>
      </c>
      <c r="F113" s="75">
        <v>132.80000000000001</v>
      </c>
      <c r="G113" s="75">
        <v>131.80000000000001</v>
      </c>
      <c r="H113" s="75">
        <v>129.9</v>
      </c>
      <c r="I113" s="75">
        <v>126.8</v>
      </c>
      <c r="J113" s="75">
        <v>121.5</v>
      </c>
      <c r="K113" s="75">
        <v>123.1</v>
      </c>
      <c r="L113" s="75">
        <v>123.1</v>
      </c>
      <c r="M113" s="75">
        <v>122</v>
      </c>
      <c r="N113" s="75">
        <v>124</v>
      </c>
      <c r="O113" s="75">
        <v>122.6</v>
      </c>
      <c r="P113" s="75">
        <v>122.6</v>
      </c>
      <c r="Q113" s="75">
        <v>122.9</v>
      </c>
      <c r="R113" s="75">
        <v>117</v>
      </c>
      <c r="S113" s="75">
        <v>119</v>
      </c>
      <c r="T113" s="75">
        <v>125.2</v>
      </c>
      <c r="U113" s="75">
        <v>122.2</v>
      </c>
      <c r="V113" s="75">
        <v>124.9</v>
      </c>
      <c r="W113" s="75">
        <v>128.6</v>
      </c>
      <c r="X113" s="75">
        <v>127.4</v>
      </c>
      <c r="Y113" s="75">
        <v>121.4</v>
      </c>
      <c r="Z113" s="75">
        <v>123.2</v>
      </c>
      <c r="AA113" s="75">
        <v>126.7</v>
      </c>
      <c r="AB113" s="75">
        <v>127</v>
      </c>
      <c r="AC113" s="75">
        <v>127.4</v>
      </c>
      <c r="AD113" s="75">
        <v>128.19999999999999</v>
      </c>
      <c r="AE113" s="75">
        <v>133.4</v>
      </c>
      <c r="AF113" s="75">
        <v>134.69999999999999</v>
      </c>
      <c r="AG113" s="116"/>
      <c r="AH113" s="48">
        <f t="shared" si="61"/>
        <v>134.69999999999999</v>
      </c>
      <c r="AI113" s="49">
        <f t="shared" si="62"/>
        <v>117</v>
      </c>
    </row>
    <row r="114" spans="1:35" x14ac:dyDescent="0.25">
      <c r="A114" s="117" t="s">
        <v>137</v>
      </c>
      <c r="B114" s="118">
        <v>135</v>
      </c>
      <c r="C114" s="118">
        <v>135</v>
      </c>
      <c r="D114" s="118">
        <v>135</v>
      </c>
      <c r="E114" s="118">
        <v>136.5</v>
      </c>
      <c r="F114" s="118">
        <v>136.69999999999999</v>
      </c>
      <c r="G114" s="118">
        <v>135.9</v>
      </c>
      <c r="H114" s="118">
        <v>135.1</v>
      </c>
      <c r="I114" s="118">
        <v>133.80000000000001</v>
      </c>
      <c r="J114" s="118">
        <v>130.80000000000001</v>
      </c>
      <c r="K114" s="118">
        <v>132.19999999999999</v>
      </c>
      <c r="L114" s="118">
        <v>132.19999999999999</v>
      </c>
      <c r="M114" s="118">
        <v>131.4</v>
      </c>
      <c r="N114" s="118">
        <v>132.9</v>
      </c>
      <c r="O114" s="118">
        <v>130.9</v>
      </c>
      <c r="P114" s="118">
        <v>130.9</v>
      </c>
      <c r="Q114" s="118">
        <v>133.30000000000001</v>
      </c>
      <c r="R114" s="118">
        <v>134.4</v>
      </c>
      <c r="S114" s="118">
        <v>130.69999999999999</v>
      </c>
      <c r="T114" s="118">
        <v>130.1</v>
      </c>
      <c r="U114" s="118">
        <v>131.69999999999999</v>
      </c>
      <c r="V114" s="118">
        <v>130.19999999999999</v>
      </c>
      <c r="W114" s="118">
        <v>132.9</v>
      </c>
      <c r="X114" s="118">
        <v>135</v>
      </c>
      <c r="Y114" s="118">
        <v>130.19999999999999</v>
      </c>
      <c r="Z114" s="118">
        <v>133.5</v>
      </c>
      <c r="AA114" s="118">
        <v>134.69999999999999</v>
      </c>
      <c r="AB114" s="118">
        <v>134.80000000000001</v>
      </c>
      <c r="AC114" s="118">
        <v>135.30000000000001</v>
      </c>
      <c r="AD114" s="118">
        <v>136.6</v>
      </c>
      <c r="AE114" s="118">
        <v>137.1</v>
      </c>
      <c r="AF114" s="118">
        <v>137.6</v>
      </c>
      <c r="AG114" s="119"/>
      <c r="AH114" s="48">
        <f t="shared" si="61"/>
        <v>137.6</v>
      </c>
      <c r="AI114" s="49">
        <f t="shared" si="62"/>
        <v>130.1</v>
      </c>
    </row>
    <row r="115" spans="1:35" x14ac:dyDescent="0.25">
      <c r="A115" s="115" t="s">
        <v>138</v>
      </c>
      <c r="B115" s="75">
        <v>131.6</v>
      </c>
      <c r="C115" s="75">
        <v>131.6</v>
      </c>
      <c r="D115" s="75">
        <v>131.6</v>
      </c>
      <c r="E115" s="75">
        <v>131.6</v>
      </c>
      <c r="F115" s="75">
        <v>132.4</v>
      </c>
      <c r="G115" s="75">
        <v>133.1</v>
      </c>
      <c r="H115" s="75">
        <v>130.69999999999999</v>
      </c>
      <c r="I115" s="75">
        <v>131.1</v>
      </c>
      <c r="J115" s="75">
        <v>129.30000000000001</v>
      </c>
      <c r="K115" s="75">
        <v>123.2</v>
      </c>
      <c r="L115" s="75">
        <v>123.2</v>
      </c>
      <c r="M115" s="75">
        <v>124.9</v>
      </c>
      <c r="N115" s="75">
        <v>130.30000000000001</v>
      </c>
      <c r="O115" s="75">
        <v>126</v>
      </c>
      <c r="P115" s="75">
        <v>126</v>
      </c>
      <c r="Q115" s="75">
        <v>130.80000000000001</v>
      </c>
      <c r="R115" s="75">
        <v>130.19999999999999</v>
      </c>
      <c r="S115" s="75">
        <v>127</v>
      </c>
      <c r="T115" s="75">
        <v>128</v>
      </c>
      <c r="U115" s="75">
        <v>125.9</v>
      </c>
      <c r="V115" s="75">
        <v>127.5</v>
      </c>
      <c r="W115" s="75">
        <v>129</v>
      </c>
      <c r="X115" s="75">
        <v>130.69999999999999</v>
      </c>
      <c r="Y115" s="75">
        <v>136.5</v>
      </c>
      <c r="Z115" s="75">
        <v>131.19999999999999</v>
      </c>
      <c r="AA115" s="75">
        <v>132.19999999999999</v>
      </c>
      <c r="AB115" s="75">
        <v>134</v>
      </c>
      <c r="AC115" s="75">
        <v>135.69999999999999</v>
      </c>
      <c r="AD115" s="75">
        <v>135.30000000000001</v>
      </c>
      <c r="AE115" s="75">
        <v>133.9</v>
      </c>
      <c r="AF115" s="75">
        <v>133.4</v>
      </c>
      <c r="AG115" s="116"/>
      <c r="AH115" s="48">
        <f t="shared" si="61"/>
        <v>136.5</v>
      </c>
      <c r="AI115" s="49">
        <f t="shared" si="62"/>
        <v>123.2</v>
      </c>
    </row>
    <row r="116" spans="1:35" ht="15.75" thickBot="1" x14ac:dyDescent="0.3">
      <c r="A116" s="115" t="s">
        <v>139</v>
      </c>
      <c r="B116" s="104">
        <v>67.599999999999994</v>
      </c>
      <c r="C116" s="104">
        <v>67.599999999999994</v>
      </c>
      <c r="D116" s="104">
        <v>67.599999999999994</v>
      </c>
      <c r="E116" s="104">
        <v>68.2</v>
      </c>
      <c r="F116" s="104">
        <v>68.2</v>
      </c>
      <c r="G116" s="104">
        <v>68</v>
      </c>
      <c r="H116" s="104">
        <v>67.599999999999994</v>
      </c>
      <c r="I116" s="104">
        <v>66.8</v>
      </c>
      <c r="J116" s="104">
        <v>65.099999999999994</v>
      </c>
      <c r="K116" s="104">
        <v>64.5</v>
      </c>
      <c r="L116" s="104">
        <v>64.5</v>
      </c>
      <c r="M116" s="104">
        <v>64.099999999999994</v>
      </c>
      <c r="N116" s="104">
        <v>64.5</v>
      </c>
      <c r="O116" s="104">
        <v>64.3</v>
      </c>
      <c r="P116" s="104">
        <v>64.3</v>
      </c>
      <c r="Q116" s="104">
        <v>64.8</v>
      </c>
      <c r="R116" s="104">
        <v>64.900000000000006</v>
      </c>
      <c r="S116" s="104">
        <v>64.599999999999994</v>
      </c>
      <c r="T116" s="104">
        <v>64.599999999999994</v>
      </c>
      <c r="U116" s="104">
        <v>64.5</v>
      </c>
      <c r="V116" s="104">
        <v>64.599999999999994</v>
      </c>
      <c r="W116" s="104">
        <v>65.099999999999994</v>
      </c>
      <c r="X116" s="104">
        <v>66</v>
      </c>
      <c r="Y116" s="104">
        <v>64.8</v>
      </c>
      <c r="Z116" s="104">
        <v>65.2</v>
      </c>
      <c r="AA116" s="104">
        <v>65.900000000000006</v>
      </c>
      <c r="AB116" s="104">
        <v>66</v>
      </c>
      <c r="AC116" s="104">
        <v>66.400000000000006</v>
      </c>
      <c r="AD116" s="104">
        <v>66.2</v>
      </c>
      <c r="AE116" s="104">
        <v>67.3</v>
      </c>
      <c r="AF116" s="104">
        <v>67.8</v>
      </c>
      <c r="AG116" s="120"/>
      <c r="AH116" s="48">
        <f t="shared" si="61"/>
        <v>68.2</v>
      </c>
      <c r="AI116" s="49">
        <f t="shared" si="62"/>
        <v>64.099999999999994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 t="s">
        <v>140</v>
      </c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61"/>
        <v>0</v>
      </c>
      <c r="AI117" s="49">
        <f t="shared" si="62"/>
        <v>0</v>
      </c>
    </row>
    <row r="118" spans="1:35" ht="15.75" thickBot="1" x14ac:dyDescent="0.3">
      <c r="A118" s="122" t="s">
        <v>141</v>
      </c>
      <c r="B118" s="123">
        <f t="shared" ref="B118:C118" si="119">SUM(B22,B28,B31:B32,B66,B68:B69,B71,B73,B119:B123,B155,B161,B167,B176,B178,B190,B197,B200:B201,B208,B210,B212,B216:B218,B220:B222,B227,B233:B234,B236:B238,B246,B251)</f>
        <v>133.24</v>
      </c>
      <c r="C118" s="123">
        <f t="shared" si="119"/>
        <v>134.54</v>
      </c>
      <c r="D118" s="123">
        <f t="shared" ref="D118" si="120">SUM(D22,D28,D31:D32,D66,D68:D69,D71,D73,D119:D123,D155,D161,D167,D176,D178,D190,D197,D200:D201,D208,D210,D212,D216:D218,D220:D222,D227,D233:D234,D236:D238,D246,D251)</f>
        <v>128.14000000000001</v>
      </c>
      <c r="E118" s="123">
        <f t="shared" ref="E118:O118" si="121">SUM(E22,E28,E31:E32,E66,E68:E69,E71,E73,E119:E123,E155,E161,E167,E176,E178,E190,E197,E200:E201,E208,E210,E212,E216:E218,E220:E222,E227,E233:E234,E236:E238,E246,E251)</f>
        <v>116.73999999999998</v>
      </c>
      <c r="F118" s="123">
        <f t="shared" si="121"/>
        <v>81.14</v>
      </c>
      <c r="G118" s="123">
        <f t="shared" si="121"/>
        <v>141.24</v>
      </c>
      <c r="H118" s="123">
        <f t="shared" si="121"/>
        <v>170.44</v>
      </c>
      <c r="I118" s="123">
        <f t="shared" si="121"/>
        <v>221.44</v>
      </c>
      <c r="J118" s="123">
        <f t="shared" si="121"/>
        <v>256.64</v>
      </c>
      <c r="K118" s="123">
        <f t="shared" si="121"/>
        <v>279.14000000000004</v>
      </c>
      <c r="L118" s="123">
        <f t="shared" si="121"/>
        <v>317.14000000000004</v>
      </c>
      <c r="M118" s="123">
        <f t="shared" si="121"/>
        <v>325.74</v>
      </c>
      <c r="N118" s="123">
        <f t="shared" si="121"/>
        <v>326.04000000000002</v>
      </c>
      <c r="O118" s="123">
        <f t="shared" si="121"/>
        <v>328.54</v>
      </c>
      <c r="P118" s="123">
        <v>42</v>
      </c>
      <c r="Q118" s="123">
        <f t="shared" ref="Q118:AF118" si="122">SUM(Q22,Q28,Q31:Q32,Q66,Q68:Q69,Q71,Q73,Q119:Q123,Q155,Q161,Q167,Q176,Q178,Q190,Q197,Q200:Q201,Q208,Q210,Q212,Q216:Q218,Q220:Q222,Q227,Q233:Q234,Q236:Q238,Q246,Q251)</f>
        <v>310.64</v>
      </c>
      <c r="R118" s="123">
        <f t="shared" si="122"/>
        <v>300.64</v>
      </c>
      <c r="S118" s="123">
        <f t="shared" si="122"/>
        <v>286.83999999999997</v>
      </c>
      <c r="T118" s="123">
        <f t="shared" si="122"/>
        <v>276.94</v>
      </c>
      <c r="U118" s="123">
        <f t="shared" si="122"/>
        <v>270.54000000000002</v>
      </c>
      <c r="V118" s="123">
        <f t="shared" si="122"/>
        <v>279.23999999999995</v>
      </c>
      <c r="W118" s="123">
        <f t="shared" si="122"/>
        <v>287.14000000000004</v>
      </c>
      <c r="X118" s="123">
        <f t="shared" si="122"/>
        <v>262.84000000000003</v>
      </c>
      <c r="Y118" s="123">
        <f t="shared" ref="Y118:Z118" si="123">SUM(Y20,Y26,Y37:Y38,Y66,Y68:Y69,Y71,Y73,Y119:Y123,Y148,Y154,Y160,Y169,Y171,Y183,Y190,Y193:Y194,Y201,Y203,Y205,Y209:Y211,Y213:Y215,Y220,Y226:Y227,Y229:Y231,Y239,Y244)</f>
        <v>302.5</v>
      </c>
      <c r="Z118" s="123">
        <f t="shared" si="123"/>
        <v>335.8</v>
      </c>
      <c r="AA118" s="123">
        <f t="shared" si="122"/>
        <v>304.73999999999995</v>
      </c>
      <c r="AB118" s="123">
        <f t="shared" si="122"/>
        <v>304.23999999999995</v>
      </c>
      <c r="AC118" s="123">
        <f t="shared" si="122"/>
        <v>285.24</v>
      </c>
      <c r="AD118" s="123">
        <f>SUM(AD22,AD28,AD31:AD32,AD66,AD68:AD69,AD71,AD73,AD119:AD123,AD155,AD161,AD167,AD176,AD178,AD190,AD197,AD200:AD201,AD208,AD210,AD212,AD216:AD218,AD220:AD222,AD227,AD233:AD234,AD236:AD238,AD246,AD251)</f>
        <v>253.03999999999996</v>
      </c>
      <c r="AE118" s="123">
        <f t="shared" si="122"/>
        <v>180.04</v>
      </c>
      <c r="AF118" s="123">
        <f t="shared" si="122"/>
        <v>144.23999999999998</v>
      </c>
      <c r="AG118" s="124"/>
      <c r="AH118" s="48">
        <f t="shared" si="61"/>
        <v>335.8</v>
      </c>
      <c r="AI118" s="49">
        <f t="shared" si="62"/>
        <v>42</v>
      </c>
    </row>
    <row r="119" spans="1:35" x14ac:dyDescent="0.25">
      <c r="A119" s="125" t="s">
        <v>142</v>
      </c>
      <c r="B119" s="126">
        <v>18</v>
      </c>
      <c r="C119" s="126">
        <v>12.6</v>
      </c>
      <c r="D119" s="126">
        <v>13.4</v>
      </c>
      <c r="E119" s="126">
        <v>3.3</v>
      </c>
      <c r="F119" s="126">
        <v>2.6</v>
      </c>
      <c r="G119" s="126">
        <v>6.1</v>
      </c>
      <c r="H119" s="126">
        <v>13</v>
      </c>
      <c r="I119" s="126">
        <v>21.4</v>
      </c>
      <c r="J119" s="126">
        <v>-1.6</v>
      </c>
      <c r="K119" s="126">
        <v>-7.9</v>
      </c>
      <c r="L119" s="126">
        <v>7.2</v>
      </c>
      <c r="M119" s="126">
        <v>5.5</v>
      </c>
      <c r="N119" s="126">
        <v>5.2</v>
      </c>
      <c r="O119" s="126">
        <v>0.7</v>
      </c>
      <c r="P119" s="126">
        <v>0.7</v>
      </c>
      <c r="Q119" s="126">
        <v>-4.7</v>
      </c>
      <c r="R119" s="126">
        <v>-0.1</v>
      </c>
      <c r="S119" s="126">
        <v>-2.4</v>
      </c>
      <c r="T119" s="126">
        <v>-3</v>
      </c>
      <c r="U119" s="126">
        <v>-4.3</v>
      </c>
      <c r="V119" s="126">
        <v>-4.2</v>
      </c>
      <c r="W119" s="126">
        <v>-0.4</v>
      </c>
      <c r="X119" s="126">
        <v>-5.4</v>
      </c>
      <c r="Y119" s="126">
        <v>-2.9</v>
      </c>
      <c r="Z119" s="126">
        <v>29</v>
      </c>
      <c r="AA119" s="126">
        <v>32.9</v>
      </c>
      <c r="AB119" s="126">
        <v>33.6</v>
      </c>
      <c r="AC119" s="126">
        <v>31.2</v>
      </c>
      <c r="AD119" s="126">
        <v>28</v>
      </c>
      <c r="AE119" s="126">
        <v>21.5</v>
      </c>
      <c r="AF119" s="126">
        <v>17.5</v>
      </c>
      <c r="AG119" s="127">
        <v>75</v>
      </c>
      <c r="AH119" s="48">
        <f t="shared" si="61"/>
        <v>33.6</v>
      </c>
      <c r="AI119" s="49">
        <f t="shared" si="62"/>
        <v>-7.9</v>
      </c>
    </row>
    <row r="120" spans="1:35" x14ac:dyDescent="0.25">
      <c r="A120" s="128" t="s">
        <v>143</v>
      </c>
      <c r="B120" s="129">
        <v>30.5</v>
      </c>
      <c r="C120" s="129">
        <v>24.2</v>
      </c>
      <c r="D120" s="129">
        <v>24.7</v>
      </c>
      <c r="E120" s="129">
        <v>10.1</v>
      </c>
      <c r="F120" s="129">
        <v>8.6999999999999993</v>
      </c>
      <c r="G120" s="129">
        <v>13.3</v>
      </c>
      <c r="H120" s="129">
        <v>23.2</v>
      </c>
      <c r="I120" s="129">
        <v>28</v>
      </c>
      <c r="J120" s="129">
        <v>-7.5</v>
      </c>
      <c r="K120" s="129">
        <v>-13.2</v>
      </c>
      <c r="L120" s="129">
        <v>3.7</v>
      </c>
      <c r="M120" s="129">
        <v>-0.8</v>
      </c>
      <c r="N120" s="129">
        <v>-0.9</v>
      </c>
      <c r="O120" s="129">
        <v>-6.8</v>
      </c>
      <c r="P120" s="129">
        <v>-6.8</v>
      </c>
      <c r="Q120" s="129">
        <v>-13.8</v>
      </c>
      <c r="R120" s="129">
        <v>-8.4</v>
      </c>
      <c r="S120" s="129">
        <v>-9.6999999999999993</v>
      </c>
      <c r="T120" s="129">
        <v>-9</v>
      </c>
      <c r="U120" s="129">
        <v>-13.6</v>
      </c>
      <c r="V120" s="129">
        <v>-11.1</v>
      </c>
      <c r="W120" s="129">
        <v>-7.6</v>
      </c>
      <c r="X120" s="129">
        <v>-5.0999999999999996</v>
      </c>
      <c r="Y120" s="129">
        <v>0.1</v>
      </c>
      <c r="Z120" s="129">
        <v>44.2</v>
      </c>
      <c r="AA120" s="129">
        <v>49.3</v>
      </c>
      <c r="AB120" s="129">
        <v>51.3</v>
      </c>
      <c r="AC120" s="129">
        <v>48.2</v>
      </c>
      <c r="AD120" s="129">
        <v>42.8</v>
      </c>
      <c r="AE120" s="129">
        <v>34.1</v>
      </c>
      <c r="AF120" s="129">
        <v>29.8</v>
      </c>
      <c r="AG120" s="127">
        <v>240</v>
      </c>
      <c r="AH120" s="48">
        <f t="shared" si="61"/>
        <v>51.3</v>
      </c>
      <c r="AI120" s="49">
        <f t="shared" si="62"/>
        <v>-13.8</v>
      </c>
    </row>
    <row r="121" spans="1:35" x14ac:dyDescent="0.25">
      <c r="A121" s="128" t="s">
        <v>144</v>
      </c>
      <c r="B121" s="129">
        <v>-34</v>
      </c>
      <c r="C121" s="129">
        <v>-22</v>
      </c>
      <c r="D121" s="129">
        <v>-24</v>
      </c>
      <c r="E121" s="129">
        <v>-25.9</v>
      </c>
      <c r="F121" s="129">
        <f>-44.8-16.6</f>
        <v>-61.4</v>
      </c>
      <c r="G121" s="129">
        <f>-4.8-13.8</f>
        <v>-18.600000000000001</v>
      </c>
      <c r="H121" s="129">
        <f>-1.7-10.1</f>
        <v>-11.799999999999999</v>
      </c>
      <c r="I121" s="129">
        <f>5.5+2</f>
        <v>7.5</v>
      </c>
      <c r="J121" s="129">
        <v>40</v>
      </c>
      <c r="K121" s="129">
        <f>24.8+20.7</f>
        <v>45.5</v>
      </c>
      <c r="L121" s="129">
        <f>28.1+21.4</f>
        <v>49.5</v>
      </c>
      <c r="M121" s="129">
        <v>56</v>
      </c>
      <c r="N121" s="129">
        <v>49.7</v>
      </c>
      <c r="O121" s="129">
        <v>51</v>
      </c>
      <c r="P121" s="129">
        <v>51</v>
      </c>
      <c r="Q121" s="129">
        <v>45</v>
      </c>
      <c r="R121" s="129">
        <v>40</v>
      </c>
      <c r="S121" s="129">
        <v>30</v>
      </c>
      <c r="T121" s="129">
        <v>15</v>
      </c>
      <c r="U121" s="129">
        <v>16</v>
      </c>
      <c r="V121" s="129">
        <v>21.5</v>
      </c>
      <c r="W121" s="129">
        <v>27.6</v>
      </c>
      <c r="X121" s="129">
        <v>27</v>
      </c>
      <c r="Y121" s="129">
        <v>6.9</v>
      </c>
      <c r="Z121" s="129">
        <v>-5</v>
      </c>
      <c r="AA121" s="129">
        <v>-14</v>
      </c>
      <c r="AB121" s="129">
        <v>7.1</v>
      </c>
      <c r="AC121" s="129">
        <v>7.5</v>
      </c>
      <c r="AD121" s="129">
        <f>3.1-4.4</f>
        <v>-1.3000000000000003</v>
      </c>
      <c r="AE121" s="129">
        <f>-4.8-14.6</f>
        <v>-19.399999999999999</v>
      </c>
      <c r="AF121" s="129">
        <f>-11.4-20.6</f>
        <v>-32</v>
      </c>
      <c r="AG121" s="127">
        <v>240</v>
      </c>
      <c r="AH121" s="48">
        <f t="shared" si="61"/>
        <v>56</v>
      </c>
      <c r="AI121" s="49">
        <f t="shared" si="62"/>
        <v>-61.4</v>
      </c>
    </row>
    <row r="122" spans="1:35" ht="15.75" thickBot="1" x14ac:dyDescent="0.3">
      <c r="A122" s="128" t="s">
        <v>145</v>
      </c>
      <c r="B122" s="129">
        <v>29</v>
      </c>
      <c r="C122" s="129">
        <v>29.6</v>
      </c>
      <c r="D122" s="129">
        <v>28.9</v>
      </c>
      <c r="E122" s="129">
        <v>29.8</v>
      </c>
      <c r="F122" s="129">
        <v>30.1</v>
      </c>
      <c r="G122" s="129">
        <v>31.9</v>
      </c>
      <c r="H122" s="129">
        <v>33.799999999999997</v>
      </c>
      <c r="I122" s="129">
        <v>38</v>
      </c>
      <c r="J122" s="129">
        <v>23.8</v>
      </c>
      <c r="K122" s="129">
        <v>35.200000000000003</v>
      </c>
      <c r="L122" s="129">
        <v>33.799999999999997</v>
      </c>
      <c r="M122" s="129">
        <v>25</v>
      </c>
      <c r="N122" s="129">
        <v>35.799999999999997</v>
      </c>
      <c r="O122" s="129">
        <v>38.4</v>
      </c>
      <c r="P122" s="129">
        <v>38.4</v>
      </c>
      <c r="Q122" s="129">
        <v>39</v>
      </c>
      <c r="R122" s="129">
        <v>35</v>
      </c>
      <c r="S122" s="129">
        <v>30.9</v>
      </c>
      <c r="T122" s="129">
        <v>40.4</v>
      </c>
      <c r="U122" s="129">
        <v>36.5</v>
      </c>
      <c r="V122" s="129">
        <v>39.799999999999997</v>
      </c>
      <c r="W122" s="129">
        <v>40</v>
      </c>
      <c r="X122" s="129">
        <v>33.299999999999997</v>
      </c>
      <c r="Y122" s="129">
        <v>45.2</v>
      </c>
      <c r="Z122" s="129">
        <v>46.8</v>
      </c>
      <c r="AA122" s="129">
        <v>45.2</v>
      </c>
      <c r="AB122" s="129">
        <v>41.8</v>
      </c>
      <c r="AC122" s="129">
        <v>40.1</v>
      </c>
      <c r="AD122" s="129">
        <v>39</v>
      </c>
      <c r="AE122" s="129">
        <v>34.5</v>
      </c>
      <c r="AF122" s="129">
        <v>30.5</v>
      </c>
      <c r="AG122" s="127">
        <v>60</v>
      </c>
      <c r="AH122" s="48">
        <f t="shared" si="61"/>
        <v>46.8</v>
      </c>
      <c r="AI122" s="49">
        <f t="shared" si="62"/>
        <v>23.8</v>
      </c>
    </row>
    <row r="123" spans="1:35" x14ac:dyDescent="0.25">
      <c r="A123" s="125" t="s">
        <v>146</v>
      </c>
      <c r="B123" s="130">
        <v>1.7</v>
      </c>
      <c r="C123" s="130">
        <v>2.1</v>
      </c>
      <c r="D123" s="130">
        <v>-2.9</v>
      </c>
      <c r="E123" s="130">
        <v>10.3</v>
      </c>
      <c r="F123" s="130">
        <v>12</v>
      </c>
      <c r="G123" s="130">
        <v>17.899999999999999</v>
      </c>
      <c r="H123" s="130">
        <v>23.6</v>
      </c>
      <c r="I123" s="130">
        <v>37.4</v>
      </c>
      <c r="J123" s="130">
        <v>112.8</v>
      </c>
      <c r="K123" s="130">
        <v>130.4</v>
      </c>
      <c r="L123" s="130">
        <v>131.4</v>
      </c>
      <c r="M123" s="130">
        <v>147</v>
      </c>
      <c r="N123" s="130">
        <v>140.4</v>
      </c>
      <c r="O123" s="130">
        <v>144</v>
      </c>
      <c r="P123" s="130">
        <v>144</v>
      </c>
      <c r="Q123" s="130">
        <v>141</v>
      </c>
      <c r="R123" s="130">
        <v>130</v>
      </c>
      <c r="S123" s="130">
        <v>136.4</v>
      </c>
      <c r="T123" s="130">
        <v>139.4</v>
      </c>
      <c r="U123" s="130">
        <v>145.5</v>
      </c>
      <c r="V123" s="130">
        <v>143.6</v>
      </c>
      <c r="W123" s="130">
        <v>138.5</v>
      </c>
      <c r="X123" s="130">
        <v>124.3</v>
      </c>
      <c r="Y123" s="130">
        <v>155</v>
      </c>
      <c r="Z123" s="130">
        <v>123.7</v>
      </c>
      <c r="AA123" s="130">
        <v>103.4</v>
      </c>
      <c r="AB123" s="130">
        <v>80.900000000000006</v>
      </c>
      <c r="AC123" s="130">
        <v>68.7</v>
      </c>
      <c r="AD123" s="130">
        <v>55</v>
      </c>
      <c r="AE123" s="130">
        <v>17.5</v>
      </c>
      <c r="AF123" s="130">
        <v>4.5999999999999996</v>
      </c>
      <c r="AG123" s="131">
        <v>120</v>
      </c>
      <c r="AH123" s="48">
        <f t="shared" si="61"/>
        <v>155</v>
      </c>
      <c r="AI123" s="49">
        <f t="shared" si="62"/>
        <v>-2.9</v>
      </c>
    </row>
    <row r="124" spans="1:35" x14ac:dyDescent="0.25">
      <c r="A124" s="128" t="s">
        <v>147</v>
      </c>
      <c r="B124" s="130">
        <v>18.2</v>
      </c>
      <c r="C124" s="130">
        <v>19.899999999999999</v>
      </c>
      <c r="D124" s="130">
        <v>16.8</v>
      </c>
      <c r="E124" s="130">
        <v>25.4</v>
      </c>
      <c r="F124" s="130">
        <v>26</v>
      </c>
      <c r="G124" s="130">
        <v>28.9</v>
      </c>
      <c r="H124" s="130">
        <v>31.6</v>
      </c>
      <c r="I124" s="130">
        <v>38.4</v>
      </c>
      <c r="J124" s="130">
        <v>75.8</v>
      </c>
      <c r="K124" s="130">
        <v>84.8</v>
      </c>
      <c r="L124" s="130">
        <v>84.4</v>
      </c>
      <c r="M124" s="130">
        <v>91.4</v>
      </c>
      <c r="N124" s="130">
        <v>88.7</v>
      </c>
      <c r="O124" s="130">
        <v>89.1</v>
      </c>
      <c r="P124" s="130">
        <v>89.1</v>
      </c>
      <c r="Q124" s="130">
        <v>89.3</v>
      </c>
      <c r="R124" s="130">
        <v>84.3</v>
      </c>
      <c r="S124" s="130">
        <v>86.5</v>
      </c>
      <c r="T124" s="130">
        <v>88.1</v>
      </c>
      <c r="U124" s="130">
        <v>91.1</v>
      </c>
      <c r="V124" s="130">
        <v>90.4</v>
      </c>
      <c r="W124" s="130">
        <v>87.4</v>
      </c>
      <c r="X124" s="130">
        <v>82.9</v>
      </c>
      <c r="Y124" s="130">
        <v>96.1</v>
      </c>
      <c r="Z124" s="130">
        <v>81.3</v>
      </c>
      <c r="AA124" s="130">
        <v>71.099999999999994</v>
      </c>
      <c r="AB124" s="130">
        <v>61.7</v>
      </c>
      <c r="AC124" s="130">
        <v>55.4</v>
      </c>
      <c r="AD124" s="130">
        <v>46.7</v>
      </c>
      <c r="AE124" s="130">
        <v>29.1</v>
      </c>
      <c r="AF124" s="130">
        <v>23</v>
      </c>
      <c r="AG124" s="131"/>
      <c r="AH124" s="48">
        <f t="shared" si="61"/>
        <v>96.1</v>
      </c>
      <c r="AI124" s="49">
        <f t="shared" si="62"/>
        <v>16.8</v>
      </c>
    </row>
    <row r="125" spans="1:35" x14ac:dyDescent="0.25">
      <c r="A125" s="128" t="s">
        <v>148</v>
      </c>
      <c r="B125" s="130">
        <v>-23.6</v>
      </c>
      <c r="C125" s="130">
        <v>-15.9</v>
      </c>
      <c r="D125" s="130">
        <v>18.7</v>
      </c>
      <c r="E125" s="130">
        <v>-3.6</v>
      </c>
      <c r="F125" s="130">
        <v>-1.1000000000000001</v>
      </c>
      <c r="G125" s="130">
        <v>-10.1</v>
      </c>
      <c r="H125" s="130">
        <v>-22.4</v>
      </c>
      <c r="I125" s="130">
        <v>-35.299999999999997</v>
      </c>
      <c r="J125" s="130">
        <v>12.3</v>
      </c>
      <c r="K125" s="130">
        <v>14.7</v>
      </c>
      <c r="L125" s="130">
        <v>14.7</v>
      </c>
      <c r="M125" s="130">
        <v>4.5999999999999996</v>
      </c>
      <c r="N125" s="130">
        <v>9.4</v>
      </c>
      <c r="O125" s="130">
        <v>20</v>
      </c>
      <c r="P125" s="130">
        <v>20</v>
      </c>
      <c r="Q125" s="130">
        <v>33</v>
      </c>
      <c r="R125" s="130">
        <v>26</v>
      </c>
      <c r="S125" s="130">
        <v>30</v>
      </c>
      <c r="T125" s="130">
        <v>21.9</v>
      </c>
      <c r="U125" s="130">
        <v>27</v>
      </c>
      <c r="V125" s="130">
        <v>17.899999999999999</v>
      </c>
      <c r="W125" s="130">
        <v>9.6999999999999993</v>
      </c>
      <c r="X125" s="130">
        <v>0.5</v>
      </c>
      <c r="Y125" s="130">
        <v>8.6999999999999993</v>
      </c>
      <c r="Z125" s="130">
        <v>-43.1</v>
      </c>
      <c r="AA125" s="130">
        <v>-49</v>
      </c>
      <c r="AB125" s="130">
        <v>-48.4</v>
      </c>
      <c r="AC125" s="130">
        <v>-43.2</v>
      </c>
      <c r="AD125" s="130">
        <v>-46.6</v>
      </c>
      <c r="AE125" s="130">
        <v>-33.4</v>
      </c>
      <c r="AF125" s="130">
        <v>-23.8</v>
      </c>
      <c r="AG125" s="131"/>
      <c r="AH125" s="48">
        <f t="shared" si="61"/>
        <v>33</v>
      </c>
      <c r="AI125" s="49">
        <f t="shared" si="62"/>
        <v>-49</v>
      </c>
    </row>
    <row r="126" spans="1:35" ht="15.75" thickBot="1" x14ac:dyDescent="0.3">
      <c r="A126" s="128" t="s">
        <v>149</v>
      </c>
      <c r="B126" s="130">
        <v>8.9</v>
      </c>
      <c r="C126" s="130">
        <v>12</v>
      </c>
      <c r="D126" s="130">
        <v>8.4</v>
      </c>
      <c r="E126" s="130">
        <v>17.8</v>
      </c>
      <c r="F126" s="130">
        <v>19.100000000000001</v>
      </c>
      <c r="G126" s="130">
        <v>21.8</v>
      </c>
      <c r="H126" s="130">
        <v>22.6</v>
      </c>
      <c r="I126" s="130">
        <v>27.9</v>
      </c>
      <c r="J126" s="130">
        <v>80.7</v>
      </c>
      <c r="K126" s="130">
        <v>89.4</v>
      </c>
      <c r="L126" s="130">
        <v>89.4</v>
      </c>
      <c r="M126" s="130">
        <v>104</v>
      </c>
      <c r="N126" s="130">
        <v>98.2</v>
      </c>
      <c r="O126" s="130">
        <v>107</v>
      </c>
      <c r="P126" s="130">
        <v>107</v>
      </c>
      <c r="Q126" s="130">
        <v>97</v>
      </c>
      <c r="R126" s="130">
        <v>95.4</v>
      </c>
      <c r="S126" s="130">
        <v>99.5</v>
      </c>
      <c r="T126" s="130">
        <v>104</v>
      </c>
      <c r="U126" s="130">
        <v>107.3</v>
      </c>
      <c r="V126" s="130">
        <v>105</v>
      </c>
      <c r="W126" s="130">
        <v>107</v>
      </c>
      <c r="X126" s="130">
        <v>92.5</v>
      </c>
      <c r="Y126" s="130">
        <v>86</v>
      </c>
      <c r="Z126" s="130">
        <v>63.4</v>
      </c>
      <c r="AA126" s="130">
        <v>49.3</v>
      </c>
      <c r="AB126" s="130">
        <v>40</v>
      </c>
      <c r="AC126" s="130">
        <v>36.5</v>
      </c>
      <c r="AD126" s="130">
        <v>39.6</v>
      </c>
      <c r="AE126" s="130">
        <v>17.5</v>
      </c>
      <c r="AF126" s="130">
        <v>15.8</v>
      </c>
      <c r="AG126" s="127"/>
      <c r="AH126" s="48">
        <f>MAX(B126:AF126)</f>
        <v>107.3</v>
      </c>
      <c r="AI126" s="49">
        <f>MIN(B126:AF126)</f>
        <v>8.4</v>
      </c>
    </row>
    <row r="127" spans="1:35" x14ac:dyDescent="0.25">
      <c r="A127" s="125" t="s">
        <v>305</v>
      </c>
      <c r="B127" s="130">
        <v>-65.8</v>
      </c>
      <c r="C127" s="130">
        <v>-63.8</v>
      </c>
      <c r="D127" s="130">
        <v>-66.7</v>
      </c>
      <c r="E127" s="130">
        <v>-63.1</v>
      </c>
      <c r="F127" s="130">
        <v>-59.4</v>
      </c>
      <c r="G127" s="130">
        <v>-55.3</v>
      </c>
      <c r="H127" s="130">
        <v>-55.8</v>
      </c>
      <c r="I127" s="130">
        <v>-46.2</v>
      </c>
      <c r="J127" s="130">
        <v>26.5</v>
      </c>
      <c r="K127" s="130">
        <v>36.6</v>
      </c>
      <c r="L127" s="130">
        <v>36.6</v>
      </c>
      <c r="M127" s="130">
        <v>45</v>
      </c>
      <c r="N127" s="130">
        <v>42.4</v>
      </c>
      <c r="O127" s="130">
        <v>43</v>
      </c>
      <c r="P127" s="130">
        <v>43</v>
      </c>
      <c r="Q127" s="130">
        <v>42</v>
      </c>
      <c r="R127" s="130">
        <v>38</v>
      </c>
      <c r="S127" s="130">
        <v>41</v>
      </c>
      <c r="T127" s="130">
        <v>42.3</v>
      </c>
      <c r="U127" s="130">
        <v>47.3</v>
      </c>
      <c r="V127" s="130">
        <v>40.5</v>
      </c>
      <c r="W127" s="130">
        <v>38.5</v>
      </c>
      <c r="X127" s="130">
        <v>26.8</v>
      </c>
      <c r="Y127" s="130">
        <v>-140.1</v>
      </c>
      <c r="Z127" s="130">
        <v>-152.9</v>
      </c>
      <c r="AA127" s="130">
        <v>-153.4</v>
      </c>
      <c r="AB127" s="130">
        <v>-151.30000000000001</v>
      </c>
      <c r="AC127" s="130">
        <v>-143.1</v>
      </c>
      <c r="AD127" s="130">
        <v>-41.3</v>
      </c>
      <c r="AE127" s="130">
        <v>-56.6</v>
      </c>
      <c r="AF127" s="130">
        <v>-66.099999999999994</v>
      </c>
      <c r="AG127" s="127"/>
      <c r="AH127" s="48">
        <f>MAX(B127:AF127)</f>
        <v>47.3</v>
      </c>
      <c r="AI127" s="49">
        <f>MIN(B127:AF127)</f>
        <v>-153.4</v>
      </c>
    </row>
    <row r="128" spans="1:35" x14ac:dyDescent="0.25">
      <c r="A128" s="128" t="s">
        <v>151</v>
      </c>
      <c r="B128" s="118">
        <v>-30.1</v>
      </c>
      <c r="C128" s="118">
        <v>-29.4</v>
      </c>
      <c r="D128" s="118">
        <v>-26.6</v>
      </c>
      <c r="E128" s="118">
        <v>-24.9</v>
      </c>
      <c r="F128" s="118">
        <v>-25.2</v>
      </c>
      <c r="G128" s="118">
        <v>-27.1</v>
      </c>
      <c r="H128" s="118">
        <v>-32.5</v>
      </c>
      <c r="I128" s="118">
        <v>-39.9</v>
      </c>
      <c r="J128" s="118">
        <v>-45.2</v>
      </c>
      <c r="K128" s="118">
        <v>-45.8</v>
      </c>
      <c r="L128" s="118">
        <v>-45.8</v>
      </c>
      <c r="M128" s="118">
        <v>-54</v>
      </c>
      <c r="N128" s="118">
        <v>-57.7</v>
      </c>
      <c r="O128" s="118">
        <v>-50.4</v>
      </c>
      <c r="P128" s="118">
        <v>-50.4</v>
      </c>
      <c r="Q128" s="118">
        <v>-47.6</v>
      </c>
      <c r="R128" s="118">
        <v>-49</v>
      </c>
      <c r="S128" s="118">
        <v>-49.8</v>
      </c>
      <c r="T128" s="118">
        <v>-49.9</v>
      </c>
      <c r="U128" s="118">
        <v>-56</v>
      </c>
      <c r="V128" s="118">
        <v>-56.1</v>
      </c>
      <c r="W128" s="118">
        <v>-52.5</v>
      </c>
      <c r="X128" s="118">
        <v>-66.099999999999994</v>
      </c>
      <c r="Y128" s="118">
        <v>-68.900000000000006</v>
      </c>
      <c r="Z128" s="118">
        <v>-66.3</v>
      </c>
      <c r="AA128" s="118">
        <v>-58.7</v>
      </c>
      <c r="AB128" s="118">
        <v>-60.5</v>
      </c>
      <c r="AC128" s="118">
        <v>-58.7</v>
      </c>
      <c r="AD128" s="118">
        <v>-59.6</v>
      </c>
      <c r="AE128" s="118">
        <v>-38.5</v>
      </c>
      <c r="AF128" s="118">
        <v>-34.799999999999997</v>
      </c>
      <c r="AG128" s="127"/>
      <c r="AH128" s="48">
        <f>MAX(B128:AF128)</f>
        <v>-24.9</v>
      </c>
      <c r="AI128" s="49">
        <f>MIN(B128:AF128)</f>
        <v>-68.900000000000006</v>
      </c>
    </row>
    <row r="129" spans="1:37" x14ac:dyDescent="0.25">
      <c r="A129" s="128" t="s">
        <v>306</v>
      </c>
      <c r="B129" s="118">
        <v>72.900000000000006</v>
      </c>
      <c r="C129" s="118">
        <v>69.2</v>
      </c>
      <c r="D129" s="118">
        <v>65.8</v>
      </c>
      <c r="E129" s="118">
        <v>62.4</v>
      </c>
      <c r="F129" s="118">
        <v>62.5</v>
      </c>
      <c r="G129" s="118">
        <v>63.6</v>
      </c>
      <c r="H129" s="118">
        <v>62.8</v>
      </c>
      <c r="I129" s="118">
        <v>62.8</v>
      </c>
      <c r="J129" s="118">
        <v>92.1</v>
      </c>
      <c r="K129" s="118">
        <v>119.1</v>
      </c>
      <c r="L129" s="118">
        <v>119.1</v>
      </c>
      <c r="M129" s="118">
        <v>71</v>
      </c>
      <c r="N129" s="118">
        <v>74.5</v>
      </c>
      <c r="O129" s="118">
        <v>78.099999999999994</v>
      </c>
      <c r="P129" s="118">
        <v>78.099999999999994</v>
      </c>
      <c r="Q129" s="118">
        <v>83</v>
      </c>
      <c r="R129" s="118">
        <v>87</v>
      </c>
      <c r="S129" s="118">
        <v>80.900000000000006</v>
      </c>
      <c r="T129" s="118">
        <v>77.599999999999994</v>
      </c>
      <c r="U129" s="118">
        <v>72.5</v>
      </c>
      <c r="V129" s="118">
        <v>66.3</v>
      </c>
      <c r="W129" s="118">
        <v>102.1</v>
      </c>
      <c r="X129" s="118">
        <v>59.3</v>
      </c>
      <c r="Y129" s="118">
        <v>110.1</v>
      </c>
      <c r="Z129" s="118">
        <v>114.6</v>
      </c>
      <c r="AA129" s="118">
        <v>107.8</v>
      </c>
      <c r="AB129" s="118">
        <v>115</v>
      </c>
      <c r="AC129" s="118">
        <v>105.1</v>
      </c>
      <c r="AD129" s="118">
        <v>105.8</v>
      </c>
      <c r="AE129" s="118">
        <v>81.7</v>
      </c>
      <c r="AF129" s="118">
        <v>74.7</v>
      </c>
      <c r="AG129" s="127"/>
      <c r="AH129" s="48">
        <f>MAX(B129:AF129)</f>
        <v>119.1</v>
      </c>
      <c r="AI129" s="49">
        <f>MIN(B129:AF129)</f>
        <v>59.3</v>
      </c>
    </row>
    <row r="130" spans="1:37" ht="15.75" thickBot="1" x14ac:dyDescent="0.3">
      <c r="A130" s="128" t="s">
        <v>153</v>
      </c>
      <c r="B130" s="118">
        <v>85.6</v>
      </c>
      <c r="C130" s="118">
        <v>82</v>
      </c>
      <c r="D130" s="118">
        <v>78</v>
      </c>
      <c r="E130" s="118">
        <v>76.400000000000006</v>
      </c>
      <c r="F130" s="118">
        <v>74.599999999999994</v>
      </c>
      <c r="G130" s="118">
        <v>74.7</v>
      </c>
      <c r="H130" s="118">
        <v>75.5</v>
      </c>
      <c r="I130" s="118">
        <v>76.2</v>
      </c>
      <c r="J130" s="118">
        <v>95.5</v>
      </c>
      <c r="K130" s="118">
        <v>122.5</v>
      </c>
      <c r="L130" s="118">
        <v>122.5</v>
      </c>
      <c r="M130" s="118">
        <v>79</v>
      </c>
      <c r="N130" s="118">
        <v>81.400000000000006</v>
      </c>
      <c r="O130" s="118">
        <v>82</v>
      </c>
      <c r="P130" s="118">
        <v>82</v>
      </c>
      <c r="Q130" s="118">
        <v>85</v>
      </c>
      <c r="R130" s="118">
        <v>89</v>
      </c>
      <c r="S130" s="118">
        <v>81.599999999999994</v>
      </c>
      <c r="T130" s="118">
        <v>78.900000000000006</v>
      </c>
      <c r="U130" s="118">
        <v>73.7</v>
      </c>
      <c r="V130" s="118">
        <v>71.3</v>
      </c>
      <c r="W130" s="118">
        <v>70.7</v>
      </c>
      <c r="X130" s="118">
        <v>71.900000000000006</v>
      </c>
      <c r="Y130" s="118">
        <v>128</v>
      </c>
      <c r="Z130" s="118">
        <v>127.3</v>
      </c>
      <c r="AA130" s="118">
        <v>119.9</v>
      </c>
      <c r="AB130" s="118">
        <v>125.9</v>
      </c>
      <c r="AC130" s="118">
        <v>114</v>
      </c>
      <c r="AD130" s="118">
        <v>113.4</v>
      </c>
      <c r="AE130" s="118">
        <v>96.2</v>
      </c>
      <c r="AF130" s="118">
        <v>87.7</v>
      </c>
      <c r="AG130" s="127"/>
      <c r="AH130" s="48">
        <f>MAX(B130:AF130)</f>
        <v>128</v>
      </c>
      <c r="AI130" s="49">
        <f>MIN(B130:AF130)</f>
        <v>70.7</v>
      </c>
    </row>
    <row r="131" spans="1:37" x14ac:dyDescent="0.25">
      <c r="A131" s="132" t="s">
        <v>154</v>
      </c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4"/>
      <c r="AG131" s="44"/>
      <c r="AH131" s="48"/>
      <c r="AI131" s="49"/>
    </row>
    <row r="132" spans="1:37" x14ac:dyDescent="0.25">
      <c r="A132" s="135" t="s">
        <v>155</v>
      </c>
      <c r="B132" s="136">
        <v>1982.52</v>
      </c>
      <c r="C132" s="136">
        <v>1982.54</v>
      </c>
      <c r="D132" s="136">
        <v>1982.56</v>
      </c>
      <c r="E132" s="136">
        <v>1982.58</v>
      </c>
      <c r="F132" s="136">
        <v>1982.54</v>
      </c>
      <c r="G132" s="136">
        <v>1982.57</v>
      </c>
      <c r="H132" s="136"/>
      <c r="I132" s="136">
        <v>1982.5</v>
      </c>
      <c r="J132" s="136"/>
      <c r="K132" s="136">
        <v>1982.75</v>
      </c>
      <c r="L132" s="136"/>
      <c r="M132" s="136">
        <v>1983.09</v>
      </c>
      <c r="N132" s="136">
        <v>1983.3</v>
      </c>
      <c r="O132" s="136">
        <v>1983.55</v>
      </c>
      <c r="P132" s="136">
        <v>1983.75</v>
      </c>
      <c r="Q132" s="136">
        <v>1983.95</v>
      </c>
      <c r="R132" s="136">
        <v>1984.16</v>
      </c>
      <c r="S132" s="136">
        <v>1984.35</v>
      </c>
      <c r="T132" s="136">
        <v>1984.51</v>
      </c>
      <c r="U132" s="136">
        <v>1984.7</v>
      </c>
      <c r="V132" s="136">
        <v>1984.9</v>
      </c>
      <c r="W132" s="136"/>
      <c r="X132" s="136">
        <v>1985</v>
      </c>
      <c r="Y132" s="136"/>
      <c r="Z132" s="136">
        <v>1984.42</v>
      </c>
      <c r="AA132" s="136"/>
      <c r="AB132" s="136">
        <v>1983.5</v>
      </c>
      <c r="AC132" s="136"/>
      <c r="AD132" s="136">
        <v>1982.55</v>
      </c>
      <c r="AE132" s="136">
        <v>1982.6</v>
      </c>
      <c r="AF132" s="137"/>
      <c r="AG132" s="138"/>
      <c r="AH132" s="48"/>
      <c r="AI132" s="49"/>
    </row>
    <row r="133" spans="1:37" x14ac:dyDescent="0.25">
      <c r="A133" s="135" t="s">
        <v>156</v>
      </c>
      <c r="B133" s="139">
        <v>518.6</v>
      </c>
      <c r="C133" s="139">
        <v>518.49</v>
      </c>
      <c r="D133" s="139">
        <v>518.57000000000005</v>
      </c>
      <c r="E133" s="139">
        <v>518.71</v>
      </c>
      <c r="F133" s="139">
        <v>519.23</v>
      </c>
      <c r="G133" s="139">
        <v>519.54</v>
      </c>
      <c r="H133" s="139"/>
      <c r="I133" s="139">
        <v>519.63</v>
      </c>
      <c r="J133" s="139"/>
      <c r="K133" s="139">
        <v>519.77</v>
      </c>
      <c r="L133" s="139"/>
      <c r="M133" s="139">
        <v>519.96</v>
      </c>
      <c r="N133" s="139">
        <v>520.05999999999995</v>
      </c>
      <c r="O133" s="139">
        <v>520.17999999999995</v>
      </c>
      <c r="P133" s="139">
        <v>520.26</v>
      </c>
      <c r="Q133" s="139">
        <v>520.36</v>
      </c>
      <c r="R133" s="139">
        <v>520.49</v>
      </c>
      <c r="S133" s="139">
        <v>520.63</v>
      </c>
      <c r="T133" s="139">
        <v>520.76</v>
      </c>
      <c r="U133" s="139">
        <v>520.86</v>
      </c>
      <c r="V133" s="139">
        <v>521.04</v>
      </c>
      <c r="W133" s="139"/>
      <c r="X133" s="139">
        <v>521.1</v>
      </c>
      <c r="Y133" s="139"/>
      <c r="Z133" s="139">
        <v>520.79</v>
      </c>
      <c r="AA133" s="139"/>
      <c r="AB133" s="139">
        <v>520.13</v>
      </c>
      <c r="AC133" s="139"/>
      <c r="AD133" s="139">
        <v>519.53</v>
      </c>
      <c r="AE133" s="139">
        <v>519.24</v>
      </c>
      <c r="AF133" s="140"/>
      <c r="AG133" s="138"/>
      <c r="AH133" s="48"/>
      <c r="AI133" s="49"/>
    </row>
    <row r="134" spans="1:37" x14ac:dyDescent="0.25">
      <c r="A134" s="135" t="s">
        <v>158</v>
      </c>
      <c r="B134" s="139">
        <v>621.64</v>
      </c>
      <c r="C134" s="139">
        <v>621.6</v>
      </c>
      <c r="D134" s="139">
        <v>621.51</v>
      </c>
      <c r="E134" s="139">
        <v>621.48</v>
      </c>
      <c r="F134" s="139">
        <v>621.66</v>
      </c>
      <c r="G134" s="139">
        <v>621.79999999999995</v>
      </c>
      <c r="H134" s="139"/>
      <c r="I134" s="139">
        <v>621.80999999999995</v>
      </c>
      <c r="J134" s="139"/>
      <c r="K134" s="139">
        <v>622.19000000000005</v>
      </c>
      <c r="L134" s="139"/>
      <c r="M134" s="139">
        <v>622.23</v>
      </c>
      <c r="N134" s="139">
        <v>622.16999999999996</v>
      </c>
      <c r="O134" s="139">
        <v>622.29999999999995</v>
      </c>
      <c r="P134" s="139">
        <v>622.41</v>
      </c>
      <c r="Q134" s="139">
        <v>622.51</v>
      </c>
      <c r="R134" s="139">
        <v>622.64</v>
      </c>
      <c r="S134" s="139">
        <v>622.74</v>
      </c>
      <c r="T134" s="139">
        <v>622.87</v>
      </c>
      <c r="U134" s="139">
        <v>622.87</v>
      </c>
      <c r="V134" s="139">
        <v>623.08000000000004</v>
      </c>
      <c r="W134" s="139"/>
      <c r="X134" s="139">
        <v>623.22</v>
      </c>
      <c r="Y134" s="139"/>
      <c r="Z134" s="139">
        <v>622.70000000000005</v>
      </c>
      <c r="AA134" s="139"/>
      <c r="AB134" s="139">
        <v>622.16999999999996</v>
      </c>
      <c r="AC134" s="139"/>
      <c r="AD134" s="139">
        <v>621.55999999999995</v>
      </c>
      <c r="AE134" s="139">
        <v>621.57000000000005</v>
      </c>
      <c r="AF134" s="140"/>
      <c r="AG134" s="138"/>
      <c r="AH134" s="48"/>
      <c r="AI134" s="49"/>
    </row>
    <row r="135" spans="1:37" x14ac:dyDescent="0.25">
      <c r="A135" s="135" t="s">
        <v>159</v>
      </c>
      <c r="B135" s="139">
        <v>333.59</v>
      </c>
      <c r="C135" s="139">
        <v>333.36</v>
      </c>
      <c r="D135" s="139">
        <v>333.81</v>
      </c>
      <c r="E135" s="139">
        <v>334.21</v>
      </c>
      <c r="F135" s="139">
        <v>334.46</v>
      </c>
      <c r="G135" s="139">
        <v>334.61</v>
      </c>
      <c r="H135" s="139"/>
      <c r="I135" s="139">
        <v>334.65</v>
      </c>
      <c r="J135" s="139"/>
      <c r="K135" s="139">
        <v>334.75</v>
      </c>
      <c r="L135" s="139"/>
      <c r="M135" s="139">
        <v>334.84</v>
      </c>
      <c r="N135" s="139">
        <v>334.73</v>
      </c>
      <c r="O135" s="139">
        <v>334.56</v>
      </c>
      <c r="P135" s="139">
        <v>334.49</v>
      </c>
      <c r="Q135" s="139">
        <v>334.47</v>
      </c>
      <c r="R135" s="139">
        <v>334.45</v>
      </c>
      <c r="S135" s="139">
        <v>334.5</v>
      </c>
      <c r="T135" s="139">
        <v>334.17</v>
      </c>
      <c r="U135" s="139">
        <v>334.11</v>
      </c>
      <c r="V135" s="139">
        <v>334.12</v>
      </c>
      <c r="W135" s="139"/>
      <c r="X135" s="139">
        <v>334.44</v>
      </c>
      <c r="Y135" s="139"/>
      <c r="Z135" s="139">
        <v>334.56</v>
      </c>
      <c r="AA135" s="139"/>
      <c r="AB135" s="139">
        <v>334.47</v>
      </c>
      <c r="AC135" s="139"/>
      <c r="AD135" s="139">
        <v>334.16</v>
      </c>
      <c r="AE135" s="139">
        <v>333.96</v>
      </c>
      <c r="AF135" s="140">
        <v>333.87</v>
      </c>
      <c r="AG135" s="138"/>
      <c r="AH135" s="48"/>
      <c r="AI135" s="49"/>
    </row>
    <row r="136" spans="1:37" x14ac:dyDescent="0.25">
      <c r="A136" s="135" t="s">
        <v>160</v>
      </c>
      <c r="B136" s="139">
        <v>881.5</v>
      </c>
      <c r="C136" s="139">
        <v>882.3</v>
      </c>
      <c r="D136" s="139">
        <v>883.2</v>
      </c>
      <c r="E136" s="139">
        <v>884.1</v>
      </c>
      <c r="F136" s="139">
        <v>884.7</v>
      </c>
      <c r="G136" s="139">
        <v>885.4</v>
      </c>
      <c r="H136" s="139"/>
      <c r="I136" s="139">
        <v>885.8</v>
      </c>
      <c r="J136" s="139"/>
      <c r="K136" s="139">
        <v>885.5</v>
      </c>
      <c r="L136" s="139"/>
      <c r="M136" s="139">
        <v>884.6</v>
      </c>
      <c r="N136" s="139">
        <v>883.6</v>
      </c>
      <c r="O136" s="139">
        <v>883.5</v>
      </c>
      <c r="P136" s="139">
        <v>883.4</v>
      </c>
      <c r="Q136" s="139">
        <v>883.3</v>
      </c>
      <c r="R136" s="139">
        <v>883.2</v>
      </c>
      <c r="S136" s="139">
        <v>883.1</v>
      </c>
      <c r="T136" s="139">
        <v>882.6</v>
      </c>
      <c r="U136" s="139">
        <v>883.1</v>
      </c>
      <c r="V136" s="139">
        <v>884</v>
      </c>
      <c r="W136" s="139"/>
      <c r="X136" s="139">
        <v>884.5</v>
      </c>
      <c r="Y136" s="139"/>
      <c r="Z136" s="139">
        <v>884.8</v>
      </c>
      <c r="AA136" s="139"/>
      <c r="AB136" s="139">
        <v>884.5</v>
      </c>
      <c r="AC136" s="139"/>
      <c r="AD136" s="139">
        <v>883.9</v>
      </c>
      <c r="AE136" s="139">
        <v>883.5</v>
      </c>
      <c r="AF136" s="140"/>
      <c r="AG136" s="138"/>
      <c r="AH136" s="48"/>
      <c r="AI136" s="49"/>
    </row>
    <row r="137" spans="1:37" ht="15.75" thickBot="1" x14ac:dyDescent="0.3">
      <c r="A137" s="135" t="s">
        <v>161</v>
      </c>
      <c r="B137" s="141">
        <v>1517.02</v>
      </c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>
        <v>1516.5</v>
      </c>
      <c r="AD137" s="141"/>
      <c r="AE137" s="141">
        <v>1516.48</v>
      </c>
      <c r="AF137" s="142"/>
      <c r="AG137" s="138"/>
      <c r="AH137" s="48"/>
      <c r="AI137" s="49"/>
    </row>
    <row r="138" spans="1:37" ht="15.75" thickBot="1" x14ac:dyDescent="0.3">
      <c r="A138" s="143" t="s">
        <v>162</v>
      </c>
      <c r="B138" s="144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124">SUM(B139:B243)</f>
        <v>0</v>
      </c>
      <c r="C244" s="160">
        <f t="shared" si="124"/>
        <v>0</v>
      </c>
      <c r="D244" s="160">
        <f t="shared" si="124"/>
        <v>0</v>
      </c>
      <c r="E244" s="160">
        <f t="shared" si="124"/>
        <v>0</v>
      </c>
      <c r="F244" s="160">
        <f t="shared" si="124"/>
        <v>0</v>
      </c>
      <c r="G244" s="160">
        <f t="shared" si="124"/>
        <v>0</v>
      </c>
      <c r="H244" s="160">
        <f t="shared" si="124"/>
        <v>0</v>
      </c>
      <c r="I244" s="160">
        <f t="shared" si="124"/>
        <v>0</v>
      </c>
      <c r="J244" s="160">
        <f t="shared" si="124"/>
        <v>0</v>
      </c>
      <c r="K244" s="160">
        <f t="shared" si="124"/>
        <v>0</v>
      </c>
      <c r="L244" s="160">
        <f t="shared" si="124"/>
        <v>0</v>
      </c>
      <c r="M244" s="160">
        <f t="shared" si="124"/>
        <v>0</v>
      </c>
      <c r="N244" s="160">
        <f t="shared" si="124"/>
        <v>0</v>
      </c>
      <c r="O244" s="160">
        <f t="shared" si="124"/>
        <v>0</v>
      </c>
      <c r="P244" s="160">
        <f t="shared" si="124"/>
        <v>0</v>
      </c>
      <c r="Q244" s="160">
        <f t="shared" si="124"/>
        <v>0</v>
      </c>
      <c r="R244" s="160">
        <f t="shared" si="124"/>
        <v>0</v>
      </c>
      <c r="S244" s="160">
        <f t="shared" si="124"/>
        <v>0</v>
      </c>
      <c r="T244" s="160">
        <f t="shared" si="124"/>
        <v>0</v>
      </c>
      <c r="U244" s="160">
        <f t="shared" si="124"/>
        <v>0</v>
      </c>
      <c r="V244" s="160">
        <f t="shared" si="124"/>
        <v>0</v>
      </c>
      <c r="W244" s="160">
        <f t="shared" si="124"/>
        <v>0</v>
      </c>
      <c r="X244" s="160">
        <f t="shared" si="124"/>
        <v>0</v>
      </c>
      <c r="Y244" s="160">
        <f t="shared" si="124"/>
        <v>0</v>
      </c>
      <c r="Z244" s="160">
        <f t="shared" si="124"/>
        <v>0</v>
      </c>
      <c r="AA244" s="160">
        <f t="shared" si="124"/>
        <v>0</v>
      </c>
      <c r="AB244" s="160">
        <f t="shared" si="124"/>
        <v>0</v>
      </c>
      <c r="AC244" s="160">
        <f t="shared" si="124"/>
        <v>0</v>
      </c>
      <c r="AD244" s="160">
        <f t="shared" si="124"/>
        <v>0</v>
      </c>
      <c r="AE244" s="160">
        <f t="shared" si="124"/>
        <v>0</v>
      </c>
      <c r="AF244" s="161">
        <f t="shared" si="124"/>
        <v>0</v>
      </c>
      <c r="AG244" s="162">
        <f t="shared" si="124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125">AF246</f>
        <v>0.3</v>
      </c>
      <c r="C246" s="165">
        <v>0.3</v>
      </c>
      <c r="D246" s="165">
        <f t="shared" ref="D246:S251" si="126">C246</f>
        <v>0.3</v>
      </c>
      <c r="E246" s="165">
        <f t="shared" si="126"/>
        <v>0.3</v>
      </c>
      <c r="F246" s="165">
        <f t="shared" si="126"/>
        <v>0.3</v>
      </c>
      <c r="G246" s="165">
        <f t="shared" si="126"/>
        <v>0.3</v>
      </c>
      <c r="H246" s="165">
        <f t="shared" si="126"/>
        <v>0.3</v>
      </c>
      <c r="I246" s="165">
        <f t="shared" si="126"/>
        <v>0.3</v>
      </c>
      <c r="J246" s="165">
        <f t="shared" si="126"/>
        <v>0.3</v>
      </c>
      <c r="K246" s="165">
        <f t="shared" si="126"/>
        <v>0.3</v>
      </c>
      <c r="L246" s="165">
        <f t="shared" si="126"/>
        <v>0.3</v>
      </c>
      <c r="M246" s="165">
        <f t="shared" si="126"/>
        <v>0.3</v>
      </c>
      <c r="N246" s="165">
        <f t="shared" si="126"/>
        <v>0.3</v>
      </c>
      <c r="O246" s="165">
        <f t="shared" si="126"/>
        <v>0.3</v>
      </c>
      <c r="P246" s="165">
        <f t="shared" si="126"/>
        <v>0.3</v>
      </c>
      <c r="Q246" s="165">
        <f t="shared" si="126"/>
        <v>0.3</v>
      </c>
      <c r="R246" s="165">
        <f t="shared" si="126"/>
        <v>0.3</v>
      </c>
      <c r="S246" s="165">
        <f t="shared" si="126"/>
        <v>0.3</v>
      </c>
      <c r="T246" s="165">
        <f t="shared" ref="T246:AF251" si="127">S246</f>
        <v>0.3</v>
      </c>
      <c r="U246" s="165">
        <f t="shared" si="127"/>
        <v>0.3</v>
      </c>
      <c r="V246" s="165">
        <f t="shared" si="127"/>
        <v>0.3</v>
      </c>
      <c r="W246" s="165">
        <f t="shared" si="127"/>
        <v>0.3</v>
      </c>
      <c r="X246" s="165">
        <f t="shared" si="127"/>
        <v>0.3</v>
      </c>
      <c r="Y246" s="165">
        <f t="shared" si="127"/>
        <v>0.3</v>
      </c>
      <c r="Z246" s="165">
        <f t="shared" si="127"/>
        <v>0.3</v>
      </c>
      <c r="AA246" s="165">
        <f t="shared" si="127"/>
        <v>0.3</v>
      </c>
      <c r="AB246" s="165">
        <f t="shared" si="127"/>
        <v>0.3</v>
      </c>
      <c r="AC246" s="165">
        <f t="shared" si="127"/>
        <v>0.3</v>
      </c>
      <c r="AD246" s="165">
        <f t="shared" si="127"/>
        <v>0.3</v>
      </c>
      <c r="AE246" s="165">
        <f t="shared" si="127"/>
        <v>0.3</v>
      </c>
      <c r="AF246" s="165">
        <f t="shared" si="127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125"/>
        <v>0.4</v>
      </c>
      <c r="C247" s="151">
        <v>0.4</v>
      </c>
      <c r="D247" s="151">
        <f t="shared" si="126"/>
        <v>0.4</v>
      </c>
      <c r="E247" s="151">
        <f t="shared" si="126"/>
        <v>0.4</v>
      </c>
      <c r="F247" s="151">
        <f t="shared" si="126"/>
        <v>0.4</v>
      </c>
      <c r="G247" s="151">
        <f t="shared" si="126"/>
        <v>0.4</v>
      </c>
      <c r="H247" s="151">
        <f t="shared" si="126"/>
        <v>0.4</v>
      </c>
      <c r="I247" s="151">
        <f t="shared" si="126"/>
        <v>0.4</v>
      </c>
      <c r="J247" s="151">
        <f t="shared" si="126"/>
        <v>0.4</v>
      </c>
      <c r="K247" s="151">
        <f t="shared" si="126"/>
        <v>0.4</v>
      </c>
      <c r="L247" s="151">
        <f t="shared" si="126"/>
        <v>0.4</v>
      </c>
      <c r="M247" s="151">
        <f t="shared" si="126"/>
        <v>0.4</v>
      </c>
      <c r="N247" s="151">
        <f t="shared" si="126"/>
        <v>0.4</v>
      </c>
      <c r="O247" s="151">
        <f t="shared" si="126"/>
        <v>0.4</v>
      </c>
      <c r="P247" s="151">
        <f t="shared" si="126"/>
        <v>0.4</v>
      </c>
      <c r="Q247" s="151">
        <f t="shared" si="126"/>
        <v>0.4</v>
      </c>
      <c r="R247" s="151">
        <f t="shared" si="126"/>
        <v>0.4</v>
      </c>
      <c r="S247" s="151">
        <f t="shared" si="126"/>
        <v>0.4</v>
      </c>
      <c r="T247" s="151">
        <f t="shared" si="127"/>
        <v>0.4</v>
      </c>
      <c r="U247" s="151">
        <f t="shared" si="127"/>
        <v>0.4</v>
      </c>
      <c r="V247" s="151">
        <f t="shared" si="127"/>
        <v>0.4</v>
      </c>
      <c r="W247" s="151">
        <f t="shared" si="127"/>
        <v>0.4</v>
      </c>
      <c r="X247" s="151">
        <f t="shared" si="127"/>
        <v>0.4</v>
      </c>
      <c r="Y247" s="151">
        <f t="shared" si="127"/>
        <v>0.4</v>
      </c>
      <c r="Z247" s="151">
        <f t="shared" si="127"/>
        <v>0.4</v>
      </c>
      <c r="AA247" s="151">
        <f t="shared" si="127"/>
        <v>0.4</v>
      </c>
      <c r="AB247" s="151">
        <f t="shared" si="127"/>
        <v>0.4</v>
      </c>
      <c r="AC247" s="151">
        <f t="shared" si="127"/>
        <v>0.4</v>
      </c>
      <c r="AD247" s="151">
        <f t="shared" si="127"/>
        <v>0.4</v>
      </c>
      <c r="AE247" s="151">
        <f t="shared" si="127"/>
        <v>0.4</v>
      </c>
      <c r="AF247" s="151">
        <f t="shared" si="127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125"/>
        <v>1.5</v>
      </c>
      <c r="C248" s="151">
        <v>1.5</v>
      </c>
      <c r="D248" s="151">
        <f t="shared" si="126"/>
        <v>1.5</v>
      </c>
      <c r="E248" s="151">
        <f t="shared" si="126"/>
        <v>1.5</v>
      </c>
      <c r="F248" s="151">
        <f t="shared" si="126"/>
        <v>1.5</v>
      </c>
      <c r="G248" s="151">
        <f t="shared" si="126"/>
        <v>1.5</v>
      </c>
      <c r="H248" s="151">
        <f t="shared" si="126"/>
        <v>1.5</v>
      </c>
      <c r="I248" s="151">
        <f t="shared" si="126"/>
        <v>1.5</v>
      </c>
      <c r="J248" s="151">
        <f t="shared" si="126"/>
        <v>1.5</v>
      </c>
      <c r="K248" s="151">
        <f t="shared" si="126"/>
        <v>1.5</v>
      </c>
      <c r="L248" s="151">
        <f t="shared" si="126"/>
        <v>1.5</v>
      </c>
      <c r="M248" s="151">
        <f t="shared" si="126"/>
        <v>1.5</v>
      </c>
      <c r="N248" s="151">
        <f t="shared" si="126"/>
        <v>1.5</v>
      </c>
      <c r="O248" s="151">
        <f t="shared" si="126"/>
        <v>1.5</v>
      </c>
      <c r="P248" s="151">
        <f t="shared" si="126"/>
        <v>1.5</v>
      </c>
      <c r="Q248" s="151">
        <f t="shared" si="126"/>
        <v>1.5</v>
      </c>
      <c r="R248" s="151">
        <f t="shared" si="126"/>
        <v>1.5</v>
      </c>
      <c r="S248" s="151">
        <f t="shared" si="126"/>
        <v>1.5</v>
      </c>
      <c r="T248" s="151">
        <f t="shared" si="127"/>
        <v>1.5</v>
      </c>
      <c r="U248" s="151">
        <f t="shared" si="127"/>
        <v>1.5</v>
      </c>
      <c r="V248" s="151">
        <f t="shared" si="127"/>
        <v>1.5</v>
      </c>
      <c r="W248" s="151">
        <f t="shared" si="127"/>
        <v>1.5</v>
      </c>
      <c r="X248" s="151">
        <f t="shared" si="127"/>
        <v>1.5</v>
      </c>
      <c r="Y248" s="151">
        <f t="shared" si="127"/>
        <v>1.5</v>
      </c>
      <c r="Z248" s="151">
        <f t="shared" si="127"/>
        <v>1.5</v>
      </c>
      <c r="AA248" s="151">
        <f t="shared" si="127"/>
        <v>1.5</v>
      </c>
      <c r="AB248" s="151">
        <f t="shared" si="127"/>
        <v>1.5</v>
      </c>
      <c r="AC248" s="151">
        <f t="shared" si="127"/>
        <v>1.5</v>
      </c>
      <c r="AD248" s="151">
        <f t="shared" si="127"/>
        <v>1.5</v>
      </c>
      <c r="AE248" s="151">
        <f t="shared" si="127"/>
        <v>1.5</v>
      </c>
      <c r="AF248" s="151">
        <f t="shared" si="127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125"/>
        <v>0.3</v>
      </c>
      <c r="C249" s="151">
        <v>0.3</v>
      </c>
      <c r="D249" s="151">
        <f t="shared" si="126"/>
        <v>0.3</v>
      </c>
      <c r="E249" s="151">
        <f t="shared" si="126"/>
        <v>0.3</v>
      </c>
      <c r="F249" s="151">
        <f t="shared" si="126"/>
        <v>0.3</v>
      </c>
      <c r="G249" s="151">
        <f t="shared" si="126"/>
        <v>0.3</v>
      </c>
      <c r="H249" s="151">
        <f t="shared" si="126"/>
        <v>0.3</v>
      </c>
      <c r="I249" s="151">
        <f t="shared" si="126"/>
        <v>0.3</v>
      </c>
      <c r="J249" s="151">
        <f t="shared" si="126"/>
        <v>0.3</v>
      </c>
      <c r="K249" s="151">
        <f t="shared" si="126"/>
        <v>0.3</v>
      </c>
      <c r="L249" s="151">
        <f t="shared" si="126"/>
        <v>0.3</v>
      </c>
      <c r="M249" s="151">
        <f t="shared" si="126"/>
        <v>0.3</v>
      </c>
      <c r="N249" s="151">
        <f t="shared" si="126"/>
        <v>0.3</v>
      </c>
      <c r="O249" s="151">
        <f t="shared" si="126"/>
        <v>0.3</v>
      </c>
      <c r="P249" s="151">
        <f t="shared" si="126"/>
        <v>0.3</v>
      </c>
      <c r="Q249" s="151">
        <f t="shared" si="126"/>
        <v>0.3</v>
      </c>
      <c r="R249" s="151">
        <f t="shared" si="126"/>
        <v>0.3</v>
      </c>
      <c r="S249" s="151">
        <f t="shared" si="126"/>
        <v>0.3</v>
      </c>
      <c r="T249" s="151">
        <f t="shared" si="127"/>
        <v>0.3</v>
      </c>
      <c r="U249" s="151">
        <f t="shared" si="127"/>
        <v>0.3</v>
      </c>
      <c r="V249" s="151">
        <f t="shared" si="127"/>
        <v>0.3</v>
      </c>
      <c r="W249" s="151">
        <f t="shared" si="127"/>
        <v>0.3</v>
      </c>
      <c r="X249" s="151">
        <f t="shared" si="127"/>
        <v>0.3</v>
      </c>
      <c r="Y249" s="151">
        <f t="shared" si="127"/>
        <v>0.3</v>
      </c>
      <c r="Z249" s="151">
        <f t="shared" si="127"/>
        <v>0.3</v>
      </c>
      <c r="AA249" s="151">
        <f t="shared" si="127"/>
        <v>0.3</v>
      </c>
      <c r="AB249" s="151">
        <f t="shared" si="127"/>
        <v>0.3</v>
      </c>
      <c r="AC249" s="151">
        <f t="shared" si="127"/>
        <v>0.3</v>
      </c>
      <c r="AD249" s="151">
        <f t="shared" si="127"/>
        <v>0.3</v>
      </c>
      <c r="AE249" s="151">
        <f t="shared" si="127"/>
        <v>0.3</v>
      </c>
      <c r="AF249" s="151">
        <f t="shared" si="127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125"/>
        <v>0.4</v>
      </c>
      <c r="C250" s="151">
        <v>0.4</v>
      </c>
      <c r="D250" s="151">
        <f t="shared" si="126"/>
        <v>0.4</v>
      </c>
      <c r="E250" s="151">
        <f t="shared" si="126"/>
        <v>0.4</v>
      </c>
      <c r="F250" s="151">
        <f t="shared" si="126"/>
        <v>0.4</v>
      </c>
      <c r="G250" s="151">
        <f t="shared" si="126"/>
        <v>0.4</v>
      </c>
      <c r="H250" s="151">
        <f t="shared" si="126"/>
        <v>0.4</v>
      </c>
      <c r="I250" s="151">
        <f t="shared" si="126"/>
        <v>0.4</v>
      </c>
      <c r="J250" s="151">
        <f t="shared" si="126"/>
        <v>0.4</v>
      </c>
      <c r="K250" s="151">
        <f t="shared" si="126"/>
        <v>0.4</v>
      </c>
      <c r="L250" s="151">
        <f t="shared" si="126"/>
        <v>0.4</v>
      </c>
      <c r="M250" s="151">
        <f t="shared" si="126"/>
        <v>0.4</v>
      </c>
      <c r="N250" s="151">
        <f t="shared" si="126"/>
        <v>0.4</v>
      </c>
      <c r="O250" s="151">
        <f t="shared" si="126"/>
        <v>0.4</v>
      </c>
      <c r="P250" s="151">
        <f t="shared" si="126"/>
        <v>0.4</v>
      </c>
      <c r="Q250" s="151">
        <f t="shared" si="126"/>
        <v>0.4</v>
      </c>
      <c r="R250" s="151">
        <f t="shared" si="126"/>
        <v>0.4</v>
      </c>
      <c r="S250" s="151">
        <f t="shared" si="126"/>
        <v>0.4</v>
      </c>
      <c r="T250" s="151">
        <f t="shared" si="127"/>
        <v>0.4</v>
      </c>
      <c r="U250" s="151">
        <f t="shared" si="127"/>
        <v>0.4</v>
      </c>
      <c r="V250" s="151">
        <f t="shared" si="127"/>
        <v>0.4</v>
      </c>
      <c r="W250" s="151">
        <f t="shared" si="127"/>
        <v>0.4</v>
      </c>
      <c r="X250" s="151">
        <f t="shared" si="127"/>
        <v>0.4</v>
      </c>
      <c r="Y250" s="151">
        <f t="shared" si="127"/>
        <v>0.4</v>
      </c>
      <c r="Z250" s="151">
        <f t="shared" si="127"/>
        <v>0.4</v>
      </c>
      <c r="AA250" s="151">
        <f t="shared" si="127"/>
        <v>0.4</v>
      </c>
      <c r="AB250" s="151">
        <f t="shared" si="127"/>
        <v>0.4</v>
      </c>
      <c r="AC250" s="151">
        <f t="shared" si="127"/>
        <v>0.4</v>
      </c>
      <c r="AD250" s="151">
        <f t="shared" si="127"/>
        <v>0.4</v>
      </c>
      <c r="AE250" s="151">
        <f t="shared" si="127"/>
        <v>0.4</v>
      </c>
      <c r="AF250" s="151">
        <f t="shared" si="127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125"/>
        <v>0.64</v>
      </c>
      <c r="C251" s="156">
        <v>0.64</v>
      </c>
      <c r="D251" s="156">
        <f t="shared" si="126"/>
        <v>0.64</v>
      </c>
      <c r="E251" s="156">
        <f t="shared" si="126"/>
        <v>0.64</v>
      </c>
      <c r="F251" s="156">
        <f t="shared" si="126"/>
        <v>0.64</v>
      </c>
      <c r="G251" s="156">
        <f t="shared" si="126"/>
        <v>0.64</v>
      </c>
      <c r="H251" s="156">
        <f t="shared" si="126"/>
        <v>0.64</v>
      </c>
      <c r="I251" s="156">
        <f t="shared" si="126"/>
        <v>0.64</v>
      </c>
      <c r="J251" s="156">
        <f t="shared" si="126"/>
        <v>0.64</v>
      </c>
      <c r="K251" s="156">
        <f t="shared" si="126"/>
        <v>0.64</v>
      </c>
      <c r="L251" s="156">
        <f t="shared" si="126"/>
        <v>0.64</v>
      </c>
      <c r="M251" s="156">
        <f t="shared" si="126"/>
        <v>0.64</v>
      </c>
      <c r="N251" s="156">
        <f t="shared" si="126"/>
        <v>0.64</v>
      </c>
      <c r="O251" s="156">
        <f t="shared" si="126"/>
        <v>0.64</v>
      </c>
      <c r="P251" s="156">
        <f t="shared" si="126"/>
        <v>0.64</v>
      </c>
      <c r="Q251" s="156">
        <f t="shared" si="126"/>
        <v>0.64</v>
      </c>
      <c r="R251" s="156">
        <f t="shared" si="126"/>
        <v>0.64</v>
      </c>
      <c r="S251" s="156">
        <f t="shared" si="126"/>
        <v>0.64</v>
      </c>
      <c r="T251" s="156">
        <f t="shared" si="127"/>
        <v>0.64</v>
      </c>
      <c r="U251" s="156">
        <f t="shared" si="127"/>
        <v>0.64</v>
      </c>
      <c r="V251" s="156">
        <f t="shared" si="127"/>
        <v>0.64</v>
      </c>
      <c r="W251" s="156">
        <f t="shared" si="127"/>
        <v>0.64</v>
      </c>
      <c r="X251" s="156">
        <f t="shared" si="127"/>
        <v>0.64</v>
      </c>
      <c r="Y251" s="156">
        <f t="shared" si="127"/>
        <v>0.64</v>
      </c>
      <c r="Z251" s="156">
        <f t="shared" si="127"/>
        <v>0.64</v>
      </c>
      <c r="AA251" s="156">
        <f t="shared" si="127"/>
        <v>0.64</v>
      </c>
      <c r="AB251" s="156">
        <f t="shared" si="127"/>
        <v>0.64</v>
      </c>
      <c r="AC251" s="156">
        <f t="shared" si="127"/>
        <v>0.64</v>
      </c>
      <c r="AD251" s="156">
        <f t="shared" si="127"/>
        <v>0.64</v>
      </c>
      <c r="AE251" s="156">
        <f t="shared" si="127"/>
        <v>0.64</v>
      </c>
      <c r="AF251" s="156">
        <f t="shared" si="127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128">SUM(B246:B251)</f>
        <v>3.54</v>
      </c>
      <c r="C252" s="160">
        <f t="shared" si="128"/>
        <v>3.54</v>
      </c>
      <c r="D252" s="160">
        <f t="shared" si="128"/>
        <v>3.54</v>
      </c>
      <c r="E252" s="160">
        <f t="shared" si="128"/>
        <v>3.54</v>
      </c>
      <c r="F252" s="160">
        <f t="shared" si="128"/>
        <v>3.54</v>
      </c>
      <c r="G252" s="160">
        <f t="shared" si="128"/>
        <v>3.54</v>
      </c>
      <c r="H252" s="160">
        <f t="shared" si="128"/>
        <v>3.54</v>
      </c>
      <c r="I252" s="160">
        <f t="shared" si="128"/>
        <v>3.54</v>
      </c>
      <c r="J252" s="160">
        <f t="shared" si="128"/>
        <v>3.54</v>
      </c>
      <c r="K252" s="160">
        <f t="shared" si="128"/>
        <v>3.54</v>
      </c>
      <c r="L252" s="160">
        <f t="shared" si="128"/>
        <v>3.54</v>
      </c>
      <c r="M252" s="160">
        <f t="shared" si="128"/>
        <v>3.54</v>
      </c>
      <c r="N252" s="160">
        <f t="shared" si="128"/>
        <v>3.54</v>
      </c>
      <c r="O252" s="160">
        <f t="shared" si="128"/>
        <v>3.54</v>
      </c>
      <c r="P252" s="160">
        <f t="shared" si="128"/>
        <v>3.54</v>
      </c>
      <c r="Q252" s="160">
        <f t="shared" si="128"/>
        <v>3.54</v>
      </c>
      <c r="R252" s="160">
        <f t="shared" si="128"/>
        <v>3.54</v>
      </c>
      <c r="S252" s="160">
        <f t="shared" si="128"/>
        <v>3.54</v>
      </c>
      <c r="T252" s="160">
        <f t="shared" si="128"/>
        <v>3.54</v>
      </c>
      <c r="U252" s="160">
        <f t="shared" si="128"/>
        <v>3.54</v>
      </c>
      <c r="V252" s="160">
        <f t="shared" si="128"/>
        <v>3.54</v>
      </c>
      <c r="W252" s="160">
        <f t="shared" si="128"/>
        <v>3.54</v>
      </c>
      <c r="X252" s="160">
        <f t="shared" si="128"/>
        <v>3.54</v>
      </c>
      <c r="Y252" s="160">
        <f t="shared" si="128"/>
        <v>3.54</v>
      </c>
      <c r="Z252" s="160">
        <f t="shared" si="128"/>
        <v>3.54</v>
      </c>
      <c r="AA252" s="160">
        <f t="shared" si="128"/>
        <v>3.54</v>
      </c>
      <c r="AB252" s="160">
        <f t="shared" si="128"/>
        <v>3.54</v>
      </c>
      <c r="AC252" s="160">
        <f t="shared" si="128"/>
        <v>3.54</v>
      </c>
      <c r="AD252" s="160">
        <f t="shared" si="128"/>
        <v>3.54</v>
      </c>
      <c r="AE252" s="160">
        <f t="shared" si="128"/>
        <v>3.54</v>
      </c>
      <c r="AF252" s="160">
        <f t="shared" si="128"/>
        <v>3.54</v>
      </c>
      <c r="AG252" s="170">
        <f t="shared" si="128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1708.79</v>
      </c>
      <c r="C256" s="173">
        <f>INDEX(G9:N9,1,MATCH(MAX(G99:N99),G99:N99,0))</f>
        <v>0.33333333333333331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2080/10/27)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531" priority="90">
      <formula>$AH11=0</formula>
    </cfRule>
  </conditionalFormatting>
  <conditionalFormatting sqref="A132:A253">
    <cfRule type="expression" dxfId="530" priority="91">
      <formula>$AH132=0</formula>
    </cfRule>
  </conditionalFormatting>
  <conditionalFormatting sqref="B8">
    <cfRule type="expression" dxfId="529" priority="150">
      <formula>AND(C$9&gt;=8/24,C$9&lt;14/24)</formula>
    </cfRule>
    <cfRule type="expression" dxfId="528" priority="151">
      <formula>C$9&lt;8/24</formula>
    </cfRule>
    <cfRule type="expression" dxfId="527" priority="149">
      <formula>AND(C$9&gt;=14/24,C$9&lt;20/24)</formula>
    </cfRule>
    <cfRule type="expression" dxfId="526" priority="152">
      <formula>C$9&gt;=20/24</formula>
    </cfRule>
  </conditionalFormatting>
  <conditionalFormatting sqref="B53:AB57">
    <cfRule type="expression" dxfId="525" priority="53">
      <formula>B$9&lt;8/24</formula>
    </cfRule>
  </conditionalFormatting>
  <conditionalFormatting sqref="B9:AF10 B11:AB52 AC11:AF55 B59:D74 E68:K74 E69:AF74 B77:AF99 B101:AF117 B119:AF137 B244:AF244 B246:B252">
    <cfRule type="expression" dxfId="524" priority="44">
      <formula>B$9&lt;8/24</formula>
    </cfRule>
  </conditionalFormatting>
  <conditionalFormatting sqref="B9:AF52 B59:D74 E68:K74 E69:AF74 B77:AF99 B101:AF117 B119:AF137 B244:AF244 B246:B252">
    <cfRule type="expression" dxfId="523" priority="41">
      <formula>B$9&gt;=20/24</formula>
    </cfRule>
    <cfRule type="expression" dxfId="522" priority="42">
      <formula>AND(B$9&gt;=14/24,B$9&lt;20/24)</formula>
    </cfRule>
    <cfRule type="expression" dxfId="521" priority="43">
      <formula>AND(B$9&gt;=8/24,B$9&lt;14/24)</formula>
    </cfRule>
  </conditionalFormatting>
  <conditionalFormatting sqref="B11:AF80 AG62 AG80">
    <cfRule type="expression" dxfId="520" priority="40">
      <formula>B11&gt;$AG11</formula>
    </cfRule>
  </conditionalFormatting>
  <conditionalFormatting sqref="D246:AF252">
    <cfRule type="expression" dxfId="519" priority="135">
      <formula>AND(D$9&gt;=14/24,D$9&lt;20/24)</formula>
    </cfRule>
    <cfRule type="expression" dxfId="518" priority="137">
      <formula>D$9&lt;8/24</formula>
    </cfRule>
    <cfRule type="expression" dxfId="517" priority="136">
      <formula>AND(D$9&gt;=8/24,D$9&lt;14/24)</formula>
    </cfRule>
    <cfRule type="expression" dxfId="516" priority="134">
      <formula>D$9&gt;=20/24</formula>
    </cfRule>
  </conditionalFormatting>
  <conditionalFormatting sqref="E63:I67 J64:J67 K67">
    <cfRule type="expression" dxfId="515" priority="57">
      <formula>E$9&lt;8/24</formula>
    </cfRule>
    <cfRule type="expression" dxfId="514" priority="54">
      <formula>E$9&gt;=20/24</formula>
    </cfRule>
    <cfRule type="expression" dxfId="513" priority="55">
      <formula>AND(E$9&gt;=14/24,E$9&lt;20/24)</formula>
    </cfRule>
    <cfRule type="expression" dxfId="512" priority="56">
      <formula>AND(E$9&gt;=8/24,E$9&lt;14/24)</formula>
    </cfRule>
  </conditionalFormatting>
  <conditionalFormatting sqref="E68:K68">
    <cfRule type="expression" dxfId="511" priority="49">
      <formula>E$9&gt;=20/24</formula>
    </cfRule>
    <cfRule type="expression" dxfId="510" priority="50">
      <formula>AND(E$9&gt;=14/24,E$9&lt;20/24)</formula>
    </cfRule>
    <cfRule type="expression" dxfId="509" priority="51">
      <formula>AND(E$9&gt;=8/24,E$9&lt;14/24)</formula>
    </cfRule>
    <cfRule type="expression" dxfId="508" priority="52">
      <formula>E$9&lt;8/24</formula>
    </cfRule>
  </conditionalFormatting>
  <conditionalFormatting sqref="E53:AF55 B53:D57">
    <cfRule type="expression" dxfId="507" priority="39">
      <formula>AND(B$9&gt;=8/24,B$9&lt;14/24)</formula>
    </cfRule>
    <cfRule type="expression" dxfId="506" priority="38">
      <formula>AND(B$9&gt;=14/24,B$9&lt;20/24)</formula>
    </cfRule>
    <cfRule type="expression" dxfId="505" priority="37">
      <formula>B$9&gt;=20/24</formula>
    </cfRule>
  </conditionalFormatting>
  <conditionalFormatting sqref="E56:AF57">
    <cfRule type="expression" dxfId="504" priority="47">
      <formula>AND(E$9&gt;=14/24,E$9&lt;20/24)</formula>
    </cfRule>
    <cfRule type="expression" dxfId="503" priority="46">
      <formula>E$9&gt;=20/24</formula>
    </cfRule>
    <cfRule type="expression" dxfId="502" priority="48">
      <formula>AND(E$9&gt;=8/24,E$9&lt;14/24)</formula>
    </cfRule>
  </conditionalFormatting>
  <conditionalFormatting sqref="E59:AF62">
    <cfRule type="expression" dxfId="501" priority="69">
      <formula>AND(E$9&gt;=14/24,E$9&lt;20/24)</formula>
    </cfRule>
    <cfRule type="expression" dxfId="500" priority="70">
      <formula>AND(E$9&gt;=8/24,E$9&lt;14/24)</formula>
    </cfRule>
    <cfRule type="expression" dxfId="499" priority="71">
      <formula>E$9&lt;8/24</formula>
    </cfRule>
    <cfRule type="expression" dxfId="498" priority="68">
      <formula>E$9&gt;=20/24</formula>
    </cfRule>
  </conditionalFormatting>
  <conditionalFormatting sqref="F63:R65">
    <cfRule type="expression" dxfId="497" priority="82">
      <formula>F$9&gt;=20/24</formula>
    </cfRule>
    <cfRule type="expression" dxfId="496" priority="85">
      <formula>F$9&lt;8/24</formula>
    </cfRule>
    <cfRule type="expression" dxfId="495" priority="84">
      <formula>AND(F$9&gt;=8/24,F$9&lt;14/24)</formula>
    </cfRule>
    <cfRule type="expression" dxfId="494" priority="83">
      <formula>AND(F$9&gt;=14/24,F$9&lt;20/24)</formula>
    </cfRule>
  </conditionalFormatting>
  <conditionalFormatting sqref="L68:V68">
    <cfRule type="expression" dxfId="493" priority="79">
      <formula>AND(L$9&gt;=14/24,L$9&lt;20/24)</formula>
    </cfRule>
    <cfRule type="expression" dxfId="492" priority="80">
      <formula>AND(L$9&gt;=8/24,L$9&lt;14/24)</formula>
    </cfRule>
    <cfRule type="expression" dxfId="491" priority="81">
      <formula>L$9&lt;8/24</formula>
    </cfRule>
    <cfRule type="expression" dxfId="490" priority="78">
      <formula>L$9&gt;=20/24</formula>
    </cfRule>
  </conditionalFormatting>
  <conditionalFormatting sqref="M8 S8 AB8">
    <cfRule type="expression" dxfId="489" priority="143">
      <formula>N$9&lt;8/24</formula>
    </cfRule>
    <cfRule type="expression" dxfId="488" priority="142">
      <formula>AND(N$9&gt;=8/24,N$9&lt;14/24)</formula>
    </cfRule>
    <cfRule type="expression" dxfId="487" priority="141">
      <formula>AND(N$9&gt;=14/24,N$9&lt;20/24)</formula>
    </cfRule>
  </conditionalFormatting>
  <conditionalFormatting sqref="M63:V67">
    <cfRule type="expression" dxfId="486" priority="86">
      <formula>M$9&gt;=20/24</formula>
    </cfRule>
    <cfRule type="expression" dxfId="485" priority="87">
      <formula>AND(M$9&gt;=14/24,M$9&lt;20/24)</formula>
    </cfRule>
    <cfRule type="expression" dxfId="484" priority="88">
      <formula>AND(M$9&gt;=8/24,M$9&lt;14/24)</formula>
    </cfRule>
    <cfRule type="expression" dxfId="483" priority="89">
      <formula>M$9&lt;8/24</formula>
    </cfRule>
  </conditionalFormatting>
  <conditionalFormatting sqref="O3:P3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482" priority="140">
      <formula>N$9&gt;=20/24</formula>
    </cfRule>
  </conditionalFormatting>
  <conditionalFormatting sqref="S8">
    <cfRule type="expression" dxfId="481" priority="130">
      <formula>U$9&lt;8/24</formula>
    </cfRule>
    <cfRule type="expression" dxfId="480" priority="129">
      <formula>AND(U$9&gt;=8/24,U$9&lt;14/24)</formula>
    </cfRule>
    <cfRule type="expression" dxfId="479" priority="128">
      <formula>AND(U$9&gt;=14/24,U$9&lt;20/24)</formula>
    </cfRule>
    <cfRule type="expression" dxfId="478" priority="127">
      <formula>U$9&gt;=20/24</formula>
    </cfRule>
  </conditionalFormatting>
  <conditionalFormatting sqref="T63:AF68">
    <cfRule type="expression" dxfId="477" priority="75">
      <formula>T$9&lt;8/24</formula>
    </cfRule>
    <cfRule type="expression" dxfId="476" priority="74">
      <formula>AND(T$9&gt;=8/24,T$9&lt;14/24)</formula>
    </cfRule>
    <cfRule type="expression" dxfId="475" priority="73">
      <formula>AND(T$9&gt;=14/24,T$9&lt;20/24)</formula>
    </cfRule>
    <cfRule type="expression" dxfId="474" priority="72">
      <formula>T$9&gt;=20/24</formula>
    </cfRule>
  </conditionalFormatting>
  <conditionalFormatting sqref="V3 AB3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473" priority="124">
      <formula>AND(AD$9&gt;=14/24,AD$9&lt;20/24)</formula>
    </cfRule>
    <cfRule type="expression" dxfId="472" priority="123">
      <formula>AD$9&gt;=20/24</formula>
    </cfRule>
    <cfRule type="expression" dxfId="471" priority="126">
      <formula>AD$9&lt;8/24</formula>
    </cfRule>
    <cfRule type="expression" dxfId="470" priority="125">
      <formula>AND(AD$9&gt;=8/24,AD$9&lt;14/24)</formula>
    </cfRule>
  </conditionalFormatting>
  <conditionalFormatting sqref="AC56:AF57">
    <cfRule type="expression" dxfId="469" priority="76">
      <formula>AC$9&lt;8/24</formula>
    </cfRule>
  </conditionalFormatting>
  <conditionalFormatting sqref="AG58">
    <cfRule type="expression" dxfId="468" priority="118">
      <formula>AG58&gt;$AG58</formula>
    </cfRule>
  </conditionalFormatting>
  <conditionalFormatting sqref="AG62">
    <cfRule type="expression" dxfId="467" priority="101">
      <formula>AG$9&gt;=20/24</formula>
    </cfRule>
    <cfRule type="expression" dxfId="466" priority="102">
      <formula>AND(AG$9&gt;=14/24,AG$9&lt;20/24)</formula>
    </cfRule>
    <cfRule type="expression" dxfId="465" priority="103">
      <formula>AND(AG$9&gt;=8/24,AG$9&lt;14/24)</formula>
    </cfRule>
    <cfRule type="expression" dxfId="464" priority="104">
      <formula>AG$9&lt;8/24</formula>
    </cfRule>
  </conditionalFormatting>
  <conditionalFormatting sqref="AG75:AG76">
    <cfRule type="expression" dxfId="463" priority="96">
      <formula>AG75&gt;$AG75</formula>
    </cfRule>
  </conditionalFormatting>
  <conditionalFormatting sqref="AG80">
    <cfRule type="expression" dxfId="462" priority="100">
      <formula>AG$9&lt;8/24</formula>
    </cfRule>
    <cfRule type="expression" dxfId="461" priority="97">
      <formula>AG$9&gt;=20/24</formula>
    </cfRule>
    <cfRule type="expression" dxfId="460" priority="98">
      <formula>AND(AG$9&gt;=14/24,AG$9&lt;20/24)</formula>
    </cfRule>
    <cfRule type="expression" dxfId="459" priority="99">
      <formula>AND(AG$9&gt;=8/24,AG$9&lt;14/24)</formula>
    </cfRule>
  </conditionalFormatting>
  <conditionalFormatting sqref="AG97">
    <cfRule type="expression" dxfId="458" priority="122">
      <formula>AG$9&lt;8/24</formula>
    </cfRule>
    <cfRule type="expression" dxfId="457" priority="121">
      <formula>AND(AG$9&gt;=8/24,AG$9&lt;14/24)</formula>
    </cfRule>
    <cfRule type="expression" dxfId="456" priority="120">
      <formula>AND(AG$9&gt;=14/24,AG$9&lt;20/24)</formula>
    </cfRule>
    <cfRule type="expression" dxfId="455" priority="119">
      <formula>AG$9&gt;=20/24</formula>
    </cfRule>
  </conditionalFormatting>
  <conditionalFormatting sqref="AL4:AL6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454" priority="147">
      <formula>AJ$9&lt;8/24</formula>
    </cfRule>
    <cfRule type="expression" dxfId="453" priority="145">
      <formula>AND(AJ$9&gt;=14/24,AJ$9&lt;20/24)</formula>
    </cfRule>
    <cfRule type="expression" dxfId="452" priority="144">
      <formula>AJ$9&gt;=20/24</formula>
    </cfRule>
    <cfRule type="expression" dxfId="451" priority="146">
      <formula>AND(AJ$9&gt;=8/24,AJ$9&lt;14/24)</formula>
    </cfRule>
  </conditionalFormatting>
  <conditionalFormatting sqref="AL88:AN88 AL94:AN94">
    <cfRule type="expression" dxfId="450" priority="113">
      <formula>AND(AL$9&gt;=8/24,AL$9&lt;14/24)</formula>
    </cfRule>
    <cfRule type="expression" dxfId="449" priority="111">
      <formula>AL$9&gt;=20/24</formula>
    </cfRule>
    <cfRule type="expression" dxfId="448" priority="112">
      <formula>AND(AL$9&gt;=14/24,AL$9&lt;20/24)</formula>
    </cfRule>
    <cfRule type="expression" dxfId="447" priority="114">
      <formula>AL$9&lt;8/24</formula>
    </cfRule>
  </conditionalFormatting>
  <conditionalFormatting sqref="AM15:AM21 AN16:AR21">
    <cfRule type="expression" dxfId="446" priority="15">
      <formula>AND(AX$9&gt;=8/24,AX$9&lt;14/24)</formula>
    </cfRule>
    <cfRule type="expression" dxfId="445" priority="16">
      <formula>AX$9&lt;8/24</formula>
    </cfRule>
    <cfRule type="expression" dxfId="444" priority="14">
      <formula>AND(AX$9&gt;=14/24,AX$9&lt;20/24)</formula>
    </cfRule>
    <cfRule type="expression" dxfId="443" priority="13">
      <formula>AX$9&gt;=20/24</formula>
    </cfRule>
  </conditionalFormatting>
  <conditionalFormatting sqref="AN89:AN92">
    <cfRule type="expression" dxfId="442" priority="107">
      <formula>AN$9&gt;=20/24</formula>
    </cfRule>
    <cfRule type="expression" dxfId="441" priority="108">
      <formula>AND(AN$9&gt;=14/24,AN$9&lt;20/24)</formula>
    </cfRule>
    <cfRule type="expression" dxfId="440" priority="109">
      <formula>AND(AN$9&gt;=8/24,AN$9&lt;14/24)</formula>
    </cfRule>
    <cfRule type="expression" dxfId="439" priority="110">
      <formula>AN$9&lt;8/24</formula>
    </cfRule>
  </conditionalFormatting>
  <conditionalFormatting sqref="AN15:AR15">
    <cfRule type="expression" dxfId="438" priority="2">
      <formula>AND(U$9&gt;=14/24,U$9&lt;20/24)</formula>
    </cfRule>
    <cfRule type="expression" dxfId="437" priority="3">
      <formula>AND(U$9&gt;=8/24,U$9&lt;14/24)</formula>
    </cfRule>
    <cfRule type="expression" dxfId="436" priority="4">
      <formula>U$9&lt;8/24</formula>
    </cfRule>
    <cfRule type="expression" dxfId="435" priority="1">
      <formula>U$9&gt;=20/24</formula>
    </cfRule>
  </conditionalFormatting>
  <conditionalFormatting sqref="AS15">
    <cfRule type="expression" dxfId="434" priority="12">
      <formula>AA$9&lt;8/24</formula>
    </cfRule>
    <cfRule type="expression" dxfId="433" priority="9">
      <formula>AA$9&gt;=20/24</formula>
    </cfRule>
    <cfRule type="expression" dxfId="432" priority="10">
      <formula>AND(AA$9&gt;=14/24,AA$9&lt;20/24)</formula>
    </cfRule>
    <cfRule type="expression" dxfId="431" priority="11">
      <formula>AND(AA$9&gt;=8/24,AA$9&lt;14/24)</formula>
    </cfRule>
  </conditionalFormatting>
  <conditionalFormatting sqref="AS16:AS21">
    <cfRule type="expression" dxfId="430" priority="18">
      <formula>AND(BE$9&gt;=14/24,BE$9&lt;20/24)</formula>
    </cfRule>
    <cfRule type="expression" dxfId="429" priority="17">
      <formula>BE$9&gt;=20/24</formula>
    </cfRule>
    <cfRule type="expression" dxfId="428" priority="20">
      <formula>BE$9&lt;8/24</formula>
    </cfRule>
    <cfRule type="expression" dxfId="427" priority="19">
      <formula>AND(BE$9&gt;=8/24,BE$9&lt;14/24)</formula>
    </cfRule>
  </conditionalFormatting>
  <conditionalFormatting sqref="AT15 AX15:BJ15">
    <cfRule type="expression" dxfId="426" priority="22">
      <formula>AND(AC$9&gt;=14/24,AC$9&lt;20/24)</formula>
    </cfRule>
    <cfRule type="expression" dxfId="425" priority="23">
      <formula>AND(AC$9&gt;=8/24,AC$9&lt;14/24)</formula>
    </cfRule>
    <cfRule type="expression" dxfId="424" priority="24">
      <formula>AC$9&lt;8/24</formula>
    </cfRule>
    <cfRule type="expression" dxfId="423" priority="21">
      <formula>AC$9&gt;=20/24</formula>
    </cfRule>
  </conditionalFormatting>
  <conditionalFormatting sqref="AT16:AT21">
    <cfRule type="expression" dxfId="422" priority="25">
      <formula>BG$9&gt;=20/24</formula>
    </cfRule>
    <cfRule type="expression" dxfId="421" priority="26">
      <formula>AND(BG$9&gt;=14/24,BG$9&lt;20/24)</formula>
    </cfRule>
    <cfRule type="expression" dxfId="420" priority="27">
      <formula>AND(BG$9&gt;=8/24,BG$9&lt;14/24)</formula>
    </cfRule>
    <cfRule type="expression" dxfId="419" priority="28">
      <formula>BG$9&lt;8/24</formula>
    </cfRule>
  </conditionalFormatting>
  <conditionalFormatting sqref="AU15:AV15">
    <cfRule type="expression" dxfId="418" priority="32">
      <formula>AE$9&lt;8/24</formula>
    </cfRule>
    <cfRule type="expression" dxfId="417" priority="31">
      <formula>AND(AE$9&gt;=8/24,AE$9&lt;14/24)</formula>
    </cfRule>
    <cfRule type="expression" dxfId="416" priority="30">
      <formula>AND(AE$9&gt;=14/24,AE$9&lt;20/24)</formula>
    </cfRule>
    <cfRule type="expression" dxfId="415" priority="29">
      <formula>AE$9&gt;=20/24</formula>
    </cfRule>
  </conditionalFormatting>
  <conditionalFormatting sqref="AU16:BJ21">
    <cfRule type="expression" dxfId="414" priority="34">
      <formula>AND(BI$9&gt;=14/24,BI$9&lt;20/24)</formula>
    </cfRule>
    <cfRule type="expression" dxfId="413" priority="33">
      <formula>BI$9&gt;=20/24</formula>
    </cfRule>
    <cfRule type="expression" dxfId="412" priority="35">
      <formula>AND(BI$9&gt;=8/24,BI$9&lt;14/24)</formula>
    </cfRule>
    <cfRule type="expression" dxfId="411" priority="36">
      <formula>BI$9&lt;8/24</formula>
    </cfRule>
  </conditionalFormatting>
  <conditionalFormatting sqref="AW15">
    <cfRule type="expression" dxfId="410" priority="5">
      <formula>B$9&gt;=20/24</formula>
    </cfRule>
    <cfRule type="expression" dxfId="409" priority="6">
      <formula>AND(B$9&gt;=14/24,B$9&lt;20/24)</formula>
    </cfRule>
    <cfRule type="expression" dxfId="408" priority="8">
      <formula>B$9&lt;8/24</formula>
    </cfRule>
    <cfRule type="expression" dxfId="407" priority="7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AE82-74AB-42CD-A05C-B14423C82C2D}">
  <dimension ref="A1:CJ294"/>
  <sheetViews>
    <sheetView zoomScale="106" workbookViewId="0">
      <pane xSplit="1" ySplit="10" topLeftCell="P122" activePane="bottomRight" state="frozen"/>
      <selection activeCell="Z63" sqref="Z63"/>
      <selection pane="topRight" activeCell="Z63" sqref="Z63"/>
      <selection pane="bottomLeft" activeCell="Z63" sqref="Z63"/>
      <selection pane="bottomRight" activeCell="AC132" sqref="AC132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2080/10/28</v>
      </c>
      <c r="C4" s="214"/>
      <c r="D4" s="214"/>
      <c r="E4" s="215" t="str">
        <f ca="1">"2080/"&amp;"10/"&amp;INT(MID(CELL("filename",G6),FIND("]",CELL("filename",G6))+1,200))</f>
        <v>2080/10/28</v>
      </c>
      <c r="F4" s="215"/>
      <c r="G4" s="215"/>
      <c r="H4" s="215" t="str">
        <f ca="1">TEXT(E4,"dddd")</f>
        <v>Monday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176.5</v>
      </c>
      <c r="C5" s="30">
        <f t="shared" ref="C5:AE5" si="0">D92</f>
        <v>176.3</v>
      </c>
      <c r="D5" s="30">
        <f t="shared" si="0"/>
        <v>149.30000000000001</v>
      </c>
      <c r="E5" s="30">
        <f t="shared" si="0"/>
        <v>147.19999999999999</v>
      </c>
      <c r="F5" s="30">
        <f t="shared" si="0"/>
        <v>179.5</v>
      </c>
      <c r="G5" s="30">
        <f t="shared" si="0"/>
        <v>215.6</v>
      </c>
      <c r="H5" s="30">
        <f t="shared" si="0"/>
        <v>223.3</v>
      </c>
      <c r="I5" s="30">
        <f t="shared" si="0"/>
        <v>704.4</v>
      </c>
      <c r="J5" s="30">
        <f t="shared" si="0"/>
        <v>826.9</v>
      </c>
      <c r="K5" s="30">
        <f t="shared" si="0"/>
        <v>917.5</v>
      </c>
      <c r="L5" s="30">
        <f t="shared" si="0"/>
        <v>886.5</v>
      </c>
      <c r="M5" s="30">
        <f t="shared" si="0"/>
        <v>857</v>
      </c>
      <c r="N5" s="30">
        <f t="shared" si="0"/>
        <v>916</v>
      </c>
      <c r="O5" s="30">
        <f t="shared" si="0"/>
        <v>924</v>
      </c>
      <c r="P5" s="30">
        <f t="shared" si="0"/>
        <v>922.5</v>
      </c>
      <c r="Q5" s="30">
        <f t="shared" si="0"/>
        <v>951.9</v>
      </c>
      <c r="R5" s="30">
        <f t="shared" si="0"/>
        <v>922.8</v>
      </c>
      <c r="S5" s="30">
        <f t="shared" si="0"/>
        <v>960.40000000000009</v>
      </c>
      <c r="T5" s="30">
        <f t="shared" si="0"/>
        <v>919.7</v>
      </c>
      <c r="U5" s="30">
        <f t="shared" si="0"/>
        <v>867.80000000000007</v>
      </c>
      <c r="V5" s="30">
        <f t="shared" si="0"/>
        <v>889.80000000000007</v>
      </c>
      <c r="W5" s="30">
        <f t="shared" si="0"/>
        <v>710.90000000000009</v>
      </c>
      <c r="X5" s="30">
        <f t="shared" si="0"/>
        <v>422.90000000000003</v>
      </c>
      <c r="Y5" s="30">
        <f t="shared" si="0"/>
        <v>279.89999999999998</v>
      </c>
      <c r="Z5" s="30">
        <f t="shared" si="0"/>
        <v>214.8</v>
      </c>
      <c r="AA5" s="30">
        <f t="shared" si="0"/>
        <v>239.8</v>
      </c>
      <c r="AB5" s="30">
        <f t="shared" si="0"/>
        <v>244.8</v>
      </c>
      <c r="AC5" s="30">
        <f t="shared" si="0"/>
        <v>370.8</v>
      </c>
      <c r="AD5" s="30">
        <f t="shared" si="0"/>
        <v>120</v>
      </c>
      <c r="AE5" s="30">
        <f t="shared" si="0"/>
        <v>210</v>
      </c>
      <c r="AF5" s="30">
        <f>B92</f>
        <v>172.8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1666MW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Load=1301</v>
      </c>
      <c r="B7" s="35">
        <f>B100</f>
        <v>1391.49</v>
      </c>
      <c r="C7" s="35">
        <f t="shared" ref="C7:AF7" si="1">C100</f>
        <v>1364.09</v>
      </c>
      <c r="D7" s="35">
        <f t="shared" si="1"/>
        <v>1337.19</v>
      </c>
      <c r="E7" s="35">
        <f t="shared" si="1"/>
        <v>1309.8899999999999</v>
      </c>
      <c r="F7" s="35">
        <f t="shared" si="1"/>
        <v>1301.1899999999998</v>
      </c>
      <c r="G7" s="35">
        <f t="shared" si="1"/>
        <v>1338.59</v>
      </c>
      <c r="H7" s="35">
        <f t="shared" si="1"/>
        <v>1327.29</v>
      </c>
      <c r="I7" s="35">
        <f t="shared" si="1"/>
        <v>1359.09</v>
      </c>
      <c r="J7" s="35">
        <f t="shared" si="1"/>
        <v>1451.79</v>
      </c>
      <c r="K7" s="35">
        <f t="shared" si="1"/>
        <v>1583.3899999999999</v>
      </c>
      <c r="L7" s="35">
        <f t="shared" si="1"/>
        <v>1666.29</v>
      </c>
      <c r="M7" s="35">
        <f t="shared" si="1"/>
        <v>1666.09</v>
      </c>
      <c r="N7" s="35">
        <f t="shared" si="1"/>
        <v>1636.59</v>
      </c>
      <c r="O7" s="35">
        <f t="shared" si="1"/>
        <v>1683.79</v>
      </c>
      <c r="P7" s="35">
        <f t="shared" si="1"/>
        <v>1682.3400000000001</v>
      </c>
      <c r="Q7" s="35">
        <f t="shared" si="1"/>
        <v>1694.84</v>
      </c>
      <c r="R7" s="35">
        <f t="shared" si="1"/>
        <v>1745.7399999999998</v>
      </c>
      <c r="S7" s="35">
        <f t="shared" si="1"/>
        <v>1709.6399999999999</v>
      </c>
      <c r="T7" s="35">
        <f t="shared" si="1"/>
        <v>1726.8400000000001</v>
      </c>
      <c r="U7" s="35">
        <f t="shared" si="1"/>
        <v>1692.3400000000001</v>
      </c>
      <c r="V7" s="35">
        <f t="shared" si="1"/>
        <v>1637.54</v>
      </c>
      <c r="W7" s="35">
        <f t="shared" si="1"/>
        <v>1623.64</v>
      </c>
      <c r="X7" s="35">
        <f t="shared" si="1"/>
        <v>1635.64</v>
      </c>
      <c r="Y7" s="35">
        <f t="shared" si="1"/>
        <v>1755.0400000000002</v>
      </c>
      <c r="Z7" s="35">
        <f t="shared" si="1"/>
        <v>1844.44</v>
      </c>
      <c r="AA7" s="35">
        <f t="shared" si="1"/>
        <v>1824.9399999999998</v>
      </c>
      <c r="AB7" s="35">
        <f t="shared" si="1"/>
        <v>1772.8400000000001</v>
      </c>
      <c r="AC7" s="35">
        <f t="shared" si="1"/>
        <v>1691.44</v>
      </c>
      <c r="AD7" s="35">
        <f t="shared" si="1"/>
        <v>1645.24</v>
      </c>
      <c r="AE7" s="35">
        <f t="shared" si="1"/>
        <v>1495.14</v>
      </c>
      <c r="AF7" s="35">
        <f t="shared" si="1"/>
        <v>1464.3400000000001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1844.44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1844.44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22.2</v>
      </c>
      <c r="C11" s="46">
        <v>21.8</v>
      </c>
      <c r="D11" s="46">
        <v>21.8</v>
      </c>
      <c r="E11" s="46">
        <v>22.2</v>
      </c>
      <c r="F11" s="46">
        <v>22.2</v>
      </c>
      <c r="G11" s="46">
        <v>22.2</v>
      </c>
      <c r="H11" s="46">
        <v>24.8</v>
      </c>
      <c r="I11" s="46">
        <v>14.4</v>
      </c>
      <c r="J11" s="46">
        <v>11.1</v>
      </c>
      <c r="K11" s="46">
        <v>10.5</v>
      </c>
      <c r="L11" s="46">
        <v>22.7</v>
      </c>
      <c r="M11" s="46">
        <v>22.7</v>
      </c>
      <c r="N11" s="46">
        <v>22.7</v>
      </c>
      <c r="O11" s="46">
        <v>22.7</v>
      </c>
      <c r="P11" s="46">
        <v>22.7</v>
      </c>
      <c r="Q11" s="46">
        <v>22.7</v>
      </c>
      <c r="R11" s="46">
        <v>22.7</v>
      </c>
      <c r="S11" s="46">
        <v>22.7</v>
      </c>
      <c r="T11" s="46">
        <v>22.7</v>
      </c>
      <c r="U11" s="46">
        <v>22.7</v>
      </c>
      <c r="V11" s="46">
        <v>22.7</v>
      </c>
      <c r="W11" s="46">
        <v>22.7</v>
      </c>
      <c r="X11" s="46">
        <v>22.7</v>
      </c>
      <c r="Y11" s="46">
        <v>22.7</v>
      </c>
      <c r="Z11" s="46">
        <v>22.7</v>
      </c>
      <c r="AA11" s="46">
        <v>22.7</v>
      </c>
      <c r="AB11" s="46">
        <v>22.7</v>
      </c>
      <c r="AC11" s="46">
        <v>22.7</v>
      </c>
      <c r="AD11" s="46">
        <v>22.7</v>
      </c>
      <c r="AE11" s="46">
        <v>22.7</v>
      </c>
      <c r="AF11" s="46">
        <v>22.7</v>
      </c>
      <c r="AG11" s="47">
        <v>86</v>
      </c>
      <c r="AH11" s="48">
        <f t="shared" ref="AH11:AH16" si="2">MAX(B11:AF11)</f>
        <v>24.8</v>
      </c>
      <c r="AI11" s="49">
        <f t="shared" ref="AI11:AI16" si="3">MIN(B11:AF11)</f>
        <v>10.5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10</v>
      </c>
      <c r="C12" s="46">
        <v>10</v>
      </c>
      <c r="D12" s="46">
        <v>10</v>
      </c>
      <c r="E12" s="46">
        <v>10</v>
      </c>
      <c r="F12" s="46">
        <v>10</v>
      </c>
      <c r="G12" s="46">
        <v>10</v>
      </c>
      <c r="H12" s="46">
        <v>10</v>
      </c>
      <c r="I12" s="46">
        <v>10</v>
      </c>
      <c r="J12" s="46">
        <v>10</v>
      </c>
      <c r="K12" s="46">
        <v>10</v>
      </c>
      <c r="L12" s="46">
        <v>10</v>
      </c>
      <c r="M12" s="46">
        <v>10</v>
      </c>
      <c r="N12" s="46">
        <v>10</v>
      </c>
      <c r="O12" s="46">
        <v>10</v>
      </c>
      <c r="P12" s="46">
        <v>10</v>
      </c>
      <c r="Q12" s="46">
        <v>10</v>
      </c>
      <c r="R12" s="46">
        <v>10</v>
      </c>
      <c r="S12" s="46">
        <v>10</v>
      </c>
      <c r="T12" s="46">
        <v>10</v>
      </c>
      <c r="U12" s="46">
        <v>10</v>
      </c>
      <c r="V12" s="46">
        <v>10</v>
      </c>
      <c r="W12" s="46">
        <v>10</v>
      </c>
      <c r="X12" s="46">
        <v>10</v>
      </c>
      <c r="Y12" s="46">
        <v>10</v>
      </c>
      <c r="Z12" s="46">
        <v>10</v>
      </c>
      <c r="AA12" s="46">
        <v>10</v>
      </c>
      <c r="AB12" s="46">
        <v>10</v>
      </c>
      <c r="AC12" s="46">
        <v>10</v>
      </c>
      <c r="AD12" s="46">
        <v>10</v>
      </c>
      <c r="AE12" s="46">
        <v>10</v>
      </c>
      <c r="AF12" s="46">
        <v>10</v>
      </c>
      <c r="AG12" s="50">
        <v>54</v>
      </c>
      <c r="AH12" s="48">
        <f t="shared" si="2"/>
        <v>10</v>
      </c>
      <c r="AI12" s="49">
        <f t="shared" si="3"/>
        <v>10</v>
      </c>
      <c r="AK12" s="51"/>
      <c r="AL12" s="52" t="str">
        <f ca="1">MID(CELL("filename",C7),FIND("]",CELL("filename",C7))+1,600)</f>
        <v>28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11.9</v>
      </c>
      <c r="C13" s="46">
        <v>11.9</v>
      </c>
      <c r="D13" s="46">
        <v>11.9</v>
      </c>
      <c r="E13" s="46">
        <v>11.9</v>
      </c>
      <c r="F13" s="46">
        <v>11.9</v>
      </c>
      <c r="G13" s="46">
        <v>11.9</v>
      </c>
      <c r="H13" s="46">
        <v>11.9</v>
      </c>
      <c r="I13" s="46">
        <v>11.9</v>
      </c>
      <c r="J13" s="46">
        <v>11.9</v>
      </c>
      <c r="K13" s="46">
        <v>11.9</v>
      </c>
      <c r="L13" s="46">
        <v>11.9</v>
      </c>
      <c r="M13" s="46">
        <v>11.9</v>
      </c>
      <c r="N13" s="46">
        <v>11.9</v>
      </c>
      <c r="O13" s="46">
        <v>11.9</v>
      </c>
      <c r="P13" s="46">
        <v>11.9</v>
      </c>
      <c r="Q13" s="46">
        <v>11.9</v>
      </c>
      <c r="R13" s="46">
        <v>11.9</v>
      </c>
      <c r="S13" s="46">
        <v>11.9</v>
      </c>
      <c r="T13" s="46">
        <v>11.9</v>
      </c>
      <c r="U13" s="46">
        <v>11.9</v>
      </c>
      <c r="V13" s="46">
        <v>11.9</v>
      </c>
      <c r="W13" s="46">
        <v>11.9</v>
      </c>
      <c r="X13" s="46">
        <v>11.9</v>
      </c>
      <c r="Y13" s="46">
        <v>11.9</v>
      </c>
      <c r="Z13" s="46">
        <v>11.9</v>
      </c>
      <c r="AA13" s="46">
        <v>11.9</v>
      </c>
      <c r="AB13" s="46">
        <v>11.9</v>
      </c>
      <c r="AC13" s="46">
        <v>11.9</v>
      </c>
      <c r="AD13" s="46">
        <v>11.9</v>
      </c>
      <c r="AE13" s="46">
        <v>11.9</v>
      </c>
      <c r="AF13" s="46">
        <v>11.9</v>
      </c>
      <c r="AG13" s="50">
        <v>54</v>
      </c>
      <c r="AH13" s="48">
        <f t="shared" si="2"/>
        <v>11.9</v>
      </c>
      <c r="AI13" s="49">
        <f t="shared" si="3"/>
        <v>11.9</v>
      </c>
      <c r="AK13" s="51"/>
      <c r="AL13" s="52" t="str">
        <f ca="1">"Daily Load Curve(Excluding of Export) of Nepal ("&amp;A4&amp;" "&amp;B4&amp;")"</f>
        <v>Daily Load Curve(Excluding of Export) of Nepal (Nepali Date: 2080/10/28)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12.2</v>
      </c>
      <c r="C14" s="46">
        <v>12.2</v>
      </c>
      <c r="D14" s="46">
        <v>12.2</v>
      </c>
      <c r="E14" s="46">
        <v>12.2</v>
      </c>
      <c r="F14" s="46">
        <v>12.2</v>
      </c>
      <c r="G14" s="46">
        <v>12.2</v>
      </c>
      <c r="H14" s="46">
        <v>12.2</v>
      </c>
      <c r="I14" s="46">
        <v>12.2</v>
      </c>
      <c r="J14" s="46">
        <v>12.2</v>
      </c>
      <c r="K14" s="46">
        <v>12.2</v>
      </c>
      <c r="L14" s="46">
        <v>12.2</v>
      </c>
      <c r="M14" s="46">
        <v>12.2</v>
      </c>
      <c r="N14" s="46">
        <v>12.2</v>
      </c>
      <c r="O14" s="46">
        <v>12.2</v>
      </c>
      <c r="P14" s="46">
        <v>12.2</v>
      </c>
      <c r="Q14" s="46">
        <v>12.2</v>
      </c>
      <c r="R14" s="46">
        <v>12.2</v>
      </c>
      <c r="S14" s="46">
        <v>12.2</v>
      </c>
      <c r="T14" s="46">
        <v>12.2</v>
      </c>
      <c r="U14" s="46">
        <v>12.2</v>
      </c>
      <c r="V14" s="46">
        <v>12.2</v>
      </c>
      <c r="W14" s="46">
        <v>12.2</v>
      </c>
      <c r="X14" s="46">
        <v>12.2</v>
      </c>
      <c r="Y14" s="46">
        <v>12.2</v>
      </c>
      <c r="Z14" s="46">
        <v>12.2</v>
      </c>
      <c r="AA14" s="46">
        <v>12.2</v>
      </c>
      <c r="AB14" s="46">
        <v>12.2</v>
      </c>
      <c r="AC14" s="46">
        <v>12.2</v>
      </c>
      <c r="AD14" s="46">
        <v>12.2</v>
      </c>
      <c r="AE14" s="46">
        <v>12.2</v>
      </c>
      <c r="AF14" s="46">
        <v>12.2</v>
      </c>
      <c r="AG14" s="47">
        <v>52.4</v>
      </c>
      <c r="AH14" s="48">
        <f t="shared" si="2"/>
        <v>12.2</v>
      </c>
      <c r="AI14" s="49">
        <f t="shared" si="3"/>
        <v>12.2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29</v>
      </c>
      <c r="C15" s="46">
        <v>29</v>
      </c>
      <c r="D15" s="46">
        <v>29</v>
      </c>
      <c r="E15" s="46">
        <v>29</v>
      </c>
      <c r="F15" s="46">
        <v>29</v>
      </c>
      <c r="G15" s="46">
        <v>29</v>
      </c>
      <c r="H15" s="46">
        <v>29</v>
      </c>
      <c r="I15" s="46">
        <v>29</v>
      </c>
      <c r="J15" s="46">
        <v>29</v>
      </c>
      <c r="K15" s="46">
        <v>29</v>
      </c>
      <c r="L15" s="46">
        <v>29</v>
      </c>
      <c r="M15" s="46">
        <v>29</v>
      </c>
      <c r="N15" s="46">
        <v>29</v>
      </c>
      <c r="O15" s="46">
        <v>29</v>
      </c>
      <c r="P15" s="46">
        <v>29</v>
      </c>
      <c r="Q15" s="46">
        <v>29</v>
      </c>
      <c r="R15" s="46">
        <v>29</v>
      </c>
      <c r="S15" s="46">
        <v>29</v>
      </c>
      <c r="T15" s="46">
        <v>29</v>
      </c>
      <c r="U15" s="46">
        <v>29</v>
      </c>
      <c r="V15" s="46">
        <v>29</v>
      </c>
      <c r="W15" s="46">
        <v>29</v>
      </c>
      <c r="X15" s="46">
        <v>29</v>
      </c>
      <c r="Y15" s="46">
        <v>29</v>
      </c>
      <c r="Z15" s="46">
        <v>29</v>
      </c>
      <c r="AA15" s="46">
        <v>29</v>
      </c>
      <c r="AB15" s="46">
        <v>29</v>
      </c>
      <c r="AC15" s="46">
        <v>29</v>
      </c>
      <c r="AD15" s="46">
        <v>29</v>
      </c>
      <c r="AE15" s="46">
        <v>29</v>
      </c>
      <c r="AF15" s="46">
        <v>29</v>
      </c>
      <c r="AG15" s="50">
        <v>50</v>
      </c>
      <c r="AH15" s="48">
        <f t="shared" si="2"/>
        <v>29</v>
      </c>
      <c r="AI15" s="49">
        <f t="shared" si="3"/>
        <v>29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15</v>
      </c>
      <c r="C16" s="46">
        <v>15</v>
      </c>
      <c r="D16" s="46">
        <v>15</v>
      </c>
      <c r="E16" s="46">
        <v>15</v>
      </c>
      <c r="F16" s="46">
        <v>15</v>
      </c>
      <c r="G16" s="46">
        <v>15</v>
      </c>
      <c r="H16" s="46">
        <v>15</v>
      </c>
      <c r="I16" s="46">
        <v>15</v>
      </c>
      <c r="J16" s="46">
        <v>15</v>
      </c>
      <c r="K16" s="46">
        <v>15</v>
      </c>
      <c r="L16" s="46">
        <v>15</v>
      </c>
      <c r="M16" s="46">
        <v>15</v>
      </c>
      <c r="N16" s="46">
        <v>15</v>
      </c>
      <c r="O16" s="46">
        <v>15</v>
      </c>
      <c r="P16" s="46">
        <v>15</v>
      </c>
      <c r="Q16" s="46">
        <v>15</v>
      </c>
      <c r="R16" s="46">
        <v>15</v>
      </c>
      <c r="S16" s="46">
        <v>15</v>
      </c>
      <c r="T16" s="46">
        <v>15</v>
      </c>
      <c r="U16" s="46">
        <v>15</v>
      </c>
      <c r="V16" s="46">
        <v>15</v>
      </c>
      <c r="W16" s="46">
        <v>15</v>
      </c>
      <c r="X16" s="46">
        <v>15</v>
      </c>
      <c r="Y16" s="46">
        <v>15</v>
      </c>
      <c r="Z16" s="46">
        <v>15</v>
      </c>
      <c r="AA16" s="46">
        <v>15</v>
      </c>
      <c r="AB16" s="46">
        <v>15</v>
      </c>
      <c r="AC16" s="46">
        <v>15</v>
      </c>
      <c r="AD16" s="46">
        <v>15</v>
      </c>
      <c r="AE16" s="46">
        <v>15</v>
      </c>
      <c r="AF16" s="46">
        <v>15</v>
      </c>
      <c r="AG16" s="50">
        <v>45</v>
      </c>
      <c r="AH16" s="48">
        <f t="shared" si="2"/>
        <v>15</v>
      </c>
      <c r="AI16" s="49">
        <f t="shared" si="3"/>
        <v>15</v>
      </c>
      <c r="AK16" s="51"/>
      <c r="AL16" s="54" t="s">
        <v>7</v>
      </c>
      <c r="AM16" s="59">
        <f>B58</f>
        <v>475.85</v>
      </c>
      <c r="AN16" s="59">
        <f t="shared" ref="AN16:AR16" si="4">C58</f>
        <v>475.75</v>
      </c>
      <c r="AO16" s="59">
        <f t="shared" si="4"/>
        <v>475.75</v>
      </c>
      <c r="AP16" s="59">
        <f t="shared" si="4"/>
        <v>476.15</v>
      </c>
      <c r="AQ16" s="59">
        <f t="shared" si="4"/>
        <v>469.55</v>
      </c>
      <c r="AR16" s="59">
        <f t="shared" si="4"/>
        <v>474.65</v>
      </c>
      <c r="AS16" s="59">
        <f>I58</f>
        <v>466.84999999999997</v>
      </c>
      <c r="AT16" s="59">
        <f>K58</f>
        <v>440.74999999999994</v>
      </c>
      <c r="AU16" s="59">
        <f t="shared" ref="AU16:BD16" si="5">M58</f>
        <v>452.94999999999993</v>
      </c>
      <c r="AV16" s="59">
        <f t="shared" si="5"/>
        <v>452.94999999999993</v>
      </c>
      <c r="AW16" s="59">
        <f t="shared" si="5"/>
        <v>441.15</v>
      </c>
      <c r="AX16" s="59">
        <f t="shared" si="5"/>
        <v>431.5</v>
      </c>
      <c r="AY16" s="59">
        <f t="shared" si="5"/>
        <v>431.5</v>
      </c>
      <c r="AZ16" s="59">
        <f t="shared" si="5"/>
        <v>452.99999999999994</v>
      </c>
      <c r="BA16" s="59">
        <f t="shared" si="5"/>
        <v>449</v>
      </c>
      <c r="BB16" s="59">
        <f t="shared" si="5"/>
        <v>443</v>
      </c>
      <c r="BC16" s="59">
        <f t="shared" si="5"/>
        <v>449</v>
      </c>
      <c r="BD16" s="59">
        <f t="shared" si="5"/>
        <v>449</v>
      </c>
      <c r="BE16" s="197">
        <f>X58</f>
        <v>449</v>
      </c>
      <c r="BF16" s="197">
        <f>Z58</f>
        <v>449</v>
      </c>
      <c r="BG16" s="197">
        <f>AB58</f>
        <v>449</v>
      </c>
      <c r="BH16" s="197">
        <f>AD58</f>
        <v>449</v>
      </c>
      <c r="BI16" s="197">
        <f t="shared" ref="BI16:BJ16" si="6">AE58</f>
        <v>449</v>
      </c>
      <c r="BJ16" s="197">
        <f t="shared" si="6"/>
        <v>449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15.2</v>
      </c>
      <c r="C17" s="46">
        <v>15.2</v>
      </c>
      <c r="D17" s="46">
        <v>15.2</v>
      </c>
      <c r="E17" s="46">
        <v>15.2</v>
      </c>
      <c r="F17" s="46">
        <v>15.2</v>
      </c>
      <c r="G17" s="46">
        <v>15.2</v>
      </c>
      <c r="H17" s="46">
        <v>15.2</v>
      </c>
      <c r="I17" s="46">
        <v>15.2</v>
      </c>
      <c r="J17" s="46">
        <v>0</v>
      </c>
      <c r="K17" s="46">
        <v>0</v>
      </c>
      <c r="L17" s="46">
        <v>0</v>
      </c>
      <c r="M17" s="46">
        <v>0</v>
      </c>
      <c r="N17" s="46">
        <v>0</v>
      </c>
      <c r="O17" s="46">
        <v>0</v>
      </c>
      <c r="P17" s="46">
        <v>0</v>
      </c>
      <c r="Q17" s="46">
        <v>0</v>
      </c>
      <c r="R17" s="46">
        <v>0</v>
      </c>
      <c r="S17" s="46">
        <v>0</v>
      </c>
      <c r="T17" s="46">
        <v>0</v>
      </c>
      <c r="U17" s="46">
        <v>0</v>
      </c>
      <c r="V17" s="46">
        <v>0</v>
      </c>
      <c r="W17" s="46">
        <v>0</v>
      </c>
      <c r="X17" s="46">
        <v>0</v>
      </c>
      <c r="Y17" s="46">
        <v>0</v>
      </c>
      <c r="Z17" s="46">
        <v>0</v>
      </c>
      <c r="AA17" s="46">
        <v>0</v>
      </c>
      <c r="AB17" s="46">
        <v>0</v>
      </c>
      <c r="AC17" s="46">
        <v>0</v>
      </c>
      <c r="AD17" s="46">
        <v>0</v>
      </c>
      <c r="AE17" s="46">
        <v>0</v>
      </c>
      <c r="AF17" s="46">
        <v>0</v>
      </c>
      <c r="AG17" s="50">
        <v>44</v>
      </c>
      <c r="AH17" s="48">
        <f>MAX(B17:AG17)</f>
        <v>44</v>
      </c>
      <c r="AI17" s="49">
        <f>MIN(B17:AG17)</f>
        <v>0</v>
      </c>
      <c r="AK17" s="51"/>
      <c r="AL17" s="54" t="s">
        <v>27</v>
      </c>
      <c r="AM17" s="59">
        <f>B62</f>
        <v>107.1</v>
      </c>
      <c r="AN17" s="59">
        <f t="shared" ref="AN17:AR17" si="7">C62</f>
        <v>106.3</v>
      </c>
      <c r="AO17" s="59">
        <f t="shared" si="7"/>
        <v>90.6</v>
      </c>
      <c r="AP17" s="59">
        <f t="shared" si="7"/>
        <v>90.5</v>
      </c>
      <c r="AQ17" s="59">
        <f t="shared" si="7"/>
        <v>90.5</v>
      </c>
      <c r="AR17" s="59">
        <f t="shared" si="7"/>
        <v>90.5</v>
      </c>
      <c r="AS17" s="59">
        <f>I62</f>
        <v>90.5</v>
      </c>
      <c r="AT17" s="59">
        <f>K62</f>
        <v>30.5</v>
      </c>
      <c r="AU17" s="59">
        <f t="shared" ref="AU17:BD17" si="8">M62</f>
        <v>30.6</v>
      </c>
      <c r="AV17" s="59">
        <f t="shared" si="8"/>
        <v>30.6</v>
      </c>
      <c r="AW17" s="59">
        <f t="shared" si="8"/>
        <v>30.6</v>
      </c>
      <c r="AX17" s="59">
        <f t="shared" si="8"/>
        <v>30.6</v>
      </c>
      <c r="AY17" s="59">
        <f t="shared" si="8"/>
        <v>30.4</v>
      </c>
      <c r="AZ17" s="59">
        <f t="shared" si="8"/>
        <v>30.4</v>
      </c>
      <c r="BA17" s="59">
        <f t="shared" si="8"/>
        <v>30.4</v>
      </c>
      <c r="BB17" s="59">
        <f t="shared" si="8"/>
        <v>30.9</v>
      </c>
      <c r="BC17" s="59">
        <f t="shared" si="8"/>
        <v>30.4</v>
      </c>
      <c r="BD17" s="59">
        <f t="shared" si="8"/>
        <v>29.1</v>
      </c>
      <c r="BE17" s="197">
        <f>X62</f>
        <v>26.6</v>
      </c>
      <c r="BF17" s="197">
        <f>Z62</f>
        <v>414.3</v>
      </c>
      <c r="BG17" s="197">
        <f>AB62</f>
        <v>424.90000000000003</v>
      </c>
      <c r="BH17" s="197">
        <f>AD62</f>
        <v>186.29999999999998</v>
      </c>
      <c r="BI17" s="197">
        <f t="shared" ref="BI17:BJ17" si="9">AE62</f>
        <v>103</v>
      </c>
      <c r="BJ17" s="197">
        <f t="shared" si="9"/>
        <v>103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7.5</v>
      </c>
      <c r="C18" s="46">
        <v>7.5</v>
      </c>
      <c r="D18" s="46">
        <v>7.5</v>
      </c>
      <c r="E18" s="46">
        <v>7.5</v>
      </c>
      <c r="F18" s="46">
        <v>7.5</v>
      </c>
      <c r="G18" s="46">
        <v>7.5</v>
      </c>
      <c r="H18" s="46">
        <v>7.5</v>
      </c>
      <c r="I18" s="46">
        <v>7.5</v>
      </c>
      <c r="J18" s="46">
        <v>7.5</v>
      </c>
      <c r="K18" s="46">
        <v>7.5</v>
      </c>
      <c r="L18" s="46">
        <v>7.5</v>
      </c>
      <c r="M18" s="46">
        <v>7.5</v>
      </c>
      <c r="N18" s="46">
        <v>7.5</v>
      </c>
      <c r="O18" s="46">
        <v>7.5</v>
      </c>
      <c r="P18" s="46">
        <v>7.5</v>
      </c>
      <c r="Q18" s="46">
        <v>7.5</v>
      </c>
      <c r="R18" s="46">
        <v>7.5</v>
      </c>
      <c r="S18" s="46">
        <v>7.5</v>
      </c>
      <c r="T18" s="46">
        <v>7.5</v>
      </c>
      <c r="U18" s="46">
        <v>7.5</v>
      </c>
      <c r="V18" s="46">
        <v>7.5</v>
      </c>
      <c r="W18" s="46">
        <v>7.5</v>
      </c>
      <c r="X18" s="46">
        <v>7.5</v>
      </c>
      <c r="Y18" s="46">
        <v>7.5</v>
      </c>
      <c r="Z18" s="46">
        <v>7.5</v>
      </c>
      <c r="AA18" s="46">
        <v>7.5</v>
      </c>
      <c r="AB18" s="46">
        <v>7.5</v>
      </c>
      <c r="AC18" s="46">
        <v>7.5</v>
      </c>
      <c r="AD18" s="46">
        <v>7.5</v>
      </c>
      <c r="AE18" s="46">
        <v>7.5</v>
      </c>
      <c r="AF18" s="46">
        <v>7.5</v>
      </c>
      <c r="AG18" s="50">
        <v>42</v>
      </c>
      <c r="AH18" s="48">
        <f t="shared" ref="AH18:AH81" si="10">MAX(B18:AF18)</f>
        <v>7.5</v>
      </c>
      <c r="AI18" s="49">
        <f t="shared" ref="AI18:AI81" si="11">MIN(B18:AF18)</f>
        <v>7.5</v>
      </c>
      <c r="AK18" s="51"/>
      <c r="AL18" s="54" t="s">
        <v>29</v>
      </c>
      <c r="AM18" s="59">
        <f>B76</f>
        <v>189.33999999999997</v>
      </c>
      <c r="AN18" s="59">
        <f t="shared" ref="AN18:AR18" si="12">C76</f>
        <v>159.13999999999999</v>
      </c>
      <c r="AO18" s="59">
        <f t="shared" si="12"/>
        <v>148.13999999999999</v>
      </c>
      <c r="AP18" s="59">
        <f t="shared" si="12"/>
        <v>147.54</v>
      </c>
      <c r="AQ18" s="59">
        <f t="shared" si="12"/>
        <v>147.54</v>
      </c>
      <c r="AR18" s="59">
        <f t="shared" si="12"/>
        <v>147.54</v>
      </c>
      <c r="AS18" s="59">
        <f>I76</f>
        <v>182.04</v>
      </c>
      <c r="AT18" s="59">
        <f>K76</f>
        <v>163.83999999999997</v>
      </c>
      <c r="AU18" s="59">
        <f t="shared" ref="AU18:BD18" si="13">M76</f>
        <v>200.13999999999996</v>
      </c>
      <c r="AV18" s="59">
        <f t="shared" si="13"/>
        <v>200.13999999999996</v>
      </c>
      <c r="AW18" s="59">
        <f t="shared" si="13"/>
        <v>200.13999999999996</v>
      </c>
      <c r="AX18" s="59">
        <f t="shared" si="13"/>
        <v>200.34</v>
      </c>
      <c r="AY18" s="59">
        <f t="shared" si="13"/>
        <v>214.53999999999996</v>
      </c>
      <c r="AZ18" s="59">
        <f t="shared" si="13"/>
        <v>214.53999999999996</v>
      </c>
      <c r="BA18" s="59">
        <f t="shared" si="13"/>
        <v>211.53999999999996</v>
      </c>
      <c r="BB18" s="59">
        <f t="shared" si="13"/>
        <v>194.23999999999998</v>
      </c>
      <c r="BC18" s="59">
        <f t="shared" si="13"/>
        <v>195.54</v>
      </c>
      <c r="BD18" s="59">
        <f t="shared" si="13"/>
        <v>195.54</v>
      </c>
      <c r="BE18" s="197">
        <f>X76</f>
        <v>151.84</v>
      </c>
      <c r="BF18" s="197">
        <f>Z76</f>
        <v>334.24</v>
      </c>
      <c r="BG18" s="197">
        <f>AB76</f>
        <v>292.04000000000002</v>
      </c>
      <c r="BH18" s="197">
        <f>AD76</f>
        <v>272.04000000000002</v>
      </c>
      <c r="BI18" s="197">
        <f t="shared" ref="BI18:BJ18" si="14">AE76</f>
        <v>226.04000000000002</v>
      </c>
      <c r="BJ18" s="197">
        <f t="shared" si="14"/>
        <v>206.24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13.8</v>
      </c>
      <c r="C19" s="46">
        <v>13.8</v>
      </c>
      <c r="D19" s="46">
        <v>13.8</v>
      </c>
      <c r="E19" s="46">
        <v>13.8</v>
      </c>
      <c r="F19" s="46">
        <v>13.8</v>
      </c>
      <c r="G19" s="46">
        <v>13.8</v>
      </c>
      <c r="H19" s="46">
        <v>13.8</v>
      </c>
      <c r="I19" s="46">
        <v>13.8</v>
      </c>
      <c r="J19" s="46">
        <v>13.8</v>
      </c>
      <c r="K19" s="46">
        <v>13.8</v>
      </c>
      <c r="L19" s="46">
        <v>13.8</v>
      </c>
      <c r="M19" s="46">
        <v>13.8</v>
      </c>
      <c r="N19" s="46">
        <v>13.8</v>
      </c>
      <c r="O19" s="46">
        <v>13.8</v>
      </c>
      <c r="P19" s="46">
        <v>13.8</v>
      </c>
      <c r="Q19" s="46">
        <v>13.8</v>
      </c>
      <c r="R19" s="46">
        <v>13.8</v>
      </c>
      <c r="S19" s="46">
        <v>13.8</v>
      </c>
      <c r="T19" s="46">
        <v>13.8</v>
      </c>
      <c r="U19" s="46">
        <v>13.8</v>
      </c>
      <c r="V19" s="46">
        <v>13.8</v>
      </c>
      <c r="W19" s="46">
        <v>13.8</v>
      </c>
      <c r="X19" s="46">
        <v>13.8</v>
      </c>
      <c r="Y19" s="46">
        <v>13.8</v>
      </c>
      <c r="Z19" s="46">
        <v>13.8</v>
      </c>
      <c r="AA19" s="46">
        <v>13.8</v>
      </c>
      <c r="AB19" s="46">
        <v>13.8</v>
      </c>
      <c r="AC19" s="46">
        <v>13.8</v>
      </c>
      <c r="AD19" s="46">
        <v>13.8</v>
      </c>
      <c r="AE19" s="46">
        <v>13.8</v>
      </c>
      <c r="AF19" s="46">
        <v>13.8</v>
      </c>
      <c r="AG19" s="50">
        <v>38.46</v>
      </c>
      <c r="AH19" s="48">
        <f t="shared" si="10"/>
        <v>13.8</v>
      </c>
      <c r="AI19" s="49">
        <f t="shared" si="11"/>
        <v>13.8</v>
      </c>
      <c r="AK19" s="51"/>
      <c r="AL19" s="54" t="s">
        <v>31</v>
      </c>
      <c r="AM19" s="59">
        <f>B92</f>
        <v>172.8</v>
      </c>
      <c r="AN19" s="59">
        <f t="shared" ref="AN19:AR19" si="15">C92</f>
        <v>176.5</v>
      </c>
      <c r="AO19" s="59">
        <f t="shared" si="15"/>
        <v>176.3</v>
      </c>
      <c r="AP19" s="59">
        <f t="shared" si="15"/>
        <v>149.30000000000001</v>
      </c>
      <c r="AQ19" s="59">
        <f t="shared" si="15"/>
        <v>147.19999999999999</v>
      </c>
      <c r="AR19" s="59">
        <f t="shared" si="15"/>
        <v>179.5</v>
      </c>
      <c r="AS19" s="59">
        <f>I92</f>
        <v>223.3</v>
      </c>
      <c r="AT19" s="59">
        <f>K92</f>
        <v>826.9</v>
      </c>
      <c r="AU19" s="59">
        <f t="shared" ref="AU19:BD19" si="16">M92</f>
        <v>886.5</v>
      </c>
      <c r="AV19" s="59">
        <f t="shared" si="16"/>
        <v>857</v>
      </c>
      <c r="AW19" s="59">
        <f t="shared" si="16"/>
        <v>916</v>
      </c>
      <c r="AX19" s="59">
        <f t="shared" si="16"/>
        <v>924</v>
      </c>
      <c r="AY19" s="59">
        <f t="shared" si="16"/>
        <v>922.5</v>
      </c>
      <c r="AZ19" s="59">
        <f t="shared" si="16"/>
        <v>951.9</v>
      </c>
      <c r="BA19" s="59">
        <f t="shared" si="16"/>
        <v>922.8</v>
      </c>
      <c r="BB19" s="59">
        <f t="shared" si="16"/>
        <v>960.40000000000009</v>
      </c>
      <c r="BC19" s="59">
        <f t="shared" si="16"/>
        <v>919.7</v>
      </c>
      <c r="BD19" s="59">
        <f t="shared" si="16"/>
        <v>867.80000000000007</v>
      </c>
      <c r="BE19" s="197">
        <f>X92</f>
        <v>710.90000000000009</v>
      </c>
      <c r="BF19" s="197">
        <f>Z92</f>
        <v>279.89999999999998</v>
      </c>
      <c r="BG19" s="197">
        <f>AB92</f>
        <v>239.8</v>
      </c>
      <c r="BH19" s="197">
        <f>AD92</f>
        <v>370.8</v>
      </c>
      <c r="BI19" s="197">
        <f t="shared" ref="BI19:BJ19" si="17">AE92</f>
        <v>120</v>
      </c>
      <c r="BJ19" s="197">
        <f t="shared" si="17"/>
        <v>210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11.8</v>
      </c>
      <c r="C20" s="46">
        <v>11.8</v>
      </c>
      <c r="D20" s="46">
        <v>11.8</v>
      </c>
      <c r="E20" s="46">
        <v>11.8</v>
      </c>
      <c r="F20" s="46">
        <v>11.8</v>
      </c>
      <c r="G20" s="46">
        <v>11.8</v>
      </c>
      <c r="H20" s="46">
        <v>11.8</v>
      </c>
      <c r="I20" s="46">
        <v>11.8</v>
      </c>
      <c r="J20" s="46">
        <v>11.8</v>
      </c>
      <c r="K20" s="46">
        <v>11.8</v>
      </c>
      <c r="L20" s="46">
        <v>11.8</v>
      </c>
      <c r="M20" s="46">
        <v>11.8</v>
      </c>
      <c r="N20" s="46">
        <v>11.8</v>
      </c>
      <c r="O20" s="46">
        <v>0</v>
      </c>
      <c r="P20" s="46">
        <v>0</v>
      </c>
      <c r="Q20" s="46">
        <v>0</v>
      </c>
      <c r="R20" s="46">
        <v>11.8</v>
      </c>
      <c r="S20" s="46">
        <v>11.8</v>
      </c>
      <c r="T20" s="46">
        <v>11.8</v>
      </c>
      <c r="U20" s="46">
        <v>11.8</v>
      </c>
      <c r="V20" s="46">
        <v>11.8</v>
      </c>
      <c r="W20" s="46">
        <v>11.8</v>
      </c>
      <c r="X20" s="46">
        <v>11.8</v>
      </c>
      <c r="Y20" s="46">
        <v>11.8</v>
      </c>
      <c r="Z20" s="46">
        <v>11.8</v>
      </c>
      <c r="AA20" s="46">
        <v>11.8</v>
      </c>
      <c r="AB20" s="46">
        <v>11.8</v>
      </c>
      <c r="AC20" s="46">
        <v>11.8</v>
      </c>
      <c r="AD20" s="46">
        <v>11.8</v>
      </c>
      <c r="AE20" s="46">
        <v>11.8</v>
      </c>
      <c r="AF20" s="46">
        <v>11.8</v>
      </c>
      <c r="AG20" s="50">
        <v>38.46</v>
      </c>
      <c r="AH20" s="48">
        <f t="shared" si="10"/>
        <v>11.8</v>
      </c>
      <c r="AI20" s="49">
        <f t="shared" si="11"/>
        <v>0</v>
      </c>
      <c r="AK20" s="51"/>
      <c r="AL20" s="54" t="s">
        <v>33</v>
      </c>
      <c r="AM20" s="59">
        <f>B80</f>
        <v>96.4</v>
      </c>
      <c r="AN20" s="59">
        <f t="shared" ref="AN20:AR20" si="18">C80</f>
        <v>96.4</v>
      </c>
      <c r="AO20" s="59">
        <f t="shared" si="18"/>
        <v>96.4</v>
      </c>
      <c r="AP20" s="59">
        <f t="shared" si="18"/>
        <v>96.4</v>
      </c>
      <c r="AQ20" s="59">
        <f t="shared" si="18"/>
        <v>96.4</v>
      </c>
      <c r="AR20" s="59">
        <f t="shared" si="18"/>
        <v>96.4</v>
      </c>
      <c r="AS20" s="59">
        <f>I80</f>
        <v>96.4</v>
      </c>
      <c r="AT20" s="59">
        <f>K80</f>
        <v>91.4</v>
      </c>
      <c r="AU20" s="59">
        <f t="shared" ref="AU20:BD20" si="19">M80</f>
        <v>95.899999999999991</v>
      </c>
      <c r="AV20" s="59">
        <f t="shared" si="19"/>
        <v>95.899999999999991</v>
      </c>
      <c r="AW20" s="59">
        <f t="shared" si="19"/>
        <v>95.899999999999991</v>
      </c>
      <c r="AX20" s="59">
        <f t="shared" si="19"/>
        <v>95.899999999999991</v>
      </c>
      <c r="AY20" s="59">
        <f t="shared" si="19"/>
        <v>95.899999999999991</v>
      </c>
      <c r="AZ20" s="59">
        <f t="shared" si="19"/>
        <v>95.899999999999991</v>
      </c>
      <c r="BA20" s="59">
        <f t="shared" si="19"/>
        <v>95.899999999999991</v>
      </c>
      <c r="BB20" s="59">
        <f t="shared" si="19"/>
        <v>98.300000000000011</v>
      </c>
      <c r="BC20" s="59">
        <f t="shared" si="19"/>
        <v>97.7</v>
      </c>
      <c r="BD20" s="59">
        <f t="shared" si="19"/>
        <v>96.1</v>
      </c>
      <c r="BE20" s="197">
        <f>X80</f>
        <v>97.3</v>
      </c>
      <c r="BF20" s="197">
        <f>Z80</f>
        <v>97</v>
      </c>
      <c r="BG20" s="197">
        <f>AB80</f>
        <v>97.1</v>
      </c>
      <c r="BH20" s="197">
        <f>AD80</f>
        <v>97.1</v>
      </c>
      <c r="BI20" s="197">
        <f t="shared" ref="BI20:BJ20" si="20">AE80</f>
        <v>97.1</v>
      </c>
      <c r="BJ20" s="197">
        <f t="shared" si="20"/>
        <v>97.1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11</v>
      </c>
      <c r="C21" s="46">
        <v>11</v>
      </c>
      <c r="D21" s="46">
        <v>11</v>
      </c>
      <c r="E21" s="46">
        <v>11</v>
      </c>
      <c r="F21" s="46">
        <v>11</v>
      </c>
      <c r="G21" s="46">
        <v>11</v>
      </c>
      <c r="H21" s="46">
        <v>11</v>
      </c>
      <c r="I21" s="46">
        <v>11</v>
      </c>
      <c r="J21" s="46">
        <v>11</v>
      </c>
      <c r="K21" s="46">
        <v>11</v>
      </c>
      <c r="L21" s="46">
        <v>11</v>
      </c>
      <c r="M21" s="46">
        <v>11</v>
      </c>
      <c r="N21" s="46">
        <v>11</v>
      </c>
      <c r="O21" s="46">
        <v>11</v>
      </c>
      <c r="P21" s="46">
        <v>11</v>
      </c>
      <c r="Q21" s="46">
        <v>11</v>
      </c>
      <c r="R21" s="46">
        <v>11</v>
      </c>
      <c r="S21" s="46">
        <v>11</v>
      </c>
      <c r="T21" s="46">
        <v>11</v>
      </c>
      <c r="U21" s="46">
        <v>11</v>
      </c>
      <c r="V21" s="46">
        <v>11</v>
      </c>
      <c r="W21" s="46">
        <v>11</v>
      </c>
      <c r="X21" s="46">
        <v>11</v>
      </c>
      <c r="Y21" s="46">
        <v>11</v>
      </c>
      <c r="Z21" s="46">
        <v>11</v>
      </c>
      <c r="AA21" s="46">
        <v>11</v>
      </c>
      <c r="AB21" s="46">
        <v>11</v>
      </c>
      <c r="AC21" s="46">
        <v>11</v>
      </c>
      <c r="AD21" s="46">
        <v>11</v>
      </c>
      <c r="AE21" s="46">
        <v>11</v>
      </c>
      <c r="AF21" s="46">
        <v>11</v>
      </c>
      <c r="AG21" s="50">
        <v>36</v>
      </c>
      <c r="AH21" s="48">
        <f t="shared" si="10"/>
        <v>11</v>
      </c>
      <c r="AI21" s="49">
        <f t="shared" si="11"/>
        <v>11</v>
      </c>
      <c r="AK21" s="51"/>
      <c r="AL21" s="54" t="s">
        <v>35</v>
      </c>
      <c r="AM21" s="59">
        <f>B98</f>
        <v>350</v>
      </c>
      <c r="AN21" s="59">
        <f t="shared" ref="AN21:AR21" si="21">C98</f>
        <v>350</v>
      </c>
      <c r="AO21" s="59">
        <f t="shared" si="21"/>
        <v>350</v>
      </c>
      <c r="AP21" s="59">
        <f t="shared" si="21"/>
        <v>350</v>
      </c>
      <c r="AQ21" s="59">
        <f t="shared" si="21"/>
        <v>350</v>
      </c>
      <c r="AR21" s="59">
        <f t="shared" si="21"/>
        <v>350</v>
      </c>
      <c r="AS21" s="59">
        <f>I98</f>
        <v>300</v>
      </c>
      <c r="AT21" s="59">
        <f>K98</f>
        <v>30</v>
      </c>
      <c r="AU21" s="59">
        <f t="shared" ref="AU21:BD21" si="22">M98</f>
        <v>0</v>
      </c>
      <c r="AV21" s="59">
        <f t="shared" si="22"/>
        <v>0</v>
      </c>
      <c r="AW21" s="59">
        <f t="shared" si="22"/>
        <v>0</v>
      </c>
      <c r="AX21" s="59">
        <f t="shared" si="22"/>
        <v>0</v>
      </c>
      <c r="AY21" s="59">
        <f t="shared" si="22"/>
        <v>0</v>
      </c>
      <c r="AZ21" s="59">
        <f t="shared" si="22"/>
        <v>0</v>
      </c>
      <c r="BA21" s="59">
        <f t="shared" si="22"/>
        <v>0</v>
      </c>
      <c r="BB21" s="59">
        <f t="shared" si="22"/>
        <v>0</v>
      </c>
      <c r="BC21" s="59">
        <f t="shared" si="22"/>
        <v>0</v>
      </c>
      <c r="BD21" s="59">
        <f t="shared" si="22"/>
        <v>0</v>
      </c>
      <c r="BE21" s="197">
        <f>X98</f>
        <v>200</v>
      </c>
      <c r="BF21" s="197">
        <f>Z98</f>
        <v>270</v>
      </c>
      <c r="BG21" s="197">
        <f>AB98</f>
        <v>270</v>
      </c>
      <c r="BH21" s="197">
        <f>AD98</f>
        <v>270</v>
      </c>
      <c r="BI21" s="197">
        <f t="shared" ref="BI21:BJ21" si="23">AE98</f>
        <v>500</v>
      </c>
      <c r="BJ21" s="197">
        <f t="shared" si="23"/>
        <v>400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7.8</v>
      </c>
      <c r="C22" s="46">
        <v>7</v>
      </c>
      <c r="D22" s="46">
        <v>7</v>
      </c>
      <c r="E22" s="46">
        <v>7</v>
      </c>
      <c r="F22" s="46">
        <v>7</v>
      </c>
      <c r="G22" s="46">
        <v>7</v>
      </c>
      <c r="H22" s="46">
        <v>7</v>
      </c>
      <c r="I22" s="46">
        <v>7</v>
      </c>
      <c r="J22" s="46">
        <v>7</v>
      </c>
      <c r="K22" s="46">
        <v>7</v>
      </c>
      <c r="L22" s="46">
        <v>7</v>
      </c>
      <c r="M22" s="46">
        <v>7</v>
      </c>
      <c r="N22" s="46">
        <v>7</v>
      </c>
      <c r="O22" s="46">
        <v>7</v>
      </c>
      <c r="P22" s="46">
        <v>7</v>
      </c>
      <c r="Q22" s="46">
        <v>7</v>
      </c>
      <c r="R22" s="46">
        <v>7</v>
      </c>
      <c r="S22" s="46">
        <v>7</v>
      </c>
      <c r="T22" s="46">
        <v>7</v>
      </c>
      <c r="U22" s="46">
        <v>7</v>
      </c>
      <c r="V22" s="46">
        <v>7</v>
      </c>
      <c r="W22" s="46">
        <v>7</v>
      </c>
      <c r="X22" s="46">
        <v>7</v>
      </c>
      <c r="Y22" s="46">
        <v>7</v>
      </c>
      <c r="Z22" s="46">
        <v>7</v>
      </c>
      <c r="AA22" s="46">
        <v>7</v>
      </c>
      <c r="AB22" s="46">
        <v>7</v>
      </c>
      <c r="AC22" s="46">
        <v>7</v>
      </c>
      <c r="AD22" s="46">
        <v>7</v>
      </c>
      <c r="AE22" s="46">
        <v>7</v>
      </c>
      <c r="AF22" s="46">
        <v>7</v>
      </c>
      <c r="AG22" s="60">
        <v>30</v>
      </c>
      <c r="AH22" s="48">
        <f t="shared" si="10"/>
        <v>7.8</v>
      </c>
      <c r="AI22" s="49">
        <f t="shared" si="11"/>
        <v>7</v>
      </c>
      <c r="AK22" s="51"/>
      <c r="AL22" s="61" t="s">
        <v>37</v>
      </c>
      <c r="AM22" s="62">
        <f>SUM(AM16:AM21)</f>
        <v>1391.49</v>
      </c>
      <c r="AN22" s="62">
        <f t="shared" ref="AN22:BJ22" si="24">SUM(AN16:AN21)</f>
        <v>1364.09</v>
      </c>
      <c r="AO22" s="62">
        <f t="shared" si="24"/>
        <v>1337.19</v>
      </c>
      <c r="AP22" s="62">
        <f t="shared" si="24"/>
        <v>1309.8899999999999</v>
      </c>
      <c r="AQ22" s="62">
        <f t="shared" si="24"/>
        <v>1301.19</v>
      </c>
      <c r="AR22" s="62">
        <f t="shared" si="24"/>
        <v>1338.59</v>
      </c>
      <c r="AS22" s="62">
        <f t="shared" si="24"/>
        <v>1359.09</v>
      </c>
      <c r="AT22" s="62">
        <f t="shared" si="24"/>
        <v>1583.3899999999999</v>
      </c>
      <c r="AU22" s="62">
        <f t="shared" si="24"/>
        <v>1666.0900000000001</v>
      </c>
      <c r="AV22" s="62">
        <f t="shared" si="24"/>
        <v>1636.5900000000001</v>
      </c>
      <c r="AW22" s="62">
        <f t="shared" si="24"/>
        <v>1683.79</v>
      </c>
      <c r="AX22" s="62">
        <f t="shared" si="24"/>
        <v>1682.3400000000001</v>
      </c>
      <c r="AY22" s="62">
        <f t="shared" si="24"/>
        <v>1694.8400000000001</v>
      </c>
      <c r="AZ22" s="62">
        <f t="shared" si="24"/>
        <v>1745.7399999999998</v>
      </c>
      <c r="BA22" s="62">
        <f t="shared" si="24"/>
        <v>1709.6399999999999</v>
      </c>
      <c r="BB22" s="62">
        <f t="shared" si="24"/>
        <v>1726.84</v>
      </c>
      <c r="BC22" s="62">
        <f t="shared" si="24"/>
        <v>1692.34</v>
      </c>
      <c r="BD22" s="62">
        <f t="shared" si="24"/>
        <v>1637.54</v>
      </c>
      <c r="BE22" s="62">
        <f t="shared" si="24"/>
        <v>1635.64</v>
      </c>
      <c r="BF22" s="62">
        <f t="shared" si="24"/>
        <v>1844.44</v>
      </c>
      <c r="BG22" s="62">
        <f t="shared" si="24"/>
        <v>1772.84</v>
      </c>
      <c r="BH22" s="62">
        <f t="shared" si="24"/>
        <v>1645.2399999999998</v>
      </c>
      <c r="BI22" s="62">
        <f t="shared" si="24"/>
        <v>1495.1399999999999</v>
      </c>
      <c r="BJ22" s="62">
        <f t="shared" si="24"/>
        <v>1465.34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4.5</v>
      </c>
      <c r="C23" s="46">
        <v>4.5</v>
      </c>
      <c r="D23" s="46">
        <v>4.5</v>
      </c>
      <c r="E23" s="46">
        <v>4.5</v>
      </c>
      <c r="F23" s="46">
        <v>4.5</v>
      </c>
      <c r="G23" s="46">
        <v>4.5</v>
      </c>
      <c r="H23" s="46">
        <v>4.5</v>
      </c>
      <c r="I23" s="46">
        <v>4.5</v>
      </c>
      <c r="J23" s="46">
        <v>4.5</v>
      </c>
      <c r="K23" s="46">
        <v>4.5</v>
      </c>
      <c r="L23" s="46">
        <v>4.5</v>
      </c>
      <c r="M23" s="46">
        <v>4.5</v>
      </c>
      <c r="N23" s="46">
        <v>4.5</v>
      </c>
      <c r="O23" s="46">
        <v>4.5</v>
      </c>
      <c r="P23" s="46">
        <v>4.5</v>
      </c>
      <c r="Q23" s="46">
        <v>4.5</v>
      </c>
      <c r="R23" s="46">
        <v>4.5</v>
      </c>
      <c r="S23" s="46">
        <v>4.5</v>
      </c>
      <c r="T23" s="46">
        <v>4.5</v>
      </c>
      <c r="U23" s="46">
        <v>4.5</v>
      </c>
      <c r="V23" s="46">
        <v>4.5</v>
      </c>
      <c r="W23" s="46">
        <v>4.5</v>
      </c>
      <c r="X23" s="46">
        <v>4.5</v>
      </c>
      <c r="Y23" s="46">
        <v>4.5</v>
      </c>
      <c r="Z23" s="46">
        <v>4.5</v>
      </c>
      <c r="AA23" s="46">
        <v>4.5</v>
      </c>
      <c r="AB23" s="46">
        <v>4.5</v>
      </c>
      <c r="AC23" s="46">
        <v>4.5</v>
      </c>
      <c r="AD23" s="46">
        <v>4.5</v>
      </c>
      <c r="AE23" s="46">
        <v>4.5</v>
      </c>
      <c r="AF23" s="46">
        <v>4.5</v>
      </c>
      <c r="AG23" s="50">
        <v>24.2</v>
      </c>
      <c r="AH23" s="48">
        <f t="shared" si="10"/>
        <v>4.5</v>
      </c>
      <c r="AI23" s="49">
        <f t="shared" si="11"/>
        <v>4.5</v>
      </c>
      <c r="AK23" s="51"/>
      <c r="AL23" s="61" t="s">
        <v>39</v>
      </c>
      <c r="AM23" s="62">
        <f>B107*-1</f>
        <v>0</v>
      </c>
      <c r="AN23" s="62">
        <f t="shared" ref="AN23:AR23" si="25">C107*-1</f>
        <v>0</v>
      </c>
      <c r="AO23" s="62">
        <f t="shared" si="25"/>
        <v>0</v>
      </c>
      <c r="AP23" s="62">
        <f t="shared" si="25"/>
        <v>0</v>
      </c>
      <c r="AQ23" s="62">
        <f t="shared" si="25"/>
        <v>0</v>
      </c>
      <c r="AR23" s="62">
        <f t="shared" si="25"/>
        <v>0</v>
      </c>
      <c r="AS23" s="62">
        <f>I107*-1</f>
        <v>0</v>
      </c>
      <c r="AT23" s="62">
        <f>K107*-1</f>
        <v>0</v>
      </c>
      <c r="AU23" s="62">
        <f t="shared" ref="AU23:BD23" si="26">M107*-1</f>
        <v>0</v>
      </c>
      <c r="AV23" s="62">
        <f t="shared" si="26"/>
        <v>0</v>
      </c>
      <c r="AW23" s="62">
        <f t="shared" si="26"/>
        <v>0</v>
      </c>
      <c r="AX23" s="62">
        <f t="shared" si="26"/>
        <v>0</v>
      </c>
      <c r="AY23" s="62">
        <f t="shared" si="26"/>
        <v>0</v>
      </c>
      <c r="AZ23" s="62">
        <f t="shared" si="26"/>
        <v>0</v>
      </c>
      <c r="BA23" s="62">
        <f t="shared" si="26"/>
        <v>0</v>
      </c>
      <c r="BB23" s="62">
        <f t="shared" si="26"/>
        <v>0</v>
      </c>
      <c r="BC23" s="62">
        <f t="shared" si="26"/>
        <v>0</v>
      </c>
      <c r="BD23" s="62">
        <f t="shared" si="26"/>
        <v>0</v>
      </c>
      <c r="BE23" s="62">
        <f>X107*-1</f>
        <v>0</v>
      </c>
      <c r="BF23" s="62">
        <f>Z107*-1</f>
        <v>0</v>
      </c>
      <c r="BG23" s="62">
        <f>AB107*-1</f>
        <v>0</v>
      </c>
      <c r="BH23" s="62">
        <f>AD107*-1</f>
        <v>0</v>
      </c>
      <c r="BI23" s="62">
        <f t="shared" ref="BI23:BJ23" si="27">AE107*-1</f>
        <v>0</v>
      </c>
      <c r="BJ23" s="62">
        <f t="shared" si="27"/>
        <v>-1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6</v>
      </c>
      <c r="C24" s="46">
        <v>6</v>
      </c>
      <c r="D24" s="46">
        <v>6</v>
      </c>
      <c r="E24" s="46">
        <v>6</v>
      </c>
      <c r="F24" s="46">
        <v>6</v>
      </c>
      <c r="G24" s="46">
        <v>6</v>
      </c>
      <c r="H24" s="46">
        <v>6</v>
      </c>
      <c r="I24" s="46">
        <v>6</v>
      </c>
      <c r="J24" s="46">
        <v>6</v>
      </c>
      <c r="K24" s="46">
        <v>6</v>
      </c>
      <c r="L24" s="46">
        <v>6</v>
      </c>
      <c r="M24" s="46">
        <v>6</v>
      </c>
      <c r="N24" s="46">
        <v>6</v>
      </c>
      <c r="O24" s="46">
        <v>6</v>
      </c>
      <c r="P24" s="46">
        <v>6</v>
      </c>
      <c r="Q24" s="46">
        <v>6</v>
      </c>
      <c r="R24" s="46">
        <v>6</v>
      </c>
      <c r="S24" s="46">
        <v>6</v>
      </c>
      <c r="T24" s="46">
        <v>6</v>
      </c>
      <c r="U24" s="46">
        <v>6</v>
      </c>
      <c r="V24" s="46">
        <v>6</v>
      </c>
      <c r="W24" s="46">
        <v>6</v>
      </c>
      <c r="X24" s="46">
        <v>6</v>
      </c>
      <c r="Y24" s="46">
        <v>6</v>
      </c>
      <c r="Z24" s="46">
        <v>6</v>
      </c>
      <c r="AA24" s="46">
        <v>6</v>
      </c>
      <c r="AB24" s="46">
        <v>6</v>
      </c>
      <c r="AC24" s="46">
        <v>6</v>
      </c>
      <c r="AD24" s="46">
        <v>6</v>
      </c>
      <c r="AE24" s="46">
        <v>6</v>
      </c>
      <c r="AF24" s="46">
        <v>6</v>
      </c>
      <c r="AG24" s="50">
        <v>28</v>
      </c>
      <c r="AH24" s="48">
        <f t="shared" si="10"/>
        <v>6</v>
      </c>
      <c r="AI24" s="49">
        <f t="shared" si="11"/>
        <v>6</v>
      </c>
      <c r="AK24" s="51"/>
      <c r="AL24" s="61" t="s">
        <v>41</v>
      </c>
      <c r="AM24" s="62">
        <f>AM22+AM23</f>
        <v>1391.49</v>
      </c>
      <c r="AN24" s="62">
        <f t="shared" ref="AN24:BJ24" si="28">AN22+AN23</f>
        <v>1364.09</v>
      </c>
      <c r="AO24" s="62">
        <f t="shared" si="28"/>
        <v>1337.19</v>
      </c>
      <c r="AP24" s="62">
        <f t="shared" si="28"/>
        <v>1309.8899999999999</v>
      </c>
      <c r="AQ24" s="62">
        <f t="shared" si="28"/>
        <v>1301.19</v>
      </c>
      <c r="AR24" s="62">
        <f t="shared" si="28"/>
        <v>1338.59</v>
      </c>
      <c r="AS24" s="62">
        <f t="shared" si="28"/>
        <v>1359.09</v>
      </c>
      <c r="AT24" s="62">
        <f t="shared" si="28"/>
        <v>1583.3899999999999</v>
      </c>
      <c r="AU24" s="62">
        <f t="shared" si="28"/>
        <v>1666.0900000000001</v>
      </c>
      <c r="AV24" s="62">
        <f t="shared" si="28"/>
        <v>1636.5900000000001</v>
      </c>
      <c r="AW24" s="62">
        <f t="shared" si="28"/>
        <v>1683.79</v>
      </c>
      <c r="AX24" s="62">
        <f t="shared" si="28"/>
        <v>1682.3400000000001</v>
      </c>
      <c r="AY24" s="62">
        <f t="shared" si="28"/>
        <v>1694.8400000000001</v>
      </c>
      <c r="AZ24" s="62">
        <f t="shared" si="28"/>
        <v>1745.7399999999998</v>
      </c>
      <c r="BA24" s="62">
        <f t="shared" si="28"/>
        <v>1709.6399999999999</v>
      </c>
      <c r="BB24" s="62">
        <f t="shared" si="28"/>
        <v>1726.84</v>
      </c>
      <c r="BC24" s="62">
        <f t="shared" si="28"/>
        <v>1692.34</v>
      </c>
      <c r="BD24" s="62">
        <f t="shared" si="28"/>
        <v>1637.54</v>
      </c>
      <c r="BE24" s="62">
        <f t="shared" si="28"/>
        <v>1635.64</v>
      </c>
      <c r="BF24" s="62">
        <f t="shared" si="28"/>
        <v>1844.44</v>
      </c>
      <c r="BG24" s="62">
        <f t="shared" si="28"/>
        <v>1772.84</v>
      </c>
      <c r="BH24" s="62">
        <f t="shared" si="28"/>
        <v>1645.2399999999998</v>
      </c>
      <c r="BI24" s="62">
        <f t="shared" si="28"/>
        <v>1495.1399999999999</v>
      </c>
      <c r="BJ24" s="62">
        <f t="shared" si="28"/>
        <v>1464.34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6.2</v>
      </c>
      <c r="C25" s="46">
        <v>6.7</v>
      </c>
      <c r="D25" s="46">
        <v>6.7</v>
      </c>
      <c r="E25" s="46">
        <v>6.7</v>
      </c>
      <c r="F25" s="46">
        <v>6.7</v>
      </c>
      <c r="G25" s="46">
        <v>6.7</v>
      </c>
      <c r="H25" s="46">
        <v>6.7</v>
      </c>
      <c r="I25" s="46">
        <v>6.7</v>
      </c>
      <c r="J25" s="46">
        <v>6.7</v>
      </c>
      <c r="K25" s="46">
        <v>6.7</v>
      </c>
      <c r="L25" s="46">
        <v>6.7</v>
      </c>
      <c r="M25" s="46">
        <v>6.7</v>
      </c>
      <c r="N25" s="46">
        <v>6.7</v>
      </c>
      <c r="O25" s="46">
        <v>6.7</v>
      </c>
      <c r="P25" s="46">
        <v>6.7</v>
      </c>
      <c r="Q25" s="46">
        <v>6.7</v>
      </c>
      <c r="R25" s="46">
        <v>6.7</v>
      </c>
      <c r="S25" s="46">
        <v>6.7</v>
      </c>
      <c r="T25" s="46">
        <v>6.7</v>
      </c>
      <c r="U25" s="46">
        <v>6.7</v>
      </c>
      <c r="V25" s="46">
        <v>6.7</v>
      </c>
      <c r="W25" s="46">
        <v>6.7</v>
      </c>
      <c r="X25" s="46">
        <v>6.7</v>
      </c>
      <c r="Y25" s="46">
        <v>6.7</v>
      </c>
      <c r="Z25" s="46">
        <v>6.7</v>
      </c>
      <c r="AA25" s="46">
        <v>6.7</v>
      </c>
      <c r="AB25" s="46">
        <v>6.7</v>
      </c>
      <c r="AC25" s="46">
        <v>6.7</v>
      </c>
      <c r="AD25" s="46">
        <v>6.7</v>
      </c>
      <c r="AE25" s="46">
        <v>6.7</v>
      </c>
      <c r="AF25" s="46">
        <v>6.7</v>
      </c>
      <c r="AG25" s="60">
        <v>30</v>
      </c>
      <c r="AH25" s="48">
        <f t="shared" si="10"/>
        <v>6.7</v>
      </c>
      <c r="AI25" s="49">
        <f t="shared" si="11"/>
        <v>6.2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8.5</v>
      </c>
      <c r="C26" s="46">
        <v>8.5</v>
      </c>
      <c r="D26" s="46">
        <v>8.5</v>
      </c>
      <c r="E26" s="46">
        <v>8.5</v>
      </c>
      <c r="F26" s="46">
        <v>8.5</v>
      </c>
      <c r="G26" s="46">
        <v>8.5</v>
      </c>
      <c r="H26" s="46">
        <v>8.5</v>
      </c>
      <c r="I26" s="46">
        <v>8.5</v>
      </c>
      <c r="J26" s="46">
        <v>8.5</v>
      </c>
      <c r="K26" s="46">
        <v>1.5</v>
      </c>
      <c r="L26" s="46">
        <v>1.5</v>
      </c>
      <c r="M26" s="46">
        <v>1.5</v>
      </c>
      <c r="N26" s="46">
        <v>1.5</v>
      </c>
      <c r="O26" s="46">
        <v>1.5</v>
      </c>
      <c r="P26" s="46">
        <v>1.5</v>
      </c>
      <c r="Q26" s="46">
        <v>1.5</v>
      </c>
      <c r="R26" s="46">
        <v>1.5</v>
      </c>
      <c r="S26" s="46">
        <v>1.5</v>
      </c>
      <c r="T26" s="46">
        <v>1.5</v>
      </c>
      <c r="U26" s="46">
        <v>1.5</v>
      </c>
      <c r="V26" s="46">
        <v>1.5</v>
      </c>
      <c r="W26" s="46">
        <v>1.5</v>
      </c>
      <c r="X26" s="46">
        <v>1.5</v>
      </c>
      <c r="Y26" s="46">
        <v>1.5</v>
      </c>
      <c r="Z26" s="46">
        <v>1.5</v>
      </c>
      <c r="AA26" s="46">
        <v>1.5</v>
      </c>
      <c r="AB26" s="46">
        <v>1.5</v>
      </c>
      <c r="AC26" s="46">
        <v>1.5</v>
      </c>
      <c r="AD26" s="46">
        <v>1.5</v>
      </c>
      <c r="AE26" s="46">
        <v>1.5</v>
      </c>
      <c r="AF26" s="46">
        <v>1.5</v>
      </c>
      <c r="AG26" s="50">
        <v>25</v>
      </c>
      <c r="AH26" s="48">
        <f t="shared" si="10"/>
        <v>8.5</v>
      </c>
      <c r="AI26" s="49">
        <f t="shared" si="11"/>
        <v>1.5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5</v>
      </c>
      <c r="N27" s="46">
        <v>5</v>
      </c>
      <c r="O27" s="46">
        <v>5</v>
      </c>
      <c r="P27" s="46">
        <v>5</v>
      </c>
      <c r="Q27" s="46">
        <v>5</v>
      </c>
      <c r="R27" s="46">
        <v>5</v>
      </c>
      <c r="S27" s="46">
        <v>5</v>
      </c>
      <c r="T27" s="46">
        <v>5</v>
      </c>
      <c r="U27" s="46">
        <v>5</v>
      </c>
      <c r="V27" s="46">
        <v>5</v>
      </c>
      <c r="W27" s="46">
        <v>5</v>
      </c>
      <c r="X27" s="46">
        <v>5</v>
      </c>
      <c r="Y27" s="46">
        <v>5</v>
      </c>
      <c r="Z27" s="46">
        <v>5</v>
      </c>
      <c r="AA27" s="46">
        <v>5</v>
      </c>
      <c r="AB27" s="46">
        <v>5</v>
      </c>
      <c r="AC27" s="46">
        <v>5</v>
      </c>
      <c r="AD27" s="46">
        <v>5</v>
      </c>
      <c r="AE27" s="46">
        <v>5</v>
      </c>
      <c r="AF27" s="46">
        <v>5</v>
      </c>
      <c r="AG27" s="50">
        <v>25</v>
      </c>
      <c r="AH27" s="48">
        <f t="shared" si="10"/>
        <v>5</v>
      </c>
      <c r="AI27" s="49">
        <f t="shared" si="11"/>
        <v>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10</v>
      </c>
      <c r="C28" s="46">
        <v>10</v>
      </c>
      <c r="D28" s="46">
        <v>10</v>
      </c>
      <c r="E28" s="46">
        <v>10</v>
      </c>
      <c r="F28" s="46">
        <v>10</v>
      </c>
      <c r="G28" s="46">
        <v>10</v>
      </c>
      <c r="H28" s="46">
        <v>10</v>
      </c>
      <c r="I28" s="46">
        <v>10</v>
      </c>
      <c r="J28" s="46">
        <v>10</v>
      </c>
      <c r="K28" s="46">
        <v>10</v>
      </c>
      <c r="L28" s="46">
        <v>10</v>
      </c>
      <c r="M28" s="46">
        <v>10</v>
      </c>
      <c r="N28" s="46">
        <v>10</v>
      </c>
      <c r="O28" s="46">
        <v>10</v>
      </c>
      <c r="P28" s="46">
        <v>10</v>
      </c>
      <c r="Q28" s="46">
        <v>10</v>
      </c>
      <c r="R28" s="46">
        <v>10</v>
      </c>
      <c r="S28" s="46">
        <v>6</v>
      </c>
      <c r="T28" s="46">
        <v>0</v>
      </c>
      <c r="U28" s="46">
        <v>6</v>
      </c>
      <c r="V28" s="46">
        <v>6</v>
      </c>
      <c r="W28" s="46">
        <v>6</v>
      </c>
      <c r="X28" s="46">
        <v>6</v>
      </c>
      <c r="Y28" s="46">
        <v>6</v>
      </c>
      <c r="Z28" s="46">
        <v>6</v>
      </c>
      <c r="AA28" s="46">
        <v>6</v>
      </c>
      <c r="AB28" s="46">
        <v>6</v>
      </c>
      <c r="AC28" s="46">
        <v>6</v>
      </c>
      <c r="AD28" s="46">
        <v>6</v>
      </c>
      <c r="AE28" s="46">
        <v>6</v>
      </c>
      <c r="AF28" s="46">
        <v>6</v>
      </c>
      <c r="AG28" s="50">
        <v>25</v>
      </c>
      <c r="AH28" s="48">
        <f t="shared" si="10"/>
        <v>10</v>
      </c>
      <c r="AI28" s="49">
        <f t="shared" si="11"/>
        <v>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8</v>
      </c>
      <c r="C29" s="46">
        <v>8</v>
      </c>
      <c r="D29" s="46">
        <v>8</v>
      </c>
      <c r="E29" s="46">
        <v>8</v>
      </c>
      <c r="F29" s="46">
        <v>8</v>
      </c>
      <c r="G29" s="46">
        <v>8</v>
      </c>
      <c r="H29" s="46">
        <v>8</v>
      </c>
      <c r="I29" s="46">
        <v>8</v>
      </c>
      <c r="J29" s="46">
        <v>8</v>
      </c>
      <c r="K29" s="46">
        <v>8</v>
      </c>
      <c r="L29" s="46">
        <v>8</v>
      </c>
      <c r="M29" s="46">
        <v>8</v>
      </c>
      <c r="N29" s="46">
        <v>8</v>
      </c>
      <c r="O29" s="46">
        <v>8</v>
      </c>
      <c r="P29" s="46">
        <v>8</v>
      </c>
      <c r="Q29" s="46">
        <v>8</v>
      </c>
      <c r="R29" s="46">
        <v>8</v>
      </c>
      <c r="S29" s="46">
        <v>8</v>
      </c>
      <c r="T29" s="46">
        <v>8</v>
      </c>
      <c r="U29" s="46">
        <v>8</v>
      </c>
      <c r="V29" s="46">
        <v>8</v>
      </c>
      <c r="W29" s="46">
        <v>8</v>
      </c>
      <c r="X29" s="46">
        <v>8</v>
      </c>
      <c r="Y29" s="46">
        <v>8</v>
      </c>
      <c r="Z29" s="46">
        <v>8</v>
      </c>
      <c r="AA29" s="46">
        <v>8</v>
      </c>
      <c r="AB29" s="46">
        <v>8</v>
      </c>
      <c r="AC29" s="46">
        <v>8</v>
      </c>
      <c r="AD29" s="46">
        <v>8</v>
      </c>
      <c r="AE29" s="46">
        <v>8</v>
      </c>
      <c r="AF29" s="46">
        <v>8</v>
      </c>
      <c r="AG29" s="50">
        <v>25</v>
      </c>
      <c r="AH29" s="48">
        <f t="shared" si="10"/>
        <v>8</v>
      </c>
      <c r="AI29" s="49">
        <f t="shared" si="11"/>
        <v>8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6.6</v>
      </c>
      <c r="C30" s="46">
        <v>6.6</v>
      </c>
      <c r="D30" s="46">
        <v>6.6</v>
      </c>
      <c r="E30" s="46">
        <v>6.6</v>
      </c>
      <c r="F30" s="46">
        <v>0</v>
      </c>
      <c r="G30" s="46">
        <v>5.0999999999999996</v>
      </c>
      <c r="H30" s="46">
        <v>5.0999999999999996</v>
      </c>
      <c r="I30" s="46">
        <v>5.0999999999999996</v>
      </c>
      <c r="J30" s="46">
        <v>5.0999999999999996</v>
      </c>
      <c r="K30" s="46">
        <v>5.0999999999999996</v>
      </c>
      <c r="L30" s="46">
        <v>5.0999999999999996</v>
      </c>
      <c r="M30" s="46">
        <v>5.0999999999999996</v>
      </c>
      <c r="N30" s="46">
        <v>5.0999999999999996</v>
      </c>
      <c r="O30" s="46">
        <v>5.0999999999999996</v>
      </c>
      <c r="P30" s="46">
        <v>5.0999999999999996</v>
      </c>
      <c r="Q30" s="46">
        <v>5.0999999999999996</v>
      </c>
      <c r="R30" s="46">
        <v>5.0999999999999996</v>
      </c>
      <c r="S30" s="46">
        <v>5.0999999999999996</v>
      </c>
      <c r="T30" s="46">
        <v>5.0999999999999996</v>
      </c>
      <c r="U30" s="46">
        <v>5.0999999999999996</v>
      </c>
      <c r="V30" s="46">
        <v>5.0999999999999996</v>
      </c>
      <c r="W30" s="46">
        <v>5.0999999999999996</v>
      </c>
      <c r="X30" s="46">
        <v>5.0999999999999996</v>
      </c>
      <c r="Y30" s="46">
        <v>5.0999999999999996</v>
      </c>
      <c r="Z30" s="46">
        <v>5.0999999999999996</v>
      </c>
      <c r="AA30" s="46">
        <v>5.0999999999999996</v>
      </c>
      <c r="AB30" s="46">
        <v>5.0999999999999996</v>
      </c>
      <c r="AC30" s="46">
        <v>5.0999999999999996</v>
      </c>
      <c r="AD30" s="46">
        <v>5.0999999999999996</v>
      </c>
      <c r="AE30" s="46">
        <v>5.0999999999999996</v>
      </c>
      <c r="AF30" s="46">
        <v>5.0999999999999996</v>
      </c>
      <c r="AG30" s="50">
        <v>23.5</v>
      </c>
      <c r="AH30" s="48">
        <f t="shared" si="10"/>
        <v>6.6</v>
      </c>
      <c r="AI30" s="49">
        <f t="shared" si="11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>
        <v>3</v>
      </c>
      <c r="V31" s="46">
        <v>3</v>
      </c>
      <c r="W31" s="46">
        <v>3</v>
      </c>
      <c r="X31" s="46">
        <v>3</v>
      </c>
      <c r="Y31" s="46">
        <v>3</v>
      </c>
      <c r="Z31" s="46">
        <v>3</v>
      </c>
      <c r="AA31" s="46">
        <v>3</v>
      </c>
      <c r="AB31" s="46">
        <v>3</v>
      </c>
      <c r="AC31" s="46">
        <v>3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10"/>
        <v>3</v>
      </c>
      <c r="AI31" s="49">
        <f t="shared" si="11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5.5</v>
      </c>
      <c r="Q32" s="46">
        <v>5.5</v>
      </c>
      <c r="R32" s="46">
        <v>5.5</v>
      </c>
      <c r="S32" s="46">
        <v>5.5</v>
      </c>
      <c r="T32" s="46">
        <v>5.5</v>
      </c>
      <c r="U32" s="46">
        <v>5.5</v>
      </c>
      <c r="V32" s="46">
        <v>5.5</v>
      </c>
      <c r="W32" s="46">
        <v>5.5</v>
      </c>
      <c r="X32" s="46">
        <v>5.5</v>
      </c>
      <c r="Y32" s="46">
        <v>5.5</v>
      </c>
      <c r="Z32" s="46">
        <v>5.5</v>
      </c>
      <c r="AA32" s="46">
        <v>5.5</v>
      </c>
      <c r="AB32" s="46">
        <v>5.5</v>
      </c>
      <c r="AC32" s="46">
        <v>5.5</v>
      </c>
      <c r="AD32" s="46">
        <v>5.5</v>
      </c>
      <c r="AE32" s="46">
        <v>5.5</v>
      </c>
      <c r="AF32" s="46">
        <v>5.5</v>
      </c>
      <c r="AG32" s="50">
        <v>22.1</v>
      </c>
      <c r="AH32" s="48">
        <f t="shared" si="10"/>
        <v>5.5</v>
      </c>
      <c r="AI32" s="49">
        <f t="shared" si="11"/>
        <v>5.5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5</v>
      </c>
      <c r="C33" s="46">
        <v>5</v>
      </c>
      <c r="D33" s="46">
        <v>5</v>
      </c>
      <c r="E33" s="46">
        <v>5</v>
      </c>
      <c r="F33" s="46">
        <v>5</v>
      </c>
      <c r="G33" s="46">
        <v>5</v>
      </c>
      <c r="H33" s="46">
        <v>5</v>
      </c>
      <c r="I33" s="46">
        <v>5</v>
      </c>
      <c r="J33" s="46">
        <v>5</v>
      </c>
      <c r="K33" s="46">
        <v>5</v>
      </c>
      <c r="L33" s="46">
        <v>5</v>
      </c>
      <c r="M33" s="46">
        <v>5</v>
      </c>
      <c r="N33" s="46">
        <v>5</v>
      </c>
      <c r="O33" s="46">
        <v>5</v>
      </c>
      <c r="P33" s="46">
        <v>5</v>
      </c>
      <c r="Q33" s="46">
        <v>5</v>
      </c>
      <c r="R33" s="46">
        <v>5</v>
      </c>
      <c r="S33" s="46">
        <v>5</v>
      </c>
      <c r="T33" s="46">
        <v>5</v>
      </c>
      <c r="U33" s="46">
        <v>5</v>
      </c>
      <c r="V33" s="46">
        <v>5</v>
      </c>
      <c r="W33" s="46">
        <v>5</v>
      </c>
      <c r="X33" s="46">
        <v>5</v>
      </c>
      <c r="Y33" s="46">
        <v>5</v>
      </c>
      <c r="Z33" s="46">
        <v>5</v>
      </c>
      <c r="AA33" s="46">
        <v>5</v>
      </c>
      <c r="AB33" s="46">
        <v>5</v>
      </c>
      <c r="AC33" s="46">
        <v>5</v>
      </c>
      <c r="AD33" s="46">
        <v>5</v>
      </c>
      <c r="AE33" s="46">
        <v>5</v>
      </c>
      <c r="AF33" s="46">
        <v>5</v>
      </c>
      <c r="AG33" s="50">
        <v>22</v>
      </c>
      <c r="AH33" s="48">
        <f t="shared" si="10"/>
        <v>5</v>
      </c>
      <c r="AI33" s="49">
        <f t="shared" si="11"/>
        <v>5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7.8</v>
      </c>
      <c r="C34" s="46">
        <v>8.4</v>
      </c>
      <c r="D34" s="46">
        <v>8.4</v>
      </c>
      <c r="E34" s="46">
        <v>8.4</v>
      </c>
      <c r="F34" s="46">
        <v>8.4</v>
      </c>
      <c r="G34" s="46">
        <v>8.4</v>
      </c>
      <c r="H34" s="46">
        <v>8.4</v>
      </c>
      <c r="I34" s="46">
        <v>8.4</v>
      </c>
      <c r="J34" s="46">
        <v>8.4</v>
      </c>
      <c r="K34" s="46">
        <v>8.4</v>
      </c>
      <c r="L34" s="46">
        <v>8.4</v>
      </c>
      <c r="M34" s="46">
        <v>8.4</v>
      </c>
      <c r="N34" s="46">
        <v>8.4</v>
      </c>
      <c r="O34" s="46">
        <v>8.4</v>
      </c>
      <c r="P34" s="46">
        <v>8.4</v>
      </c>
      <c r="Q34" s="46">
        <v>8.4</v>
      </c>
      <c r="R34" s="46">
        <v>8.4</v>
      </c>
      <c r="S34" s="46">
        <v>8.4</v>
      </c>
      <c r="T34" s="46">
        <v>8.4</v>
      </c>
      <c r="U34" s="46">
        <v>8.4</v>
      </c>
      <c r="V34" s="46">
        <v>8.4</v>
      </c>
      <c r="W34" s="46">
        <v>8.4</v>
      </c>
      <c r="X34" s="46">
        <v>8.4</v>
      </c>
      <c r="Y34" s="46">
        <v>8.4</v>
      </c>
      <c r="Z34" s="46">
        <v>8.4</v>
      </c>
      <c r="AA34" s="46">
        <v>8.4</v>
      </c>
      <c r="AB34" s="46">
        <v>8.4</v>
      </c>
      <c r="AC34" s="46">
        <v>8.4</v>
      </c>
      <c r="AD34" s="46">
        <v>8.4</v>
      </c>
      <c r="AE34" s="46">
        <v>8.4</v>
      </c>
      <c r="AF34" s="46">
        <v>8.4</v>
      </c>
      <c r="AG34" s="50">
        <v>22</v>
      </c>
      <c r="AH34" s="48">
        <f t="shared" si="10"/>
        <v>8.4</v>
      </c>
      <c r="AI34" s="49">
        <f t="shared" si="11"/>
        <v>7.8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10"/>
        <v>4</v>
      </c>
      <c r="AI35" s="49">
        <f t="shared" si="11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>
        <v>4</v>
      </c>
      <c r="V36" s="46">
        <v>4</v>
      </c>
      <c r="W36" s="46">
        <v>4</v>
      </c>
      <c r="X36" s="46">
        <v>4</v>
      </c>
      <c r="Y36" s="46">
        <v>4</v>
      </c>
      <c r="Z36" s="46">
        <v>4</v>
      </c>
      <c r="AA36" s="46">
        <v>4</v>
      </c>
      <c r="AB36" s="46">
        <v>4</v>
      </c>
      <c r="AC36" s="46">
        <v>4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10"/>
        <v>4</v>
      </c>
      <c r="AI36" s="49">
        <f t="shared" si="11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>
        <v>5.7</v>
      </c>
      <c r="V37" s="46">
        <v>5.7</v>
      </c>
      <c r="W37" s="46">
        <v>5.7</v>
      </c>
      <c r="X37" s="46">
        <v>5.7</v>
      </c>
      <c r="Y37" s="46">
        <v>5.7</v>
      </c>
      <c r="Z37" s="46">
        <v>5.7</v>
      </c>
      <c r="AA37" s="46">
        <v>5.7</v>
      </c>
      <c r="AB37" s="46">
        <v>5.7</v>
      </c>
      <c r="AC37" s="46">
        <v>5.7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10"/>
        <v>5.7</v>
      </c>
      <c r="AI37" s="49">
        <f t="shared" si="11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0</v>
      </c>
      <c r="Q38" s="46">
        <v>0</v>
      </c>
      <c r="R38" s="46">
        <v>7.2</v>
      </c>
      <c r="S38" s="46">
        <v>7.2</v>
      </c>
      <c r="T38" s="46">
        <v>7.2</v>
      </c>
      <c r="U38" s="46">
        <v>7.2</v>
      </c>
      <c r="V38" s="46">
        <v>7.2</v>
      </c>
      <c r="W38" s="46">
        <v>7.2</v>
      </c>
      <c r="X38" s="46">
        <v>7.2</v>
      </c>
      <c r="Y38" s="46">
        <v>7.2</v>
      </c>
      <c r="Z38" s="46">
        <v>7.2</v>
      </c>
      <c r="AA38" s="46">
        <v>7.2</v>
      </c>
      <c r="AB38" s="46">
        <v>7.2</v>
      </c>
      <c r="AC38" s="46">
        <v>7.2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10"/>
        <v>7.2</v>
      </c>
      <c r="AI38" s="49">
        <f t="shared" si="11"/>
        <v>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10"/>
        <v>0</v>
      </c>
      <c r="AI39" s="49">
        <f t="shared" si="11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8</v>
      </c>
      <c r="C40" s="46">
        <v>8</v>
      </c>
      <c r="D40" s="46">
        <v>8</v>
      </c>
      <c r="E40" s="46">
        <v>8</v>
      </c>
      <c r="F40" s="46">
        <v>8</v>
      </c>
      <c r="G40" s="46">
        <v>8</v>
      </c>
      <c r="H40" s="46">
        <v>8</v>
      </c>
      <c r="I40" s="46">
        <v>8</v>
      </c>
      <c r="J40" s="46">
        <v>8</v>
      </c>
      <c r="K40" s="46">
        <v>8</v>
      </c>
      <c r="L40" s="46">
        <v>8</v>
      </c>
      <c r="M40" s="46">
        <v>8</v>
      </c>
      <c r="N40" s="46">
        <v>8</v>
      </c>
      <c r="O40" s="46">
        <v>8</v>
      </c>
      <c r="P40" s="46">
        <v>8</v>
      </c>
      <c r="Q40" s="46">
        <v>8</v>
      </c>
      <c r="R40" s="46">
        <v>8</v>
      </c>
      <c r="S40" s="46">
        <v>8</v>
      </c>
      <c r="T40" s="46">
        <v>8</v>
      </c>
      <c r="U40" s="46">
        <v>8</v>
      </c>
      <c r="V40" s="46">
        <v>8</v>
      </c>
      <c r="W40" s="46">
        <v>8</v>
      </c>
      <c r="X40" s="46">
        <v>8</v>
      </c>
      <c r="Y40" s="46">
        <v>8</v>
      </c>
      <c r="Z40" s="46">
        <v>8</v>
      </c>
      <c r="AA40" s="46">
        <v>8</v>
      </c>
      <c r="AB40" s="46">
        <v>8</v>
      </c>
      <c r="AC40" s="46">
        <v>8</v>
      </c>
      <c r="AD40" s="46">
        <v>8</v>
      </c>
      <c r="AE40" s="46">
        <v>8</v>
      </c>
      <c r="AF40" s="46">
        <v>8</v>
      </c>
      <c r="AG40" s="50">
        <v>14.9</v>
      </c>
      <c r="AH40" s="48">
        <f t="shared" si="10"/>
        <v>8</v>
      </c>
      <c r="AI40" s="49">
        <f t="shared" si="11"/>
        <v>8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10"/>
        <v>4</v>
      </c>
      <c r="AI41" s="49">
        <f t="shared" si="11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>
        <v>1.8</v>
      </c>
      <c r="V42" s="46">
        <v>1.8</v>
      </c>
      <c r="W42" s="46">
        <v>1.8</v>
      </c>
      <c r="X42" s="46">
        <v>1.8</v>
      </c>
      <c r="Y42" s="46">
        <v>1.8</v>
      </c>
      <c r="Z42" s="46">
        <v>1.8</v>
      </c>
      <c r="AA42" s="46">
        <v>1.8</v>
      </c>
      <c r="AB42" s="46">
        <v>1.8</v>
      </c>
      <c r="AC42" s="46">
        <v>1.8</v>
      </c>
      <c r="AD42" s="46">
        <v>1.8</v>
      </c>
      <c r="AE42" s="46">
        <v>1.8</v>
      </c>
      <c r="AF42" s="46">
        <v>1.8</v>
      </c>
      <c r="AG42" s="50">
        <v>13.6</v>
      </c>
      <c r="AH42" s="48">
        <f t="shared" si="10"/>
        <v>1.8</v>
      </c>
      <c r="AI42" s="49">
        <f t="shared" si="11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>
        <v>3.8</v>
      </c>
      <c r="V43" s="46">
        <v>3.8</v>
      </c>
      <c r="W43" s="46">
        <v>3.8</v>
      </c>
      <c r="X43" s="46">
        <v>3.8</v>
      </c>
      <c r="Y43" s="46">
        <v>3.8</v>
      </c>
      <c r="Z43" s="46">
        <v>3.8</v>
      </c>
      <c r="AA43" s="46">
        <v>3.8</v>
      </c>
      <c r="AB43" s="46">
        <v>3.8</v>
      </c>
      <c r="AC43" s="46">
        <v>3.8</v>
      </c>
      <c r="AD43" s="46">
        <v>3.8</v>
      </c>
      <c r="AE43" s="46">
        <v>3.8</v>
      </c>
      <c r="AF43" s="46">
        <v>3.8</v>
      </c>
      <c r="AG43" s="50">
        <v>13</v>
      </c>
      <c r="AH43" s="48">
        <f t="shared" si="10"/>
        <v>3.8</v>
      </c>
      <c r="AI43" s="49">
        <f t="shared" si="11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6.4</v>
      </c>
      <c r="C44" s="46">
        <v>6.4</v>
      </c>
      <c r="D44" s="46">
        <v>6.4</v>
      </c>
      <c r="E44" s="46">
        <v>6.4</v>
      </c>
      <c r="F44" s="46">
        <v>6.4</v>
      </c>
      <c r="G44" s="46">
        <v>6.4</v>
      </c>
      <c r="H44" s="46">
        <v>6.4</v>
      </c>
      <c r="I44" s="46">
        <v>6.4</v>
      </c>
      <c r="J44" s="46">
        <v>6.4</v>
      </c>
      <c r="K44" s="46">
        <v>6.4</v>
      </c>
      <c r="L44" s="46">
        <v>6.4</v>
      </c>
      <c r="M44" s="46">
        <v>6.4</v>
      </c>
      <c r="N44" s="46">
        <v>6.4</v>
      </c>
      <c r="O44" s="46">
        <v>6.4</v>
      </c>
      <c r="P44" s="46">
        <v>6.4</v>
      </c>
      <c r="Q44" s="46">
        <v>6.4</v>
      </c>
      <c r="R44" s="46">
        <v>6.4</v>
      </c>
      <c r="S44" s="46">
        <v>6.4</v>
      </c>
      <c r="T44" s="46">
        <v>6.4</v>
      </c>
      <c r="U44" s="46">
        <v>6.4</v>
      </c>
      <c r="V44" s="46">
        <v>6.4</v>
      </c>
      <c r="W44" s="46">
        <v>6.4</v>
      </c>
      <c r="X44" s="46">
        <v>6.4</v>
      </c>
      <c r="Y44" s="46">
        <v>6.4</v>
      </c>
      <c r="Z44" s="46">
        <v>6.4</v>
      </c>
      <c r="AA44" s="46">
        <v>6.4</v>
      </c>
      <c r="AB44" s="46">
        <v>6.4</v>
      </c>
      <c r="AC44" s="46">
        <v>6.4</v>
      </c>
      <c r="AD44" s="46">
        <v>6.4</v>
      </c>
      <c r="AE44" s="46">
        <v>6.4</v>
      </c>
      <c r="AF44" s="46">
        <v>6.4</v>
      </c>
      <c r="AG44" s="50">
        <v>12</v>
      </c>
      <c r="AH44" s="48">
        <f t="shared" si="10"/>
        <v>6.4</v>
      </c>
      <c r="AI44" s="49">
        <f t="shared" si="11"/>
        <v>6.4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>
        <v>9</v>
      </c>
      <c r="V45" s="46">
        <v>9</v>
      </c>
      <c r="W45" s="46">
        <v>9</v>
      </c>
      <c r="X45" s="46">
        <v>9</v>
      </c>
      <c r="Y45" s="46">
        <v>9</v>
      </c>
      <c r="Z45" s="46">
        <v>9</v>
      </c>
      <c r="AA45" s="46">
        <v>9</v>
      </c>
      <c r="AB45" s="46">
        <v>9</v>
      </c>
      <c r="AC45" s="46">
        <v>9</v>
      </c>
      <c r="AD45" s="46">
        <v>9</v>
      </c>
      <c r="AE45" s="46">
        <v>9</v>
      </c>
      <c r="AF45" s="46">
        <v>9</v>
      </c>
      <c r="AG45" s="50">
        <v>12</v>
      </c>
      <c r="AH45" s="48">
        <f t="shared" si="10"/>
        <v>9</v>
      </c>
      <c r="AI45" s="49">
        <f t="shared" si="11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10"/>
        <v>3</v>
      </c>
      <c r="AI46" s="49">
        <f t="shared" si="11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>
        <v>3.5</v>
      </c>
      <c r="V47" s="46">
        <v>3.5</v>
      </c>
      <c r="W47" s="46">
        <v>3.5</v>
      </c>
      <c r="X47" s="46">
        <v>3.5</v>
      </c>
      <c r="Y47" s="46">
        <v>3.5</v>
      </c>
      <c r="Z47" s="46">
        <v>3.5</v>
      </c>
      <c r="AA47" s="46">
        <v>3.5</v>
      </c>
      <c r="AB47" s="46">
        <v>3.5</v>
      </c>
      <c r="AC47" s="46">
        <v>3.5</v>
      </c>
      <c r="AD47" s="46">
        <v>3.5</v>
      </c>
      <c r="AE47" s="46">
        <v>3.5</v>
      </c>
      <c r="AF47" s="46">
        <v>3.5</v>
      </c>
      <c r="AG47" s="63">
        <v>22</v>
      </c>
      <c r="AH47" s="48">
        <f t="shared" si="10"/>
        <v>3.5</v>
      </c>
      <c r="AI47" s="49">
        <f t="shared" si="11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>
        <v>5</v>
      </c>
      <c r="V48" s="46">
        <v>5</v>
      </c>
      <c r="W48" s="46">
        <v>5</v>
      </c>
      <c r="X48" s="46">
        <v>5</v>
      </c>
      <c r="Y48" s="46">
        <v>5</v>
      </c>
      <c r="Z48" s="46">
        <v>5</v>
      </c>
      <c r="AA48" s="46">
        <v>5</v>
      </c>
      <c r="AB48" s="46">
        <v>5</v>
      </c>
      <c r="AC48" s="46">
        <v>5</v>
      </c>
      <c r="AD48" s="46">
        <v>5</v>
      </c>
      <c r="AE48" s="46">
        <v>5</v>
      </c>
      <c r="AF48" s="46">
        <v>5</v>
      </c>
      <c r="AG48" s="60">
        <v>11.88</v>
      </c>
      <c r="AH48" s="48">
        <f t="shared" si="10"/>
        <v>5</v>
      </c>
      <c r="AI48" s="49">
        <f t="shared" si="11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5">
        <v>11</v>
      </c>
      <c r="AH49" s="48">
        <f t="shared" si="10"/>
        <v>3</v>
      </c>
      <c r="AI49" s="49">
        <f t="shared" si="11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4" t="s">
        <v>67</v>
      </c>
      <c r="B50" s="46">
        <v>2.4500000000000002</v>
      </c>
      <c r="C50" s="46">
        <v>2.4500000000000002</v>
      </c>
      <c r="D50" s="46">
        <v>2.4500000000000002</v>
      </c>
      <c r="E50" s="46">
        <v>2.4500000000000002</v>
      </c>
      <c r="F50" s="46">
        <v>2.4500000000000002</v>
      </c>
      <c r="G50" s="46">
        <v>2.4500000000000002</v>
      </c>
      <c r="H50" s="46">
        <v>2.4500000000000002</v>
      </c>
      <c r="I50" s="46">
        <v>2.4500000000000002</v>
      </c>
      <c r="J50" s="46">
        <v>2.4500000000000002</v>
      </c>
      <c r="K50" s="46">
        <v>2.4500000000000002</v>
      </c>
      <c r="L50" s="46">
        <v>2.4500000000000002</v>
      </c>
      <c r="M50" s="46">
        <v>2.4500000000000002</v>
      </c>
      <c r="N50" s="46">
        <v>2.4500000000000002</v>
      </c>
      <c r="O50" s="46">
        <v>2.4500000000000002</v>
      </c>
      <c r="P50" s="46">
        <v>0</v>
      </c>
      <c r="Q50" s="46">
        <v>0</v>
      </c>
      <c r="R50" s="46">
        <v>2.5</v>
      </c>
      <c r="S50" s="46">
        <v>2.5</v>
      </c>
      <c r="T50" s="46">
        <v>2.5</v>
      </c>
      <c r="U50" s="46">
        <v>2.5</v>
      </c>
      <c r="V50" s="46">
        <v>2.5</v>
      </c>
      <c r="W50" s="46">
        <v>2.5</v>
      </c>
      <c r="X50" s="46">
        <v>2.5</v>
      </c>
      <c r="Y50" s="46">
        <v>2.5</v>
      </c>
      <c r="Z50" s="46">
        <v>2.5</v>
      </c>
      <c r="AA50" s="46">
        <v>2.5</v>
      </c>
      <c r="AB50" s="46">
        <v>2.5</v>
      </c>
      <c r="AC50" s="46">
        <v>2.5</v>
      </c>
      <c r="AD50" s="46">
        <v>2.5</v>
      </c>
      <c r="AE50" s="46">
        <v>2.5</v>
      </c>
      <c r="AF50" s="46">
        <v>2.5</v>
      </c>
      <c r="AG50" s="65">
        <v>11</v>
      </c>
      <c r="AH50" s="48">
        <f t="shared" si="10"/>
        <v>2.5</v>
      </c>
      <c r="AI50" s="49">
        <f t="shared" si="11"/>
        <v>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65">
        <v>11</v>
      </c>
      <c r="AH51" s="48">
        <f t="shared" si="10"/>
        <v>3</v>
      </c>
      <c r="AI51" s="49">
        <f t="shared" si="11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5">
        <v>10</v>
      </c>
      <c r="AH52" s="48">
        <f t="shared" si="10"/>
        <v>4</v>
      </c>
      <c r="AI52" s="49">
        <f t="shared" si="11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>
        <v>4.5</v>
      </c>
      <c r="V53" s="46">
        <v>4.5</v>
      </c>
      <c r="W53" s="46">
        <v>4.5</v>
      </c>
      <c r="X53" s="46">
        <v>4.5</v>
      </c>
      <c r="Y53" s="46">
        <v>4.5</v>
      </c>
      <c r="Z53" s="46">
        <v>4.5</v>
      </c>
      <c r="AA53" s="46">
        <v>4.5</v>
      </c>
      <c r="AB53" s="46">
        <v>4.5</v>
      </c>
      <c r="AC53" s="46">
        <v>4.5</v>
      </c>
      <c r="AD53" s="46">
        <v>4.5</v>
      </c>
      <c r="AE53" s="46">
        <v>4.5</v>
      </c>
      <c r="AF53" s="46">
        <v>4.5</v>
      </c>
      <c r="AG53" s="65">
        <v>10</v>
      </c>
      <c r="AH53" s="48">
        <f t="shared" si="10"/>
        <v>4.5</v>
      </c>
      <c r="AI53" s="49">
        <f t="shared" si="11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5">
        <v>10</v>
      </c>
      <c r="AH54" s="48">
        <f t="shared" si="10"/>
        <v>0</v>
      </c>
      <c r="AI54" s="49">
        <f t="shared" si="11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5">
        <v>10</v>
      </c>
      <c r="AH55" s="48">
        <f t="shared" si="10"/>
        <v>0</v>
      </c>
      <c r="AI55" s="49">
        <f t="shared" si="11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>
        <v>150</v>
      </c>
      <c r="W56" s="67">
        <v>150</v>
      </c>
      <c r="X56" s="67">
        <v>150</v>
      </c>
      <c r="Y56" s="67">
        <v>150</v>
      </c>
      <c r="Z56" s="67">
        <v>150</v>
      </c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10"/>
        <v>150</v>
      </c>
      <c r="AI56" s="49">
        <f t="shared" si="11"/>
        <v>150</v>
      </c>
      <c r="AK56" s="51"/>
    </row>
    <row r="57" spans="1:88" ht="15.75" thickBot="1" x14ac:dyDescent="0.3">
      <c r="A57" s="68" t="s">
        <v>74</v>
      </c>
      <c r="B57" s="67">
        <f>11.3+17.3</f>
        <v>28.6</v>
      </c>
      <c r="C57" s="67">
        <f>9.8+15.8</f>
        <v>25.6</v>
      </c>
      <c r="D57" s="67">
        <f>10+16.4</f>
        <v>26.4</v>
      </c>
      <c r="E57" s="67">
        <f>28.5</f>
        <v>28.5</v>
      </c>
      <c r="F57" s="67">
        <f>15.9+10.2</f>
        <v>26.1</v>
      </c>
      <c r="G57" s="67">
        <f>14.3+9.4</f>
        <v>23.700000000000003</v>
      </c>
      <c r="H57" s="67">
        <f>14.4+9.5</f>
        <v>23.9</v>
      </c>
      <c r="I57" s="67">
        <f>17.6+13.2</f>
        <v>30.8</v>
      </c>
      <c r="J57" s="67">
        <f>16.7+12</f>
        <v>28.7</v>
      </c>
      <c r="K57" s="53">
        <f>15.7+10.5</f>
        <v>26.2</v>
      </c>
      <c r="L57" s="53">
        <f>10+4.8</f>
        <v>14.8</v>
      </c>
      <c r="M57" s="53">
        <f>10+4.8</f>
        <v>14.8</v>
      </c>
      <c r="N57" s="53">
        <f>10+4.8</f>
        <v>14.8</v>
      </c>
      <c r="O57" s="53">
        <f t="shared" ref="O57:P57" si="29">10+4.8</f>
        <v>14.8</v>
      </c>
      <c r="P57" s="53">
        <f t="shared" si="29"/>
        <v>14.8</v>
      </c>
      <c r="Q57" s="53">
        <f t="shared" ref="Q57:V57" si="30">10.7+17.4</f>
        <v>28.099999999999998</v>
      </c>
      <c r="R57" s="53">
        <f t="shared" si="30"/>
        <v>28.099999999999998</v>
      </c>
      <c r="S57" s="53">
        <f t="shared" si="30"/>
        <v>28.099999999999998</v>
      </c>
      <c r="T57" s="53">
        <f t="shared" si="30"/>
        <v>28.099999999999998</v>
      </c>
      <c r="U57" s="53">
        <f t="shared" si="30"/>
        <v>28.099999999999998</v>
      </c>
      <c r="V57" s="53">
        <f t="shared" si="30"/>
        <v>28.099999999999998</v>
      </c>
      <c r="W57" s="53">
        <v>21.6</v>
      </c>
      <c r="X57" s="53">
        <v>21.6</v>
      </c>
      <c r="Y57" s="53">
        <v>21.6</v>
      </c>
      <c r="Z57" s="53">
        <v>21.6</v>
      </c>
      <c r="AA57" s="53">
        <v>21.6</v>
      </c>
      <c r="AB57" s="53">
        <v>21.4</v>
      </c>
      <c r="AC57" s="53">
        <v>23</v>
      </c>
      <c r="AD57" s="53">
        <v>23</v>
      </c>
      <c r="AE57" s="53">
        <v>23</v>
      </c>
      <c r="AF57" s="53">
        <v>23</v>
      </c>
      <c r="AG57" s="65">
        <v>240</v>
      </c>
      <c r="AH57" s="48">
        <f t="shared" si="10"/>
        <v>30.8</v>
      </c>
      <c r="AI57" s="49">
        <f t="shared" si="11"/>
        <v>14.8</v>
      </c>
      <c r="AK57" s="51"/>
    </row>
    <row r="58" spans="1:88" ht="15.75" thickBot="1" x14ac:dyDescent="0.3">
      <c r="A58" s="69" t="s">
        <v>75</v>
      </c>
      <c r="B58" s="70">
        <f t="shared" ref="B58:C58" si="31">SUM(B11:B56)</f>
        <v>475.85</v>
      </c>
      <c r="C58" s="70">
        <f t="shared" si="31"/>
        <v>475.75</v>
      </c>
      <c r="D58" s="70">
        <f t="shared" ref="D58" si="32">SUM(D11:D56)</f>
        <v>475.75</v>
      </c>
      <c r="E58" s="70">
        <f t="shared" ref="E58:AF58" si="33">SUM(E11:E56)</f>
        <v>476.15</v>
      </c>
      <c r="F58" s="70">
        <f t="shared" si="33"/>
        <v>469.55</v>
      </c>
      <c r="G58" s="70">
        <f t="shared" si="33"/>
        <v>474.65</v>
      </c>
      <c r="H58" s="70">
        <f t="shared" si="33"/>
        <v>477.25</v>
      </c>
      <c r="I58" s="70">
        <f t="shared" si="33"/>
        <v>466.84999999999997</v>
      </c>
      <c r="J58" s="70">
        <f t="shared" si="33"/>
        <v>448.34999999999997</v>
      </c>
      <c r="K58" s="70">
        <f t="shared" si="33"/>
        <v>440.74999999999994</v>
      </c>
      <c r="L58" s="70">
        <f t="shared" si="33"/>
        <v>452.94999999999993</v>
      </c>
      <c r="M58" s="70">
        <f t="shared" si="33"/>
        <v>452.94999999999993</v>
      </c>
      <c r="N58" s="70">
        <f t="shared" si="33"/>
        <v>452.94999999999993</v>
      </c>
      <c r="O58" s="70">
        <f t="shared" ref="O58:P58" si="34">SUM(O11:O56)</f>
        <v>441.15</v>
      </c>
      <c r="P58" s="70">
        <f t="shared" si="34"/>
        <v>431.5</v>
      </c>
      <c r="Q58" s="70">
        <f t="shared" si="33"/>
        <v>431.5</v>
      </c>
      <c r="R58" s="70">
        <f t="shared" si="33"/>
        <v>452.99999999999994</v>
      </c>
      <c r="S58" s="70">
        <f t="shared" si="33"/>
        <v>449</v>
      </c>
      <c r="T58" s="70">
        <f t="shared" si="33"/>
        <v>443</v>
      </c>
      <c r="U58" s="70">
        <f t="shared" si="33"/>
        <v>449</v>
      </c>
      <c r="V58" s="70">
        <f t="shared" si="33"/>
        <v>449</v>
      </c>
      <c r="W58" s="70">
        <f t="shared" si="33"/>
        <v>449</v>
      </c>
      <c r="X58" s="70">
        <f t="shared" si="33"/>
        <v>449</v>
      </c>
      <c r="Y58" s="70">
        <f t="shared" si="33"/>
        <v>449</v>
      </c>
      <c r="Z58" s="70">
        <f t="shared" si="33"/>
        <v>449</v>
      </c>
      <c r="AA58" s="70">
        <f t="shared" si="33"/>
        <v>449</v>
      </c>
      <c r="AB58" s="70">
        <f t="shared" si="33"/>
        <v>449</v>
      </c>
      <c r="AC58" s="70">
        <f t="shared" si="33"/>
        <v>449</v>
      </c>
      <c r="AD58" s="70">
        <f t="shared" si="33"/>
        <v>449</v>
      </c>
      <c r="AE58" s="70">
        <f t="shared" si="33"/>
        <v>449</v>
      </c>
      <c r="AF58" s="70">
        <f t="shared" si="33"/>
        <v>449</v>
      </c>
      <c r="AG58" s="71">
        <f>SUM(AG14:AG56)</f>
        <v>1042.4000000000001</v>
      </c>
      <c r="AH58" s="48">
        <f t="shared" si="10"/>
        <v>477.25</v>
      </c>
      <c r="AI58" s="49">
        <f t="shared" si="11"/>
        <v>431.5</v>
      </c>
      <c r="AK58" s="51"/>
    </row>
    <row r="59" spans="1:88" x14ac:dyDescent="0.25">
      <c r="A59" s="72" t="s">
        <v>76</v>
      </c>
      <c r="B59" s="46">
        <v>76.2</v>
      </c>
      <c r="C59" s="46">
        <v>76.099999999999994</v>
      </c>
      <c r="D59" s="46">
        <v>60</v>
      </c>
      <c r="E59" s="46">
        <v>60</v>
      </c>
      <c r="F59" s="46">
        <v>60</v>
      </c>
      <c r="G59" s="46">
        <v>60</v>
      </c>
      <c r="H59" s="46">
        <v>60</v>
      </c>
      <c r="I59" s="46">
        <v>60</v>
      </c>
      <c r="J59" s="46">
        <v>60</v>
      </c>
      <c r="K59" s="46">
        <v>0</v>
      </c>
      <c r="L59" s="46">
        <v>0</v>
      </c>
      <c r="M59" s="46">
        <v>0</v>
      </c>
      <c r="N59" s="46">
        <v>0</v>
      </c>
      <c r="O59" s="46">
        <v>0</v>
      </c>
      <c r="P59" s="46">
        <v>0</v>
      </c>
      <c r="Q59" s="73">
        <v>0</v>
      </c>
      <c r="R59" s="73">
        <v>0</v>
      </c>
      <c r="S59" s="73">
        <v>0</v>
      </c>
      <c r="T59" s="73">
        <v>0</v>
      </c>
      <c r="U59" s="73">
        <v>0</v>
      </c>
      <c r="V59" s="73">
        <v>0</v>
      </c>
      <c r="W59" s="46">
        <v>0</v>
      </c>
      <c r="X59" s="46">
        <v>0</v>
      </c>
      <c r="Y59" s="46">
        <v>300</v>
      </c>
      <c r="Z59" s="46">
        <v>381</v>
      </c>
      <c r="AA59" s="46">
        <v>430</v>
      </c>
      <c r="AB59" s="46">
        <v>391.6</v>
      </c>
      <c r="AC59" s="46">
        <v>305.2</v>
      </c>
      <c r="AD59" s="46">
        <v>153</v>
      </c>
      <c r="AE59" s="46">
        <v>70</v>
      </c>
      <c r="AF59" s="46">
        <v>70</v>
      </c>
      <c r="AG59" s="60">
        <v>456</v>
      </c>
      <c r="AH59" s="48">
        <f t="shared" si="10"/>
        <v>430</v>
      </c>
      <c r="AI59" s="49">
        <f t="shared" si="11"/>
        <v>0</v>
      </c>
      <c r="AK59" s="51"/>
    </row>
    <row r="60" spans="1:88" x14ac:dyDescent="0.25">
      <c r="A60" s="74" t="s">
        <v>77</v>
      </c>
      <c r="B60" s="75">
        <v>20.399999999999999</v>
      </c>
      <c r="C60" s="75">
        <v>19.7</v>
      </c>
      <c r="D60" s="75">
        <v>20.100000000000001</v>
      </c>
      <c r="E60" s="75">
        <v>20.100000000000001</v>
      </c>
      <c r="F60" s="75">
        <v>20.100000000000001</v>
      </c>
      <c r="G60" s="75">
        <v>20.100000000000001</v>
      </c>
      <c r="H60" s="75">
        <v>20.100000000000001</v>
      </c>
      <c r="I60" s="75">
        <v>20.100000000000001</v>
      </c>
      <c r="J60" s="75">
        <v>20.100000000000001</v>
      </c>
      <c r="K60" s="75">
        <v>20.100000000000001</v>
      </c>
      <c r="L60" s="75">
        <v>20.100000000000001</v>
      </c>
      <c r="M60" s="75">
        <v>20.100000000000001</v>
      </c>
      <c r="N60" s="75">
        <v>20.100000000000001</v>
      </c>
      <c r="O60" s="75">
        <v>20.100000000000001</v>
      </c>
      <c r="P60" s="75">
        <v>20.100000000000001</v>
      </c>
      <c r="Q60" s="75">
        <v>20</v>
      </c>
      <c r="R60" s="75">
        <v>20</v>
      </c>
      <c r="S60" s="75">
        <v>20</v>
      </c>
      <c r="T60" s="75">
        <v>20.399999999999999</v>
      </c>
      <c r="U60" s="75">
        <v>20</v>
      </c>
      <c r="V60" s="75">
        <v>20.3</v>
      </c>
      <c r="W60" s="75">
        <v>20.3</v>
      </c>
      <c r="X60" s="75">
        <v>17.8</v>
      </c>
      <c r="Y60" s="75">
        <v>19.100000000000001</v>
      </c>
      <c r="Z60" s="75">
        <v>18.100000000000001</v>
      </c>
      <c r="AA60" s="75">
        <v>18.100000000000001</v>
      </c>
      <c r="AB60" s="75">
        <v>18.100000000000001</v>
      </c>
      <c r="AC60" s="75">
        <v>18.100000000000001</v>
      </c>
      <c r="AD60" s="75">
        <v>18.100000000000001</v>
      </c>
      <c r="AE60" s="75">
        <v>18</v>
      </c>
      <c r="AF60" s="75">
        <v>18</v>
      </c>
      <c r="AG60" s="65">
        <v>60</v>
      </c>
      <c r="AH60" s="48">
        <f t="shared" si="10"/>
        <v>20.399999999999999</v>
      </c>
      <c r="AI60" s="49">
        <f t="shared" si="11"/>
        <v>17.8</v>
      </c>
      <c r="AK60" s="51"/>
    </row>
    <row r="61" spans="1:88" ht="15.75" thickBot="1" x14ac:dyDescent="0.3">
      <c r="A61" s="76" t="s">
        <v>78</v>
      </c>
      <c r="B61" s="77">
        <v>10.5</v>
      </c>
      <c r="C61" s="77">
        <v>10.5</v>
      </c>
      <c r="D61" s="77">
        <v>10.5</v>
      </c>
      <c r="E61" s="77">
        <v>10.4</v>
      </c>
      <c r="F61" s="77">
        <v>10.4</v>
      </c>
      <c r="G61" s="77">
        <v>10.4</v>
      </c>
      <c r="H61" s="77">
        <v>10.4</v>
      </c>
      <c r="I61" s="77">
        <v>10.4</v>
      </c>
      <c r="J61" s="77">
        <v>10.4</v>
      </c>
      <c r="K61" s="77">
        <v>10.4</v>
      </c>
      <c r="L61" s="77">
        <v>10.5</v>
      </c>
      <c r="M61" s="77">
        <v>10.5</v>
      </c>
      <c r="N61" s="77">
        <v>10.5</v>
      </c>
      <c r="O61" s="77">
        <v>10.5</v>
      </c>
      <c r="P61" s="77">
        <v>10.5</v>
      </c>
      <c r="Q61" s="77">
        <v>10.4</v>
      </c>
      <c r="R61" s="77">
        <v>10.4</v>
      </c>
      <c r="S61" s="77">
        <v>10.4</v>
      </c>
      <c r="T61" s="77">
        <v>10.5</v>
      </c>
      <c r="U61" s="77">
        <v>10.4</v>
      </c>
      <c r="V61" s="77">
        <v>8.8000000000000007</v>
      </c>
      <c r="W61" s="77">
        <v>8.8000000000000007</v>
      </c>
      <c r="X61" s="77">
        <v>8.8000000000000007</v>
      </c>
      <c r="Y61" s="77">
        <v>14.8</v>
      </c>
      <c r="Z61" s="77">
        <v>15.2</v>
      </c>
      <c r="AA61" s="77">
        <v>15.2</v>
      </c>
      <c r="AB61" s="77">
        <v>15.2</v>
      </c>
      <c r="AC61" s="77">
        <v>15.2</v>
      </c>
      <c r="AD61" s="77">
        <v>15.2</v>
      </c>
      <c r="AE61" s="77">
        <v>15</v>
      </c>
      <c r="AF61" s="77">
        <v>15</v>
      </c>
      <c r="AG61" s="78">
        <v>22.1</v>
      </c>
      <c r="AH61" s="48">
        <f t="shared" si="10"/>
        <v>15.2</v>
      </c>
      <c r="AI61" s="49">
        <f t="shared" si="11"/>
        <v>8.8000000000000007</v>
      </c>
      <c r="AK61" s="51"/>
    </row>
    <row r="62" spans="1:88" ht="15.75" thickBot="1" x14ac:dyDescent="0.3">
      <c r="A62" s="79" t="s">
        <v>79</v>
      </c>
      <c r="B62" s="70">
        <f t="shared" ref="B62:C62" si="35">SUM(B59:B61)</f>
        <v>107.1</v>
      </c>
      <c r="C62" s="70">
        <f t="shared" si="35"/>
        <v>106.3</v>
      </c>
      <c r="D62" s="70">
        <f t="shared" ref="D62" si="36">SUM(D59:D61)</f>
        <v>90.6</v>
      </c>
      <c r="E62" s="70">
        <f t="shared" ref="E62:AG62" si="37">SUM(E59:E61)</f>
        <v>90.5</v>
      </c>
      <c r="F62" s="70">
        <f t="shared" si="37"/>
        <v>90.5</v>
      </c>
      <c r="G62" s="70">
        <f t="shared" si="37"/>
        <v>90.5</v>
      </c>
      <c r="H62" s="70">
        <f t="shared" si="37"/>
        <v>90.5</v>
      </c>
      <c r="I62" s="70">
        <f t="shared" si="37"/>
        <v>90.5</v>
      </c>
      <c r="J62" s="70">
        <f t="shared" si="37"/>
        <v>90.5</v>
      </c>
      <c r="K62" s="70">
        <f t="shared" si="37"/>
        <v>30.5</v>
      </c>
      <c r="L62" s="70">
        <f>SUM(L59:L61)</f>
        <v>30.6</v>
      </c>
      <c r="M62" s="70">
        <f t="shared" si="37"/>
        <v>30.6</v>
      </c>
      <c r="N62" s="70">
        <f t="shared" si="37"/>
        <v>30.6</v>
      </c>
      <c r="O62" s="70">
        <f t="shared" ref="O62:P62" si="38">SUM(O59:O61)</f>
        <v>30.6</v>
      </c>
      <c r="P62" s="70">
        <f t="shared" si="38"/>
        <v>30.6</v>
      </c>
      <c r="Q62" s="70">
        <f t="shared" si="37"/>
        <v>30.4</v>
      </c>
      <c r="R62" s="70">
        <f t="shared" si="37"/>
        <v>30.4</v>
      </c>
      <c r="S62" s="70">
        <f t="shared" si="37"/>
        <v>30.4</v>
      </c>
      <c r="T62" s="70">
        <f t="shared" si="37"/>
        <v>30.9</v>
      </c>
      <c r="U62" s="70">
        <f t="shared" si="37"/>
        <v>30.4</v>
      </c>
      <c r="V62" s="70">
        <f t="shared" si="37"/>
        <v>29.1</v>
      </c>
      <c r="W62" s="70">
        <f t="shared" si="37"/>
        <v>29.1</v>
      </c>
      <c r="X62" s="70">
        <f t="shared" si="37"/>
        <v>26.6</v>
      </c>
      <c r="Y62" s="70">
        <f t="shared" si="37"/>
        <v>333.90000000000003</v>
      </c>
      <c r="Z62" s="70">
        <f t="shared" si="37"/>
        <v>414.3</v>
      </c>
      <c r="AA62" s="70">
        <f t="shared" si="37"/>
        <v>463.3</v>
      </c>
      <c r="AB62" s="70">
        <f t="shared" si="37"/>
        <v>424.90000000000003</v>
      </c>
      <c r="AC62" s="70">
        <f t="shared" si="37"/>
        <v>338.5</v>
      </c>
      <c r="AD62" s="70">
        <f t="shared" si="37"/>
        <v>186.29999999999998</v>
      </c>
      <c r="AE62" s="70">
        <f t="shared" si="37"/>
        <v>103</v>
      </c>
      <c r="AF62" s="70">
        <f t="shared" ref="AF62" si="39">SUM(AF59:AF61)</f>
        <v>103</v>
      </c>
      <c r="AG62" s="71">
        <f t="shared" si="37"/>
        <v>538.1</v>
      </c>
      <c r="AH62" s="48">
        <f t="shared" si="10"/>
        <v>463.3</v>
      </c>
      <c r="AI62" s="49">
        <f t="shared" si="11"/>
        <v>26.6</v>
      </c>
      <c r="AK62" s="51"/>
    </row>
    <row r="63" spans="1:88" x14ac:dyDescent="0.25">
      <c r="A63" s="45" t="s">
        <v>80</v>
      </c>
      <c r="B63" s="46">
        <v>48.5</v>
      </c>
      <c r="C63" s="46">
        <v>30</v>
      </c>
      <c r="D63" s="46">
        <v>30</v>
      </c>
      <c r="E63" s="46">
        <v>30</v>
      </c>
      <c r="F63" s="46">
        <v>30</v>
      </c>
      <c r="G63" s="46">
        <v>30</v>
      </c>
      <c r="H63" s="46">
        <v>30</v>
      </c>
      <c r="I63" s="46">
        <v>48.2</v>
      </c>
      <c r="J63" s="46">
        <v>30</v>
      </c>
      <c r="K63" s="46">
        <v>43</v>
      </c>
      <c r="L63" s="46">
        <v>48.5</v>
      </c>
      <c r="M63" s="46">
        <v>30.5</v>
      </c>
      <c r="N63" s="46">
        <v>75</v>
      </c>
      <c r="O63" s="46">
        <v>75</v>
      </c>
      <c r="P63" s="46">
        <v>48</v>
      </c>
      <c r="Q63" s="46">
        <v>48.4</v>
      </c>
      <c r="R63" s="46">
        <v>48.4</v>
      </c>
      <c r="S63" s="46">
        <v>48.4</v>
      </c>
      <c r="T63" s="46">
        <v>48.5</v>
      </c>
      <c r="U63" s="46">
        <v>40.5</v>
      </c>
      <c r="V63" s="46">
        <v>40.5</v>
      </c>
      <c r="W63" s="46">
        <v>40.299999999999997</v>
      </c>
      <c r="X63" s="46">
        <v>40.4</v>
      </c>
      <c r="Y63" s="46">
        <v>61.4</v>
      </c>
      <c r="Z63" s="46">
        <v>141.6</v>
      </c>
      <c r="AA63" s="46">
        <v>140</v>
      </c>
      <c r="AB63" s="46">
        <v>107</v>
      </c>
      <c r="AC63" s="46">
        <v>107</v>
      </c>
      <c r="AD63" s="46">
        <v>107</v>
      </c>
      <c r="AE63" s="46">
        <v>60</v>
      </c>
      <c r="AF63" s="46">
        <v>45</v>
      </c>
      <c r="AG63" s="60">
        <v>144</v>
      </c>
      <c r="AH63" s="48">
        <f t="shared" si="10"/>
        <v>141.6</v>
      </c>
      <c r="AI63" s="49">
        <f t="shared" si="11"/>
        <v>30</v>
      </c>
      <c r="AK63" s="51"/>
    </row>
    <row r="64" spans="1:88" x14ac:dyDescent="0.25">
      <c r="A64" s="64" t="s">
        <v>81</v>
      </c>
      <c r="B64" s="46">
        <v>25.2</v>
      </c>
      <c r="C64" s="46">
        <v>26.7</v>
      </c>
      <c r="D64" s="46">
        <v>26.7</v>
      </c>
      <c r="E64" s="75">
        <v>26.4</v>
      </c>
      <c r="F64" s="75">
        <v>26.4</v>
      </c>
      <c r="G64" s="75">
        <v>26.4</v>
      </c>
      <c r="H64" s="75">
        <v>26.4</v>
      </c>
      <c r="I64" s="75">
        <v>32.700000000000003</v>
      </c>
      <c r="J64" s="75">
        <v>24.6</v>
      </c>
      <c r="K64" s="75">
        <v>34.5</v>
      </c>
      <c r="L64" s="75">
        <v>34.5</v>
      </c>
      <c r="M64" s="75">
        <v>44.5</v>
      </c>
      <c r="N64" s="75">
        <v>0</v>
      </c>
      <c r="O64" s="75">
        <v>0</v>
      </c>
      <c r="P64" s="75">
        <v>29</v>
      </c>
      <c r="Q64" s="75">
        <v>29.8</v>
      </c>
      <c r="R64" s="75">
        <v>29.8</v>
      </c>
      <c r="S64" s="75">
        <v>29.8</v>
      </c>
      <c r="T64" s="75">
        <v>29.8</v>
      </c>
      <c r="U64" s="75">
        <v>29.9</v>
      </c>
      <c r="V64" s="75">
        <v>29.9</v>
      </c>
      <c r="W64" s="46">
        <v>24.8</v>
      </c>
      <c r="X64" s="46">
        <v>24.8</v>
      </c>
      <c r="Y64" s="46">
        <v>24.8</v>
      </c>
      <c r="Z64" s="46">
        <v>66.400000000000006</v>
      </c>
      <c r="AA64" s="46">
        <v>65</v>
      </c>
      <c r="AB64" s="46">
        <v>54</v>
      </c>
      <c r="AC64" s="46">
        <v>54</v>
      </c>
      <c r="AD64" s="46">
        <v>34</v>
      </c>
      <c r="AE64" s="46">
        <v>35</v>
      </c>
      <c r="AF64" s="46">
        <v>35</v>
      </c>
      <c r="AG64" s="65">
        <v>70</v>
      </c>
      <c r="AH64" s="48">
        <f t="shared" si="10"/>
        <v>66.400000000000006</v>
      </c>
      <c r="AI64" s="49">
        <f t="shared" si="11"/>
        <v>0</v>
      </c>
      <c r="AK64" s="51"/>
    </row>
    <row r="65" spans="1:75" x14ac:dyDescent="0.25">
      <c r="A65" s="64" t="s">
        <v>82</v>
      </c>
      <c r="B65" s="46">
        <v>22.9</v>
      </c>
      <c r="C65" s="46">
        <v>16</v>
      </c>
      <c r="D65" s="46">
        <v>16</v>
      </c>
      <c r="E65" s="75">
        <v>15.7</v>
      </c>
      <c r="F65" s="75">
        <v>15.7</v>
      </c>
      <c r="G65" s="75">
        <v>15.7</v>
      </c>
      <c r="H65" s="75">
        <v>15.7</v>
      </c>
      <c r="I65" s="75">
        <v>15.7</v>
      </c>
      <c r="J65" s="75">
        <v>15.6</v>
      </c>
      <c r="K65" s="75">
        <v>0</v>
      </c>
      <c r="L65" s="75">
        <v>0</v>
      </c>
      <c r="M65" s="75">
        <v>35.6</v>
      </c>
      <c r="N65" s="75">
        <v>35.6</v>
      </c>
      <c r="O65" s="75">
        <v>35.6</v>
      </c>
      <c r="P65" s="75">
        <v>33</v>
      </c>
      <c r="Q65" s="75">
        <v>32.700000000000003</v>
      </c>
      <c r="R65" s="75">
        <v>32.700000000000003</v>
      </c>
      <c r="S65" s="75">
        <v>34.4</v>
      </c>
      <c r="T65" s="75">
        <v>34.299999999999997</v>
      </c>
      <c r="U65" s="75">
        <v>47</v>
      </c>
      <c r="V65" s="75">
        <v>47</v>
      </c>
      <c r="W65" s="46">
        <v>22.8</v>
      </c>
      <c r="X65" s="46">
        <v>16.5</v>
      </c>
      <c r="Y65" s="46">
        <v>37.200000000000003</v>
      </c>
      <c r="Z65" s="46">
        <v>45.5</v>
      </c>
      <c r="AA65" s="46">
        <v>45</v>
      </c>
      <c r="AB65" s="46">
        <v>45</v>
      </c>
      <c r="AC65" s="46">
        <v>45</v>
      </c>
      <c r="AD65" s="46">
        <v>45</v>
      </c>
      <c r="AE65" s="46">
        <v>45</v>
      </c>
      <c r="AF65" s="46">
        <v>45</v>
      </c>
      <c r="AG65" s="65">
        <v>69</v>
      </c>
      <c r="AH65" s="48">
        <f t="shared" si="10"/>
        <v>47</v>
      </c>
      <c r="AI65" s="49">
        <f t="shared" si="11"/>
        <v>0</v>
      </c>
      <c r="AK65" s="51"/>
    </row>
    <row r="66" spans="1:75" x14ac:dyDescent="0.25">
      <c r="A66" s="64" t="s">
        <v>83</v>
      </c>
      <c r="B66" s="46">
        <v>38.299999999999997</v>
      </c>
      <c r="C66" s="46">
        <v>36.299999999999997</v>
      </c>
      <c r="D66" s="46">
        <v>35.299999999999997</v>
      </c>
      <c r="E66" s="75">
        <v>35.299999999999997</v>
      </c>
      <c r="F66" s="75">
        <v>35.299999999999997</v>
      </c>
      <c r="G66" s="75">
        <v>35.299999999999997</v>
      </c>
      <c r="H66" s="75">
        <v>35.299999999999997</v>
      </c>
      <c r="I66" s="75">
        <v>35.299999999999997</v>
      </c>
      <c r="J66" s="75">
        <v>35.299999999999997</v>
      </c>
      <c r="K66" s="75">
        <v>35.299999999999997</v>
      </c>
      <c r="L66" s="75">
        <v>35.299999999999997</v>
      </c>
      <c r="M66" s="75">
        <v>35.299999999999997</v>
      </c>
      <c r="N66" s="75">
        <v>35.299999999999997</v>
      </c>
      <c r="O66" s="75">
        <v>35.299999999999997</v>
      </c>
      <c r="P66" s="75">
        <v>35.299999999999997</v>
      </c>
      <c r="Q66" s="75">
        <v>35.299999999999997</v>
      </c>
      <c r="R66" s="75">
        <v>35.299999999999997</v>
      </c>
      <c r="S66" s="75">
        <v>36.299999999999997</v>
      </c>
      <c r="T66" s="75">
        <v>35.299999999999997</v>
      </c>
      <c r="U66" s="75">
        <v>35.299999999999997</v>
      </c>
      <c r="V66" s="75">
        <v>35.299999999999997</v>
      </c>
      <c r="W66" s="46">
        <v>32.200000000000003</v>
      </c>
      <c r="X66" s="46">
        <v>32.200000000000003</v>
      </c>
      <c r="Y66" s="46">
        <v>33.299999999999997</v>
      </c>
      <c r="Z66" s="46">
        <v>33.299999999999997</v>
      </c>
      <c r="AA66" s="46">
        <v>33.299999999999997</v>
      </c>
      <c r="AB66" s="46">
        <v>33.299999999999997</v>
      </c>
      <c r="AC66" s="46">
        <v>33.299999999999997</v>
      </c>
      <c r="AD66" s="46">
        <v>33.299999999999997</v>
      </c>
      <c r="AE66" s="46">
        <v>33.299999999999997</v>
      </c>
      <c r="AF66" s="46">
        <v>33.299999999999997</v>
      </c>
      <c r="AG66" s="65">
        <v>60</v>
      </c>
      <c r="AH66" s="48">
        <f t="shared" si="10"/>
        <v>38.299999999999997</v>
      </c>
      <c r="AI66" s="49">
        <f t="shared" si="11"/>
        <v>32.200000000000003</v>
      </c>
      <c r="AK66" s="51"/>
    </row>
    <row r="67" spans="1:75" x14ac:dyDescent="0.25">
      <c r="A67" s="64" t="s">
        <v>84</v>
      </c>
      <c r="B67" s="46">
        <v>14.3</v>
      </c>
      <c r="C67" s="46">
        <v>10</v>
      </c>
      <c r="D67" s="46">
        <v>0</v>
      </c>
      <c r="E67" s="46">
        <v>0</v>
      </c>
      <c r="F67" s="46">
        <v>0</v>
      </c>
      <c r="G67" s="46">
        <v>0</v>
      </c>
      <c r="H67" s="46">
        <v>0</v>
      </c>
      <c r="I67" s="46">
        <v>10</v>
      </c>
      <c r="J67" s="75">
        <v>10</v>
      </c>
      <c r="K67" s="75">
        <v>10</v>
      </c>
      <c r="L67" s="75">
        <v>10</v>
      </c>
      <c r="M67" s="75">
        <v>13.2</v>
      </c>
      <c r="N67" s="75">
        <v>13.2</v>
      </c>
      <c r="O67" s="75">
        <v>13.2</v>
      </c>
      <c r="P67" s="75">
        <v>14</v>
      </c>
      <c r="Q67" s="75">
        <v>14.2</v>
      </c>
      <c r="R67" s="75">
        <v>14.2</v>
      </c>
      <c r="S67" s="75">
        <v>10</v>
      </c>
      <c r="T67" s="75">
        <v>0</v>
      </c>
      <c r="U67" s="75">
        <v>0</v>
      </c>
      <c r="V67" s="75">
        <v>0</v>
      </c>
      <c r="W67" s="46">
        <v>0</v>
      </c>
      <c r="X67" s="46">
        <v>0</v>
      </c>
      <c r="Y67" s="46">
        <v>9.5</v>
      </c>
      <c r="Z67" s="46">
        <v>9.5</v>
      </c>
      <c r="AA67" s="46">
        <v>9.5</v>
      </c>
      <c r="AB67" s="46">
        <v>14.8</v>
      </c>
      <c r="AC67" s="46">
        <v>14.8</v>
      </c>
      <c r="AD67" s="46">
        <v>14.8</v>
      </c>
      <c r="AE67" s="46">
        <v>14.8</v>
      </c>
      <c r="AF67" s="46">
        <v>10</v>
      </c>
      <c r="AG67" s="65">
        <v>30</v>
      </c>
      <c r="AH67" s="48">
        <f t="shared" si="10"/>
        <v>14.8</v>
      </c>
      <c r="AI67" s="49">
        <f t="shared" si="11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</row>
    <row r="68" spans="1:75" x14ac:dyDescent="0.25">
      <c r="A68" s="64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0.9</v>
      </c>
      <c r="K68" s="46">
        <v>0.9</v>
      </c>
      <c r="L68" s="46">
        <v>0.9</v>
      </c>
      <c r="M68" s="46">
        <v>0.9</v>
      </c>
      <c r="N68" s="46">
        <v>0.9</v>
      </c>
      <c r="O68" s="46">
        <v>0.9</v>
      </c>
      <c r="P68" s="46">
        <v>0.9</v>
      </c>
      <c r="Q68" s="75">
        <v>12.5</v>
      </c>
      <c r="R68" s="75">
        <v>12.5</v>
      </c>
      <c r="S68" s="75">
        <v>11</v>
      </c>
      <c r="T68" s="75">
        <v>7.8</v>
      </c>
      <c r="U68" s="75">
        <v>4.3</v>
      </c>
      <c r="V68" s="75">
        <v>4.3</v>
      </c>
      <c r="W68" s="46">
        <v>1</v>
      </c>
      <c r="X68" s="46">
        <v>0</v>
      </c>
      <c r="Y68" s="46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5">
        <v>25</v>
      </c>
      <c r="AH68" s="48">
        <f t="shared" si="10"/>
        <v>12.5</v>
      </c>
      <c r="AI68" s="49">
        <f t="shared" si="11"/>
        <v>0</v>
      </c>
      <c r="AK68" s="51"/>
      <c r="AY68" s="1" t="s">
        <v>86</v>
      </c>
      <c r="AZ68" s="81">
        <f>ROUND(C81,0)</f>
        <v>36</v>
      </c>
      <c r="BA68" s="80">
        <f t="shared" ref="BA68:BD72" si="40">D81</f>
        <v>44.4</v>
      </c>
      <c r="BB68" s="80">
        <f t="shared" si="40"/>
        <v>39.9</v>
      </c>
      <c r="BC68" s="80">
        <f t="shared" si="40"/>
        <v>41.6</v>
      </c>
      <c r="BD68" s="80">
        <f t="shared" si="40"/>
        <v>42.4</v>
      </c>
      <c r="BE68" s="81">
        <f>I81</f>
        <v>37.4</v>
      </c>
      <c r="BF68" s="81">
        <f>K81</f>
        <v>61.5</v>
      </c>
      <c r="BG68" s="81">
        <f t="shared" ref="BG68:BP72" si="41">M81</f>
        <v>69</v>
      </c>
      <c r="BH68" s="81">
        <f t="shared" si="41"/>
        <v>67</v>
      </c>
      <c r="BI68" s="81">
        <f t="shared" si="41"/>
        <v>67</v>
      </c>
      <c r="BJ68" s="81">
        <f t="shared" si="41"/>
        <v>67</v>
      </c>
      <c r="BK68" s="81">
        <f t="shared" si="41"/>
        <v>68.8</v>
      </c>
      <c r="BL68" s="81">
        <f t="shared" si="41"/>
        <v>70</v>
      </c>
      <c r="BM68" s="81">
        <f t="shared" si="41"/>
        <v>68.099999999999994</v>
      </c>
      <c r="BN68" s="81">
        <f t="shared" si="41"/>
        <v>77.900000000000006</v>
      </c>
      <c r="BO68" s="81">
        <f t="shared" si="41"/>
        <v>72.400000000000006</v>
      </c>
      <c r="BP68" s="81">
        <f t="shared" si="41"/>
        <v>72.7</v>
      </c>
      <c r="BQ68" s="81">
        <f>X81</f>
        <v>72.900000000000006</v>
      </c>
      <c r="BR68" s="81">
        <f>Z81</f>
        <v>52.5</v>
      </c>
      <c r="BS68" s="80">
        <f>AB81</f>
        <v>53.5</v>
      </c>
      <c r="BT68" s="80">
        <f>AD81</f>
        <v>45.8</v>
      </c>
      <c r="BU68" s="80">
        <f>AE81</f>
        <v>40</v>
      </c>
      <c r="BV68" s="80">
        <f>AF81</f>
        <v>30</v>
      </c>
      <c r="BW68" s="80">
        <f>B81</f>
        <v>36.799999999999997</v>
      </c>
    </row>
    <row r="69" spans="1:75" x14ac:dyDescent="0.25">
      <c r="A69" s="64" t="s">
        <v>87</v>
      </c>
      <c r="B69" s="75">
        <v>15</v>
      </c>
      <c r="C69" s="75">
        <v>15</v>
      </c>
      <c r="D69" s="75">
        <v>15</v>
      </c>
      <c r="E69" s="75">
        <v>15</v>
      </c>
      <c r="F69" s="75">
        <v>15</v>
      </c>
      <c r="G69" s="75">
        <v>15</v>
      </c>
      <c r="H69" s="75">
        <v>15</v>
      </c>
      <c r="I69" s="75">
        <v>15</v>
      </c>
      <c r="J69" s="75">
        <v>15</v>
      </c>
      <c r="K69" s="75">
        <v>15</v>
      </c>
      <c r="L69" s="75">
        <v>15</v>
      </c>
      <c r="M69" s="75">
        <v>15</v>
      </c>
      <c r="N69" s="75">
        <v>15</v>
      </c>
      <c r="O69" s="75">
        <v>15</v>
      </c>
      <c r="P69" s="75">
        <v>15</v>
      </c>
      <c r="Q69" s="75">
        <v>16.5</v>
      </c>
      <c r="R69" s="75">
        <v>16.5</v>
      </c>
      <c r="S69" s="75">
        <v>16.5</v>
      </c>
      <c r="T69" s="75">
        <v>15</v>
      </c>
      <c r="U69" s="75">
        <v>15</v>
      </c>
      <c r="V69" s="75">
        <v>15</v>
      </c>
      <c r="W69" s="75">
        <v>15</v>
      </c>
      <c r="X69" s="75">
        <v>15</v>
      </c>
      <c r="Y69" s="75">
        <v>15</v>
      </c>
      <c r="Z69" s="75">
        <v>15</v>
      </c>
      <c r="AA69" s="75">
        <v>15</v>
      </c>
      <c r="AB69" s="75">
        <v>15</v>
      </c>
      <c r="AC69" s="75">
        <v>15</v>
      </c>
      <c r="AD69" s="75">
        <v>15</v>
      </c>
      <c r="AE69" s="75">
        <v>15</v>
      </c>
      <c r="AF69" s="75">
        <v>15</v>
      </c>
      <c r="AG69" s="65">
        <v>24</v>
      </c>
      <c r="AH69" s="48">
        <f t="shared" si="10"/>
        <v>16.5</v>
      </c>
      <c r="AI69" s="49">
        <f t="shared" si="11"/>
        <v>15</v>
      </c>
      <c r="AK69" s="51"/>
      <c r="AY69" s="1" t="s">
        <v>88</v>
      </c>
      <c r="AZ69" s="81">
        <f>ROUND(C82,0)</f>
        <v>0</v>
      </c>
      <c r="BA69" s="80">
        <f t="shared" si="40"/>
        <v>0</v>
      </c>
      <c r="BB69" s="80">
        <f t="shared" si="40"/>
        <v>0</v>
      </c>
      <c r="BC69" s="80">
        <f t="shared" si="40"/>
        <v>0</v>
      </c>
      <c r="BD69" s="80">
        <f t="shared" si="40"/>
        <v>0</v>
      </c>
      <c r="BE69" s="81">
        <f t="shared" ref="BE69:BE72" si="42">I82</f>
        <v>0</v>
      </c>
      <c r="BF69" s="81">
        <f t="shared" ref="BF69:BF72" si="43">K82</f>
        <v>135</v>
      </c>
      <c r="BG69" s="81">
        <f t="shared" si="41"/>
        <v>123.3</v>
      </c>
      <c r="BH69" s="81">
        <f t="shared" si="41"/>
        <v>119</v>
      </c>
      <c r="BI69" s="81">
        <f t="shared" si="41"/>
        <v>122</v>
      </c>
      <c r="BJ69" s="81">
        <f t="shared" si="41"/>
        <v>122</v>
      </c>
      <c r="BK69" s="81">
        <f t="shared" si="41"/>
        <v>117.1</v>
      </c>
      <c r="BL69" s="81">
        <f t="shared" si="41"/>
        <v>117</v>
      </c>
      <c r="BM69" s="81">
        <f t="shared" si="41"/>
        <v>116.3</v>
      </c>
      <c r="BN69" s="81">
        <f t="shared" si="41"/>
        <v>128.80000000000001</v>
      </c>
      <c r="BO69" s="81">
        <f t="shared" si="41"/>
        <v>130</v>
      </c>
      <c r="BP69" s="81">
        <f t="shared" si="41"/>
        <v>116.2</v>
      </c>
      <c r="BQ69" s="81">
        <f t="shared" ref="BQ69:BQ72" si="44">X82</f>
        <v>115.7</v>
      </c>
      <c r="BR69" s="81">
        <f t="shared" ref="BR69:BR72" si="45">Z82</f>
        <v>0</v>
      </c>
      <c r="BS69" s="80">
        <f t="shared" ref="BS69:BS72" si="46">AB82</f>
        <v>0</v>
      </c>
      <c r="BT69" s="80">
        <f t="shared" ref="BT69:BV72" si="47">AD82</f>
        <v>0</v>
      </c>
      <c r="BU69" s="80">
        <f t="shared" si="47"/>
        <v>0</v>
      </c>
      <c r="BV69" s="80">
        <f t="shared" si="47"/>
        <v>0</v>
      </c>
      <c r="BW69" s="80">
        <f t="shared" ref="BW69:BW72" si="48">B82</f>
        <v>0</v>
      </c>
    </row>
    <row r="70" spans="1:75" x14ac:dyDescent="0.25">
      <c r="A70" s="64" t="s">
        <v>89</v>
      </c>
      <c r="B70" s="75">
        <v>0</v>
      </c>
      <c r="C70" s="75">
        <v>0</v>
      </c>
      <c r="D70" s="75">
        <v>0</v>
      </c>
      <c r="E70" s="75">
        <v>0</v>
      </c>
      <c r="F70" s="75">
        <v>0</v>
      </c>
      <c r="G70" s="75">
        <v>0</v>
      </c>
      <c r="H70" s="75">
        <v>0</v>
      </c>
      <c r="I70" s="75">
        <v>0</v>
      </c>
      <c r="J70" s="75">
        <v>0</v>
      </c>
      <c r="K70" s="75">
        <v>0</v>
      </c>
      <c r="L70" s="75">
        <v>0</v>
      </c>
      <c r="M70" s="75">
        <v>0</v>
      </c>
      <c r="N70" s="75">
        <v>0</v>
      </c>
      <c r="O70" s="75">
        <v>0</v>
      </c>
      <c r="P70" s="75">
        <v>0</v>
      </c>
      <c r="Q70" s="75">
        <v>0</v>
      </c>
      <c r="R70" s="75">
        <v>0</v>
      </c>
      <c r="S70" s="75">
        <v>0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5">
        <v>0</v>
      </c>
      <c r="Z70" s="75">
        <v>0</v>
      </c>
      <c r="AA70" s="75">
        <v>0</v>
      </c>
      <c r="AB70" s="75">
        <v>0</v>
      </c>
      <c r="AC70" s="75">
        <v>0</v>
      </c>
      <c r="AD70" s="75">
        <v>0</v>
      </c>
      <c r="AE70" s="75">
        <v>0</v>
      </c>
      <c r="AF70" s="75">
        <v>0</v>
      </c>
      <c r="AG70" s="65">
        <v>15</v>
      </c>
      <c r="AH70" s="48">
        <f t="shared" si="10"/>
        <v>0</v>
      </c>
      <c r="AI70" s="49">
        <f t="shared" si="11"/>
        <v>0</v>
      </c>
      <c r="AK70" s="51"/>
      <c r="AL70" s="82"/>
      <c r="AO70" s="82"/>
      <c r="AY70" s="1" t="s">
        <v>90</v>
      </c>
      <c r="AZ70" s="81">
        <f>ROUND(C83,0)</f>
        <v>95</v>
      </c>
      <c r="BA70" s="80">
        <f t="shared" si="40"/>
        <v>86.9</v>
      </c>
      <c r="BB70" s="80">
        <f t="shared" si="40"/>
        <v>69</v>
      </c>
      <c r="BC70" s="80">
        <f t="shared" si="40"/>
        <v>67.599999999999994</v>
      </c>
      <c r="BD70" s="80">
        <f t="shared" si="40"/>
        <v>96.1</v>
      </c>
      <c r="BE70" s="81">
        <f t="shared" si="42"/>
        <v>147.19999999999999</v>
      </c>
      <c r="BF70" s="81">
        <f t="shared" si="43"/>
        <v>420</v>
      </c>
      <c r="BG70" s="81">
        <f t="shared" si="41"/>
        <v>460</v>
      </c>
      <c r="BH70" s="81">
        <f t="shared" si="41"/>
        <v>455</v>
      </c>
      <c r="BI70" s="81">
        <f t="shared" si="41"/>
        <v>476</v>
      </c>
      <c r="BJ70" s="81">
        <f t="shared" si="41"/>
        <v>472</v>
      </c>
      <c r="BK70" s="81">
        <f t="shared" si="41"/>
        <v>490</v>
      </c>
      <c r="BL70" s="81">
        <f t="shared" si="41"/>
        <v>495</v>
      </c>
      <c r="BM70" s="81">
        <f t="shared" si="41"/>
        <v>514.9</v>
      </c>
      <c r="BN70" s="81">
        <f t="shared" si="41"/>
        <v>511</v>
      </c>
      <c r="BO70" s="81">
        <f t="shared" si="41"/>
        <v>461</v>
      </c>
      <c r="BP70" s="81">
        <f t="shared" si="41"/>
        <v>453.8</v>
      </c>
      <c r="BQ70" s="81">
        <f t="shared" si="44"/>
        <v>353.5</v>
      </c>
      <c r="BR70" s="81">
        <f t="shared" si="45"/>
        <v>160</v>
      </c>
      <c r="BS70" s="80">
        <f t="shared" si="46"/>
        <v>115.5</v>
      </c>
      <c r="BT70" s="80">
        <f t="shared" si="47"/>
        <v>249</v>
      </c>
      <c r="BU70" s="80">
        <f t="shared" si="47"/>
        <v>10</v>
      </c>
      <c r="BV70" s="80">
        <f t="shared" si="47"/>
        <v>110</v>
      </c>
      <c r="BW70" s="80">
        <f t="shared" si="48"/>
        <v>91.8</v>
      </c>
    </row>
    <row r="71" spans="1:75" s="82" customFormat="1" x14ac:dyDescent="0.25">
      <c r="A71" s="64" t="s">
        <v>91</v>
      </c>
      <c r="B71" s="75">
        <v>9.6</v>
      </c>
      <c r="C71" s="75">
        <v>9.6</v>
      </c>
      <c r="D71" s="75">
        <v>9.6</v>
      </c>
      <c r="E71" s="75">
        <v>9.6</v>
      </c>
      <c r="F71" s="75">
        <v>9.6</v>
      </c>
      <c r="G71" s="75">
        <v>9.6</v>
      </c>
      <c r="H71" s="75">
        <v>9.6</v>
      </c>
      <c r="I71" s="75">
        <v>9.6</v>
      </c>
      <c r="J71" s="75">
        <v>9.6</v>
      </c>
      <c r="K71" s="75">
        <v>9.6</v>
      </c>
      <c r="L71" s="75">
        <v>9.6</v>
      </c>
      <c r="M71" s="75">
        <v>9.6</v>
      </c>
      <c r="N71" s="75">
        <v>9.6</v>
      </c>
      <c r="O71" s="75">
        <v>9.6</v>
      </c>
      <c r="P71" s="75">
        <v>9.6</v>
      </c>
      <c r="Q71" s="75">
        <v>9.6</v>
      </c>
      <c r="R71" s="75">
        <v>9.6</v>
      </c>
      <c r="S71" s="75">
        <v>9.6</v>
      </c>
      <c r="T71" s="75">
        <v>9.4</v>
      </c>
      <c r="U71" s="75">
        <v>9.4</v>
      </c>
      <c r="V71" s="75">
        <v>9.4</v>
      </c>
      <c r="W71" s="75">
        <v>9.4</v>
      </c>
      <c r="X71" s="75">
        <v>8.8000000000000007</v>
      </c>
      <c r="Y71" s="75">
        <v>8.8000000000000007</v>
      </c>
      <c r="Z71" s="75">
        <v>8.8000000000000007</v>
      </c>
      <c r="AA71" s="75">
        <v>8.8000000000000007</v>
      </c>
      <c r="AB71" s="75">
        <v>8.8000000000000007</v>
      </c>
      <c r="AC71" s="75">
        <v>8.8000000000000007</v>
      </c>
      <c r="AD71" s="75">
        <v>8.8000000000000007</v>
      </c>
      <c r="AE71" s="75">
        <v>8.8000000000000007</v>
      </c>
      <c r="AF71" s="75">
        <v>8.8000000000000007</v>
      </c>
      <c r="AG71" s="65">
        <v>14.1</v>
      </c>
      <c r="AH71" s="48">
        <f t="shared" si="10"/>
        <v>9.6</v>
      </c>
      <c r="AI71" s="49">
        <f t="shared" si="11"/>
        <v>8.8000000000000007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0</v>
      </c>
      <c r="BA71" s="80">
        <f t="shared" si="40"/>
        <v>0</v>
      </c>
      <c r="BB71" s="80">
        <f t="shared" si="40"/>
        <v>0</v>
      </c>
      <c r="BC71" s="80">
        <f t="shared" si="40"/>
        <v>0</v>
      </c>
      <c r="BD71" s="80">
        <f t="shared" si="40"/>
        <v>0</v>
      </c>
      <c r="BE71" s="81">
        <f t="shared" si="42"/>
        <v>0</v>
      </c>
      <c r="BF71" s="81">
        <f t="shared" si="43"/>
        <v>40</v>
      </c>
      <c r="BG71" s="81">
        <f t="shared" si="41"/>
        <v>57.5</v>
      </c>
      <c r="BH71" s="81">
        <f t="shared" si="41"/>
        <v>50</v>
      </c>
      <c r="BI71" s="81">
        <f t="shared" si="41"/>
        <v>50</v>
      </c>
      <c r="BJ71" s="81">
        <f t="shared" si="41"/>
        <v>51</v>
      </c>
      <c r="BK71" s="81">
        <f t="shared" si="41"/>
        <v>55.9</v>
      </c>
      <c r="BL71" s="81">
        <f t="shared" si="41"/>
        <v>55.9</v>
      </c>
      <c r="BM71" s="81">
        <f t="shared" si="41"/>
        <v>50.8</v>
      </c>
      <c r="BN71" s="81">
        <f t="shared" si="41"/>
        <v>50.7</v>
      </c>
      <c r="BO71" s="81">
        <f t="shared" si="41"/>
        <v>59.2</v>
      </c>
      <c r="BP71" s="81">
        <f t="shared" si="41"/>
        <v>45.8</v>
      </c>
      <c r="BQ71" s="81">
        <f t="shared" si="44"/>
        <v>36.200000000000003</v>
      </c>
      <c r="BR71" s="81">
        <f t="shared" si="45"/>
        <v>15</v>
      </c>
      <c r="BS71" s="80">
        <f t="shared" si="46"/>
        <v>15.9</v>
      </c>
      <c r="BT71" s="80">
        <f t="shared" si="47"/>
        <v>20.399999999999999</v>
      </c>
      <c r="BU71" s="80">
        <f t="shared" si="47"/>
        <v>15</v>
      </c>
      <c r="BV71" s="80">
        <f t="shared" si="47"/>
        <v>15</v>
      </c>
      <c r="BW71" s="80">
        <f t="shared" si="48"/>
        <v>0</v>
      </c>
    </row>
    <row r="72" spans="1:75" x14ac:dyDescent="0.25">
      <c r="A72" s="83" t="s">
        <v>93</v>
      </c>
      <c r="B72" s="75">
        <v>6.3</v>
      </c>
      <c r="C72" s="75">
        <v>6.3</v>
      </c>
      <c r="D72" s="75">
        <v>6.3</v>
      </c>
      <c r="E72" s="75">
        <v>6.3</v>
      </c>
      <c r="F72" s="75">
        <v>6.3</v>
      </c>
      <c r="G72" s="75">
        <v>6.3</v>
      </c>
      <c r="H72" s="75">
        <v>6.3</v>
      </c>
      <c r="I72" s="75">
        <v>6.3</v>
      </c>
      <c r="J72" s="75">
        <v>6.3</v>
      </c>
      <c r="K72" s="75">
        <v>6.3</v>
      </c>
      <c r="L72" s="75">
        <v>6.3</v>
      </c>
      <c r="M72" s="75">
        <v>6.3</v>
      </c>
      <c r="N72" s="75">
        <v>6.3</v>
      </c>
      <c r="O72" s="75">
        <v>6.3</v>
      </c>
      <c r="P72" s="75">
        <v>6.3</v>
      </c>
      <c r="Q72" s="75">
        <v>6.3</v>
      </c>
      <c r="R72" s="75">
        <v>6.3</v>
      </c>
      <c r="S72" s="75">
        <v>6.3</v>
      </c>
      <c r="T72" s="75">
        <v>4.9000000000000004</v>
      </c>
      <c r="U72" s="75">
        <v>4.9000000000000004</v>
      </c>
      <c r="V72" s="75">
        <v>4.9000000000000004</v>
      </c>
      <c r="W72" s="75">
        <v>4.9000000000000004</v>
      </c>
      <c r="X72" s="75">
        <v>4.9000000000000004</v>
      </c>
      <c r="Y72" s="75">
        <v>4.9000000000000004</v>
      </c>
      <c r="Z72" s="75">
        <v>4.9000000000000004</v>
      </c>
      <c r="AA72" s="75">
        <v>4.9000000000000004</v>
      </c>
      <c r="AB72" s="75">
        <v>4.9000000000000004</v>
      </c>
      <c r="AC72" s="75">
        <v>4.9000000000000004</v>
      </c>
      <c r="AD72" s="75">
        <v>4.9000000000000004</v>
      </c>
      <c r="AE72" s="75">
        <v>4.9000000000000004</v>
      </c>
      <c r="AF72" s="75">
        <v>4.9000000000000004</v>
      </c>
      <c r="AG72" s="65">
        <v>14</v>
      </c>
      <c r="AH72" s="48">
        <f t="shared" si="10"/>
        <v>6.3</v>
      </c>
      <c r="AI72" s="49">
        <f t="shared" si="11"/>
        <v>4.9000000000000004</v>
      </c>
      <c r="AK72" s="51"/>
      <c r="AY72" s="1" t="s">
        <v>94</v>
      </c>
      <c r="AZ72" s="81">
        <f>ROUND(C85,0)</f>
        <v>0</v>
      </c>
      <c r="BA72" s="80">
        <f t="shared" si="40"/>
        <v>0</v>
      </c>
      <c r="BB72" s="80">
        <f t="shared" si="40"/>
        <v>0</v>
      </c>
      <c r="BC72" s="80">
        <f t="shared" si="40"/>
        <v>0</v>
      </c>
      <c r="BD72" s="80">
        <f t="shared" si="40"/>
        <v>0</v>
      </c>
      <c r="BE72" s="81">
        <f t="shared" si="42"/>
        <v>0</v>
      </c>
      <c r="BF72" s="81">
        <f t="shared" si="43"/>
        <v>119.4</v>
      </c>
      <c r="BG72" s="81">
        <f t="shared" si="41"/>
        <v>120.7</v>
      </c>
      <c r="BH72" s="81">
        <f t="shared" si="41"/>
        <v>110</v>
      </c>
      <c r="BI72" s="81">
        <f t="shared" si="41"/>
        <v>145</v>
      </c>
      <c r="BJ72" s="81">
        <f t="shared" si="41"/>
        <v>156</v>
      </c>
      <c r="BK72" s="81">
        <f t="shared" si="41"/>
        <v>144</v>
      </c>
      <c r="BL72" s="81">
        <f t="shared" si="41"/>
        <v>157</v>
      </c>
      <c r="BM72" s="81">
        <f t="shared" si="41"/>
        <v>115.6</v>
      </c>
      <c r="BN72" s="81">
        <f t="shared" si="41"/>
        <v>134.9</v>
      </c>
      <c r="BO72" s="81">
        <f t="shared" si="41"/>
        <v>140</v>
      </c>
      <c r="BP72" s="81">
        <f t="shared" si="41"/>
        <v>122.2</v>
      </c>
      <c r="BQ72" s="81">
        <f t="shared" si="44"/>
        <v>80</v>
      </c>
      <c r="BR72" s="81">
        <f t="shared" si="45"/>
        <v>0</v>
      </c>
      <c r="BS72" s="80">
        <f t="shared" si="46"/>
        <v>0</v>
      </c>
      <c r="BT72" s="80">
        <f t="shared" si="47"/>
        <v>0</v>
      </c>
      <c r="BU72" s="80">
        <f t="shared" si="47"/>
        <v>0</v>
      </c>
      <c r="BV72" s="80">
        <f t="shared" si="47"/>
        <v>0</v>
      </c>
      <c r="BW72" s="80">
        <f t="shared" si="48"/>
        <v>0</v>
      </c>
    </row>
    <row r="73" spans="1:75" x14ac:dyDescent="0.25">
      <c r="A73" s="64" t="s">
        <v>95</v>
      </c>
      <c r="B73" s="75">
        <v>3.7</v>
      </c>
      <c r="C73" s="75">
        <v>3.7</v>
      </c>
      <c r="D73" s="75">
        <v>3.7</v>
      </c>
      <c r="E73" s="75">
        <v>3.7</v>
      </c>
      <c r="F73" s="75">
        <v>3.7</v>
      </c>
      <c r="G73" s="75">
        <v>3.7</v>
      </c>
      <c r="H73" s="75">
        <v>3.7</v>
      </c>
      <c r="I73" s="75">
        <v>3.7</v>
      </c>
      <c r="J73" s="75">
        <v>3.7</v>
      </c>
      <c r="K73" s="75">
        <v>3.7</v>
      </c>
      <c r="L73" s="75">
        <v>3.7</v>
      </c>
      <c r="M73" s="75">
        <v>3.7</v>
      </c>
      <c r="N73" s="75">
        <v>3.7</v>
      </c>
      <c r="O73" s="75">
        <v>3.7</v>
      </c>
      <c r="P73" s="75">
        <v>3.7</v>
      </c>
      <c r="Q73" s="75">
        <v>3.7</v>
      </c>
      <c r="R73" s="75">
        <v>3.7</v>
      </c>
      <c r="S73" s="75">
        <v>3.7</v>
      </c>
      <c r="T73" s="75">
        <v>3.7</v>
      </c>
      <c r="U73" s="75">
        <v>3.7</v>
      </c>
      <c r="V73" s="75">
        <v>3.7</v>
      </c>
      <c r="W73" s="75">
        <v>3.7</v>
      </c>
      <c r="X73" s="75">
        <v>3.7</v>
      </c>
      <c r="Y73" s="75">
        <v>3.7</v>
      </c>
      <c r="Z73" s="75">
        <v>3.7</v>
      </c>
      <c r="AA73" s="75">
        <v>3.7</v>
      </c>
      <c r="AB73" s="75">
        <v>3.7</v>
      </c>
      <c r="AC73" s="75">
        <v>3.7</v>
      </c>
      <c r="AD73" s="75">
        <v>3.7</v>
      </c>
      <c r="AE73" s="75">
        <v>3.7</v>
      </c>
      <c r="AF73" s="75">
        <v>3.7</v>
      </c>
      <c r="AG73" s="65">
        <v>10.050000000000001</v>
      </c>
      <c r="AH73" s="48">
        <f t="shared" si="10"/>
        <v>3.7</v>
      </c>
      <c r="AI73" s="49">
        <f t="shared" si="11"/>
        <v>3.7</v>
      </c>
      <c r="AK73" s="51"/>
      <c r="AY73" s="1" t="s">
        <v>96</v>
      </c>
      <c r="AZ73" s="81">
        <f>ROUND(C91,0)</f>
        <v>46</v>
      </c>
      <c r="BA73" s="81">
        <f>D91</f>
        <v>45</v>
      </c>
      <c r="BB73" s="81">
        <f>E91</f>
        <v>40.4</v>
      </c>
      <c r="BC73" s="81">
        <f>F91</f>
        <v>38</v>
      </c>
      <c r="BD73" s="81">
        <f>G91</f>
        <v>41</v>
      </c>
      <c r="BE73" s="81">
        <f>I91</f>
        <v>38.700000000000003</v>
      </c>
      <c r="BF73" s="81">
        <f>K91</f>
        <v>51</v>
      </c>
      <c r="BG73" s="81">
        <f t="shared" ref="BG73:BP73" si="49">M91</f>
        <v>56</v>
      </c>
      <c r="BH73" s="81">
        <f t="shared" si="49"/>
        <v>56</v>
      </c>
      <c r="BI73" s="81">
        <f t="shared" si="49"/>
        <v>56</v>
      </c>
      <c r="BJ73" s="81">
        <f t="shared" si="49"/>
        <v>56</v>
      </c>
      <c r="BK73" s="81">
        <f t="shared" si="49"/>
        <v>46.7</v>
      </c>
      <c r="BL73" s="81">
        <f t="shared" si="49"/>
        <v>57</v>
      </c>
      <c r="BM73" s="81">
        <f t="shared" si="49"/>
        <v>57.1</v>
      </c>
      <c r="BN73" s="81">
        <f t="shared" si="49"/>
        <v>57.1</v>
      </c>
      <c r="BO73" s="81">
        <f t="shared" si="49"/>
        <v>57.1</v>
      </c>
      <c r="BP73" s="81">
        <f t="shared" si="49"/>
        <v>57.1</v>
      </c>
      <c r="BQ73" s="81">
        <f>X91</f>
        <v>52.6</v>
      </c>
      <c r="BR73" s="81">
        <f>Z91</f>
        <v>52.4</v>
      </c>
      <c r="BS73" s="81">
        <f>AB91</f>
        <v>54.9</v>
      </c>
      <c r="BT73" s="81">
        <f>AD91</f>
        <v>55.6</v>
      </c>
      <c r="BU73" s="81">
        <f>AE91</f>
        <v>55</v>
      </c>
      <c r="BV73" s="81">
        <f>AF91</f>
        <v>55</v>
      </c>
      <c r="BW73" s="81">
        <f>B91</f>
        <v>44.2</v>
      </c>
    </row>
    <row r="74" spans="1:75" x14ac:dyDescent="0.25">
      <c r="A74" s="64" t="s">
        <v>97</v>
      </c>
      <c r="B74" s="75">
        <v>2</v>
      </c>
      <c r="C74" s="75">
        <v>2</v>
      </c>
      <c r="D74" s="75">
        <v>2</v>
      </c>
      <c r="E74" s="75">
        <v>2</v>
      </c>
      <c r="F74" s="75">
        <v>2</v>
      </c>
      <c r="G74" s="75">
        <v>2</v>
      </c>
      <c r="H74" s="75">
        <v>2</v>
      </c>
      <c r="I74" s="75">
        <v>2</v>
      </c>
      <c r="J74" s="75">
        <v>2</v>
      </c>
      <c r="K74" s="75">
        <v>2</v>
      </c>
      <c r="L74" s="75">
        <v>2</v>
      </c>
      <c r="M74" s="75">
        <v>2</v>
      </c>
      <c r="N74" s="75">
        <v>2</v>
      </c>
      <c r="O74" s="75">
        <v>2</v>
      </c>
      <c r="P74" s="75">
        <v>2</v>
      </c>
      <c r="Q74" s="75">
        <v>2</v>
      </c>
      <c r="R74" s="75">
        <v>2</v>
      </c>
      <c r="S74" s="75">
        <v>2</v>
      </c>
      <c r="T74" s="75">
        <v>2</v>
      </c>
      <c r="U74" s="75">
        <v>2</v>
      </c>
      <c r="V74" s="75">
        <v>2</v>
      </c>
      <c r="W74" s="75">
        <v>2</v>
      </c>
      <c r="X74" s="75">
        <v>2</v>
      </c>
      <c r="Y74" s="75">
        <v>2</v>
      </c>
      <c r="Z74" s="75">
        <v>2</v>
      </c>
      <c r="AA74" s="75">
        <v>2</v>
      </c>
      <c r="AB74" s="75">
        <v>2</v>
      </c>
      <c r="AC74" s="75">
        <v>2</v>
      </c>
      <c r="AD74" s="75">
        <v>2</v>
      </c>
      <c r="AE74" s="75">
        <v>2</v>
      </c>
      <c r="AF74" s="75">
        <v>2</v>
      </c>
      <c r="AG74" s="65">
        <v>6.2</v>
      </c>
      <c r="AH74" s="48">
        <f t="shared" si="10"/>
        <v>2</v>
      </c>
      <c r="AI74" s="49">
        <f t="shared" si="11"/>
        <v>2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</row>
    <row r="75" spans="1:75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>
        <v>3.54</v>
      </c>
      <c r="W75" s="84">
        <v>3.54</v>
      </c>
      <c r="X75" s="84">
        <v>3.54</v>
      </c>
      <c r="Y75" s="84">
        <v>3.54</v>
      </c>
      <c r="Z75" s="84">
        <v>3.54</v>
      </c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10"/>
        <v>3.54</v>
      </c>
      <c r="AI75" s="49">
        <f t="shared" si="11"/>
        <v>3.54</v>
      </c>
      <c r="AK75" s="51"/>
      <c r="AZ75" s="81">
        <f>VALUE(AZ68)</f>
        <v>36</v>
      </c>
      <c r="BA75" s="81">
        <f t="shared" ref="BA75:BW75" si="50">VALUE(BA68)</f>
        <v>44.4</v>
      </c>
      <c r="BB75" s="81">
        <f t="shared" si="50"/>
        <v>39.9</v>
      </c>
      <c r="BC75" s="81">
        <f t="shared" si="50"/>
        <v>41.6</v>
      </c>
      <c r="BD75" s="81">
        <f t="shared" si="50"/>
        <v>42.4</v>
      </c>
      <c r="BE75" s="81">
        <f t="shared" si="50"/>
        <v>37.4</v>
      </c>
      <c r="BF75" s="81">
        <f t="shared" si="50"/>
        <v>61.5</v>
      </c>
      <c r="BG75" s="81">
        <f t="shared" si="50"/>
        <v>69</v>
      </c>
      <c r="BH75" s="81">
        <f t="shared" si="50"/>
        <v>67</v>
      </c>
      <c r="BI75" s="81">
        <f t="shared" si="50"/>
        <v>67</v>
      </c>
      <c r="BJ75" s="81">
        <f t="shared" si="50"/>
        <v>67</v>
      </c>
      <c r="BK75" s="81">
        <f t="shared" si="50"/>
        <v>68.8</v>
      </c>
      <c r="BL75" s="81">
        <f t="shared" si="50"/>
        <v>70</v>
      </c>
      <c r="BM75" s="81">
        <f t="shared" si="50"/>
        <v>68.099999999999994</v>
      </c>
      <c r="BN75" s="81">
        <f t="shared" si="50"/>
        <v>77.900000000000006</v>
      </c>
      <c r="BO75" s="81">
        <f t="shared" si="50"/>
        <v>72.400000000000006</v>
      </c>
      <c r="BP75" s="81">
        <f t="shared" si="50"/>
        <v>72.7</v>
      </c>
      <c r="BQ75" s="81">
        <f t="shared" si="50"/>
        <v>72.900000000000006</v>
      </c>
      <c r="BR75" s="81">
        <f t="shared" si="50"/>
        <v>52.5</v>
      </c>
      <c r="BS75" s="81">
        <f t="shared" si="50"/>
        <v>53.5</v>
      </c>
      <c r="BT75" s="81">
        <f t="shared" si="50"/>
        <v>45.8</v>
      </c>
      <c r="BU75" s="81">
        <f t="shared" si="50"/>
        <v>40</v>
      </c>
      <c r="BV75" s="81">
        <f t="shared" si="50"/>
        <v>30</v>
      </c>
      <c r="BW75" s="81">
        <f t="shared" si="50"/>
        <v>36.799999999999997</v>
      </c>
    </row>
    <row r="76" spans="1:75" ht="15.75" thickBot="1" x14ac:dyDescent="0.3">
      <c r="A76" s="86" t="s">
        <v>99</v>
      </c>
      <c r="B76" s="70">
        <f t="shared" ref="B76:C76" si="51">SUM(B63:B75)</f>
        <v>189.33999999999997</v>
      </c>
      <c r="C76" s="70">
        <f t="shared" si="51"/>
        <v>159.13999999999999</v>
      </c>
      <c r="D76" s="70">
        <f t="shared" ref="D76" si="52">SUM(D63:D75)</f>
        <v>148.13999999999999</v>
      </c>
      <c r="E76" s="70">
        <f t="shared" ref="E76:AG76" si="53">SUM(E63:E75)</f>
        <v>147.54</v>
      </c>
      <c r="F76" s="70">
        <f t="shared" si="53"/>
        <v>147.54</v>
      </c>
      <c r="G76" s="70">
        <f t="shared" si="53"/>
        <v>147.54</v>
      </c>
      <c r="H76" s="70">
        <f t="shared" si="53"/>
        <v>147.54</v>
      </c>
      <c r="I76" s="70">
        <f t="shared" si="53"/>
        <v>182.04</v>
      </c>
      <c r="J76" s="70">
        <f t="shared" si="53"/>
        <v>156.54</v>
      </c>
      <c r="K76" s="70">
        <f t="shared" si="53"/>
        <v>163.83999999999997</v>
      </c>
      <c r="L76" s="70">
        <f>SUM(L63:L75)</f>
        <v>169.34</v>
      </c>
      <c r="M76" s="70">
        <f t="shared" si="53"/>
        <v>200.13999999999996</v>
      </c>
      <c r="N76" s="70">
        <f t="shared" ref="N76" si="54">SUM(N63:N75)</f>
        <v>200.13999999999996</v>
      </c>
      <c r="O76" s="70">
        <f t="shared" si="53"/>
        <v>200.13999999999996</v>
      </c>
      <c r="P76" s="70">
        <f t="shared" si="53"/>
        <v>200.34</v>
      </c>
      <c r="Q76" s="70">
        <f t="shared" si="53"/>
        <v>214.53999999999996</v>
      </c>
      <c r="R76" s="70">
        <f t="shared" si="53"/>
        <v>214.53999999999996</v>
      </c>
      <c r="S76" s="70">
        <f t="shared" si="53"/>
        <v>211.53999999999996</v>
      </c>
      <c r="T76" s="70">
        <f t="shared" si="53"/>
        <v>194.23999999999998</v>
      </c>
      <c r="U76" s="70">
        <f t="shared" si="53"/>
        <v>195.54</v>
      </c>
      <c r="V76" s="70">
        <f t="shared" si="53"/>
        <v>195.54</v>
      </c>
      <c r="W76" s="70">
        <f t="shared" si="53"/>
        <v>159.63999999999999</v>
      </c>
      <c r="X76" s="70">
        <f t="shared" si="53"/>
        <v>151.84</v>
      </c>
      <c r="Y76" s="70">
        <f>SUM(Y63:Y75)</f>
        <v>204.14</v>
      </c>
      <c r="Z76" s="70">
        <f>SUM(Z63:Z75)</f>
        <v>334.24</v>
      </c>
      <c r="AA76" s="70">
        <f t="shared" si="53"/>
        <v>330.74</v>
      </c>
      <c r="AB76" s="70">
        <f t="shared" si="53"/>
        <v>292.04000000000002</v>
      </c>
      <c r="AC76" s="70">
        <f t="shared" si="53"/>
        <v>292.04000000000002</v>
      </c>
      <c r="AD76" s="70">
        <f t="shared" si="53"/>
        <v>272.04000000000002</v>
      </c>
      <c r="AE76" s="70">
        <f t="shared" si="53"/>
        <v>226.04000000000002</v>
      </c>
      <c r="AF76" s="70">
        <f t="shared" ref="AF76" si="55">SUM(AF63:AF75)</f>
        <v>206.24</v>
      </c>
      <c r="AG76" s="71">
        <f t="shared" si="53"/>
        <v>489.91</v>
      </c>
      <c r="AH76" s="48">
        <f t="shared" si="10"/>
        <v>334.24</v>
      </c>
      <c r="AI76" s="49">
        <f t="shared" si="11"/>
        <v>147.54</v>
      </c>
      <c r="AK76" s="51"/>
      <c r="AZ76" s="81">
        <f t="shared" ref="AZ76:BW80" si="56">VALUE(AZ69)</f>
        <v>0</v>
      </c>
      <c r="BA76" s="81">
        <f t="shared" si="56"/>
        <v>0</v>
      </c>
      <c r="BB76" s="81">
        <f t="shared" si="56"/>
        <v>0</v>
      </c>
      <c r="BC76" s="81">
        <f t="shared" si="56"/>
        <v>0</v>
      </c>
      <c r="BD76" s="81">
        <f t="shared" si="56"/>
        <v>0</v>
      </c>
      <c r="BE76" s="81">
        <f t="shared" si="56"/>
        <v>0</v>
      </c>
      <c r="BF76" s="81">
        <f t="shared" si="56"/>
        <v>135</v>
      </c>
      <c r="BG76" s="81">
        <f t="shared" si="56"/>
        <v>123.3</v>
      </c>
      <c r="BH76" s="81">
        <f t="shared" si="56"/>
        <v>119</v>
      </c>
      <c r="BI76" s="81">
        <f t="shared" si="56"/>
        <v>122</v>
      </c>
      <c r="BJ76" s="81">
        <f t="shared" si="56"/>
        <v>122</v>
      </c>
      <c r="BK76" s="81">
        <f t="shared" si="56"/>
        <v>117.1</v>
      </c>
      <c r="BL76" s="81">
        <f t="shared" si="56"/>
        <v>117</v>
      </c>
      <c r="BM76" s="81">
        <f t="shared" si="56"/>
        <v>116.3</v>
      </c>
      <c r="BN76" s="81">
        <f t="shared" si="56"/>
        <v>128.80000000000001</v>
      </c>
      <c r="BO76" s="81">
        <f t="shared" si="56"/>
        <v>130</v>
      </c>
      <c r="BP76" s="81">
        <f t="shared" si="56"/>
        <v>116.2</v>
      </c>
      <c r="BQ76" s="81">
        <f t="shared" si="56"/>
        <v>115.7</v>
      </c>
      <c r="BR76" s="81">
        <f t="shared" si="56"/>
        <v>0</v>
      </c>
      <c r="BS76" s="81">
        <f t="shared" si="56"/>
        <v>0</v>
      </c>
      <c r="BT76" s="81">
        <f t="shared" si="56"/>
        <v>0</v>
      </c>
      <c r="BU76" s="81">
        <f t="shared" si="56"/>
        <v>0</v>
      </c>
      <c r="BV76" s="81">
        <f t="shared" si="56"/>
        <v>0</v>
      </c>
      <c r="BW76" s="81">
        <f t="shared" si="56"/>
        <v>0</v>
      </c>
    </row>
    <row r="77" spans="1:75" x14ac:dyDescent="0.25">
      <c r="A77" s="45" t="s">
        <v>100</v>
      </c>
      <c r="B77" s="46">
        <v>59.4</v>
      </c>
      <c r="C77" s="46">
        <v>59.4</v>
      </c>
      <c r="D77" s="46">
        <v>59.4</v>
      </c>
      <c r="E77" s="46">
        <v>59.4</v>
      </c>
      <c r="F77" s="46">
        <v>59.4</v>
      </c>
      <c r="G77" s="46">
        <v>59.4</v>
      </c>
      <c r="H77" s="46">
        <v>59.4</v>
      </c>
      <c r="I77" s="46">
        <v>59.4</v>
      </c>
      <c r="J77" s="46">
        <v>30</v>
      </c>
      <c r="K77" s="46">
        <v>59</v>
      </c>
      <c r="L77" s="46">
        <v>59.3</v>
      </c>
      <c r="M77" s="46">
        <v>59.3</v>
      </c>
      <c r="N77" s="46">
        <v>59.3</v>
      </c>
      <c r="O77" s="46">
        <v>59.3</v>
      </c>
      <c r="P77" s="46">
        <v>59.3</v>
      </c>
      <c r="Q77" s="46">
        <v>59.3</v>
      </c>
      <c r="R77" s="46">
        <v>59.3</v>
      </c>
      <c r="S77" s="46">
        <v>59.3</v>
      </c>
      <c r="T77" s="46">
        <v>59.5</v>
      </c>
      <c r="U77" s="46">
        <v>59.3</v>
      </c>
      <c r="V77" s="46">
        <v>59.5</v>
      </c>
      <c r="W77" s="46">
        <v>59.5</v>
      </c>
      <c r="X77" s="46">
        <v>59.4</v>
      </c>
      <c r="Y77" s="46">
        <v>58.5</v>
      </c>
      <c r="Z77" s="46">
        <v>59.2</v>
      </c>
      <c r="AA77" s="46">
        <v>59.3</v>
      </c>
      <c r="AB77" s="46">
        <v>59.3</v>
      </c>
      <c r="AC77" s="46">
        <v>59.3</v>
      </c>
      <c r="AD77" s="46">
        <v>59.3</v>
      </c>
      <c r="AE77" s="46">
        <v>59.3</v>
      </c>
      <c r="AF77" s="46">
        <v>59.3</v>
      </c>
      <c r="AG77" s="60">
        <v>60</v>
      </c>
      <c r="AH77" s="48">
        <f t="shared" si="10"/>
        <v>59.5</v>
      </c>
      <c r="AI77" s="49">
        <f t="shared" si="11"/>
        <v>30</v>
      </c>
      <c r="AK77" s="51"/>
      <c r="AZ77" s="81">
        <f t="shared" si="56"/>
        <v>95</v>
      </c>
      <c r="BA77" s="81">
        <f t="shared" si="56"/>
        <v>86.9</v>
      </c>
      <c r="BB77" s="81">
        <f t="shared" si="56"/>
        <v>69</v>
      </c>
      <c r="BC77" s="81">
        <f t="shared" si="56"/>
        <v>67.599999999999994</v>
      </c>
      <c r="BD77" s="81">
        <f t="shared" si="56"/>
        <v>96.1</v>
      </c>
      <c r="BE77" s="81">
        <f t="shared" si="56"/>
        <v>147.19999999999999</v>
      </c>
      <c r="BF77" s="81">
        <f t="shared" si="56"/>
        <v>420</v>
      </c>
      <c r="BG77" s="81">
        <f t="shared" si="56"/>
        <v>460</v>
      </c>
      <c r="BH77" s="81">
        <f t="shared" si="56"/>
        <v>455</v>
      </c>
      <c r="BI77" s="81">
        <f t="shared" si="56"/>
        <v>476</v>
      </c>
      <c r="BJ77" s="81">
        <f t="shared" si="56"/>
        <v>472</v>
      </c>
      <c r="BK77" s="81">
        <f t="shared" si="56"/>
        <v>490</v>
      </c>
      <c r="BL77" s="81">
        <f t="shared" si="56"/>
        <v>495</v>
      </c>
      <c r="BM77" s="81">
        <f t="shared" si="56"/>
        <v>514.9</v>
      </c>
      <c r="BN77" s="81">
        <f t="shared" si="56"/>
        <v>511</v>
      </c>
      <c r="BO77" s="81">
        <f t="shared" si="56"/>
        <v>461</v>
      </c>
      <c r="BP77" s="81">
        <f t="shared" si="56"/>
        <v>453.8</v>
      </c>
      <c r="BQ77" s="81">
        <f t="shared" si="56"/>
        <v>353.5</v>
      </c>
      <c r="BR77" s="81">
        <f t="shared" si="56"/>
        <v>160</v>
      </c>
      <c r="BS77" s="81">
        <f t="shared" si="56"/>
        <v>115.5</v>
      </c>
      <c r="BT77" s="81">
        <f t="shared" si="56"/>
        <v>249</v>
      </c>
      <c r="BU77" s="81">
        <f t="shared" si="56"/>
        <v>10</v>
      </c>
      <c r="BV77" s="81">
        <f t="shared" si="56"/>
        <v>110</v>
      </c>
      <c r="BW77" s="81">
        <f t="shared" si="56"/>
        <v>91.8</v>
      </c>
    </row>
    <row r="78" spans="1:75" x14ac:dyDescent="0.25">
      <c r="A78" s="64" t="s">
        <v>101</v>
      </c>
      <c r="B78" s="75">
        <v>27.1</v>
      </c>
      <c r="C78" s="75">
        <v>27.1</v>
      </c>
      <c r="D78" s="75">
        <v>27.1</v>
      </c>
      <c r="E78" s="75">
        <v>27.1</v>
      </c>
      <c r="F78" s="75">
        <v>27.1</v>
      </c>
      <c r="G78" s="75">
        <v>27.1</v>
      </c>
      <c r="H78" s="75">
        <v>27.1</v>
      </c>
      <c r="I78" s="75">
        <v>27.1</v>
      </c>
      <c r="J78" s="75">
        <v>16.3</v>
      </c>
      <c r="K78" s="75">
        <v>23.7</v>
      </c>
      <c r="L78" s="75">
        <v>26.8</v>
      </c>
      <c r="M78" s="75">
        <v>26.8</v>
      </c>
      <c r="N78" s="75">
        <v>26.8</v>
      </c>
      <c r="O78" s="75">
        <v>26.8</v>
      </c>
      <c r="P78" s="75">
        <v>26.8</v>
      </c>
      <c r="Q78" s="75">
        <v>26.8</v>
      </c>
      <c r="R78" s="75">
        <v>26.8</v>
      </c>
      <c r="S78" s="75">
        <v>26.8</v>
      </c>
      <c r="T78" s="75">
        <v>28.4</v>
      </c>
      <c r="U78" s="75">
        <v>28.1</v>
      </c>
      <c r="V78" s="75">
        <v>26.8</v>
      </c>
      <c r="W78" s="75">
        <v>26.8</v>
      </c>
      <c r="X78" s="75">
        <v>27.8</v>
      </c>
      <c r="Y78" s="75">
        <v>26.8</v>
      </c>
      <c r="Z78" s="75">
        <v>27.7</v>
      </c>
      <c r="AA78" s="75">
        <v>27.7</v>
      </c>
      <c r="AB78" s="75">
        <v>27.7</v>
      </c>
      <c r="AC78" s="75">
        <v>27.7</v>
      </c>
      <c r="AD78" s="75">
        <v>27.7</v>
      </c>
      <c r="AE78" s="75">
        <v>27.7</v>
      </c>
      <c r="AF78" s="75">
        <v>27.7</v>
      </c>
      <c r="AG78" s="65">
        <v>32</v>
      </c>
      <c r="AH78" s="48">
        <f t="shared" si="10"/>
        <v>28.4</v>
      </c>
      <c r="AI78" s="49">
        <f t="shared" si="11"/>
        <v>16.3</v>
      </c>
      <c r="AK78" s="51"/>
      <c r="AZ78" s="81">
        <f t="shared" si="56"/>
        <v>0</v>
      </c>
      <c r="BA78" s="81">
        <f t="shared" si="56"/>
        <v>0</v>
      </c>
      <c r="BB78" s="81">
        <f t="shared" si="56"/>
        <v>0</v>
      </c>
      <c r="BC78" s="81">
        <f t="shared" si="56"/>
        <v>0</v>
      </c>
      <c r="BD78" s="81">
        <f t="shared" si="56"/>
        <v>0</v>
      </c>
      <c r="BE78" s="81">
        <f t="shared" si="56"/>
        <v>0</v>
      </c>
      <c r="BF78" s="81">
        <f t="shared" si="56"/>
        <v>40</v>
      </c>
      <c r="BG78" s="81">
        <f t="shared" si="56"/>
        <v>57.5</v>
      </c>
      <c r="BH78" s="81">
        <f t="shared" si="56"/>
        <v>50</v>
      </c>
      <c r="BI78" s="81">
        <f t="shared" si="56"/>
        <v>50</v>
      </c>
      <c r="BJ78" s="81">
        <f t="shared" si="56"/>
        <v>51</v>
      </c>
      <c r="BK78" s="81">
        <f t="shared" si="56"/>
        <v>55.9</v>
      </c>
      <c r="BL78" s="81">
        <f t="shared" si="56"/>
        <v>55.9</v>
      </c>
      <c r="BM78" s="81">
        <f t="shared" si="56"/>
        <v>50.8</v>
      </c>
      <c r="BN78" s="81">
        <f t="shared" si="56"/>
        <v>50.7</v>
      </c>
      <c r="BO78" s="81">
        <f t="shared" si="56"/>
        <v>59.2</v>
      </c>
      <c r="BP78" s="81">
        <f t="shared" si="56"/>
        <v>45.8</v>
      </c>
      <c r="BQ78" s="81">
        <f t="shared" si="56"/>
        <v>36.200000000000003</v>
      </c>
      <c r="BR78" s="81">
        <f t="shared" si="56"/>
        <v>15</v>
      </c>
      <c r="BS78" s="81">
        <f t="shared" si="56"/>
        <v>15.9</v>
      </c>
      <c r="BT78" s="81">
        <f t="shared" si="56"/>
        <v>20.399999999999999</v>
      </c>
      <c r="BU78" s="81">
        <f t="shared" si="56"/>
        <v>15</v>
      </c>
      <c r="BV78" s="81">
        <f t="shared" si="56"/>
        <v>15</v>
      </c>
      <c r="BW78" s="81">
        <f t="shared" si="56"/>
        <v>0</v>
      </c>
    </row>
    <row r="79" spans="1:75" ht="15.75" thickBot="1" x14ac:dyDescent="0.3">
      <c r="A79" s="83" t="s">
        <v>102</v>
      </c>
      <c r="B79" s="77">
        <v>9.9</v>
      </c>
      <c r="C79" s="77">
        <v>9.9</v>
      </c>
      <c r="D79" s="77">
        <v>9.9</v>
      </c>
      <c r="E79" s="77">
        <v>9.9</v>
      </c>
      <c r="F79" s="77">
        <v>9.9</v>
      </c>
      <c r="G79" s="77">
        <v>9.9</v>
      </c>
      <c r="H79" s="77">
        <v>9.9</v>
      </c>
      <c r="I79" s="77">
        <v>9.9</v>
      </c>
      <c r="J79" s="77">
        <v>5.7</v>
      </c>
      <c r="K79" s="77">
        <v>8.6999999999999993</v>
      </c>
      <c r="L79" s="77">
        <v>9.8000000000000007</v>
      </c>
      <c r="M79" s="77">
        <v>9.8000000000000007</v>
      </c>
      <c r="N79" s="77">
        <v>9.8000000000000007</v>
      </c>
      <c r="O79" s="77">
        <v>9.8000000000000007</v>
      </c>
      <c r="P79" s="77">
        <v>9.8000000000000007</v>
      </c>
      <c r="Q79" s="77">
        <v>9.8000000000000007</v>
      </c>
      <c r="R79" s="77">
        <v>9.8000000000000007</v>
      </c>
      <c r="S79" s="77">
        <v>9.8000000000000007</v>
      </c>
      <c r="T79" s="77">
        <v>10.4</v>
      </c>
      <c r="U79" s="77">
        <v>10.3</v>
      </c>
      <c r="V79" s="77">
        <v>9.8000000000000007</v>
      </c>
      <c r="W79" s="77">
        <v>9.8000000000000007</v>
      </c>
      <c r="X79" s="77">
        <v>10.1</v>
      </c>
      <c r="Y79" s="77">
        <v>9.8000000000000007</v>
      </c>
      <c r="Z79" s="77">
        <v>10.1</v>
      </c>
      <c r="AA79" s="77">
        <v>10.1</v>
      </c>
      <c r="AB79" s="77">
        <v>10.1</v>
      </c>
      <c r="AC79" s="77">
        <v>10.1</v>
      </c>
      <c r="AD79" s="77">
        <v>10.1</v>
      </c>
      <c r="AE79" s="77">
        <v>10.1</v>
      </c>
      <c r="AF79" s="77">
        <v>10.1</v>
      </c>
      <c r="AG79" s="78">
        <v>14</v>
      </c>
      <c r="AH79" s="48">
        <f t="shared" si="10"/>
        <v>10.4</v>
      </c>
      <c r="AI79" s="49">
        <f t="shared" si="11"/>
        <v>5.7</v>
      </c>
      <c r="AK79" s="51"/>
      <c r="AZ79" s="81">
        <f t="shared" si="56"/>
        <v>0</v>
      </c>
      <c r="BA79" s="81">
        <f t="shared" si="56"/>
        <v>0</v>
      </c>
      <c r="BB79" s="81">
        <f t="shared" si="56"/>
        <v>0</v>
      </c>
      <c r="BC79" s="81">
        <f t="shared" si="56"/>
        <v>0</v>
      </c>
      <c r="BD79" s="81">
        <f t="shared" si="56"/>
        <v>0</v>
      </c>
      <c r="BE79" s="81">
        <f t="shared" si="56"/>
        <v>0</v>
      </c>
      <c r="BF79" s="81">
        <f t="shared" si="56"/>
        <v>119.4</v>
      </c>
      <c r="BG79" s="81">
        <f t="shared" si="56"/>
        <v>120.7</v>
      </c>
      <c r="BH79" s="81">
        <f t="shared" si="56"/>
        <v>110</v>
      </c>
      <c r="BI79" s="81">
        <f t="shared" si="56"/>
        <v>145</v>
      </c>
      <c r="BJ79" s="81">
        <f t="shared" si="56"/>
        <v>156</v>
      </c>
      <c r="BK79" s="81">
        <f t="shared" si="56"/>
        <v>144</v>
      </c>
      <c r="BL79" s="81">
        <f t="shared" si="56"/>
        <v>157</v>
      </c>
      <c r="BM79" s="81">
        <f t="shared" si="56"/>
        <v>115.6</v>
      </c>
      <c r="BN79" s="81">
        <f t="shared" si="56"/>
        <v>134.9</v>
      </c>
      <c r="BO79" s="81">
        <f t="shared" si="56"/>
        <v>140</v>
      </c>
      <c r="BP79" s="81">
        <f t="shared" si="56"/>
        <v>122.2</v>
      </c>
      <c r="BQ79" s="81">
        <f t="shared" si="56"/>
        <v>80</v>
      </c>
      <c r="BR79" s="81">
        <f t="shared" si="56"/>
        <v>0</v>
      </c>
      <c r="BS79" s="81">
        <f t="shared" si="56"/>
        <v>0</v>
      </c>
      <c r="BT79" s="81">
        <f t="shared" si="56"/>
        <v>0</v>
      </c>
      <c r="BU79" s="81">
        <f t="shared" si="56"/>
        <v>0</v>
      </c>
      <c r="BV79" s="81">
        <f t="shared" si="56"/>
        <v>0</v>
      </c>
      <c r="BW79" s="81">
        <f t="shared" si="56"/>
        <v>0</v>
      </c>
    </row>
    <row r="80" spans="1:75" ht="15.75" thickBot="1" x14ac:dyDescent="0.3">
      <c r="A80" s="86" t="s">
        <v>103</v>
      </c>
      <c r="B80" s="70">
        <f t="shared" ref="B80:C80" si="57">B77+B78+B79</f>
        <v>96.4</v>
      </c>
      <c r="C80" s="70">
        <f t="shared" si="57"/>
        <v>96.4</v>
      </c>
      <c r="D80" s="70">
        <f t="shared" ref="D80" si="58">D77+D78+D79</f>
        <v>96.4</v>
      </c>
      <c r="E80" s="70">
        <f t="shared" ref="E80:AE80" si="59">E77+E78+E79</f>
        <v>96.4</v>
      </c>
      <c r="F80" s="70">
        <f t="shared" si="59"/>
        <v>96.4</v>
      </c>
      <c r="G80" s="70">
        <f t="shared" si="59"/>
        <v>96.4</v>
      </c>
      <c r="H80" s="70">
        <f t="shared" si="59"/>
        <v>96.4</v>
      </c>
      <c r="I80" s="70">
        <f t="shared" si="59"/>
        <v>96.4</v>
      </c>
      <c r="J80" s="70">
        <f t="shared" si="59"/>
        <v>52</v>
      </c>
      <c r="K80" s="70">
        <f t="shared" si="59"/>
        <v>91.4</v>
      </c>
      <c r="L80" s="70">
        <f t="shared" si="59"/>
        <v>95.899999999999991</v>
      </c>
      <c r="M80" s="70">
        <f t="shared" si="59"/>
        <v>95.899999999999991</v>
      </c>
      <c r="N80" s="70">
        <f t="shared" ref="N80" si="60">N77+N78+N79</f>
        <v>95.899999999999991</v>
      </c>
      <c r="O80" s="70">
        <f t="shared" si="59"/>
        <v>95.899999999999991</v>
      </c>
      <c r="P80" s="70">
        <f t="shared" si="59"/>
        <v>95.899999999999991</v>
      </c>
      <c r="Q80" s="70">
        <f t="shared" si="59"/>
        <v>95.899999999999991</v>
      </c>
      <c r="R80" s="70">
        <f t="shared" si="59"/>
        <v>95.899999999999991</v>
      </c>
      <c r="S80" s="70">
        <f t="shared" si="59"/>
        <v>95.899999999999991</v>
      </c>
      <c r="T80" s="70">
        <f t="shared" si="59"/>
        <v>98.300000000000011</v>
      </c>
      <c r="U80" s="70">
        <f t="shared" si="59"/>
        <v>97.7</v>
      </c>
      <c r="V80" s="70">
        <f t="shared" si="59"/>
        <v>96.1</v>
      </c>
      <c r="W80" s="70">
        <f t="shared" si="59"/>
        <v>96.1</v>
      </c>
      <c r="X80" s="70">
        <f t="shared" si="59"/>
        <v>97.3</v>
      </c>
      <c r="Y80" s="70">
        <f>Y77+Y78+Y79</f>
        <v>95.1</v>
      </c>
      <c r="Z80" s="70">
        <f>Z77+Z78+Z79</f>
        <v>97</v>
      </c>
      <c r="AA80" s="70">
        <f t="shared" si="59"/>
        <v>97.1</v>
      </c>
      <c r="AB80" s="70">
        <f t="shared" si="59"/>
        <v>97.1</v>
      </c>
      <c r="AC80" s="70">
        <f t="shared" si="59"/>
        <v>97.1</v>
      </c>
      <c r="AD80" s="70">
        <f t="shared" si="59"/>
        <v>97.1</v>
      </c>
      <c r="AE80" s="70">
        <f t="shared" si="59"/>
        <v>97.1</v>
      </c>
      <c r="AF80" s="70">
        <f t="shared" ref="AF80" si="61">AF77+AF78+AF79</f>
        <v>97.1</v>
      </c>
      <c r="AG80" s="71">
        <f>SUM(AG77:AG79)</f>
        <v>106</v>
      </c>
      <c r="AH80" s="48">
        <f t="shared" si="10"/>
        <v>98.300000000000011</v>
      </c>
      <c r="AI80" s="49">
        <f t="shared" si="11"/>
        <v>52</v>
      </c>
      <c r="AK80" s="51"/>
      <c r="AZ80" s="81">
        <f t="shared" si="56"/>
        <v>46</v>
      </c>
      <c r="BA80" s="81">
        <f t="shared" si="56"/>
        <v>45</v>
      </c>
      <c r="BB80" s="81">
        <f t="shared" si="56"/>
        <v>40.4</v>
      </c>
      <c r="BC80" s="81">
        <f t="shared" si="56"/>
        <v>38</v>
      </c>
      <c r="BD80" s="81">
        <f t="shared" si="56"/>
        <v>41</v>
      </c>
      <c r="BE80" s="81">
        <f t="shared" si="56"/>
        <v>38.700000000000003</v>
      </c>
      <c r="BF80" s="81">
        <f t="shared" si="56"/>
        <v>51</v>
      </c>
      <c r="BG80" s="81">
        <f t="shared" si="56"/>
        <v>56</v>
      </c>
      <c r="BH80" s="81">
        <f t="shared" si="56"/>
        <v>56</v>
      </c>
      <c r="BI80" s="81">
        <f t="shared" si="56"/>
        <v>56</v>
      </c>
      <c r="BJ80" s="81">
        <f t="shared" si="56"/>
        <v>56</v>
      </c>
      <c r="BK80" s="81">
        <f t="shared" si="56"/>
        <v>46.7</v>
      </c>
      <c r="BL80" s="81">
        <f t="shared" si="56"/>
        <v>57</v>
      </c>
      <c r="BM80" s="81">
        <f t="shared" si="56"/>
        <v>57.1</v>
      </c>
      <c r="BN80" s="81">
        <f t="shared" si="56"/>
        <v>57.1</v>
      </c>
      <c r="BO80" s="81">
        <f t="shared" si="56"/>
        <v>57.1</v>
      </c>
      <c r="BP80" s="81">
        <f t="shared" si="56"/>
        <v>57.1</v>
      </c>
      <c r="BQ80" s="81">
        <f t="shared" si="56"/>
        <v>52.6</v>
      </c>
      <c r="BR80" s="81">
        <f t="shared" si="56"/>
        <v>52.4</v>
      </c>
      <c r="BS80" s="81">
        <f t="shared" si="56"/>
        <v>54.9</v>
      </c>
      <c r="BT80" s="81">
        <f t="shared" si="56"/>
        <v>55.6</v>
      </c>
      <c r="BU80" s="81">
        <f t="shared" si="56"/>
        <v>55</v>
      </c>
      <c r="BV80" s="81">
        <f t="shared" si="56"/>
        <v>55</v>
      </c>
      <c r="BW80" s="81">
        <f t="shared" si="56"/>
        <v>44.2</v>
      </c>
    </row>
    <row r="81" spans="1:64" x14ac:dyDescent="0.25">
      <c r="A81" s="45" t="s">
        <v>104</v>
      </c>
      <c r="B81" s="46">
        <v>36.799999999999997</v>
      </c>
      <c r="C81" s="46">
        <v>35.700000000000003</v>
      </c>
      <c r="D81" s="46">
        <v>44.4</v>
      </c>
      <c r="E81" s="46">
        <v>39.9</v>
      </c>
      <c r="F81" s="46">
        <v>41.6</v>
      </c>
      <c r="G81" s="46">
        <v>42.4</v>
      </c>
      <c r="H81" s="46">
        <v>45.6</v>
      </c>
      <c r="I81" s="46">
        <v>37.4</v>
      </c>
      <c r="J81" s="46">
        <v>49</v>
      </c>
      <c r="K81" s="46">
        <v>61.5</v>
      </c>
      <c r="L81" s="46">
        <v>70</v>
      </c>
      <c r="M81" s="46">
        <v>69</v>
      </c>
      <c r="N81" s="46">
        <v>67</v>
      </c>
      <c r="O81" s="46">
        <v>67</v>
      </c>
      <c r="P81" s="46">
        <v>67</v>
      </c>
      <c r="Q81" s="46">
        <v>68.8</v>
      </c>
      <c r="R81" s="46">
        <v>70</v>
      </c>
      <c r="S81" s="46">
        <v>68.099999999999994</v>
      </c>
      <c r="T81" s="46">
        <v>77.900000000000006</v>
      </c>
      <c r="U81" s="46">
        <v>72.400000000000006</v>
      </c>
      <c r="V81" s="46">
        <v>72.7</v>
      </c>
      <c r="W81" s="46">
        <v>72.7</v>
      </c>
      <c r="X81" s="46">
        <v>72.900000000000006</v>
      </c>
      <c r="Y81" s="46">
        <v>44.2</v>
      </c>
      <c r="Z81" s="46">
        <v>52.5</v>
      </c>
      <c r="AA81" s="46">
        <v>55.1</v>
      </c>
      <c r="AB81" s="46">
        <v>53.5</v>
      </c>
      <c r="AC81" s="46">
        <v>48.6</v>
      </c>
      <c r="AD81" s="46">
        <v>45.8</v>
      </c>
      <c r="AE81" s="46">
        <v>40</v>
      </c>
      <c r="AF81" s="46">
        <v>30</v>
      </c>
      <c r="AG81" s="60"/>
      <c r="AH81" s="48">
        <f t="shared" si="10"/>
        <v>77.900000000000006</v>
      </c>
      <c r="AI81" s="49">
        <f t="shared" si="11"/>
        <v>30</v>
      </c>
      <c r="AK81" s="51"/>
      <c r="AY81" s="81"/>
    </row>
    <row r="82" spans="1:64" x14ac:dyDescent="0.25">
      <c r="A82" s="64" t="s">
        <v>105</v>
      </c>
      <c r="B82" s="75">
        <v>0</v>
      </c>
      <c r="C82" s="75">
        <v>0</v>
      </c>
      <c r="D82" s="75">
        <v>0</v>
      </c>
      <c r="E82" s="75"/>
      <c r="F82" s="75"/>
      <c r="G82" s="75"/>
      <c r="H82" s="75"/>
      <c r="I82" s="75"/>
      <c r="J82" s="75">
        <v>80</v>
      </c>
      <c r="K82" s="75">
        <v>135</v>
      </c>
      <c r="L82" s="75">
        <v>120.4</v>
      </c>
      <c r="M82" s="75">
        <v>123.3</v>
      </c>
      <c r="N82" s="75">
        <v>119</v>
      </c>
      <c r="O82" s="75">
        <v>122</v>
      </c>
      <c r="P82" s="75">
        <v>122</v>
      </c>
      <c r="Q82" s="75">
        <v>117.1</v>
      </c>
      <c r="R82" s="75">
        <v>117</v>
      </c>
      <c r="S82" s="75">
        <v>116.3</v>
      </c>
      <c r="T82" s="75">
        <v>128.80000000000001</v>
      </c>
      <c r="U82" s="75">
        <v>130</v>
      </c>
      <c r="V82" s="75">
        <v>116.2</v>
      </c>
      <c r="W82" s="75">
        <v>119.8</v>
      </c>
      <c r="X82" s="75">
        <v>115.7</v>
      </c>
      <c r="Y82" s="75">
        <v>131</v>
      </c>
      <c r="Z82" s="75">
        <v>0</v>
      </c>
      <c r="AA82" s="75">
        <v>0</v>
      </c>
      <c r="AB82" s="75"/>
      <c r="AC82" s="75"/>
      <c r="AD82" s="75"/>
      <c r="AE82" s="75"/>
      <c r="AF82" s="75"/>
      <c r="AG82" s="65"/>
      <c r="AH82" s="48">
        <f t="shared" ref="AH82:AH125" si="62">MAX(B82:AF82)</f>
        <v>135</v>
      </c>
      <c r="AI82" s="49">
        <f t="shared" ref="AI82:AI125" si="63">MIN(B82:AF82)</f>
        <v>0</v>
      </c>
      <c r="AK82" s="51"/>
      <c r="AY82" s="81"/>
      <c r="BF82" s="81"/>
      <c r="BG82" s="81"/>
      <c r="BH82" s="81"/>
      <c r="BI82" s="81"/>
      <c r="BJ82" s="81"/>
      <c r="BK82" s="81"/>
    </row>
    <row r="83" spans="1:64" x14ac:dyDescent="0.25">
      <c r="A83" s="64" t="s">
        <v>106</v>
      </c>
      <c r="B83" s="75">
        <v>91.8</v>
      </c>
      <c r="C83" s="75">
        <v>95.2</v>
      </c>
      <c r="D83" s="75">
        <v>86.9</v>
      </c>
      <c r="E83" s="75">
        <v>69</v>
      </c>
      <c r="F83" s="75">
        <v>67.599999999999994</v>
      </c>
      <c r="G83" s="75">
        <v>96.1</v>
      </c>
      <c r="H83" s="75">
        <v>130</v>
      </c>
      <c r="I83" s="75">
        <v>147.19999999999999</v>
      </c>
      <c r="J83" s="75">
        <v>380</v>
      </c>
      <c r="K83" s="75">
        <v>420</v>
      </c>
      <c r="L83" s="75">
        <v>489</v>
      </c>
      <c r="M83" s="75">
        <v>460</v>
      </c>
      <c r="N83" s="75">
        <v>455</v>
      </c>
      <c r="O83" s="75">
        <v>476</v>
      </c>
      <c r="P83" s="75">
        <v>472</v>
      </c>
      <c r="Q83" s="75">
        <v>490</v>
      </c>
      <c r="R83" s="75">
        <v>495</v>
      </c>
      <c r="S83" s="75">
        <v>514.9</v>
      </c>
      <c r="T83" s="75">
        <v>511</v>
      </c>
      <c r="U83" s="75">
        <v>461</v>
      </c>
      <c r="V83" s="75">
        <v>453.8</v>
      </c>
      <c r="W83" s="75">
        <v>471</v>
      </c>
      <c r="X83" s="75">
        <v>353.5</v>
      </c>
      <c r="Y83" s="75">
        <v>112.5</v>
      </c>
      <c r="Z83" s="75">
        <v>160</v>
      </c>
      <c r="AA83" s="75">
        <v>90</v>
      </c>
      <c r="AB83" s="75">
        <v>115.5</v>
      </c>
      <c r="AC83" s="75">
        <v>125.4</v>
      </c>
      <c r="AD83" s="75">
        <v>249</v>
      </c>
      <c r="AE83" s="75">
        <v>10</v>
      </c>
      <c r="AF83" s="75">
        <v>110</v>
      </c>
      <c r="AG83" s="87"/>
      <c r="AH83" s="48">
        <f t="shared" si="62"/>
        <v>514.9</v>
      </c>
      <c r="AI83" s="49">
        <f t="shared" si="63"/>
        <v>10</v>
      </c>
      <c r="AK83" s="51"/>
      <c r="AY83" s="81"/>
      <c r="BF83" s="80"/>
      <c r="BG83" s="80"/>
      <c r="BH83" s="80"/>
      <c r="BI83" s="80"/>
      <c r="BJ83" s="80"/>
      <c r="BK83" s="81"/>
    </row>
    <row r="84" spans="1:64" x14ac:dyDescent="0.25">
      <c r="A84" s="64" t="s">
        <v>107</v>
      </c>
      <c r="B84" s="88"/>
      <c r="C84" s="88"/>
      <c r="D84" s="88"/>
      <c r="E84" s="88"/>
      <c r="F84" s="88"/>
      <c r="G84" s="88"/>
      <c r="H84" s="88"/>
      <c r="I84" s="88"/>
      <c r="J84" s="88">
        <v>42.9</v>
      </c>
      <c r="K84" s="88">
        <v>40</v>
      </c>
      <c r="L84" s="88">
        <v>56</v>
      </c>
      <c r="M84" s="88">
        <v>57.5</v>
      </c>
      <c r="N84" s="88">
        <v>50</v>
      </c>
      <c r="O84" s="88">
        <v>50</v>
      </c>
      <c r="P84" s="88">
        <v>51</v>
      </c>
      <c r="Q84" s="88">
        <v>55.9</v>
      </c>
      <c r="R84" s="88">
        <v>55.9</v>
      </c>
      <c r="S84" s="88">
        <v>50.8</v>
      </c>
      <c r="T84" s="88">
        <v>50.7</v>
      </c>
      <c r="U84" s="88">
        <v>59.2</v>
      </c>
      <c r="V84" s="88">
        <v>45.8</v>
      </c>
      <c r="W84" s="88">
        <v>38.700000000000003</v>
      </c>
      <c r="X84" s="88">
        <v>36.200000000000003</v>
      </c>
      <c r="Y84" s="88">
        <v>30.8</v>
      </c>
      <c r="Z84" s="88">
        <v>15</v>
      </c>
      <c r="AA84" s="88">
        <v>14.4</v>
      </c>
      <c r="AB84" s="88">
        <v>15.9</v>
      </c>
      <c r="AC84" s="88">
        <v>16.899999999999999</v>
      </c>
      <c r="AD84" s="88">
        <v>20.399999999999999</v>
      </c>
      <c r="AE84" s="88">
        <v>15</v>
      </c>
      <c r="AF84" s="88">
        <v>15</v>
      </c>
      <c r="AG84" s="87"/>
      <c r="AH84" s="48">
        <f t="shared" si="62"/>
        <v>59.2</v>
      </c>
      <c r="AI84" s="49">
        <f t="shared" si="63"/>
        <v>14.4</v>
      </c>
      <c r="AK84" s="51"/>
      <c r="AY84" s="81"/>
      <c r="BF84" s="80"/>
      <c r="BG84" s="81">
        <f t="array" ref="BG84:BL107">TRANSPOSE(AZ68:BW73)</f>
        <v>36</v>
      </c>
      <c r="BH84" s="81">
        <v>0</v>
      </c>
      <c r="BI84" s="81">
        <v>95</v>
      </c>
      <c r="BJ84" s="81">
        <v>0</v>
      </c>
      <c r="BK84" s="81">
        <v>0</v>
      </c>
      <c r="BL84" s="81">
        <v>46</v>
      </c>
    </row>
    <row r="85" spans="1:64" x14ac:dyDescent="0.25">
      <c r="A85" s="64" t="s">
        <v>108</v>
      </c>
      <c r="B85" s="46"/>
      <c r="C85" s="46"/>
      <c r="D85" s="46"/>
      <c r="E85" s="46"/>
      <c r="F85" s="46"/>
      <c r="G85" s="46"/>
      <c r="H85" s="46"/>
      <c r="I85" s="46"/>
      <c r="J85" s="46">
        <v>100</v>
      </c>
      <c r="K85" s="46">
        <v>119.4</v>
      </c>
      <c r="L85" s="46">
        <v>128</v>
      </c>
      <c r="M85" s="46">
        <v>120.7</v>
      </c>
      <c r="N85" s="46">
        <v>110</v>
      </c>
      <c r="O85" s="46">
        <v>145</v>
      </c>
      <c r="P85" s="46">
        <v>156</v>
      </c>
      <c r="Q85" s="46">
        <v>144</v>
      </c>
      <c r="R85" s="46">
        <v>157</v>
      </c>
      <c r="S85" s="46">
        <v>115.6</v>
      </c>
      <c r="T85" s="46">
        <v>134.9</v>
      </c>
      <c r="U85" s="46">
        <v>140</v>
      </c>
      <c r="V85" s="46">
        <v>122.2</v>
      </c>
      <c r="W85" s="46">
        <v>130.5</v>
      </c>
      <c r="X85" s="46">
        <v>80</v>
      </c>
      <c r="Y85" s="46">
        <v>57.3</v>
      </c>
      <c r="Z85" s="46">
        <v>0</v>
      </c>
      <c r="AA85" s="46">
        <v>0</v>
      </c>
      <c r="AB85" s="46"/>
      <c r="AC85" s="46"/>
      <c r="AD85" s="46"/>
      <c r="AE85" s="46"/>
      <c r="AF85" s="46"/>
      <c r="AG85" s="87"/>
      <c r="AH85" s="48">
        <f t="shared" si="62"/>
        <v>157</v>
      </c>
      <c r="AI85" s="49">
        <f t="shared" si="63"/>
        <v>0</v>
      </c>
      <c r="AK85" s="51"/>
      <c r="AY85" s="81"/>
      <c r="BF85" s="80"/>
      <c r="BG85" s="81">
        <v>44.4</v>
      </c>
      <c r="BH85" s="81">
        <v>0</v>
      </c>
      <c r="BI85" s="81">
        <v>86.9</v>
      </c>
      <c r="BJ85" s="81">
        <v>0</v>
      </c>
      <c r="BK85" s="81">
        <v>0</v>
      </c>
      <c r="BL85" s="81">
        <v>45</v>
      </c>
    </row>
    <row r="86" spans="1:64" x14ac:dyDescent="0.25">
      <c r="A86" s="64" t="s">
        <v>109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>
        <v>0</v>
      </c>
      <c r="AA86" s="89">
        <v>0</v>
      </c>
      <c r="AB86" s="89"/>
      <c r="AC86" s="89"/>
      <c r="AD86" s="89"/>
      <c r="AE86" s="89"/>
      <c r="AF86" s="89"/>
      <c r="AG86" s="87"/>
      <c r="AH86" s="48">
        <f t="shared" si="62"/>
        <v>0</v>
      </c>
      <c r="AI86" s="49">
        <f t="shared" si="63"/>
        <v>0</v>
      </c>
      <c r="AK86" s="51"/>
      <c r="AY86" s="81"/>
      <c r="BF86" s="80"/>
      <c r="BG86" s="81">
        <v>39.9</v>
      </c>
      <c r="BH86" s="81">
        <v>0</v>
      </c>
      <c r="BI86" s="81">
        <v>69</v>
      </c>
      <c r="BJ86" s="81">
        <v>0</v>
      </c>
      <c r="BK86" s="81">
        <v>0</v>
      </c>
      <c r="BL86" s="81">
        <v>40.4</v>
      </c>
    </row>
    <row r="87" spans="1:64" ht="15.75" thickBot="1" x14ac:dyDescent="0.3">
      <c r="A87" s="64" t="s">
        <v>110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>
        <v>0</v>
      </c>
      <c r="AB87" s="89"/>
      <c r="AC87" s="89"/>
      <c r="AD87" s="89"/>
      <c r="AE87" s="89"/>
      <c r="AF87" s="89"/>
      <c r="AG87" s="87"/>
      <c r="AH87" s="48">
        <f t="shared" si="62"/>
        <v>0</v>
      </c>
      <c r="AI87" s="49">
        <f t="shared" si="63"/>
        <v>0</v>
      </c>
      <c r="AK87" s="51"/>
      <c r="AL87" s="90" t="s">
        <v>111</v>
      </c>
      <c r="AM87" s="90"/>
      <c r="AY87" s="81"/>
      <c r="BF87" s="81"/>
      <c r="BG87" s="81">
        <v>41.6</v>
      </c>
      <c r="BH87" s="81">
        <v>0</v>
      </c>
      <c r="BI87" s="81">
        <v>67.599999999999994</v>
      </c>
      <c r="BJ87" s="81">
        <v>0</v>
      </c>
      <c r="BK87" s="81">
        <v>0</v>
      </c>
      <c r="BL87" s="81">
        <v>38</v>
      </c>
    </row>
    <row r="88" spans="1:64" x14ac:dyDescent="0.25">
      <c r="A88" s="64" t="s">
        <v>112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>
        <v>0</v>
      </c>
      <c r="AB88" s="89"/>
      <c r="AC88" s="89"/>
      <c r="AD88" s="89"/>
      <c r="AE88" s="89"/>
      <c r="AF88" s="89"/>
      <c r="AG88" s="87"/>
      <c r="AH88" s="48">
        <f t="shared" si="62"/>
        <v>0</v>
      </c>
      <c r="AI88" s="49">
        <f t="shared" si="63"/>
        <v>0</v>
      </c>
      <c r="AK88" s="91"/>
      <c r="AL88" s="92"/>
      <c r="AM88" s="92"/>
      <c r="AN88" s="93"/>
      <c r="AY88" s="81"/>
      <c r="BF88" s="81"/>
      <c r="BG88" s="81">
        <v>42.4</v>
      </c>
      <c r="BH88" s="81">
        <v>0</v>
      </c>
      <c r="BI88" s="81">
        <v>96.1</v>
      </c>
      <c r="BJ88" s="81">
        <v>0</v>
      </c>
      <c r="BK88" s="81">
        <v>0</v>
      </c>
      <c r="BL88" s="81">
        <v>41</v>
      </c>
    </row>
    <row r="89" spans="1:64" x14ac:dyDescent="0.25">
      <c r="A89" s="64" t="s">
        <v>113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>
        <v>0</v>
      </c>
      <c r="AB89" s="89"/>
      <c r="AC89" s="89"/>
      <c r="AD89" s="89"/>
      <c r="AE89" s="89"/>
      <c r="AF89" s="89"/>
      <c r="AG89" s="87"/>
      <c r="AH89" s="48">
        <f t="shared" si="62"/>
        <v>0</v>
      </c>
      <c r="AI89" s="49">
        <f t="shared" si="63"/>
        <v>0</v>
      </c>
      <c r="AK89" s="94" t="s">
        <v>114</v>
      </c>
      <c r="AL89" s="75"/>
      <c r="AM89" s="88"/>
      <c r="AN89" s="95"/>
      <c r="AY89" s="81"/>
      <c r="BF89" s="81"/>
      <c r="BG89" s="81">
        <v>37.4</v>
      </c>
      <c r="BH89" s="81">
        <v>0</v>
      </c>
      <c r="BI89" s="81">
        <v>147.19999999999999</v>
      </c>
      <c r="BJ89" s="81">
        <v>0</v>
      </c>
      <c r="BK89" s="81">
        <v>0</v>
      </c>
      <c r="BL89" s="81">
        <v>38.700000000000003</v>
      </c>
    </row>
    <row r="90" spans="1:64" x14ac:dyDescent="0.25">
      <c r="A90" s="96" t="s">
        <v>115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>
        <v>0</v>
      </c>
      <c r="AB90" s="89"/>
      <c r="AC90" s="89"/>
      <c r="AD90" s="89"/>
      <c r="AE90" s="89"/>
      <c r="AF90" s="89"/>
      <c r="AG90" s="97"/>
      <c r="AH90" s="48">
        <f t="shared" si="62"/>
        <v>0</v>
      </c>
      <c r="AI90" s="49">
        <f t="shared" si="63"/>
        <v>0</v>
      </c>
      <c r="AK90" s="94" t="s">
        <v>116</v>
      </c>
      <c r="AL90" s="88"/>
      <c r="AM90" s="88"/>
      <c r="AN90" s="95"/>
      <c r="AY90" s="81"/>
      <c r="BF90" s="81"/>
      <c r="BG90" s="81">
        <v>61.5</v>
      </c>
      <c r="BH90" s="81">
        <v>135</v>
      </c>
      <c r="BI90" s="81">
        <v>420</v>
      </c>
      <c r="BJ90" s="81">
        <v>40</v>
      </c>
      <c r="BK90" s="81">
        <v>119.4</v>
      </c>
      <c r="BL90" s="81">
        <v>51</v>
      </c>
    </row>
    <row r="91" spans="1:64" ht="15.75" thickBot="1" x14ac:dyDescent="0.3">
      <c r="A91" s="96" t="s">
        <v>117</v>
      </c>
      <c r="B91" s="89">
        <v>44.2</v>
      </c>
      <c r="C91" s="89">
        <v>45.6</v>
      </c>
      <c r="D91" s="89">
        <v>45</v>
      </c>
      <c r="E91" s="89">
        <v>40.4</v>
      </c>
      <c r="F91" s="89">
        <v>38</v>
      </c>
      <c r="G91" s="89">
        <v>41</v>
      </c>
      <c r="H91" s="89">
        <v>40</v>
      </c>
      <c r="I91" s="89">
        <v>38.700000000000003</v>
      </c>
      <c r="J91" s="89">
        <v>52.5</v>
      </c>
      <c r="K91" s="89">
        <v>51</v>
      </c>
      <c r="L91" s="89">
        <v>54.1</v>
      </c>
      <c r="M91" s="89">
        <v>56</v>
      </c>
      <c r="N91" s="89">
        <v>56</v>
      </c>
      <c r="O91" s="89">
        <v>56</v>
      </c>
      <c r="P91" s="89">
        <v>56</v>
      </c>
      <c r="Q91" s="89">
        <v>46.7</v>
      </c>
      <c r="R91" s="89">
        <v>57</v>
      </c>
      <c r="S91" s="89">
        <v>57.1</v>
      </c>
      <c r="T91" s="89">
        <v>57.1</v>
      </c>
      <c r="U91" s="89">
        <v>57.1</v>
      </c>
      <c r="V91" s="89">
        <v>57.1</v>
      </c>
      <c r="W91" s="89">
        <v>57.1</v>
      </c>
      <c r="X91" s="89">
        <v>52.6</v>
      </c>
      <c r="Y91" s="89">
        <v>47.1</v>
      </c>
      <c r="Z91" s="89">
        <v>52.4</v>
      </c>
      <c r="AA91" s="89">
        <v>55.3</v>
      </c>
      <c r="AB91" s="89">
        <v>54.9</v>
      </c>
      <c r="AC91" s="89">
        <v>53.9</v>
      </c>
      <c r="AD91" s="89">
        <v>55.6</v>
      </c>
      <c r="AE91" s="89">
        <v>55</v>
      </c>
      <c r="AF91" s="89">
        <v>55</v>
      </c>
      <c r="AG91" s="97"/>
      <c r="AH91" s="48">
        <f t="shared" si="62"/>
        <v>57.1</v>
      </c>
      <c r="AI91" s="49">
        <f t="shared" si="63"/>
        <v>38</v>
      </c>
      <c r="AK91" s="98"/>
      <c r="AL91" s="46"/>
      <c r="AM91" s="46"/>
      <c r="AN91" s="99"/>
      <c r="AY91" s="81"/>
      <c r="BF91" s="81"/>
      <c r="BG91" s="81">
        <v>69</v>
      </c>
      <c r="BH91" s="81">
        <v>123.3</v>
      </c>
      <c r="BI91" s="81">
        <v>460</v>
      </c>
      <c r="BJ91" s="81">
        <v>57.5</v>
      </c>
      <c r="BK91" s="81">
        <v>120.7</v>
      </c>
      <c r="BL91" s="81">
        <v>56</v>
      </c>
    </row>
    <row r="92" spans="1:64" ht="15.75" thickBot="1" x14ac:dyDescent="0.3">
      <c r="A92" s="86" t="s">
        <v>118</v>
      </c>
      <c r="B92" s="70">
        <f t="shared" ref="B92" si="64">SUMIF(B81:B91,"&gt;0")</f>
        <v>172.8</v>
      </c>
      <c r="C92" s="70">
        <f t="shared" ref="C92:AE92" si="65">SUMIF(C81:C91,"&gt;0")</f>
        <v>176.5</v>
      </c>
      <c r="D92" s="70">
        <f t="shared" ref="D92" si="66">SUMIF(D81:D91,"&gt;0")</f>
        <v>176.3</v>
      </c>
      <c r="E92" s="70">
        <f t="shared" si="65"/>
        <v>149.30000000000001</v>
      </c>
      <c r="F92" s="70">
        <f t="shared" si="65"/>
        <v>147.19999999999999</v>
      </c>
      <c r="G92" s="70">
        <f t="shared" si="65"/>
        <v>179.5</v>
      </c>
      <c r="H92" s="70">
        <f t="shared" si="65"/>
        <v>215.6</v>
      </c>
      <c r="I92" s="70">
        <f t="shared" si="65"/>
        <v>223.3</v>
      </c>
      <c r="J92" s="70">
        <f t="shared" si="65"/>
        <v>704.4</v>
      </c>
      <c r="K92" s="70">
        <f t="shared" si="65"/>
        <v>826.9</v>
      </c>
      <c r="L92" s="70">
        <f t="shared" si="65"/>
        <v>917.5</v>
      </c>
      <c r="M92" s="70">
        <f t="shared" si="65"/>
        <v>886.5</v>
      </c>
      <c r="N92" s="70">
        <f t="shared" si="65"/>
        <v>857</v>
      </c>
      <c r="O92" s="70">
        <f t="shared" si="65"/>
        <v>916</v>
      </c>
      <c r="P92" s="70">
        <f t="shared" si="65"/>
        <v>924</v>
      </c>
      <c r="Q92" s="70">
        <f t="shared" si="65"/>
        <v>922.5</v>
      </c>
      <c r="R92" s="70">
        <f t="shared" si="65"/>
        <v>951.9</v>
      </c>
      <c r="S92" s="70">
        <f t="shared" si="65"/>
        <v>922.8</v>
      </c>
      <c r="T92" s="70">
        <f t="shared" si="65"/>
        <v>960.40000000000009</v>
      </c>
      <c r="U92" s="70">
        <f t="shared" si="65"/>
        <v>919.7</v>
      </c>
      <c r="V92" s="70">
        <f t="shared" si="65"/>
        <v>867.80000000000007</v>
      </c>
      <c r="W92" s="70">
        <f t="shared" si="65"/>
        <v>889.80000000000007</v>
      </c>
      <c r="X92" s="70">
        <f t="shared" si="65"/>
        <v>710.90000000000009</v>
      </c>
      <c r="Y92" s="70">
        <f>SUMIF(Y81:Y91,"&gt;0")</f>
        <v>422.90000000000003</v>
      </c>
      <c r="Z92" s="70">
        <f>SUMIF(Z81:Z91,"&gt;0")</f>
        <v>279.89999999999998</v>
      </c>
      <c r="AA92" s="70">
        <f t="shared" si="65"/>
        <v>214.8</v>
      </c>
      <c r="AB92" s="70">
        <f t="shared" si="65"/>
        <v>239.8</v>
      </c>
      <c r="AC92" s="70">
        <f t="shared" si="65"/>
        <v>244.8</v>
      </c>
      <c r="AD92" s="70">
        <f t="shared" si="65"/>
        <v>370.8</v>
      </c>
      <c r="AE92" s="70">
        <f t="shared" si="65"/>
        <v>120</v>
      </c>
      <c r="AF92" s="70">
        <f t="shared" ref="AF92" si="67">SUMIF(AF81:AF91,"&gt;0")</f>
        <v>210</v>
      </c>
      <c r="AG92" s="100">
        <f>SUM(AG81:AG91)</f>
        <v>0</v>
      </c>
      <c r="AH92" s="48">
        <f t="shared" si="62"/>
        <v>960.40000000000009</v>
      </c>
      <c r="AI92" s="49">
        <f t="shared" si="63"/>
        <v>120</v>
      </c>
      <c r="AK92" s="98"/>
      <c r="AL92" s="89"/>
      <c r="AM92" s="101"/>
      <c r="AN92" s="202"/>
      <c r="AY92" s="81"/>
      <c r="BF92" s="81"/>
      <c r="BG92" s="81">
        <v>67</v>
      </c>
      <c r="BH92" s="81">
        <v>119</v>
      </c>
      <c r="BI92" s="81">
        <v>455</v>
      </c>
      <c r="BJ92" s="81">
        <v>50</v>
      </c>
      <c r="BK92" s="81">
        <v>110</v>
      </c>
      <c r="BL92" s="81">
        <v>56</v>
      </c>
    </row>
    <row r="93" spans="1:64" x14ac:dyDescent="0.25">
      <c r="A93" s="45" t="s">
        <v>119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62"/>
        <v>0</v>
      </c>
      <c r="AI93" s="49">
        <f t="shared" si="63"/>
        <v>0</v>
      </c>
      <c r="AK93" s="98"/>
      <c r="AL93" s="89"/>
      <c r="AM93" s="89"/>
      <c r="AN93" s="203"/>
      <c r="BF93" s="81"/>
      <c r="BG93" s="81">
        <v>67</v>
      </c>
      <c r="BH93" s="81">
        <v>122</v>
      </c>
      <c r="BI93" s="81">
        <v>476</v>
      </c>
      <c r="BJ93" s="81">
        <v>50</v>
      </c>
      <c r="BK93" s="81">
        <v>145</v>
      </c>
      <c r="BL93" s="81">
        <v>56</v>
      </c>
    </row>
    <row r="94" spans="1:64" ht="15.75" thickBot="1" x14ac:dyDescent="0.3">
      <c r="A94" s="64" t="s">
        <v>120</v>
      </c>
      <c r="B94" s="89">
        <v>0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62"/>
        <v>0</v>
      </c>
      <c r="AI94" s="49">
        <f t="shared" si="63"/>
        <v>0</v>
      </c>
      <c r="AK94" s="103"/>
      <c r="AL94" s="104"/>
      <c r="AM94" s="104"/>
      <c r="AN94" s="105"/>
      <c r="BF94" s="81"/>
      <c r="BG94" s="81">
        <v>67</v>
      </c>
      <c r="BH94" s="81">
        <v>122</v>
      </c>
      <c r="BI94" s="81">
        <v>472</v>
      </c>
      <c r="BJ94" s="81">
        <v>51</v>
      </c>
      <c r="BK94" s="81">
        <v>156</v>
      </c>
      <c r="BL94" s="81">
        <v>56</v>
      </c>
    </row>
    <row r="95" spans="1:64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0</v>
      </c>
      <c r="Y95" s="106">
        <v>0</v>
      </c>
      <c r="Z95" s="106">
        <v>0</v>
      </c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62"/>
        <v>0</v>
      </c>
      <c r="AI95" s="49">
        <f t="shared" si="63"/>
        <v>0</v>
      </c>
      <c r="BF95" s="81"/>
      <c r="BG95" s="81">
        <v>68.8</v>
      </c>
      <c r="BH95" s="81">
        <v>117.1</v>
      </c>
      <c r="BI95" s="81">
        <v>490</v>
      </c>
      <c r="BJ95" s="81">
        <v>55.9</v>
      </c>
      <c r="BK95" s="81">
        <v>144</v>
      </c>
      <c r="BL95" s="81">
        <v>46.7</v>
      </c>
    </row>
    <row r="96" spans="1:64" ht="15.75" thickBot="1" x14ac:dyDescent="0.3">
      <c r="A96" s="86" t="s">
        <v>122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>
        <v>0</v>
      </c>
      <c r="Y96" s="70"/>
      <c r="Z96" s="70"/>
      <c r="AA96" s="70"/>
      <c r="AB96" s="70"/>
      <c r="AC96" s="70"/>
      <c r="AD96" s="70"/>
      <c r="AE96" s="70"/>
      <c r="AF96" s="70"/>
      <c r="AG96" s="100">
        <f>SUM(AG93:AG95)</f>
        <v>55.4</v>
      </c>
      <c r="AH96" s="48">
        <f t="shared" si="62"/>
        <v>0</v>
      </c>
      <c r="AI96" s="49">
        <f t="shared" si="63"/>
        <v>0</v>
      </c>
      <c r="BF96" s="81"/>
      <c r="BG96" s="81">
        <v>70</v>
      </c>
      <c r="BH96" s="81">
        <v>117</v>
      </c>
      <c r="BI96" s="81">
        <v>495</v>
      </c>
      <c r="BJ96" s="81">
        <v>55.9</v>
      </c>
      <c r="BK96" s="81">
        <v>157</v>
      </c>
      <c r="BL96" s="81">
        <v>57</v>
      </c>
    </row>
    <row r="97" spans="1:64" ht="15.75" thickBot="1" x14ac:dyDescent="0.3">
      <c r="A97" s="86" t="s">
        <v>123</v>
      </c>
      <c r="B97" s="107">
        <f t="shared" ref="B97" si="68">B58+B62+B80+B76+B92+B96</f>
        <v>1041.49</v>
      </c>
      <c r="C97" s="107">
        <f t="shared" ref="C97:AG97" si="69">C58+C62+C80+C76+C92+C96</f>
        <v>1014.0899999999999</v>
      </c>
      <c r="D97" s="107">
        <f t="shared" ref="D97" si="70">D58+D62+D80+D76+D92+D96</f>
        <v>987.19</v>
      </c>
      <c r="E97" s="107">
        <f t="shared" si="69"/>
        <v>959.88999999999987</v>
      </c>
      <c r="F97" s="107">
        <f t="shared" si="69"/>
        <v>951.18999999999983</v>
      </c>
      <c r="G97" s="107">
        <f t="shared" si="69"/>
        <v>988.58999999999992</v>
      </c>
      <c r="H97" s="107">
        <f t="shared" si="69"/>
        <v>1027.29</v>
      </c>
      <c r="I97" s="107">
        <f t="shared" si="69"/>
        <v>1059.0899999999999</v>
      </c>
      <c r="J97" s="107">
        <f t="shared" si="69"/>
        <v>1451.79</v>
      </c>
      <c r="K97" s="107">
        <f t="shared" si="69"/>
        <v>1553.3899999999999</v>
      </c>
      <c r="L97" s="107">
        <f>L58+L62+L80+L76+L92+L96</f>
        <v>1666.29</v>
      </c>
      <c r="M97" s="107">
        <f t="shared" si="69"/>
        <v>1666.09</v>
      </c>
      <c r="N97" s="107">
        <f t="shared" si="69"/>
        <v>1636.59</v>
      </c>
      <c r="O97" s="107">
        <f t="shared" si="69"/>
        <v>1683.79</v>
      </c>
      <c r="P97" s="107">
        <f t="shared" si="69"/>
        <v>1682.3400000000001</v>
      </c>
      <c r="Q97" s="107">
        <f t="shared" si="69"/>
        <v>1694.84</v>
      </c>
      <c r="R97" s="107">
        <f t="shared" si="69"/>
        <v>1745.7399999999998</v>
      </c>
      <c r="S97" s="107">
        <f t="shared" si="69"/>
        <v>1709.6399999999999</v>
      </c>
      <c r="T97" s="107">
        <f t="shared" si="69"/>
        <v>1726.8400000000001</v>
      </c>
      <c r="U97" s="107">
        <f t="shared" si="69"/>
        <v>1692.3400000000001</v>
      </c>
      <c r="V97" s="107">
        <f t="shared" si="69"/>
        <v>1637.54</v>
      </c>
      <c r="W97" s="107">
        <f t="shared" si="69"/>
        <v>1623.64</v>
      </c>
      <c r="X97" s="107">
        <f t="shared" si="69"/>
        <v>1435.64</v>
      </c>
      <c r="Y97" s="107">
        <f>Y58+Y62+Y80+Y76+Y92+Y96</f>
        <v>1505.0400000000002</v>
      </c>
      <c r="Z97" s="107">
        <f>Z58+Z62+Z80+Z76+Z92+Z96</f>
        <v>1574.44</v>
      </c>
      <c r="AA97" s="107">
        <f t="shared" si="69"/>
        <v>1554.9399999999998</v>
      </c>
      <c r="AB97" s="107">
        <f t="shared" si="69"/>
        <v>1502.8400000000001</v>
      </c>
      <c r="AC97" s="107">
        <f t="shared" si="69"/>
        <v>1421.44</v>
      </c>
      <c r="AD97" s="107">
        <f t="shared" si="69"/>
        <v>1375.24</v>
      </c>
      <c r="AE97" s="107">
        <f t="shared" si="69"/>
        <v>995.1400000000001</v>
      </c>
      <c r="AF97" s="107">
        <f t="shared" ref="AF97" si="71">AF58+AF62+AF80+AF76+AF92+AF96</f>
        <v>1065.3400000000001</v>
      </c>
      <c r="AG97" s="71">
        <f t="shared" si="69"/>
        <v>2231.81</v>
      </c>
      <c r="AH97" s="48">
        <f t="shared" si="62"/>
        <v>1745.7399999999998</v>
      </c>
      <c r="AI97" s="49">
        <f t="shared" si="63"/>
        <v>951.18999999999983</v>
      </c>
      <c r="BF97" s="81"/>
      <c r="BG97" s="81">
        <v>68.099999999999994</v>
      </c>
      <c r="BH97" s="81">
        <v>116.3</v>
      </c>
      <c r="BI97" s="81">
        <v>514.9</v>
      </c>
      <c r="BJ97" s="81">
        <v>50.8</v>
      </c>
      <c r="BK97" s="81">
        <v>115.6</v>
      </c>
      <c r="BL97" s="81">
        <v>57.1</v>
      </c>
    </row>
    <row r="98" spans="1:64" ht="15.75" thickBot="1" x14ac:dyDescent="0.3">
      <c r="A98" s="108" t="s">
        <v>124</v>
      </c>
      <c r="B98" s="109">
        <v>350</v>
      </c>
      <c r="C98" s="109">
        <v>350</v>
      </c>
      <c r="D98" s="109">
        <v>350</v>
      </c>
      <c r="E98" s="109">
        <v>350</v>
      </c>
      <c r="F98" s="109">
        <v>350</v>
      </c>
      <c r="G98" s="109">
        <v>350</v>
      </c>
      <c r="H98" s="109">
        <v>300</v>
      </c>
      <c r="I98" s="109">
        <v>300</v>
      </c>
      <c r="J98" s="109"/>
      <c r="K98" s="109">
        <v>30</v>
      </c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>
        <v>200</v>
      </c>
      <c r="Y98" s="109">
        <v>250</v>
      </c>
      <c r="Z98" s="109">
        <v>270</v>
      </c>
      <c r="AA98" s="109">
        <v>270</v>
      </c>
      <c r="AB98" s="109">
        <v>270</v>
      </c>
      <c r="AC98" s="109">
        <v>270</v>
      </c>
      <c r="AD98" s="109">
        <v>270</v>
      </c>
      <c r="AE98" s="109">
        <v>500</v>
      </c>
      <c r="AF98" s="109">
        <v>400</v>
      </c>
      <c r="AG98" s="100"/>
      <c r="AH98" s="48">
        <f t="shared" si="62"/>
        <v>500</v>
      </c>
      <c r="AI98" s="49">
        <f t="shared" si="63"/>
        <v>30</v>
      </c>
      <c r="BF98" s="81"/>
      <c r="BG98" s="81">
        <v>77.900000000000006</v>
      </c>
      <c r="BH98" s="81">
        <v>128.80000000000001</v>
      </c>
      <c r="BI98" s="81">
        <v>511</v>
      </c>
      <c r="BJ98" s="81">
        <v>50.7</v>
      </c>
      <c r="BK98" s="81">
        <v>134.9</v>
      </c>
      <c r="BL98" s="81">
        <v>57.1</v>
      </c>
    </row>
    <row r="99" spans="1:64" ht="15.75" thickBot="1" x14ac:dyDescent="0.3">
      <c r="A99" s="86" t="s">
        <v>125</v>
      </c>
      <c r="B99" s="107">
        <f t="shared" ref="B99" si="72">B97+B98</f>
        <v>1391.49</v>
      </c>
      <c r="C99" s="107">
        <f t="shared" ref="C99:AE99" si="73">C97+C98</f>
        <v>1364.09</v>
      </c>
      <c r="D99" s="107">
        <f t="shared" ref="D99" si="74">D97+D98</f>
        <v>1337.19</v>
      </c>
      <c r="E99" s="107">
        <f t="shared" si="73"/>
        <v>1309.8899999999999</v>
      </c>
      <c r="F99" s="107">
        <f t="shared" si="73"/>
        <v>1301.1899999999998</v>
      </c>
      <c r="G99" s="107">
        <f t="shared" si="73"/>
        <v>1338.59</v>
      </c>
      <c r="H99" s="107">
        <f t="shared" si="73"/>
        <v>1327.29</v>
      </c>
      <c r="I99" s="107">
        <f t="shared" si="73"/>
        <v>1359.09</v>
      </c>
      <c r="J99" s="107">
        <f t="shared" si="73"/>
        <v>1451.79</v>
      </c>
      <c r="K99" s="107">
        <f t="shared" si="73"/>
        <v>1583.3899999999999</v>
      </c>
      <c r="L99" s="107">
        <f t="shared" si="73"/>
        <v>1666.29</v>
      </c>
      <c r="M99" s="107">
        <f t="shared" si="73"/>
        <v>1666.09</v>
      </c>
      <c r="N99" s="107">
        <f t="shared" si="73"/>
        <v>1636.59</v>
      </c>
      <c r="O99" s="107">
        <f t="shared" si="73"/>
        <v>1683.79</v>
      </c>
      <c r="P99" s="107">
        <f t="shared" si="73"/>
        <v>1682.3400000000001</v>
      </c>
      <c r="Q99" s="107">
        <f t="shared" si="73"/>
        <v>1694.84</v>
      </c>
      <c r="R99" s="107">
        <f t="shared" si="73"/>
        <v>1745.7399999999998</v>
      </c>
      <c r="S99" s="107">
        <f t="shared" si="73"/>
        <v>1709.6399999999999</v>
      </c>
      <c r="T99" s="107">
        <f t="shared" si="73"/>
        <v>1726.8400000000001</v>
      </c>
      <c r="U99" s="107">
        <f t="shared" si="73"/>
        <v>1692.3400000000001</v>
      </c>
      <c r="V99" s="107">
        <f t="shared" si="73"/>
        <v>1637.54</v>
      </c>
      <c r="W99" s="107">
        <f t="shared" si="73"/>
        <v>1623.64</v>
      </c>
      <c r="X99" s="107">
        <f t="shared" si="73"/>
        <v>1635.64</v>
      </c>
      <c r="Y99" s="107">
        <f>Y97+Y98</f>
        <v>1755.0400000000002</v>
      </c>
      <c r="Z99" s="107">
        <f>Z97+Z98</f>
        <v>1844.44</v>
      </c>
      <c r="AA99" s="107">
        <f t="shared" si="73"/>
        <v>1824.9399999999998</v>
      </c>
      <c r="AB99" s="107">
        <f t="shared" si="73"/>
        <v>1772.8400000000001</v>
      </c>
      <c r="AC99" s="107">
        <f t="shared" si="73"/>
        <v>1691.44</v>
      </c>
      <c r="AD99" s="107">
        <f t="shared" si="73"/>
        <v>1645.24</v>
      </c>
      <c r="AE99" s="107">
        <f t="shared" si="73"/>
        <v>1495.14</v>
      </c>
      <c r="AF99" s="107">
        <f t="shared" ref="AF99" si="75">AF97+AF98</f>
        <v>1465.3400000000001</v>
      </c>
      <c r="AG99" s="100">
        <f>AG96+AG92+AG80+AG76+AG58+AG98</f>
        <v>1693.71</v>
      </c>
      <c r="AH99" s="48">
        <f t="shared" si="62"/>
        <v>1844.44</v>
      </c>
      <c r="AI99" s="49">
        <f t="shared" si="63"/>
        <v>1301.1899999999998</v>
      </c>
      <c r="BF99" s="81"/>
      <c r="BG99" s="81">
        <v>72.400000000000006</v>
      </c>
      <c r="BH99" s="81">
        <v>130</v>
      </c>
      <c r="BI99" s="81">
        <v>461</v>
      </c>
      <c r="BJ99" s="81">
        <v>59.2</v>
      </c>
      <c r="BK99" s="81">
        <v>140</v>
      </c>
      <c r="BL99" s="81">
        <v>57.1</v>
      </c>
    </row>
    <row r="100" spans="1:64" ht="15.75" thickBot="1" x14ac:dyDescent="0.3">
      <c r="A100" s="86" t="s">
        <v>126</v>
      </c>
      <c r="B100" s="107">
        <f t="shared" ref="B100" si="76">B99-(B107)</f>
        <v>1391.49</v>
      </c>
      <c r="C100" s="107">
        <f t="shared" ref="C100:M100" si="77">C99-(C107)</f>
        <v>1364.09</v>
      </c>
      <c r="D100" s="107">
        <f t="shared" ref="D100" si="78">D99-(D107)</f>
        <v>1337.19</v>
      </c>
      <c r="E100" s="107">
        <f t="shared" si="77"/>
        <v>1309.8899999999999</v>
      </c>
      <c r="F100" s="107">
        <f t="shared" si="77"/>
        <v>1301.1899999999998</v>
      </c>
      <c r="G100" s="107">
        <f t="shared" si="77"/>
        <v>1338.59</v>
      </c>
      <c r="H100" s="107">
        <f t="shared" si="77"/>
        <v>1327.29</v>
      </c>
      <c r="I100" s="107">
        <f t="shared" si="77"/>
        <v>1359.09</v>
      </c>
      <c r="J100" s="107">
        <f t="shared" si="77"/>
        <v>1451.79</v>
      </c>
      <c r="K100" s="107">
        <f t="shared" si="77"/>
        <v>1583.3899999999999</v>
      </c>
      <c r="L100" s="107">
        <f t="shared" si="77"/>
        <v>1666.29</v>
      </c>
      <c r="M100" s="107">
        <f t="shared" si="77"/>
        <v>1666.09</v>
      </c>
      <c r="N100" s="107">
        <f>N99-(N107)</f>
        <v>1636.59</v>
      </c>
      <c r="O100" s="107">
        <f t="shared" ref="O100:AE100" si="79">O99-(O107)</f>
        <v>1683.79</v>
      </c>
      <c r="P100" s="107">
        <f t="shared" si="79"/>
        <v>1682.3400000000001</v>
      </c>
      <c r="Q100" s="107">
        <f t="shared" si="79"/>
        <v>1694.84</v>
      </c>
      <c r="R100" s="107">
        <f t="shared" si="79"/>
        <v>1745.7399999999998</v>
      </c>
      <c r="S100" s="107">
        <f t="shared" si="79"/>
        <v>1709.6399999999999</v>
      </c>
      <c r="T100" s="107">
        <f t="shared" si="79"/>
        <v>1726.8400000000001</v>
      </c>
      <c r="U100" s="107">
        <f t="shared" si="79"/>
        <v>1692.3400000000001</v>
      </c>
      <c r="V100" s="107">
        <f t="shared" si="79"/>
        <v>1637.54</v>
      </c>
      <c r="W100" s="107">
        <f t="shared" si="79"/>
        <v>1623.64</v>
      </c>
      <c r="X100" s="107">
        <f t="shared" si="79"/>
        <v>1635.64</v>
      </c>
      <c r="Y100" s="107">
        <f t="shared" si="79"/>
        <v>1755.0400000000002</v>
      </c>
      <c r="Z100" s="107">
        <f t="shared" si="79"/>
        <v>1844.44</v>
      </c>
      <c r="AA100" s="107">
        <f t="shared" si="79"/>
        <v>1824.9399999999998</v>
      </c>
      <c r="AB100" s="107">
        <f t="shared" si="79"/>
        <v>1772.8400000000001</v>
      </c>
      <c r="AC100" s="107">
        <f t="shared" si="79"/>
        <v>1691.44</v>
      </c>
      <c r="AD100" s="107">
        <f t="shared" si="79"/>
        <v>1645.24</v>
      </c>
      <c r="AE100" s="107">
        <f t="shared" si="79"/>
        <v>1495.14</v>
      </c>
      <c r="AF100" s="107">
        <f t="shared" ref="AF100" si="80">AF99-(AF107)</f>
        <v>1464.3400000000001</v>
      </c>
      <c r="AG100" s="100"/>
      <c r="AH100" s="48">
        <f t="shared" si="62"/>
        <v>1844.44</v>
      </c>
      <c r="AI100" s="49">
        <f t="shared" si="63"/>
        <v>1301.1899999999998</v>
      </c>
      <c r="BF100" s="81"/>
      <c r="BG100" s="81">
        <v>72.7</v>
      </c>
      <c r="BH100" s="81">
        <v>116.2</v>
      </c>
      <c r="BI100" s="81">
        <v>453.8</v>
      </c>
      <c r="BJ100" s="81">
        <v>45.8</v>
      </c>
      <c r="BK100" s="81">
        <v>122.2</v>
      </c>
      <c r="BL100" s="81">
        <v>57.1</v>
      </c>
    </row>
    <row r="101" spans="1:64" x14ac:dyDescent="0.25">
      <c r="A101" s="45" t="s">
        <v>107</v>
      </c>
      <c r="B101" s="88">
        <f t="shared" ref="B101" si="81">IF(B84&lt;0,B84*-1,0)</f>
        <v>0</v>
      </c>
      <c r="C101" s="88">
        <f t="shared" ref="C101:AE101" si="82">IF(C84&lt;0,C84*-1,0)</f>
        <v>0</v>
      </c>
      <c r="D101" s="88">
        <f t="shared" ref="D101" si="83">IF(D84&lt;0,D84*-1,0)</f>
        <v>0</v>
      </c>
      <c r="E101" s="88">
        <f t="shared" si="82"/>
        <v>0</v>
      </c>
      <c r="F101" s="88">
        <f t="shared" si="82"/>
        <v>0</v>
      </c>
      <c r="G101" s="88">
        <f t="shared" si="82"/>
        <v>0</v>
      </c>
      <c r="H101" s="88">
        <f t="shared" si="82"/>
        <v>0</v>
      </c>
      <c r="I101" s="88">
        <f t="shared" si="82"/>
        <v>0</v>
      </c>
      <c r="J101" s="88">
        <f t="shared" si="82"/>
        <v>0</v>
      </c>
      <c r="K101" s="88">
        <f t="shared" si="82"/>
        <v>0</v>
      </c>
      <c r="L101" s="88">
        <f t="shared" si="82"/>
        <v>0</v>
      </c>
      <c r="M101" s="88">
        <f t="shared" si="82"/>
        <v>0</v>
      </c>
      <c r="N101" s="88">
        <f t="shared" si="82"/>
        <v>0</v>
      </c>
      <c r="O101" s="88">
        <f t="shared" si="82"/>
        <v>0</v>
      </c>
      <c r="P101" s="88">
        <f t="shared" si="82"/>
        <v>0</v>
      </c>
      <c r="Q101" s="88">
        <f t="shared" si="82"/>
        <v>0</v>
      </c>
      <c r="R101" s="88">
        <f t="shared" si="82"/>
        <v>0</v>
      </c>
      <c r="S101" s="88">
        <f t="shared" si="82"/>
        <v>0</v>
      </c>
      <c r="T101" s="88">
        <f t="shared" si="82"/>
        <v>0</v>
      </c>
      <c r="U101" s="88">
        <f t="shared" si="82"/>
        <v>0</v>
      </c>
      <c r="V101" s="88">
        <f t="shared" si="82"/>
        <v>0</v>
      </c>
      <c r="W101" s="88">
        <f t="shared" si="82"/>
        <v>0</v>
      </c>
      <c r="X101" s="88">
        <f t="shared" si="82"/>
        <v>0</v>
      </c>
      <c r="Y101" s="88">
        <f t="shared" si="82"/>
        <v>0</v>
      </c>
      <c r="Z101" s="88">
        <f t="shared" si="82"/>
        <v>0</v>
      </c>
      <c r="AA101" s="88">
        <f t="shared" si="82"/>
        <v>0</v>
      </c>
      <c r="AB101" s="88">
        <f t="shared" si="82"/>
        <v>0</v>
      </c>
      <c r="AC101" s="88">
        <f t="shared" si="82"/>
        <v>0</v>
      </c>
      <c r="AD101" s="88">
        <f t="shared" si="82"/>
        <v>0</v>
      </c>
      <c r="AE101" s="88">
        <f t="shared" si="82"/>
        <v>0</v>
      </c>
      <c r="AF101" s="88">
        <f t="shared" ref="AF101" si="84">IF(AF84&lt;0,AF84*-1,0)</f>
        <v>0</v>
      </c>
      <c r="AG101" s="60"/>
      <c r="AH101" s="48">
        <f t="shared" si="62"/>
        <v>0</v>
      </c>
      <c r="AI101" s="49">
        <f t="shared" si="63"/>
        <v>0</v>
      </c>
      <c r="BF101" s="80"/>
      <c r="BG101" s="81">
        <v>72.900000000000006</v>
      </c>
      <c r="BH101" s="81">
        <v>115.7</v>
      </c>
      <c r="BI101" s="81">
        <v>353.5</v>
      </c>
      <c r="BJ101" s="81">
        <v>36.200000000000003</v>
      </c>
      <c r="BK101" s="81">
        <v>80</v>
      </c>
      <c r="BL101" s="81">
        <v>52.6</v>
      </c>
    </row>
    <row r="102" spans="1:64" x14ac:dyDescent="0.25">
      <c r="A102" s="64" t="s">
        <v>105</v>
      </c>
      <c r="B102" s="88">
        <f t="shared" ref="B102" si="85">IF(B82&lt;0,B82*-1,0)</f>
        <v>0</v>
      </c>
      <c r="C102" s="88">
        <f t="shared" ref="C102:AE102" si="86">IF(C82&lt;0,C82*-1,0)</f>
        <v>0</v>
      </c>
      <c r="D102" s="88">
        <f t="shared" ref="D102" si="87">IF(D82&lt;0,D82*-1,0)</f>
        <v>0</v>
      </c>
      <c r="E102" s="88">
        <f t="shared" si="86"/>
        <v>0</v>
      </c>
      <c r="F102" s="88">
        <f t="shared" si="86"/>
        <v>0</v>
      </c>
      <c r="G102" s="88">
        <f t="shared" si="86"/>
        <v>0</v>
      </c>
      <c r="H102" s="88">
        <f t="shared" si="86"/>
        <v>0</v>
      </c>
      <c r="I102" s="88">
        <f t="shared" si="86"/>
        <v>0</v>
      </c>
      <c r="J102" s="88">
        <f t="shared" si="86"/>
        <v>0</v>
      </c>
      <c r="K102" s="88">
        <f t="shared" si="86"/>
        <v>0</v>
      </c>
      <c r="L102" s="88">
        <f t="shared" si="86"/>
        <v>0</v>
      </c>
      <c r="M102" s="88">
        <f t="shared" si="86"/>
        <v>0</v>
      </c>
      <c r="N102" s="88">
        <f t="shared" si="86"/>
        <v>0</v>
      </c>
      <c r="O102" s="88">
        <f t="shared" si="86"/>
        <v>0</v>
      </c>
      <c r="P102" s="88">
        <f t="shared" si="86"/>
        <v>0</v>
      </c>
      <c r="Q102" s="88">
        <f t="shared" si="86"/>
        <v>0</v>
      </c>
      <c r="R102" s="88">
        <f t="shared" si="86"/>
        <v>0</v>
      </c>
      <c r="S102" s="88">
        <f t="shared" si="86"/>
        <v>0</v>
      </c>
      <c r="T102" s="88">
        <f t="shared" si="86"/>
        <v>0</v>
      </c>
      <c r="U102" s="88">
        <f t="shared" si="86"/>
        <v>0</v>
      </c>
      <c r="V102" s="88">
        <f t="shared" si="86"/>
        <v>0</v>
      </c>
      <c r="W102" s="88">
        <f t="shared" si="86"/>
        <v>0</v>
      </c>
      <c r="X102" s="88">
        <f t="shared" si="86"/>
        <v>0</v>
      </c>
      <c r="Y102" s="88">
        <f t="shared" si="86"/>
        <v>0</v>
      </c>
      <c r="Z102" s="88">
        <f t="shared" si="86"/>
        <v>0</v>
      </c>
      <c r="AA102" s="88">
        <f t="shared" si="86"/>
        <v>0</v>
      </c>
      <c r="AB102" s="88">
        <f t="shared" si="86"/>
        <v>0</v>
      </c>
      <c r="AC102" s="88">
        <f t="shared" si="86"/>
        <v>0</v>
      </c>
      <c r="AD102" s="88">
        <f t="shared" si="86"/>
        <v>0</v>
      </c>
      <c r="AE102" s="88">
        <f t="shared" si="86"/>
        <v>0</v>
      </c>
      <c r="AF102" s="88">
        <f t="shared" ref="AF102" si="88">IF(AF82&lt;0,AF82*-1,0)</f>
        <v>0</v>
      </c>
      <c r="AG102" s="65"/>
      <c r="AH102" s="48">
        <f t="shared" si="62"/>
        <v>0</v>
      </c>
      <c r="AI102" s="49">
        <f t="shared" si="63"/>
        <v>0</v>
      </c>
      <c r="BF102" s="80"/>
      <c r="BG102" s="81">
        <v>52.5</v>
      </c>
      <c r="BH102" s="81">
        <v>0</v>
      </c>
      <c r="BI102" s="81">
        <v>160</v>
      </c>
      <c r="BJ102" s="81">
        <v>15</v>
      </c>
      <c r="BK102" s="81">
        <v>0</v>
      </c>
      <c r="BL102" s="81">
        <v>52.4</v>
      </c>
    </row>
    <row r="103" spans="1:64" x14ac:dyDescent="0.25">
      <c r="A103" s="96" t="s">
        <v>127</v>
      </c>
      <c r="B103" s="88">
        <f t="shared" ref="B103" si="89">IF(B85&lt;0,B85*-1,0)</f>
        <v>0</v>
      </c>
      <c r="C103" s="88">
        <f t="shared" ref="C103:AE103" si="90">IF(C85&lt;0,C85*-1,0)</f>
        <v>0</v>
      </c>
      <c r="D103" s="88">
        <f t="shared" ref="D103" si="91">IF(D85&lt;0,D85*-1,0)</f>
        <v>0</v>
      </c>
      <c r="E103" s="88">
        <f t="shared" si="90"/>
        <v>0</v>
      </c>
      <c r="F103" s="88">
        <f t="shared" si="90"/>
        <v>0</v>
      </c>
      <c r="G103" s="88">
        <f t="shared" si="90"/>
        <v>0</v>
      </c>
      <c r="H103" s="88">
        <f t="shared" si="90"/>
        <v>0</v>
      </c>
      <c r="I103" s="88">
        <f t="shared" si="90"/>
        <v>0</v>
      </c>
      <c r="J103" s="88">
        <f t="shared" si="90"/>
        <v>0</v>
      </c>
      <c r="K103" s="88">
        <f t="shared" si="90"/>
        <v>0</v>
      </c>
      <c r="L103" s="88">
        <f t="shared" si="90"/>
        <v>0</v>
      </c>
      <c r="M103" s="88">
        <f t="shared" si="90"/>
        <v>0</v>
      </c>
      <c r="N103" s="88">
        <f t="shared" si="90"/>
        <v>0</v>
      </c>
      <c r="O103" s="88">
        <f t="shared" si="90"/>
        <v>0</v>
      </c>
      <c r="P103" s="88">
        <f t="shared" si="90"/>
        <v>0</v>
      </c>
      <c r="Q103" s="88">
        <f t="shared" si="90"/>
        <v>0</v>
      </c>
      <c r="R103" s="88">
        <f t="shared" si="90"/>
        <v>0</v>
      </c>
      <c r="S103" s="88">
        <f t="shared" si="90"/>
        <v>0</v>
      </c>
      <c r="T103" s="88">
        <f t="shared" si="90"/>
        <v>0</v>
      </c>
      <c r="U103" s="88">
        <f t="shared" si="90"/>
        <v>0</v>
      </c>
      <c r="V103" s="88">
        <f t="shared" si="90"/>
        <v>0</v>
      </c>
      <c r="W103" s="88">
        <f t="shared" si="90"/>
        <v>0</v>
      </c>
      <c r="X103" s="88">
        <f t="shared" si="90"/>
        <v>0</v>
      </c>
      <c r="Y103" s="88">
        <f t="shared" si="90"/>
        <v>0</v>
      </c>
      <c r="Z103" s="88">
        <f t="shared" si="90"/>
        <v>0</v>
      </c>
      <c r="AA103" s="88">
        <f t="shared" si="90"/>
        <v>0</v>
      </c>
      <c r="AB103" s="88">
        <f t="shared" si="90"/>
        <v>0</v>
      </c>
      <c r="AC103" s="88">
        <f t="shared" si="90"/>
        <v>0</v>
      </c>
      <c r="AD103" s="88">
        <f t="shared" si="90"/>
        <v>0</v>
      </c>
      <c r="AE103" s="88">
        <f t="shared" si="90"/>
        <v>0</v>
      </c>
      <c r="AF103" s="88">
        <f t="shared" ref="AF103" si="92">IF(AF85&lt;0,AF85*-1,0)</f>
        <v>0</v>
      </c>
      <c r="AG103" s="110"/>
      <c r="AH103" s="48">
        <f t="shared" si="62"/>
        <v>0</v>
      </c>
      <c r="AI103" s="49">
        <f t="shared" si="63"/>
        <v>0</v>
      </c>
      <c r="BF103" s="80"/>
      <c r="BG103" s="81">
        <v>53.5</v>
      </c>
      <c r="BH103" s="81">
        <v>0</v>
      </c>
      <c r="BI103" s="81">
        <v>115.5</v>
      </c>
      <c r="BJ103" s="81">
        <v>15.9</v>
      </c>
      <c r="BK103" s="81">
        <v>0</v>
      </c>
      <c r="BL103" s="81">
        <v>54.9</v>
      </c>
    </row>
    <row r="104" spans="1:64" x14ac:dyDescent="0.25">
      <c r="A104" s="96" t="s">
        <v>128</v>
      </c>
      <c r="B104" s="88">
        <f t="shared" ref="B104" si="93">IF(B83&lt;0,B83*-1,0)</f>
        <v>0</v>
      </c>
      <c r="C104" s="88">
        <f t="shared" ref="C104:AE104" si="94">IF(C83&lt;0,C83*-1,0)</f>
        <v>0</v>
      </c>
      <c r="D104" s="88">
        <f t="shared" ref="D104" si="95">IF(D83&lt;0,D83*-1,0)</f>
        <v>0</v>
      </c>
      <c r="E104" s="88">
        <f t="shared" si="94"/>
        <v>0</v>
      </c>
      <c r="F104" s="88">
        <f t="shared" si="94"/>
        <v>0</v>
      </c>
      <c r="G104" s="88">
        <f t="shared" si="94"/>
        <v>0</v>
      </c>
      <c r="H104" s="88">
        <f t="shared" si="94"/>
        <v>0</v>
      </c>
      <c r="I104" s="88">
        <f t="shared" si="94"/>
        <v>0</v>
      </c>
      <c r="J104" s="88">
        <f t="shared" si="94"/>
        <v>0</v>
      </c>
      <c r="K104" s="88">
        <f t="shared" si="94"/>
        <v>0</v>
      </c>
      <c r="L104" s="88">
        <f t="shared" si="94"/>
        <v>0</v>
      </c>
      <c r="M104" s="88">
        <f t="shared" si="94"/>
        <v>0</v>
      </c>
      <c r="N104" s="88">
        <f t="shared" si="94"/>
        <v>0</v>
      </c>
      <c r="O104" s="88">
        <f t="shared" si="94"/>
        <v>0</v>
      </c>
      <c r="P104" s="88">
        <f t="shared" si="94"/>
        <v>0</v>
      </c>
      <c r="Q104" s="88">
        <f t="shared" si="94"/>
        <v>0</v>
      </c>
      <c r="R104" s="88">
        <f t="shared" si="94"/>
        <v>0</v>
      </c>
      <c r="S104" s="88">
        <f t="shared" si="94"/>
        <v>0</v>
      </c>
      <c r="T104" s="88">
        <f t="shared" si="94"/>
        <v>0</v>
      </c>
      <c r="U104" s="88">
        <f t="shared" si="94"/>
        <v>0</v>
      </c>
      <c r="V104" s="88">
        <f t="shared" si="94"/>
        <v>0</v>
      </c>
      <c r="W104" s="88">
        <f t="shared" si="94"/>
        <v>0</v>
      </c>
      <c r="X104" s="88">
        <f t="shared" si="94"/>
        <v>0</v>
      </c>
      <c r="Y104" s="88">
        <f t="shared" si="94"/>
        <v>0</v>
      </c>
      <c r="Z104" s="88">
        <f t="shared" si="94"/>
        <v>0</v>
      </c>
      <c r="AA104" s="88">
        <f t="shared" si="94"/>
        <v>0</v>
      </c>
      <c r="AB104" s="88">
        <f t="shared" si="94"/>
        <v>0</v>
      </c>
      <c r="AC104" s="88">
        <f t="shared" si="94"/>
        <v>0</v>
      </c>
      <c r="AD104" s="88">
        <f t="shared" si="94"/>
        <v>0</v>
      </c>
      <c r="AE104" s="88">
        <f t="shared" si="94"/>
        <v>0</v>
      </c>
      <c r="AF104" s="88">
        <f t="shared" ref="AF104" si="96">IF(AF83&lt;0,AF83*-1,0)</f>
        <v>0</v>
      </c>
      <c r="AG104" s="110"/>
      <c r="AH104" s="48">
        <f t="shared" si="62"/>
        <v>0</v>
      </c>
      <c r="AI104" s="49">
        <f t="shared" si="63"/>
        <v>0</v>
      </c>
      <c r="BF104" s="80"/>
      <c r="BG104" s="81">
        <v>45.8</v>
      </c>
      <c r="BH104" s="81">
        <v>0</v>
      </c>
      <c r="BI104" s="81">
        <v>249</v>
      </c>
      <c r="BJ104" s="81">
        <v>20.399999999999999</v>
      </c>
      <c r="BK104" s="81">
        <v>0</v>
      </c>
      <c r="BL104" s="81">
        <v>55.6</v>
      </c>
    </row>
    <row r="105" spans="1:64" x14ac:dyDescent="0.25">
      <c r="A105" s="96" t="s">
        <v>104</v>
      </c>
      <c r="B105" s="88">
        <f t="shared" ref="B105" si="97">IF(B81&lt;0,B81*-1,0)</f>
        <v>0</v>
      </c>
      <c r="C105" s="88">
        <f t="shared" ref="C105:AE105" si="98">IF(C81&lt;0,C81*-1,0)</f>
        <v>0</v>
      </c>
      <c r="D105" s="88">
        <f t="shared" ref="D105" si="99">IF(D81&lt;0,D81*-1,0)</f>
        <v>0</v>
      </c>
      <c r="E105" s="88">
        <f t="shared" si="98"/>
        <v>0</v>
      </c>
      <c r="F105" s="88">
        <f t="shared" si="98"/>
        <v>0</v>
      </c>
      <c r="G105" s="88">
        <f t="shared" si="98"/>
        <v>0</v>
      </c>
      <c r="H105" s="88">
        <f t="shared" si="98"/>
        <v>0</v>
      </c>
      <c r="I105" s="88">
        <f t="shared" si="98"/>
        <v>0</v>
      </c>
      <c r="J105" s="88">
        <f t="shared" si="98"/>
        <v>0</v>
      </c>
      <c r="K105" s="88">
        <f t="shared" si="98"/>
        <v>0</v>
      </c>
      <c r="L105" s="88">
        <f t="shared" si="98"/>
        <v>0</v>
      </c>
      <c r="M105" s="88">
        <f t="shared" si="98"/>
        <v>0</v>
      </c>
      <c r="N105" s="88">
        <f t="shared" si="98"/>
        <v>0</v>
      </c>
      <c r="O105" s="88">
        <f t="shared" si="98"/>
        <v>0</v>
      </c>
      <c r="P105" s="88">
        <f t="shared" si="98"/>
        <v>0</v>
      </c>
      <c r="Q105" s="88">
        <f t="shared" si="98"/>
        <v>0</v>
      </c>
      <c r="R105" s="88">
        <f t="shared" si="98"/>
        <v>0</v>
      </c>
      <c r="S105" s="88">
        <f t="shared" si="98"/>
        <v>0</v>
      </c>
      <c r="T105" s="88">
        <f t="shared" si="98"/>
        <v>0</v>
      </c>
      <c r="U105" s="88">
        <f t="shared" si="98"/>
        <v>0</v>
      </c>
      <c r="V105" s="88">
        <f t="shared" si="98"/>
        <v>0</v>
      </c>
      <c r="W105" s="88">
        <f t="shared" si="98"/>
        <v>0</v>
      </c>
      <c r="X105" s="88">
        <f t="shared" si="98"/>
        <v>0</v>
      </c>
      <c r="Y105" s="88">
        <f t="shared" si="98"/>
        <v>0</v>
      </c>
      <c r="Z105" s="88">
        <f t="shared" si="98"/>
        <v>0</v>
      </c>
      <c r="AA105" s="88">
        <f t="shared" si="98"/>
        <v>0</v>
      </c>
      <c r="AB105" s="88">
        <f t="shared" si="98"/>
        <v>0</v>
      </c>
      <c r="AC105" s="88">
        <f t="shared" si="98"/>
        <v>0</v>
      </c>
      <c r="AD105" s="88">
        <f t="shared" si="98"/>
        <v>0</v>
      </c>
      <c r="AE105" s="88">
        <f t="shared" si="98"/>
        <v>0</v>
      </c>
      <c r="AF105" s="88">
        <f t="shared" ref="AF105" si="100">IF(AF81&lt;0,AF81*-1,0)</f>
        <v>0</v>
      </c>
      <c r="AG105" s="110"/>
      <c r="AH105" s="48">
        <f t="shared" si="62"/>
        <v>0</v>
      </c>
      <c r="AI105" s="49">
        <f t="shared" si="63"/>
        <v>0</v>
      </c>
      <c r="BF105" s="80"/>
      <c r="BG105" s="81">
        <v>40</v>
      </c>
      <c r="BH105" s="81">
        <v>0</v>
      </c>
      <c r="BI105" s="81">
        <v>10</v>
      </c>
      <c r="BJ105" s="81">
        <v>15</v>
      </c>
      <c r="BK105" s="81">
        <v>0</v>
      </c>
      <c r="BL105" s="81">
        <v>55</v>
      </c>
    </row>
    <row r="106" spans="1:64" ht="15.75" thickBot="1" x14ac:dyDescent="0.3">
      <c r="A106" s="96" t="s">
        <v>129</v>
      </c>
      <c r="B106" s="106">
        <v>0</v>
      </c>
      <c r="C106" s="106">
        <v>0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0</v>
      </c>
      <c r="Y106" s="106">
        <v>0</v>
      </c>
      <c r="Z106" s="106">
        <v>0</v>
      </c>
      <c r="AA106" s="106">
        <v>0</v>
      </c>
      <c r="AB106" s="106">
        <v>0</v>
      </c>
      <c r="AC106" s="106">
        <v>0</v>
      </c>
      <c r="AD106" s="106">
        <v>0</v>
      </c>
      <c r="AE106" s="106">
        <v>0</v>
      </c>
      <c r="AF106" s="106">
        <v>1</v>
      </c>
      <c r="AG106" s="97"/>
      <c r="AH106" s="48">
        <f t="shared" si="62"/>
        <v>1</v>
      </c>
      <c r="AI106" s="49">
        <f t="shared" si="63"/>
        <v>0</v>
      </c>
      <c r="BG106" s="81">
        <v>30</v>
      </c>
      <c r="BH106" s="81">
        <v>0</v>
      </c>
      <c r="BI106" s="81">
        <v>110</v>
      </c>
      <c r="BJ106" s="81">
        <v>15</v>
      </c>
      <c r="BK106" s="81">
        <v>0</v>
      </c>
      <c r="BL106" s="81">
        <v>55</v>
      </c>
    </row>
    <row r="107" spans="1:64" ht="15.75" thickBot="1" x14ac:dyDescent="0.3">
      <c r="A107" s="111" t="s">
        <v>130</v>
      </c>
      <c r="B107" s="70">
        <f t="shared" ref="B107" si="101">SUM(B101:B106)</f>
        <v>0</v>
      </c>
      <c r="C107" s="70">
        <f t="shared" ref="C107" si="102">SUM(C101:C106)</f>
        <v>0</v>
      </c>
      <c r="D107" s="70">
        <f t="shared" ref="D107" si="103">SUM(D101:D106)</f>
        <v>0</v>
      </c>
      <c r="E107" s="70">
        <f t="shared" ref="E107:AE107" si="104">SUM(E101:E106)</f>
        <v>0</v>
      </c>
      <c r="F107" s="70">
        <f t="shared" si="104"/>
        <v>0</v>
      </c>
      <c r="G107" s="70">
        <f t="shared" si="104"/>
        <v>0</v>
      </c>
      <c r="H107" s="70">
        <f t="shared" si="104"/>
        <v>0</v>
      </c>
      <c r="I107" s="70">
        <f t="shared" si="104"/>
        <v>0</v>
      </c>
      <c r="J107" s="70">
        <f t="shared" si="104"/>
        <v>0</v>
      </c>
      <c r="K107" s="70">
        <f t="shared" si="104"/>
        <v>0</v>
      </c>
      <c r="L107" s="70">
        <f t="shared" si="104"/>
        <v>0</v>
      </c>
      <c r="M107" s="70">
        <f t="shared" si="104"/>
        <v>0</v>
      </c>
      <c r="N107" s="70">
        <f t="shared" si="104"/>
        <v>0</v>
      </c>
      <c r="O107" s="70">
        <f t="shared" si="104"/>
        <v>0</v>
      </c>
      <c r="P107" s="70">
        <f t="shared" si="104"/>
        <v>0</v>
      </c>
      <c r="Q107" s="70">
        <f t="shared" si="104"/>
        <v>0</v>
      </c>
      <c r="R107" s="70">
        <f t="shared" si="104"/>
        <v>0</v>
      </c>
      <c r="S107" s="70">
        <f t="shared" si="104"/>
        <v>0</v>
      </c>
      <c r="T107" s="70">
        <f t="shared" si="104"/>
        <v>0</v>
      </c>
      <c r="U107" s="70">
        <f t="shared" si="104"/>
        <v>0</v>
      </c>
      <c r="V107" s="70">
        <f t="shared" si="104"/>
        <v>0</v>
      </c>
      <c r="W107" s="70">
        <f t="shared" si="104"/>
        <v>0</v>
      </c>
      <c r="X107" s="70">
        <f t="shared" si="104"/>
        <v>0</v>
      </c>
      <c r="Y107" s="70">
        <f t="shared" si="104"/>
        <v>0</v>
      </c>
      <c r="Z107" s="70">
        <f t="shared" si="104"/>
        <v>0</v>
      </c>
      <c r="AA107" s="70">
        <f t="shared" si="104"/>
        <v>0</v>
      </c>
      <c r="AB107" s="70">
        <f t="shared" si="104"/>
        <v>0</v>
      </c>
      <c r="AC107" s="70">
        <f t="shared" si="104"/>
        <v>0</v>
      </c>
      <c r="AD107" s="70">
        <f t="shared" si="104"/>
        <v>0</v>
      </c>
      <c r="AE107" s="70">
        <f t="shared" si="104"/>
        <v>0</v>
      </c>
      <c r="AF107" s="70">
        <f t="shared" ref="AF107" si="105">SUM(AF101:AF106)</f>
        <v>1</v>
      </c>
      <c r="AG107" s="100"/>
      <c r="AH107" s="48">
        <f t="shared" si="62"/>
        <v>1</v>
      </c>
      <c r="AI107" s="49">
        <f t="shared" si="63"/>
        <v>0</v>
      </c>
      <c r="AK107" s="51"/>
      <c r="BG107" s="81">
        <v>36.799999999999997</v>
      </c>
      <c r="BH107" s="81">
        <v>0</v>
      </c>
      <c r="BI107" s="81">
        <v>91.8</v>
      </c>
      <c r="BJ107" s="81">
        <v>0</v>
      </c>
      <c r="BK107" s="81">
        <v>0</v>
      </c>
      <c r="BL107" s="81">
        <v>44.2</v>
      </c>
    </row>
    <row r="108" spans="1:64" ht="15.75" thickBot="1" x14ac:dyDescent="0.3">
      <c r="A108" s="86" t="s">
        <v>131</v>
      </c>
      <c r="B108" s="70">
        <f t="shared" ref="B108" si="106">B92-B107</f>
        <v>172.8</v>
      </c>
      <c r="C108" s="70">
        <f t="shared" ref="C108:AE108" si="107">C92-C107</f>
        <v>176.5</v>
      </c>
      <c r="D108" s="70">
        <f t="shared" ref="D108" si="108">D92-D107</f>
        <v>176.3</v>
      </c>
      <c r="E108" s="70">
        <f t="shared" si="107"/>
        <v>149.30000000000001</v>
      </c>
      <c r="F108" s="70">
        <f t="shared" si="107"/>
        <v>147.19999999999999</v>
      </c>
      <c r="G108" s="70">
        <f t="shared" si="107"/>
        <v>179.5</v>
      </c>
      <c r="H108" s="70">
        <f t="shared" si="107"/>
        <v>215.6</v>
      </c>
      <c r="I108" s="70">
        <f t="shared" si="107"/>
        <v>223.3</v>
      </c>
      <c r="J108" s="70">
        <f t="shared" si="107"/>
        <v>704.4</v>
      </c>
      <c r="K108" s="70">
        <f t="shared" si="107"/>
        <v>826.9</v>
      </c>
      <c r="L108" s="70">
        <f t="shared" si="107"/>
        <v>917.5</v>
      </c>
      <c r="M108" s="70">
        <f t="shared" si="107"/>
        <v>886.5</v>
      </c>
      <c r="N108" s="70">
        <f t="shared" si="107"/>
        <v>857</v>
      </c>
      <c r="O108" s="70">
        <f t="shared" si="107"/>
        <v>916</v>
      </c>
      <c r="P108" s="70">
        <f t="shared" si="107"/>
        <v>924</v>
      </c>
      <c r="Q108" s="70">
        <f t="shared" si="107"/>
        <v>922.5</v>
      </c>
      <c r="R108" s="70">
        <f t="shared" si="107"/>
        <v>951.9</v>
      </c>
      <c r="S108" s="70">
        <f t="shared" si="107"/>
        <v>922.8</v>
      </c>
      <c r="T108" s="70">
        <f t="shared" si="107"/>
        <v>960.40000000000009</v>
      </c>
      <c r="U108" s="70">
        <f t="shared" si="107"/>
        <v>919.7</v>
      </c>
      <c r="V108" s="70">
        <f t="shared" si="107"/>
        <v>867.80000000000007</v>
      </c>
      <c r="W108" s="70">
        <f t="shared" si="107"/>
        <v>889.80000000000007</v>
      </c>
      <c r="X108" s="70">
        <f t="shared" si="107"/>
        <v>710.90000000000009</v>
      </c>
      <c r="Y108" s="70">
        <f>Y92-Y107</f>
        <v>422.90000000000003</v>
      </c>
      <c r="Z108" s="70">
        <f>Z92-Z107</f>
        <v>279.89999999999998</v>
      </c>
      <c r="AA108" s="70">
        <f t="shared" si="107"/>
        <v>214.8</v>
      </c>
      <c r="AB108" s="70">
        <f t="shared" si="107"/>
        <v>239.8</v>
      </c>
      <c r="AC108" s="70">
        <f t="shared" si="107"/>
        <v>244.8</v>
      </c>
      <c r="AD108" s="70">
        <f t="shared" si="107"/>
        <v>370.8</v>
      </c>
      <c r="AE108" s="70">
        <f t="shared" si="107"/>
        <v>120</v>
      </c>
      <c r="AF108" s="70">
        <f t="shared" ref="AF108" si="109">AF92-AF107</f>
        <v>209</v>
      </c>
      <c r="AG108" s="100"/>
      <c r="AH108" s="48">
        <f t="shared" si="62"/>
        <v>960.40000000000009</v>
      </c>
      <c r="AI108" s="49">
        <f t="shared" si="63"/>
        <v>120</v>
      </c>
    </row>
    <row r="109" spans="1:64" x14ac:dyDescent="0.25">
      <c r="A109" s="112" t="s">
        <v>132</v>
      </c>
      <c r="B109" s="113">
        <v>50.03</v>
      </c>
      <c r="C109" s="113">
        <v>49.95</v>
      </c>
      <c r="D109" s="113">
        <v>49.97</v>
      </c>
      <c r="E109" s="113">
        <v>50.02</v>
      </c>
      <c r="F109" s="113">
        <v>50.018000000000001</v>
      </c>
      <c r="G109" s="113">
        <v>49.988</v>
      </c>
      <c r="H109" s="113">
        <v>49.987000000000002</v>
      </c>
      <c r="I109" s="113">
        <v>49.993000000000002</v>
      </c>
      <c r="J109" s="113">
        <v>49.975000000000001</v>
      </c>
      <c r="K109" s="113">
        <v>50.06</v>
      </c>
      <c r="L109" s="113">
        <v>50.015999999999998</v>
      </c>
      <c r="M109" s="113">
        <v>50.025399999999998</v>
      </c>
      <c r="N109" s="113">
        <v>49.969000000000001</v>
      </c>
      <c r="O109" s="113">
        <v>49.969000000000001</v>
      </c>
      <c r="P109" s="113">
        <v>49.921999999999997</v>
      </c>
      <c r="Q109" s="113">
        <v>50.027000000000001</v>
      </c>
      <c r="R109" s="113">
        <v>49.94</v>
      </c>
      <c r="S109" s="113">
        <v>49.99</v>
      </c>
      <c r="T109" s="113">
        <v>49.935000000000002</v>
      </c>
      <c r="U109" s="113">
        <v>49.991</v>
      </c>
      <c r="V109" s="113">
        <v>50.106000000000002</v>
      </c>
      <c r="W109" s="113">
        <v>50.061999999999998</v>
      </c>
      <c r="X109" s="113">
        <v>50.034999999999997</v>
      </c>
      <c r="Y109" s="113">
        <v>50.234999999999999</v>
      </c>
      <c r="Z109" s="113">
        <v>49.988</v>
      </c>
      <c r="AA109" s="113">
        <v>50.05</v>
      </c>
      <c r="AB109" s="113">
        <v>50.045000000000002</v>
      </c>
      <c r="AC109" s="113">
        <v>50.04</v>
      </c>
      <c r="AD109" s="113">
        <v>49.91</v>
      </c>
      <c r="AE109" s="113">
        <v>50</v>
      </c>
      <c r="AF109" s="113">
        <v>49.94</v>
      </c>
      <c r="AG109" s="114"/>
      <c r="AH109" s="48">
        <f t="shared" si="62"/>
        <v>50.234999999999999</v>
      </c>
      <c r="AI109" s="49">
        <f t="shared" si="63"/>
        <v>49.91</v>
      </c>
    </row>
    <row r="110" spans="1:64" x14ac:dyDescent="0.25">
      <c r="A110" s="115" t="s">
        <v>133</v>
      </c>
      <c r="B110" s="75">
        <v>133.30000000000001</v>
      </c>
      <c r="C110" s="75">
        <v>133.5</v>
      </c>
      <c r="D110" s="75">
        <v>133.80000000000001</v>
      </c>
      <c r="E110" s="75">
        <v>133.69999999999999</v>
      </c>
      <c r="F110" s="75">
        <v>133.9</v>
      </c>
      <c r="G110" s="75">
        <v>133.4</v>
      </c>
      <c r="H110" s="75">
        <v>132.6</v>
      </c>
      <c r="I110" s="75">
        <v>132.1</v>
      </c>
      <c r="J110" s="75">
        <v>125</v>
      </c>
      <c r="K110" s="75">
        <v>124.6</v>
      </c>
      <c r="L110" s="75">
        <v>124.2</v>
      </c>
      <c r="M110" s="75">
        <v>123.7</v>
      </c>
      <c r="N110" s="75">
        <v>123.9</v>
      </c>
      <c r="O110" s="75">
        <v>123.9</v>
      </c>
      <c r="P110" s="75">
        <v>125.1</v>
      </c>
      <c r="Q110" s="75">
        <v>124.6</v>
      </c>
      <c r="R110" s="75">
        <v>124.6</v>
      </c>
      <c r="S110" s="75">
        <v>123.3</v>
      </c>
      <c r="T110" s="75">
        <v>124</v>
      </c>
      <c r="U110" s="75">
        <v>126.5</v>
      </c>
      <c r="V110" s="75">
        <v>126</v>
      </c>
      <c r="W110" s="75">
        <v>126</v>
      </c>
      <c r="X110" s="75">
        <v>129.9</v>
      </c>
      <c r="Y110" s="75">
        <v>129.69999999999999</v>
      </c>
      <c r="Z110" s="75">
        <v>127.4</v>
      </c>
      <c r="AA110" s="75">
        <v>129.1</v>
      </c>
      <c r="AB110" s="75">
        <v>129.69999999999999</v>
      </c>
      <c r="AC110" s="75">
        <v>130</v>
      </c>
      <c r="AD110" s="75">
        <v>130.5</v>
      </c>
      <c r="AE110" s="75"/>
      <c r="AF110" s="75">
        <v>132</v>
      </c>
      <c r="AG110" s="116"/>
      <c r="AH110" s="48">
        <f t="shared" si="62"/>
        <v>133.9</v>
      </c>
      <c r="AI110" s="49">
        <f t="shared" si="63"/>
        <v>123.3</v>
      </c>
    </row>
    <row r="111" spans="1:64" x14ac:dyDescent="0.25">
      <c r="A111" s="115" t="s">
        <v>134</v>
      </c>
      <c r="B111" s="75">
        <v>135.9</v>
      </c>
      <c r="C111" s="75">
        <v>136</v>
      </c>
      <c r="D111" s="75">
        <v>136.30000000000001</v>
      </c>
      <c r="E111" s="75">
        <v>136.4</v>
      </c>
      <c r="F111" s="75">
        <v>136.5</v>
      </c>
      <c r="G111" s="75">
        <v>135.80000000000001</v>
      </c>
      <c r="H111" s="75">
        <v>135</v>
      </c>
      <c r="I111" s="75">
        <v>133.5</v>
      </c>
      <c r="J111" s="75">
        <v>127.1</v>
      </c>
      <c r="K111" s="75">
        <v>127.4</v>
      </c>
      <c r="L111" s="75">
        <v>127</v>
      </c>
      <c r="M111" s="75">
        <v>126.3</v>
      </c>
      <c r="N111" s="75">
        <v>126.8</v>
      </c>
      <c r="O111" s="75">
        <v>126.8</v>
      </c>
      <c r="P111" s="75">
        <v>127.9</v>
      </c>
      <c r="Q111" s="75">
        <v>127.7</v>
      </c>
      <c r="R111" s="75">
        <v>127.7</v>
      </c>
      <c r="S111" s="75">
        <v>126.5</v>
      </c>
      <c r="T111" s="75">
        <v>126.7</v>
      </c>
      <c r="U111" s="75">
        <v>128.69999999999999</v>
      </c>
      <c r="V111" s="75">
        <v>128.9</v>
      </c>
      <c r="W111" s="75">
        <v>128.9</v>
      </c>
      <c r="X111" s="75">
        <v>131.6</v>
      </c>
      <c r="Y111" s="75">
        <v>131.1</v>
      </c>
      <c r="Z111" s="75">
        <v>129.30000000000001</v>
      </c>
      <c r="AA111" s="75">
        <v>131.30000000000001</v>
      </c>
      <c r="AB111" s="75">
        <v>132.1</v>
      </c>
      <c r="AC111" s="75">
        <v>132.19999999999999</v>
      </c>
      <c r="AD111" s="75">
        <v>132.9</v>
      </c>
      <c r="AE111" s="75"/>
      <c r="AF111" s="75">
        <v>134</v>
      </c>
      <c r="AG111" s="116"/>
      <c r="AH111" s="48">
        <f t="shared" si="62"/>
        <v>136.5</v>
      </c>
      <c r="AI111" s="49">
        <f t="shared" si="63"/>
        <v>126.3</v>
      </c>
    </row>
    <row r="112" spans="1:64" x14ac:dyDescent="0.25">
      <c r="A112" s="115" t="s">
        <v>135</v>
      </c>
      <c r="B112" s="75">
        <v>132.9</v>
      </c>
      <c r="C112" s="75">
        <v>133.30000000000001</v>
      </c>
      <c r="D112" s="75">
        <v>133.4</v>
      </c>
      <c r="E112" s="75">
        <v>134.69999999999999</v>
      </c>
      <c r="F112" s="75">
        <v>131.9</v>
      </c>
      <c r="G112" s="75">
        <v>130.9</v>
      </c>
      <c r="H112" s="75">
        <v>129.6</v>
      </c>
      <c r="I112" s="75">
        <v>130.5</v>
      </c>
      <c r="J112" s="75">
        <v>130.30000000000001</v>
      </c>
      <c r="K112" s="75">
        <v>128.30000000000001</v>
      </c>
      <c r="L112" s="75">
        <v>128.30000000000001</v>
      </c>
      <c r="M112" s="75">
        <v>128.5</v>
      </c>
      <c r="N112" s="75">
        <v>126.4</v>
      </c>
      <c r="O112" s="75">
        <v>126.4</v>
      </c>
      <c r="P112" s="75">
        <v>126.9</v>
      </c>
      <c r="Q112" s="75">
        <v>127</v>
      </c>
      <c r="R112" s="75">
        <v>121.3</v>
      </c>
      <c r="S112" s="75">
        <v>124.8</v>
      </c>
      <c r="T112" s="75">
        <v>123.4</v>
      </c>
      <c r="U112" s="75">
        <v>124.8</v>
      </c>
      <c r="V112" s="75">
        <v>127.1</v>
      </c>
      <c r="W112" s="75">
        <v>128</v>
      </c>
      <c r="X112" s="75">
        <v>127.6</v>
      </c>
      <c r="Y112" s="75">
        <v>122.5</v>
      </c>
      <c r="Z112" s="75">
        <v>124.1</v>
      </c>
      <c r="AA112" s="75">
        <v>127.9</v>
      </c>
      <c r="AB112" s="75">
        <v>130.19999999999999</v>
      </c>
      <c r="AC112" s="75">
        <v>128.19999999999999</v>
      </c>
      <c r="AD112" s="75">
        <v>128.5</v>
      </c>
      <c r="AE112" s="75"/>
      <c r="AF112" s="75">
        <v>130</v>
      </c>
      <c r="AG112" s="116"/>
      <c r="AH112" s="48">
        <f t="shared" si="62"/>
        <v>134.69999999999999</v>
      </c>
      <c r="AI112" s="49">
        <f t="shared" si="63"/>
        <v>121.3</v>
      </c>
    </row>
    <row r="113" spans="1:35" x14ac:dyDescent="0.25">
      <c r="A113" s="117" t="s">
        <v>136</v>
      </c>
      <c r="B113" s="75">
        <v>133.4</v>
      </c>
      <c r="C113" s="75">
        <v>134</v>
      </c>
      <c r="D113" s="75">
        <v>132.4</v>
      </c>
      <c r="E113" s="75">
        <v>133.9</v>
      </c>
      <c r="F113" s="75">
        <v>131.69999999999999</v>
      </c>
      <c r="G113" s="75">
        <v>130.4</v>
      </c>
      <c r="H113" s="75">
        <v>128.5</v>
      </c>
      <c r="I113" s="75">
        <v>131.19999999999999</v>
      </c>
      <c r="J113" s="75">
        <v>129.9</v>
      </c>
      <c r="K113" s="75">
        <v>128</v>
      </c>
      <c r="L113" s="75">
        <v>126.2</v>
      </c>
      <c r="M113" s="75">
        <v>127.5</v>
      </c>
      <c r="N113" s="75">
        <v>125.1</v>
      </c>
      <c r="O113" s="75">
        <v>125.1</v>
      </c>
      <c r="P113" s="75">
        <v>126.5</v>
      </c>
      <c r="Q113" s="75">
        <v>127.6</v>
      </c>
      <c r="R113" s="75">
        <v>124.2</v>
      </c>
      <c r="S113" s="75">
        <v>123.4</v>
      </c>
      <c r="T113" s="75">
        <v>122.4</v>
      </c>
      <c r="U113" s="75">
        <v>123.6</v>
      </c>
      <c r="V113" s="75">
        <v>125.7</v>
      </c>
      <c r="W113" s="75">
        <v>126.5</v>
      </c>
      <c r="X113" s="75">
        <v>125.9</v>
      </c>
      <c r="Y113" s="75">
        <v>119.9</v>
      </c>
      <c r="Z113" s="75">
        <v>123.1</v>
      </c>
      <c r="AA113" s="75">
        <v>126.7</v>
      </c>
      <c r="AB113" s="75">
        <v>129.30000000000001</v>
      </c>
      <c r="AC113" s="75">
        <v>128.30000000000001</v>
      </c>
      <c r="AD113" s="75">
        <v>129</v>
      </c>
      <c r="AE113" s="75"/>
      <c r="AF113" s="75">
        <v>129</v>
      </c>
      <c r="AG113" s="116"/>
      <c r="AH113" s="48">
        <f t="shared" si="62"/>
        <v>134</v>
      </c>
      <c r="AI113" s="49">
        <f t="shared" si="63"/>
        <v>119.9</v>
      </c>
    </row>
    <row r="114" spans="1:35" x14ac:dyDescent="0.25">
      <c r="A114" s="117" t="s">
        <v>137</v>
      </c>
      <c r="B114" s="118">
        <v>138.4</v>
      </c>
      <c r="C114" s="118">
        <v>137.69999999999999</v>
      </c>
      <c r="D114" s="118">
        <v>138.19999999999999</v>
      </c>
      <c r="E114" s="118">
        <v>137.9</v>
      </c>
      <c r="F114" s="118">
        <v>138</v>
      </c>
      <c r="G114" s="118">
        <v>137</v>
      </c>
      <c r="H114" s="118">
        <v>136</v>
      </c>
      <c r="I114" s="118">
        <v>133.30000000000001</v>
      </c>
      <c r="J114" s="118">
        <v>130.19999999999999</v>
      </c>
      <c r="K114" s="118">
        <v>132.9</v>
      </c>
      <c r="L114" s="118">
        <v>131.5</v>
      </c>
      <c r="M114" s="118">
        <v>131</v>
      </c>
      <c r="N114" s="118">
        <v>131.4</v>
      </c>
      <c r="O114" s="118">
        <v>131.4</v>
      </c>
      <c r="P114" s="118">
        <v>132.80000000000001</v>
      </c>
      <c r="Q114" s="118">
        <v>134.5</v>
      </c>
      <c r="R114" s="118">
        <v>135.1</v>
      </c>
      <c r="S114" s="118">
        <v>130</v>
      </c>
      <c r="T114" s="118">
        <v>130.9</v>
      </c>
      <c r="U114" s="118">
        <v>132.9</v>
      </c>
      <c r="V114" s="118">
        <v>134.6</v>
      </c>
      <c r="W114" s="118">
        <v>133.9</v>
      </c>
      <c r="X114" s="118">
        <v>136.4</v>
      </c>
      <c r="Y114" s="118">
        <v>133.69999999999999</v>
      </c>
      <c r="Z114" s="118">
        <v>131.69999999999999</v>
      </c>
      <c r="AA114" s="118">
        <v>133.80000000000001</v>
      </c>
      <c r="AB114" s="118">
        <v>136.30000000000001</v>
      </c>
      <c r="AC114" s="118">
        <v>134.6</v>
      </c>
      <c r="AD114" s="118">
        <v>135.30000000000001</v>
      </c>
      <c r="AE114" s="118"/>
      <c r="AF114" s="118">
        <v>136</v>
      </c>
      <c r="AG114" s="119"/>
      <c r="AH114" s="48">
        <f t="shared" si="62"/>
        <v>138.4</v>
      </c>
      <c r="AI114" s="49">
        <f t="shared" si="63"/>
        <v>130</v>
      </c>
    </row>
    <row r="115" spans="1:35" x14ac:dyDescent="0.25">
      <c r="A115" s="115" t="s">
        <v>138</v>
      </c>
      <c r="B115" s="75">
        <v>134</v>
      </c>
      <c r="C115" s="75">
        <v>135.1</v>
      </c>
      <c r="D115" s="75">
        <v>136.5</v>
      </c>
      <c r="E115" s="75">
        <v>134.4</v>
      </c>
      <c r="F115" s="75">
        <v>134.69999999999999</v>
      </c>
      <c r="G115" s="75">
        <v>134.6</v>
      </c>
      <c r="H115" s="75">
        <v>133.30000000000001</v>
      </c>
      <c r="I115" s="75">
        <v>129.80000000000001</v>
      </c>
      <c r="J115" s="75">
        <v>127.7</v>
      </c>
      <c r="K115" s="75">
        <v>128.9</v>
      </c>
      <c r="L115" s="75">
        <v>124.2</v>
      </c>
      <c r="M115" s="75">
        <v>124.1</v>
      </c>
      <c r="N115" s="75">
        <v>127.3</v>
      </c>
      <c r="O115" s="75">
        <v>127.3</v>
      </c>
      <c r="P115" s="75">
        <v>129.5</v>
      </c>
      <c r="Q115" s="75">
        <v>129.1</v>
      </c>
      <c r="R115" s="75">
        <v>131</v>
      </c>
      <c r="S115" s="75">
        <v>130.9</v>
      </c>
      <c r="T115" s="75">
        <v>132.80000000000001</v>
      </c>
      <c r="U115" s="75">
        <v>135.4</v>
      </c>
      <c r="V115" s="75">
        <v>134.4</v>
      </c>
      <c r="W115" s="75">
        <v>135</v>
      </c>
      <c r="X115" s="75">
        <v>134.69999999999999</v>
      </c>
      <c r="Y115" s="75">
        <v>132.5</v>
      </c>
      <c r="Z115" s="75">
        <v>129.19999999999999</v>
      </c>
      <c r="AA115" s="75">
        <v>133.69999999999999</v>
      </c>
      <c r="AB115" s="75">
        <v>132.9</v>
      </c>
      <c r="AC115" s="75">
        <v>133.1</v>
      </c>
      <c r="AD115" s="75">
        <v>133</v>
      </c>
      <c r="AE115" s="75"/>
      <c r="AF115" s="75">
        <v>136</v>
      </c>
      <c r="AG115" s="116"/>
      <c r="AH115" s="48">
        <f t="shared" si="62"/>
        <v>136.5</v>
      </c>
      <c r="AI115" s="49">
        <f t="shared" si="63"/>
        <v>124.1</v>
      </c>
    </row>
    <row r="116" spans="1:35" ht="15.75" thickBot="1" x14ac:dyDescent="0.3">
      <c r="A116" s="115" t="s">
        <v>139</v>
      </c>
      <c r="B116" s="104">
        <v>68</v>
      </c>
      <c r="C116" s="104">
        <v>68</v>
      </c>
      <c r="D116" s="104">
        <v>68.2</v>
      </c>
      <c r="E116" s="104">
        <v>68.2</v>
      </c>
      <c r="F116" s="104">
        <v>68.3</v>
      </c>
      <c r="G116" s="104">
        <v>68.099999999999994</v>
      </c>
      <c r="H116" s="104">
        <v>67.599999999999994</v>
      </c>
      <c r="I116" s="104">
        <v>66.900000000000006</v>
      </c>
      <c r="J116" s="104">
        <v>63.9</v>
      </c>
      <c r="K116" s="104">
        <v>64.099999999999994</v>
      </c>
      <c r="L116" s="104">
        <v>63.9</v>
      </c>
      <c r="M116" s="104">
        <v>63.5</v>
      </c>
      <c r="N116" s="104">
        <v>64</v>
      </c>
      <c r="O116" s="104">
        <v>64</v>
      </c>
      <c r="P116" s="104">
        <v>64.5</v>
      </c>
      <c r="Q116" s="104">
        <v>64.599999999999994</v>
      </c>
      <c r="R116" s="104">
        <v>64.400000000000006</v>
      </c>
      <c r="S116" s="104">
        <v>63.9</v>
      </c>
      <c r="T116" s="104">
        <v>64</v>
      </c>
      <c r="U116" s="104">
        <v>64.900000000000006</v>
      </c>
      <c r="V116" s="104">
        <v>65</v>
      </c>
      <c r="W116" s="104">
        <v>65</v>
      </c>
      <c r="X116" s="104">
        <v>66.099999999999994</v>
      </c>
      <c r="Y116" s="104">
        <v>65.7</v>
      </c>
      <c r="Z116" s="104">
        <v>65.099999999999994</v>
      </c>
      <c r="AA116" s="104">
        <v>66.099999999999994</v>
      </c>
      <c r="AB116" s="104">
        <v>66.3</v>
      </c>
      <c r="AC116" s="104">
        <v>66.400000000000006</v>
      </c>
      <c r="AD116" s="104">
        <v>66.7</v>
      </c>
      <c r="AE116" s="104"/>
      <c r="AF116" s="104">
        <v>67.8</v>
      </c>
      <c r="AG116" s="120"/>
      <c r="AH116" s="48">
        <f t="shared" si="62"/>
        <v>68.3</v>
      </c>
      <c r="AI116" s="49">
        <f t="shared" si="63"/>
        <v>63.5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 t="s">
        <v>140</v>
      </c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62"/>
        <v>0</v>
      </c>
      <c r="AI117" s="49">
        <f t="shared" si="63"/>
        <v>0</v>
      </c>
    </row>
    <row r="118" spans="1:35" ht="15.75" thickBot="1" x14ac:dyDescent="0.3">
      <c r="A118" s="122" t="s">
        <v>141</v>
      </c>
      <c r="B118" s="123">
        <f>SUM(B22,B28,B31:B32,B66,B68:B69,B71,B73,B119:B123,B155,B161,B167,B176,B178,B190,B197,B200:B201,B208,B210,B212,B216:B218,B220:B222,B227,B233:B234,B236:B238,B246,B251)</f>
        <v>139.73999999999998</v>
      </c>
      <c r="C118" s="123">
        <f>SUM(C22,C28,C31:C32,C66,C68:C69,C71,C73,C119:C123,C155,C161,C167,C176,C178,C190,C197,C200:C201,C208,C210,C212,C216:C218,C220:C222,C227,C233:C234,C236:C238,C246,C251)</f>
        <v>130.84</v>
      </c>
      <c r="D118" s="123">
        <f>SUM(D22,D28,D31:D32,D66,D68:D69,D71,D73,D119:D123,D155,D161,D167,D176,D178,D190,D197,D200:D201,D208,D210,D212,D216:D218,D220:D222,D227,D233:D234,D236:D238,D246,D251)</f>
        <v>122.33999999999997</v>
      </c>
      <c r="E118" s="123">
        <f t="shared" ref="E118:O118" si="110">SUM(E22,E28,E31:E32,E66,E68:E69,E71,E73,E119:E123,E155,E161,E167,E176,E178,E190,E197,E200:E201,E208,E210,E212,E216:E218,E220:E222,E227,E233:E234,E236:E238,E246,E251)</f>
        <v>121.94000000000001</v>
      </c>
      <c r="F118" s="123">
        <f t="shared" si="110"/>
        <v>130.63999999999999</v>
      </c>
      <c r="G118" s="123">
        <f t="shared" si="110"/>
        <v>150.94</v>
      </c>
      <c r="H118" s="123">
        <f t="shared" si="110"/>
        <v>178.73999999999998</v>
      </c>
      <c r="I118" s="123">
        <f t="shared" si="110"/>
        <v>219.54</v>
      </c>
      <c r="J118" s="123">
        <f t="shared" si="110"/>
        <v>303.14</v>
      </c>
      <c r="K118" s="123">
        <f t="shared" si="110"/>
        <v>304.53999999999996</v>
      </c>
      <c r="L118" s="123">
        <f t="shared" si="110"/>
        <v>320.64</v>
      </c>
      <c r="M118" s="123">
        <f t="shared" si="110"/>
        <v>332.34</v>
      </c>
      <c r="N118" s="123">
        <f t="shared" si="110"/>
        <v>311.83999999999997</v>
      </c>
      <c r="O118" s="123">
        <f t="shared" si="110"/>
        <v>311.83999999999997</v>
      </c>
      <c r="P118" s="123">
        <v>42</v>
      </c>
      <c r="Q118" s="123">
        <f t="shared" ref="Q118:AF118" si="111">SUM(Q22,Q28,Q31:Q32,Q66,Q68:Q69,Q71,Q73,Q119:Q123,Q155,Q161,Q167,Q176,Q178,Q190,Q197,Q200:Q201,Q208,Q210,Q212,Q216:Q218,Q220:Q222,Q227,Q233:Q234,Q236:Q238,Q246,Q251)</f>
        <v>305.74</v>
      </c>
      <c r="R118" s="123">
        <f t="shared" si="111"/>
        <v>300.54000000000002</v>
      </c>
      <c r="S118" s="123">
        <f t="shared" si="111"/>
        <v>303.94</v>
      </c>
      <c r="T118" s="123">
        <f t="shared" si="111"/>
        <v>262.24</v>
      </c>
      <c r="U118" s="123">
        <f t="shared" si="111"/>
        <v>262.74</v>
      </c>
      <c r="V118" s="123">
        <f t="shared" si="111"/>
        <v>253.84</v>
      </c>
      <c r="W118" s="123">
        <f t="shared" si="111"/>
        <v>281.74</v>
      </c>
      <c r="X118" s="123">
        <f t="shared" si="111"/>
        <v>251.33999999999997</v>
      </c>
      <c r="Y118" s="123">
        <f t="shared" ref="Y118:Z118" si="112">SUM(Y20,Y26,Y37:Y38,Y66,Y68:Y69,Y71,Y73,Y119:Y123,Y148,Y154,Y160,Y169,Y171,Y183,Y190,Y193:Y194,Y201,Y203,Y205,Y209:Y211,Y213:Y215,Y220,Y226:Y227,Y229:Y231,Y239,Y244)</f>
        <v>298.3</v>
      </c>
      <c r="Z118" s="123">
        <f t="shared" si="112"/>
        <v>321.89999999999998</v>
      </c>
      <c r="AA118" s="123">
        <f t="shared" si="111"/>
        <v>286.24</v>
      </c>
      <c r="AB118" s="123">
        <f t="shared" si="111"/>
        <v>303.73999999999995</v>
      </c>
      <c r="AC118" s="123">
        <f t="shared" si="111"/>
        <v>267.24</v>
      </c>
      <c r="AD118" s="123">
        <f t="shared" si="111"/>
        <v>247.53999999999996</v>
      </c>
      <c r="AE118" s="123">
        <f t="shared" si="111"/>
        <v>83.24</v>
      </c>
      <c r="AF118" s="123">
        <f t="shared" si="111"/>
        <v>108.24000000000001</v>
      </c>
      <c r="AG118" s="124"/>
      <c r="AH118" s="48">
        <f t="shared" si="62"/>
        <v>332.34</v>
      </c>
      <c r="AI118" s="49">
        <f t="shared" si="63"/>
        <v>42</v>
      </c>
    </row>
    <row r="119" spans="1:35" x14ac:dyDescent="0.25">
      <c r="A119" s="125" t="s">
        <v>142</v>
      </c>
      <c r="B119" s="126">
        <v>18.8</v>
      </c>
      <c r="C119" s="126">
        <v>15.7</v>
      </c>
      <c r="D119" s="126">
        <v>14.3</v>
      </c>
      <c r="E119" s="126">
        <v>14.7</v>
      </c>
      <c r="F119" s="126">
        <v>15.1</v>
      </c>
      <c r="G119" s="126">
        <v>11.3</v>
      </c>
      <c r="H119" s="126">
        <v>9.3000000000000007</v>
      </c>
      <c r="I119" s="126">
        <v>13.3</v>
      </c>
      <c r="J119" s="126">
        <v>-4.8</v>
      </c>
      <c r="K119" s="126">
        <v>-9.4</v>
      </c>
      <c r="L119" s="126">
        <v>-1.6</v>
      </c>
      <c r="M119" s="126">
        <v>6.7</v>
      </c>
      <c r="N119" s="126">
        <v>1.9</v>
      </c>
      <c r="O119" s="126">
        <v>1.9</v>
      </c>
      <c r="P119" s="126">
        <v>-3.5</v>
      </c>
      <c r="Q119" s="126">
        <v>-1.5</v>
      </c>
      <c r="R119" s="126">
        <v>-0.1</v>
      </c>
      <c r="S119" s="126">
        <v>-0.4</v>
      </c>
      <c r="T119" s="126">
        <v>0.3</v>
      </c>
      <c r="U119" s="126">
        <v>1.4</v>
      </c>
      <c r="V119" s="126">
        <v>-5</v>
      </c>
      <c r="W119" s="126">
        <v>-8.9</v>
      </c>
      <c r="X119" s="126">
        <v>-3.4</v>
      </c>
      <c r="Y119" s="126">
        <v>5.7</v>
      </c>
      <c r="Z119" s="126">
        <v>25.3</v>
      </c>
      <c r="AA119" s="126">
        <v>27.1</v>
      </c>
      <c r="AB119" s="126">
        <v>21.4</v>
      </c>
      <c r="AC119" s="126">
        <v>23.7</v>
      </c>
      <c r="AD119" s="126">
        <v>20.399999999999999</v>
      </c>
      <c r="AE119" s="126"/>
      <c r="AF119" s="126">
        <v>20</v>
      </c>
      <c r="AG119" s="127">
        <v>75</v>
      </c>
      <c r="AH119" s="48">
        <f t="shared" si="62"/>
        <v>27.1</v>
      </c>
      <c r="AI119" s="49">
        <f t="shared" si="63"/>
        <v>-9.4</v>
      </c>
    </row>
    <row r="120" spans="1:35" x14ac:dyDescent="0.25">
      <c r="A120" s="128" t="s">
        <v>143</v>
      </c>
      <c r="B120" s="129">
        <v>30.7</v>
      </c>
      <c r="C120" s="129">
        <v>27</v>
      </c>
      <c r="D120" s="129">
        <v>26</v>
      </c>
      <c r="E120" s="129">
        <v>26</v>
      </c>
      <c r="F120" s="129">
        <v>26.3</v>
      </c>
      <c r="G120" s="129">
        <v>21.5</v>
      </c>
      <c r="H120" s="129">
        <v>18.8</v>
      </c>
      <c r="I120" s="129">
        <v>22.2</v>
      </c>
      <c r="J120" s="129">
        <v>-19.2</v>
      </c>
      <c r="K120" s="129">
        <v>-19.2</v>
      </c>
      <c r="L120" s="129">
        <v>-8.6999999999999993</v>
      </c>
      <c r="M120" s="129">
        <v>0.9</v>
      </c>
      <c r="N120" s="129">
        <v>-6</v>
      </c>
      <c r="O120" s="129">
        <v>-6</v>
      </c>
      <c r="P120" s="129">
        <v>-11.8</v>
      </c>
      <c r="Q120" s="129">
        <v>-10.1</v>
      </c>
      <c r="R120" s="129">
        <v>-6.9</v>
      </c>
      <c r="S120" s="129">
        <v>-7.8</v>
      </c>
      <c r="T120" s="129">
        <v>-7.1</v>
      </c>
      <c r="U120" s="129">
        <v>-7.2</v>
      </c>
      <c r="V120" s="129">
        <v>-12.5</v>
      </c>
      <c r="W120" s="129">
        <v>-16.600000000000001</v>
      </c>
      <c r="X120" s="129">
        <v>-4.0999999999999996</v>
      </c>
      <c r="Y120" s="129">
        <v>8.4</v>
      </c>
      <c r="Z120" s="129">
        <v>38.4</v>
      </c>
      <c r="AA120" s="129">
        <v>41.6</v>
      </c>
      <c r="AB120" s="129">
        <v>33.700000000000003</v>
      </c>
      <c r="AC120" s="129">
        <v>38</v>
      </c>
      <c r="AD120" s="129">
        <v>32.1</v>
      </c>
      <c r="AE120" s="129"/>
      <c r="AF120" s="129">
        <v>33</v>
      </c>
      <c r="AG120" s="127">
        <v>240</v>
      </c>
      <c r="AH120" s="48">
        <f t="shared" si="62"/>
        <v>41.6</v>
      </c>
      <c r="AI120" s="49">
        <f t="shared" si="63"/>
        <v>-19.2</v>
      </c>
    </row>
    <row r="121" spans="1:35" x14ac:dyDescent="0.25">
      <c r="A121" s="128" t="s">
        <v>144</v>
      </c>
      <c r="B121" s="129">
        <f>-11.9-21.5</f>
        <v>-33.4</v>
      </c>
      <c r="C121" s="129">
        <f>-11.9-21.7</f>
        <v>-33.6</v>
      </c>
      <c r="D121" s="129">
        <f>-12.4-21.7</f>
        <v>-34.1</v>
      </c>
      <c r="E121" s="129">
        <v>-33</v>
      </c>
      <c r="F121" s="129">
        <v>-29</v>
      </c>
      <c r="G121" s="129">
        <v>-18.8</v>
      </c>
      <c r="H121" s="129">
        <v>-6.5</v>
      </c>
      <c r="I121" s="129">
        <f>10.7+3.2</f>
        <v>13.899999999999999</v>
      </c>
      <c r="J121" s="129">
        <v>54.6</v>
      </c>
      <c r="K121" s="129">
        <v>54.6</v>
      </c>
      <c r="L121" s="129">
        <v>54</v>
      </c>
      <c r="M121" s="129">
        <v>51</v>
      </c>
      <c r="N121" s="129">
        <v>46</v>
      </c>
      <c r="O121" s="129">
        <v>46</v>
      </c>
      <c r="P121" s="129">
        <f>25+18</f>
        <v>43</v>
      </c>
      <c r="Q121" s="129">
        <f>24.5+17.9</f>
        <v>42.4</v>
      </c>
      <c r="R121" s="129">
        <v>35</v>
      </c>
      <c r="S121" s="129">
        <v>27</v>
      </c>
      <c r="T121" s="129">
        <v>3.4</v>
      </c>
      <c r="U121" s="129">
        <v>6.2</v>
      </c>
      <c r="V121" s="129">
        <v>7</v>
      </c>
      <c r="W121" s="129">
        <v>45</v>
      </c>
      <c r="X121" s="129">
        <v>19</v>
      </c>
      <c r="Y121" s="129">
        <v>20</v>
      </c>
      <c r="Z121" s="129">
        <v>-11</v>
      </c>
      <c r="AA121" s="129">
        <v>-23</v>
      </c>
      <c r="AB121" s="129">
        <v>12</v>
      </c>
      <c r="AC121" s="129">
        <v>-1</v>
      </c>
      <c r="AD121" s="129">
        <v>-1.3</v>
      </c>
      <c r="AE121" s="129"/>
      <c r="AF121" s="129">
        <v>-69</v>
      </c>
      <c r="AG121" s="127">
        <v>240</v>
      </c>
      <c r="AH121" s="48">
        <f t="shared" si="62"/>
        <v>54.6</v>
      </c>
      <c r="AI121" s="49">
        <f t="shared" si="63"/>
        <v>-69</v>
      </c>
    </row>
    <row r="122" spans="1:35" ht="15.75" thickBot="1" x14ac:dyDescent="0.3">
      <c r="A122" s="128" t="s">
        <v>145</v>
      </c>
      <c r="B122" s="129">
        <v>30</v>
      </c>
      <c r="C122" s="129">
        <v>30</v>
      </c>
      <c r="D122" s="129">
        <v>29.3</v>
      </c>
      <c r="E122" s="129">
        <v>29.7</v>
      </c>
      <c r="F122" s="129">
        <v>30.7</v>
      </c>
      <c r="G122" s="129">
        <v>32.5</v>
      </c>
      <c r="H122" s="129">
        <v>35</v>
      </c>
      <c r="I122" s="129">
        <v>39.5</v>
      </c>
      <c r="J122" s="129">
        <v>36.6</v>
      </c>
      <c r="K122" s="129">
        <v>36.6</v>
      </c>
      <c r="L122" s="129">
        <v>38</v>
      </c>
      <c r="M122" s="129">
        <v>34.799999999999997</v>
      </c>
      <c r="N122" s="129">
        <v>33</v>
      </c>
      <c r="O122" s="129">
        <v>33</v>
      </c>
      <c r="P122" s="129">
        <v>34.5</v>
      </c>
      <c r="Q122" s="129">
        <v>32.5</v>
      </c>
      <c r="R122" s="129">
        <v>31.5</v>
      </c>
      <c r="S122" s="129">
        <v>32</v>
      </c>
      <c r="T122" s="129">
        <v>31.2</v>
      </c>
      <c r="U122" s="129">
        <v>36.799999999999997</v>
      </c>
      <c r="V122" s="129">
        <v>31.2</v>
      </c>
      <c r="W122" s="129">
        <v>34</v>
      </c>
      <c r="X122" s="129">
        <v>43.9</v>
      </c>
      <c r="Y122" s="129">
        <v>45.5</v>
      </c>
      <c r="Z122" s="129">
        <v>43.2</v>
      </c>
      <c r="AA122" s="129">
        <v>41</v>
      </c>
      <c r="AB122" s="129">
        <v>40.200000000000003</v>
      </c>
      <c r="AC122" s="129">
        <v>38</v>
      </c>
      <c r="AD122" s="129">
        <v>37.6</v>
      </c>
      <c r="AE122" s="129"/>
      <c r="AF122" s="129">
        <v>29</v>
      </c>
      <c r="AG122" s="127">
        <v>60</v>
      </c>
      <c r="AH122" s="48">
        <f t="shared" si="62"/>
        <v>45.5</v>
      </c>
      <c r="AI122" s="49">
        <f t="shared" si="63"/>
        <v>29</v>
      </c>
    </row>
    <row r="123" spans="1:35" x14ac:dyDescent="0.25">
      <c r="A123" s="125" t="s">
        <v>146</v>
      </c>
      <c r="B123" s="130">
        <v>-0.2</v>
      </c>
      <c r="C123" s="130">
        <v>0.7</v>
      </c>
      <c r="D123" s="130">
        <v>-3.2</v>
      </c>
      <c r="E123" s="130">
        <v>-5.5</v>
      </c>
      <c r="F123" s="130">
        <v>-2.5</v>
      </c>
      <c r="G123" s="130">
        <v>14.4</v>
      </c>
      <c r="H123" s="130">
        <v>32.1</v>
      </c>
      <c r="I123" s="130">
        <v>40.6</v>
      </c>
      <c r="J123" s="130">
        <v>145</v>
      </c>
      <c r="K123" s="130">
        <v>151</v>
      </c>
      <c r="L123" s="130">
        <v>148</v>
      </c>
      <c r="M123" s="130">
        <v>148</v>
      </c>
      <c r="N123" s="130">
        <v>146</v>
      </c>
      <c r="O123" s="130">
        <v>146</v>
      </c>
      <c r="P123" s="130">
        <v>134</v>
      </c>
      <c r="Q123" s="130">
        <v>138.4</v>
      </c>
      <c r="R123" s="130">
        <v>137</v>
      </c>
      <c r="S123" s="130">
        <v>153.6</v>
      </c>
      <c r="T123" s="130">
        <v>146.80000000000001</v>
      </c>
      <c r="U123" s="130">
        <v>135.4</v>
      </c>
      <c r="V123" s="130">
        <v>143</v>
      </c>
      <c r="W123" s="130">
        <v>144.5</v>
      </c>
      <c r="X123" s="130">
        <v>113.8</v>
      </c>
      <c r="Y123" s="130">
        <v>131.69999999999999</v>
      </c>
      <c r="Z123" s="130">
        <v>139</v>
      </c>
      <c r="AA123" s="130">
        <v>116.3</v>
      </c>
      <c r="AB123" s="130">
        <v>113.2</v>
      </c>
      <c r="AC123" s="130">
        <v>85.3</v>
      </c>
      <c r="AD123" s="130">
        <v>75.5</v>
      </c>
      <c r="AE123" s="130"/>
      <c r="AF123" s="130">
        <v>12</v>
      </c>
      <c r="AG123" s="131">
        <v>120</v>
      </c>
      <c r="AH123" s="48">
        <f t="shared" si="62"/>
        <v>153.6</v>
      </c>
      <c r="AI123" s="49">
        <f t="shared" si="63"/>
        <v>-5.5</v>
      </c>
    </row>
    <row r="124" spans="1:35" x14ac:dyDescent="0.25">
      <c r="A124" s="128" t="s">
        <v>147</v>
      </c>
      <c r="B124" s="130">
        <v>20.5</v>
      </c>
      <c r="C124" s="130">
        <v>20.3</v>
      </c>
      <c r="D124" s="130">
        <v>18.100000000000001</v>
      </c>
      <c r="E124" s="130">
        <v>17.2</v>
      </c>
      <c r="F124" s="130">
        <v>18</v>
      </c>
      <c r="G124" s="130">
        <v>27</v>
      </c>
      <c r="H124" s="130">
        <v>36</v>
      </c>
      <c r="I124" s="130">
        <v>40.1</v>
      </c>
      <c r="J124" s="130">
        <v>92.2</v>
      </c>
      <c r="K124" s="130">
        <v>90.4</v>
      </c>
      <c r="L124" s="130">
        <v>92.2</v>
      </c>
      <c r="M124" s="130">
        <v>92</v>
      </c>
      <c r="N124" s="130">
        <v>90</v>
      </c>
      <c r="O124" s="130">
        <v>90</v>
      </c>
      <c r="P124" s="130">
        <v>85</v>
      </c>
      <c r="Q124" s="130">
        <v>87.7</v>
      </c>
      <c r="R124" s="130">
        <v>87</v>
      </c>
      <c r="S124" s="130">
        <v>80.3</v>
      </c>
      <c r="T124" s="130">
        <v>86.4</v>
      </c>
      <c r="U124" s="130">
        <v>85.9</v>
      </c>
      <c r="V124" s="130">
        <v>90.1</v>
      </c>
      <c r="W124" s="130">
        <v>90.9</v>
      </c>
      <c r="X124" s="130">
        <v>76.2</v>
      </c>
      <c r="Y124" s="130">
        <v>84.6</v>
      </c>
      <c r="Z124" s="130">
        <v>87.6</v>
      </c>
      <c r="AA124" s="130">
        <v>77.099999999999994</v>
      </c>
      <c r="AB124" s="130">
        <v>76</v>
      </c>
      <c r="AC124" s="130">
        <v>63</v>
      </c>
      <c r="AD124" s="130">
        <v>57.7</v>
      </c>
      <c r="AE124" s="130"/>
      <c r="AF124" s="130">
        <v>26</v>
      </c>
      <c r="AG124" s="131"/>
      <c r="AH124" s="48">
        <f t="shared" si="62"/>
        <v>92.2</v>
      </c>
      <c r="AI124" s="49">
        <f t="shared" si="63"/>
        <v>17.2</v>
      </c>
    </row>
    <row r="125" spans="1:35" x14ac:dyDescent="0.25">
      <c r="A125" s="128" t="s">
        <v>148</v>
      </c>
      <c r="B125" s="130">
        <v>-26.5</v>
      </c>
      <c r="C125" s="130">
        <v>-18.3</v>
      </c>
      <c r="D125" s="130">
        <v>-19.2</v>
      </c>
      <c r="E125" s="130">
        <v>-21</v>
      </c>
      <c r="F125" s="130">
        <v>-22.8</v>
      </c>
      <c r="G125" s="130">
        <v>-20.100000000000001</v>
      </c>
      <c r="H125" s="130">
        <v>-19.600000000000001</v>
      </c>
      <c r="I125" s="130">
        <v>-32.6</v>
      </c>
      <c r="J125" s="130">
        <v>26.2</v>
      </c>
      <c r="K125" s="130">
        <v>23.4</v>
      </c>
      <c r="L125" s="130">
        <v>13.3</v>
      </c>
      <c r="M125" s="130">
        <v>5</v>
      </c>
      <c r="N125" s="130">
        <v>15</v>
      </c>
      <c r="O125" s="130">
        <v>15</v>
      </c>
      <c r="P125" s="130">
        <v>27</v>
      </c>
      <c r="Q125" s="130">
        <v>28.3</v>
      </c>
      <c r="R125" s="130">
        <v>30</v>
      </c>
      <c r="S125" s="130">
        <v>16.7</v>
      </c>
      <c r="T125" s="130">
        <v>21</v>
      </c>
      <c r="U125" s="130">
        <v>17.600000000000001</v>
      </c>
      <c r="V125" s="130">
        <v>25.1</v>
      </c>
      <c r="W125" s="130">
        <v>25.3</v>
      </c>
      <c r="X125" s="130">
        <v>-10.8</v>
      </c>
      <c r="Y125" s="130">
        <v>-27.8</v>
      </c>
      <c r="Z125" s="130">
        <v>-32.1</v>
      </c>
      <c r="AA125" s="130">
        <v>-35</v>
      </c>
      <c r="AB125" s="130">
        <v>-25.3</v>
      </c>
      <c r="AC125" s="130">
        <v>-28.5</v>
      </c>
      <c r="AD125" s="130">
        <v>-25.2</v>
      </c>
      <c r="AE125" s="130"/>
      <c r="AF125" s="130">
        <v>-30</v>
      </c>
      <c r="AG125" s="131"/>
      <c r="AH125" s="48">
        <f t="shared" si="62"/>
        <v>30</v>
      </c>
      <c r="AI125" s="49">
        <f t="shared" si="63"/>
        <v>-35</v>
      </c>
    </row>
    <row r="126" spans="1:35" ht="15.75" thickBot="1" x14ac:dyDescent="0.3">
      <c r="A126" s="128" t="s">
        <v>149</v>
      </c>
      <c r="B126" s="130">
        <v>11.1</v>
      </c>
      <c r="C126" s="130">
        <v>68.5</v>
      </c>
      <c r="D126" s="130">
        <v>10.7</v>
      </c>
      <c r="E126" s="130">
        <v>7.2</v>
      </c>
      <c r="F126" s="130">
        <v>7.9</v>
      </c>
      <c r="G126" s="130">
        <v>18.399999999999999</v>
      </c>
      <c r="H126" s="130">
        <v>30.4</v>
      </c>
      <c r="I126" s="130">
        <v>24.5</v>
      </c>
      <c r="J126" s="130">
        <v>114</v>
      </c>
      <c r="K126" s="130">
        <v>115</v>
      </c>
      <c r="L126" s="130">
        <v>58.7</v>
      </c>
      <c r="M126" s="130">
        <v>106</v>
      </c>
      <c r="N126" s="130">
        <v>106</v>
      </c>
      <c r="O126" s="130">
        <v>106</v>
      </c>
      <c r="P126" s="130">
        <v>98</v>
      </c>
      <c r="Q126" s="130">
        <v>104</v>
      </c>
      <c r="R126" s="130">
        <v>99</v>
      </c>
      <c r="S126" s="130">
        <v>103</v>
      </c>
      <c r="T126" s="130">
        <v>108.5</v>
      </c>
      <c r="U126" s="130">
        <v>93</v>
      </c>
      <c r="V126" s="130">
        <v>105.7</v>
      </c>
      <c r="W126" s="130">
        <v>100.6</v>
      </c>
      <c r="X126" s="130">
        <v>84.2</v>
      </c>
      <c r="Y126" s="130">
        <v>70.2</v>
      </c>
      <c r="Z126" s="130">
        <v>71.8</v>
      </c>
      <c r="AA126" s="130">
        <v>65.400000000000006</v>
      </c>
      <c r="AB126" s="130">
        <v>65</v>
      </c>
      <c r="AC126" s="130">
        <v>53</v>
      </c>
      <c r="AD126" s="130">
        <v>55.2</v>
      </c>
      <c r="AE126" s="130"/>
      <c r="AF126" s="130">
        <v>19</v>
      </c>
      <c r="AG126" s="127"/>
      <c r="AH126" s="48">
        <f>MAX(B126:AF126)</f>
        <v>115</v>
      </c>
      <c r="AI126" s="49">
        <f>MIN(B126:AF126)</f>
        <v>7.2</v>
      </c>
    </row>
    <row r="127" spans="1:35" x14ac:dyDescent="0.25">
      <c r="A127" s="125" t="s">
        <v>305</v>
      </c>
      <c r="B127" s="130">
        <v>-68.5</v>
      </c>
      <c r="C127" s="130">
        <v>-68.099999999999994</v>
      </c>
      <c r="D127" s="130">
        <v>-62.4</v>
      </c>
      <c r="E127" s="130">
        <v>-63.4</v>
      </c>
      <c r="F127" s="130">
        <v>-60.7</v>
      </c>
      <c r="G127" s="130">
        <v>-52.8</v>
      </c>
      <c r="H127" s="130">
        <v>-43.4</v>
      </c>
      <c r="I127" s="130">
        <v>-46.3</v>
      </c>
      <c r="J127" s="130">
        <v>45.1</v>
      </c>
      <c r="K127" s="130">
        <v>42.9</v>
      </c>
      <c r="L127" s="130">
        <v>44</v>
      </c>
      <c r="M127" s="130">
        <v>44</v>
      </c>
      <c r="N127" s="130">
        <v>42</v>
      </c>
      <c r="O127" s="130">
        <v>42</v>
      </c>
      <c r="P127" s="130">
        <v>38</v>
      </c>
      <c r="Q127" s="130">
        <v>40.799999999999997</v>
      </c>
      <c r="R127" s="130">
        <v>37</v>
      </c>
      <c r="S127" s="130">
        <v>46.6</v>
      </c>
      <c r="T127" s="130">
        <v>44.4</v>
      </c>
      <c r="U127" s="130">
        <v>35.4</v>
      </c>
      <c r="V127" s="130">
        <v>38.6</v>
      </c>
      <c r="W127" s="130">
        <v>40</v>
      </c>
      <c r="X127" s="130">
        <v>27.2</v>
      </c>
      <c r="Y127" s="130">
        <v>-123.5</v>
      </c>
      <c r="Z127" s="130">
        <v>-160</v>
      </c>
      <c r="AA127" s="130">
        <v>-163</v>
      </c>
      <c r="AB127" s="130">
        <v>-146</v>
      </c>
      <c r="AC127" s="130">
        <v>-138</v>
      </c>
      <c r="AD127" s="130">
        <v>-77</v>
      </c>
      <c r="AE127" s="130"/>
      <c r="AF127" s="130">
        <v>-58</v>
      </c>
      <c r="AG127" s="127"/>
      <c r="AH127" s="48">
        <f>MAX(B127:AF127)</f>
        <v>46.6</v>
      </c>
      <c r="AI127" s="49">
        <f>MIN(B127:AF127)</f>
        <v>-163</v>
      </c>
    </row>
    <row r="128" spans="1:35" x14ac:dyDescent="0.25">
      <c r="A128" s="128" t="s">
        <v>151</v>
      </c>
      <c r="B128" s="118">
        <v>-33.299999999999997</v>
      </c>
      <c r="C128" s="118">
        <v>-31.2</v>
      </c>
      <c r="D128" s="118">
        <v>-28.3</v>
      </c>
      <c r="E128" s="118">
        <v>-24.7</v>
      </c>
      <c r="F128" s="118">
        <v>-24.7</v>
      </c>
      <c r="G128" s="118">
        <v>-27.7</v>
      </c>
      <c r="H128" s="118">
        <v>-32.5</v>
      </c>
      <c r="I128" s="118">
        <v>-36.700000000000003</v>
      </c>
      <c r="J128" s="118">
        <v>-44.8</v>
      </c>
      <c r="K128" s="118">
        <v>-46.2</v>
      </c>
      <c r="L128" s="118">
        <v>-58</v>
      </c>
      <c r="M128" s="118">
        <v>-49</v>
      </c>
      <c r="N128" s="118">
        <v>-50</v>
      </c>
      <c r="O128" s="118">
        <v>-50</v>
      </c>
      <c r="P128" s="118">
        <v>-51</v>
      </c>
      <c r="Q128" s="118">
        <v>-48</v>
      </c>
      <c r="R128" s="118">
        <v>-47</v>
      </c>
      <c r="S128" s="118">
        <v>-52</v>
      </c>
      <c r="T128" s="118">
        <v>-52.9</v>
      </c>
      <c r="U128" s="118">
        <v>-57.1</v>
      </c>
      <c r="V128" s="118">
        <v>-65.099999999999994</v>
      </c>
      <c r="W128" s="118">
        <v>-64.900000000000006</v>
      </c>
      <c r="X128" s="118">
        <v>-67.7</v>
      </c>
      <c r="Y128" s="118">
        <v>-68</v>
      </c>
      <c r="Z128" s="118">
        <v>-63.2</v>
      </c>
      <c r="AA128" s="118">
        <v>-60.3</v>
      </c>
      <c r="AB128" s="118">
        <v>-58</v>
      </c>
      <c r="AC128" s="118">
        <v>-52</v>
      </c>
      <c r="AD128" s="118">
        <v>-45.7</v>
      </c>
      <c r="AE128" s="118"/>
      <c r="AF128" s="118">
        <v>-42</v>
      </c>
      <c r="AG128" s="127"/>
      <c r="AH128" s="48">
        <f>MAX(B128:AF128)</f>
        <v>-24.7</v>
      </c>
      <c r="AI128" s="49">
        <f>MIN(B128:AF128)</f>
        <v>-68</v>
      </c>
    </row>
    <row r="129" spans="1:37" x14ac:dyDescent="0.25">
      <c r="A129" s="128" t="s">
        <v>306</v>
      </c>
      <c r="B129" s="118">
        <v>71</v>
      </c>
      <c r="C129" s="118">
        <v>68.7</v>
      </c>
      <c r="D129" s="118">
        <v>65</v>
      </c>
      <c r="E129" s="118">
        <v>61.1</v>
      </c>
      <c r="F129" s="118">
        <v>58</v>
      </c>
      <c r="G129" s="118">
        <v>56.8</v>
      </c>
      <c r="H129" s="118">
        <v>56.6</v>
      </c>
      <c r="I129" s="118">
        <v>21.1</v>
      </c>
      <c r="J129" s="118">
        <v>29.7</v>
      </c>
      <c r="K129" s="118">
        <v>58</v>
      </c>
      <c r="L129" s="118">
        <v>61.5</v>
      </c>
      <c r="M129" s="118">
        <v>64.599999999999994</v>
      </c>
      <c r="N129" s="118">
        <v>71</v>
      </c>
      <c r="O129" s="118">
        <v>71</v>
      </c>
      <c r="P129" s="118">
        <v>83</v>
      </c>
      <c r="Q129" s="118">
        <v>80.2</v>
      </c>
      <c r="R129" s="118">
        <v>88</v>
      </c>
      <c r="S129" s="118">
        <v>84.8</v>
      </c>
      <c r="T129" s="118">
        <v>81.2</v>
      </c>
      <c r="U129" s="118">
        <v>77</v>
      </c>
      <c r="V129" s="118">
        <v>58.9</v>
      </c>
      <c r="W129" s="118">
        <v>63.1</v>
      </c>
      <c r="X129" s="118">
        <v>46.2</v>
      </c>
      <c r="Y129" s="118">
        <v>50.2</v>
      </c>
      <c r="Z129" s="118">
        <v>116.7</v>
      </c>
      <c r="AA129" s="118">
        <v>117</v>
      </c>
      <c r="AB129" s="118">
        <v>110</v>
      </c>
      <c r="AC129" s="118">
        <v>115</v>
      </c>
      <c r="AD129" s="118">
        <v>108.9</v>
      </c>
      <c r="AE129" s="118"/>
      <c r="AF129" s="118">
        <v>85</v>
      </c>
      <c r="AG129" s="127"/>
      <c r="AH129" s="48">
        <f>MAX(B129:AF129)</f>
        <v>117</v>
      </c>
      <c r="AI129" s="49">
        <f>MIN(B129:AF129)</f>
        <v>21.1</v>
      </c>
    </row>
    <row r="130" spans="1:37" ht="15.75" thickBot="1" x14ac:dyDescent="0.3">
      <c r="A130" s="128" t="s">
        <v>153</v>
      </c>
      <c r="B130" s="118">
        <v>85.5</v>
      </c>
      <c r="C130" s="118">
        <v>82.2</v>
      </c>
      <c r="D130" s="118">
        <v>78.5</v>
      </c>
      <c r="E130" s="118">
        <v>70.8</v>
      </c>
      <c r="F130" s="118">
        <v>68</v>
      </c>
      <c r="G130" s="118">
        <v>70.599999999999994</v>
      </c>
      <c r="H130" s="118">
        <v>70.5</v>
      </c>
      <c r="I130" s="118">
        <v>30.8</v>
      </c>
      <c r="J130" s="118">
        <v>36</v>
      </c>
      <c r="K130" s="118">
        <v>68</v>
      </c>
      <c r="L130" s="118">
        <v>71</v>
      </c>
      <c r="M130" s="118">
        <v>74</v>
      </c>
      <c r="N130" s="118">
        <v>74</v>
      </c>
      <c r="O130" s="118">
        <v>74</v>
      </c>
      <c r="P130" s="118">
        <v>87</v>
      </c>
      <c r="Q130" s="118">
        <v>84</v>
      </c>
      <c r="R130" s="118">
        <v>90</v>
      </c>
      <c r="S130" s="118">
        <v>85.96</v>
      </c>
      <c r="T130" s="118">
        <v>83.8</v>
      </c>
      <c r="U130" s="118">
        <v>81.7</v>
      </c>
      <c r="V130" s="118">
        <v>68.3</v>
      </c>
      <c r="W130" s="118">
        <v>71.5</v>
      </c>
      <c r="X130" s="118">
        <v>59.1</v>
      </c>
      <c r="Y130" s="118">
        <v>61.6</v>
      </c>
      <c r="Z130" s="118">
        <v>127.2</v>
      </c>
      <c r="AA130" s="118">
        <v>128</v>
      </c>
      <c r="AB130" s="118">
        <v>127</v>
      </c>
      <c r="AC130" s="118">
        <v>124.3</v>
      </c>
      <c r="AD130" s="118">
        <v>119</v>
      </c>
      <c r="AE130" s="118"/>
      <c r="AF130" s="118">
        <v>98</v>
      </c>
      <c r="AG130" s="127"/>
      <c r="AH130" s="48">
        <f>MAX(B130:AF130)</f>
        <v>128</v>
      </c>
      <c r="AI130" s="49">
        <f>MIN(B130:AF130)</f>
        <v>30.8</v>
      </c>
    </row>
    <row r="131" spans="1:37" x14ac:dyDescent="0.25">
      <c r="A131" s="132" t="s">
        <v>154</v>
      </c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4"/>
      <c r="AG131" s="44"/>
      <c r="AH131" s="48"/>
      <c r="AI131" s="49"/>
    </row>
    <row r="132" spans="1:37" x14ac:dyDescent="0.25">
      <c r="A132" s="135" t="s">
        <v>155</v>
      </c>
      <c r="B132" s="136">
        <v>1982.6</v>
      </c>
      <c r="C132" s="136">
        <v>1982.6</v>
      </c>
      <c r="D132" s="136">
        <v>1982.58</v>
      </c>
      <c r="E132" s="136">
        <v>1982.63</v>
      </c>
      <c r="F132" s="136">
        <v>1982.65</v>
      </c>
      <c r="G132" s="136">
        <v>1982.7</v>
      </c>
      <c r="H132" s="136"/>
      <c r="I132" s="136">
        <v>1982.72</v>
      </c>
      <c r="J132" s="136"/>
      <c r="K132" s="136">
        <v>1982.9</v>
      </c>
      <c r="L132" s="136"/>
      <c r="M132" s="136">
        <v>1983.15</v>
      </c>
      <c r="N132" s="136">
        <v>1983.4</v>
      </c>
      <c r="O132" s="136">
        <v>1983.6</v>
      </c>
      <c r="P132" s="136">
        <v>1983.82</v>
      </c>
      <c r="Q132" s="136">
        <v>1984.08</v>
      </c>
      <c r="R132" s="136">
        <v>1984.27</v>
      </c>
      <c r="S132" s="136">
        <v>1984.45</v>
      </c>
      <c r="T132" s="136">
        <v>1984.62</v>
      </c>
      <c r="U132" s="136">
        <v>1984.8</v>
      </c>
      <c r="V132" s="136">
        <v>1984.95</v>
      </c>
      <c r="W132" s="136"/>
      <c r="X132" s="136">
        <v>1985</v>
      </c>
      <c r="Y132" s="136"/>
      <c r="Z132" s="136">
        <v>1984.7</v>
      </c>
      <c r="AA132" s="136"/>
      <c r="AB132" s="136">
        <v>1983.6</v>
      </c>
      <c r="AC132" s="136"/>
      <c r="AD132" s="136"/>
      <c r="AE132" s="136"/>
      <c r="AF132" s="137"/>
      <c r="AG132" s="138"/>
      <c r="AH132" s="48"/>
      <c r="AI132" s="49"/>
    </row>
    <row r="133" spans="1:37" x14ac:dyDescent="0.25">
      <c r="A133" s="135" t="s">
        <v>156</v>
      </c>
      <c r="B133" s="139">
        <v>519.09</v>
      </c>
      <c r="C133" s="139">
        <v>519.14</v>
      </c>
      <c r="D133" s="139">
        <v>519.30999999999995</v>
      </c>
      <c r="E133" s="139">
        <v>519.55999999999995</v>
      </c>
      <c r="F133" s="139">
        <v>519.72</v>
      </c>
      <c r="G133" s="139">
        <v>519.89</v>
      </c>
      <c r="H133" s="139"/>
      <c r="I133" s="139">
        <v>520.04</v>
      </c>
      <c r="J133" s="139"/>
      <c r="K133" s="139">
        <v>520.15</v>
      </c>
      <c r="L133" s="139"/>
      <c r="M133" s="139">
        <v>520.27</v>
      </c>
      <c r="N133" s="139">
        <v>520.35</v>
      </c>
      <c r="O133" s="139">
        <v>520.23</v>
      </c>
      <c r="P133" s="139">
        <v>520.21</v>
      </c>
      <c r="Q133" s="139">
        <v>520.27</v>
      </c>
      <c r="R133" s="139">
        <v>520.34</v>
      </c>
      <c r="S133" s="139">
        <v>520.41999999999996</v>
      </c>
      <c r="T133" s="139">
        <v>520.5</v>
      </c>
      <c r="U133" s="139">
        <v>520.59</v>
      </c>
      <c r="V133" s="139">
        <v>520.72</v>
      </c>
      <c r="W133" s="139"/>
      <c r="X133" s="139">
        <v>520.83000000000004</v>
      </c>
      <c r="Y133" s="139"/>
      <c r="Z133" s="139">
        <v>520.70000000000005</v>
      </c>
      <c r="AA133" s="139"/>
      <c r="AB133" s="139">
        <v>520</v>
      </c>
      <c r="AC133" s="139"/>
      <c r="AD133" s="139">
        <v>519.58000000000004</v>
      </c>
      <c r="AE133" s="139"/>
      <c r="AF133" s="140"/>
      <c r="AG133" s="138"/>
      <c r="AH133" s="48"/>
      <c r="AI133" s="49"/>
    </row>
    <row r="134" spans="1:37" x14ac:dyDescent="0.25">
      <c r="A134" s="135" t="s">
        <v>158</v>
      </c>
      <c r="B134" s="139">
        <v>621.79999999999995</v>
      </c>
      <c r="C134" s="139">
        <v>621.94000000000005</v>
      </c>
      <c r="D134" s="139">
        <v>622.04</v>
      </c>
      <c r="E134" s="139">
        <v>622.14</v>
      </c>
      <c r="F134" s="139">
        <v>622.22</v>
      </c>
      <c r="G134" s="139">
        <v>622.29999999999995</v>
      </c>
      <c r="H134" s="139"/>
      <c r="I134" s="139">
        <v>622.38</v>
      </c>
      <c r="J134" s="139"/>
      <c r="K134" s="139">
        <v>622.41999999999996</v>
      </c>
      <c r="L134" s="139"/>
      <c r="M134" s="139">
        <v>622.04</v>
      </c>
      <c r="N134" s="139">
        <v>621.80999999999995</v>
      </c>
      <c r="O134" s="139">
        <v>622.74</v>
      </c>
      <c r="P134" s="139">
        <v>622.85</v>
      </c>
      <c r="Q134" s="139">
        <v>622.79999999999995</v>
      </c>
      <c r="R134" s="139">
        <v>622.86</v>
      </c>
      <c r="S134" s="139">
        <v>622.87</v>
      </c>
      <c r="T134" s="139">
        <v>622.9</v>
      </c>
      <c r="U134" s="139">
        <v>622.86</v>
      </c>
      <c r="V134" s="139">
        <v>622.96</v>
      </c>
      <c r="W134" s="139"/>
      <c r="X134" s="139">
        <v>623.03</v>
      </c>
      <c r="Y134" s="139"/>
      <c r="Z134" s="139">
        <v>622.64</v>
      </c>
      <c r="AA134" s="139"/>
      <c r="AB134" s="139">
        <v>622.02</v>
      </c>
      <c r="AC134" s="139"/>
      <c r="AD134" s="139">
        <v>621.41999999999996</v>
      </c>
      <c r="AE134" s="139"/>
      <c r="AF134" s="140">
        <v>621.49</v>
      </c>
      <c r="AG134" s="138"/>
      <c r="AH134" s="48"/>
      <c r="AI134" s="49"/>
    </row>
    <row r="135" spans="1:37" x14ac:dyDescent="0.25">
      <c r="A135" s="135" t="s">
        <v>159</v>
      </c>
      <c r="B135" s="139">
        <v>333.95</v>
      </c>
      <c r="C135" s="139">
        <v>334.3</v>
      </c>
      <c r="D135" s="139">
        <v>334.95</v>
      </c>
      <c r="E135" s="139">
        <v>335.09</v>
      </c>
      <c r="F135" s="139">
        <v>335.27</v>
      </c>
      <c r="G135" s="139">
        <v>335.39</v>
      </c>
      <c r="H135" s="139"/>
      <c r="I135" s="139">
        <v>335.52</v>
      </c>
      <c r="J135" s="139"/>
      <c r="K135" s="139">
        <v>336.65</v>
      </c>
      <c r="L135" s="139"/>
      <c r="M135" s="139">
        <v>335.77</v>
      </c>
      <c r="N135" s="139">
        <v>335.74</v>
      </c>
      <c r="O135" s="139">
        <v>335.69</v>
      </c>
      <c r="P135" s="139">
        <v>335.61</v>
      </c>
      <c r="Q135" s="139">
        <v>335.54</v>
      </c>
      <c r="R135" s="139">
        <v>335.52</v>
      </c>
      <c r="S135" s="139">
        <v>335.59</v>
      </c>
      <c r="T135" s="139">
        <v>335.62</v>
      </c>
      <c r="U135" s="139">
        <v>335.48</v>
      </c>
      <c r="V135" s="139">
        <v>335.24</v>
      </c>
      <c r="W135" s="139"/>
      <c r="X135" s="139">
        <v>335.13</v>
      </c>
      <c r="Y135" s="139"/>
      <c r="Z135" s="139">
        <v>335.16</v>
      </c>
      <c r="AA135" s="139"/>
      <c r="AB135" s="139">
        <v>335.01</v>
      </c>
      <c r="AC135" s="139"/>
      <c r="AD135" s="139">
        <v>334.88</v>
      </c>
      <c r="AE135" s="139"/>
      <c r="AF135" s="140"/>
      <c r="AG135" s="138"/>
      <c r="AH135" s="48"/>
      <c r="AI135" s="49"/>
    </row>
    <row r="136" spans="1:37" x14ac:dyDescent="0.25">
      <c r="A136" s="135" t="s">
        <v>160</v>
      </c>
      <c r="B136" s="139">
        <v>882.5</v>
      </c>
      <c r="C136" s="139">
        <v>882.3</v>
      </c>
      <c r="D136" s="139">
        <v>882.3</v>
      </c>
      <c r="E136" s="139">
        <v>883.4</v>
      </c>
      <c r="F136" s="139">
        <v>884.1</v>
      </c>
      <c r="G136" s="139"/>
      <c r="H136" s="139"/>
      <c r="I136" s="139"/>
      <c r="J136" s="139"/>
      <c r="K136" s="139">
        <v>885.2</v>
      </c>
      <c r="L136" s="139"/>
      <c r="M136" s="139">
        <v>885</v>
      </c>
      <c r="N136" s="139">
        <v>884.7</v>
      </c>
      <c r="O136" s="139">
        <v>884.3</v>
      </c>
      <c r="P136" s="139">
        <v>883.8</v>
      </c>
      <c r="Q136" s="139">
        <v>883.3</v>
      </c>
      <c r="R136" s="139">
        <v>882.5</v>
      </c>
      <c r="S136" s="139">
        <v>882.5</v>
      </c>
      <c r="T136" s="139">
        <v>882.7</v>
      </c>
      <c r="U136" s="139">
        <v>883.6</v>
      </c>
      <c r="V136" s="139">
        <v>884.2</v>
      </c>
      <c r="W136" s="139"/>
      <c r="X136" s="139">
        <v>884.8</v>
      </c>
      <c r="Y136" s="139"/>
      <c r="Z136" s="139">
        <v>884.8</v>
      </c>
      <c r="AA136" s="139"/>
      <c r="AB136" s="139">
        <v>884.4</v>
      </c>
      <c r="AC136" s="139"/>
      <c r="AD136" s="139">
        <v>883.9</v>
      </c>
      <c r="AE136" s="139"/>
      <c r="AF136" s="140"/>
      <c r="AG136" s="138"/>
      <c r="AH136" s="48"/>
      <c r="AI136" s="49"/>
    </row>
    <row r="137" spans="1:37" ht="15.75" thickBot="1" x14ac:dyDescent="0.3">
      <c r="A137" s="135" t="s">
        <v>161</v>
      </c>
      <c r="B137" s="141">
        <v>1516.42</v>
      </c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>
        <v>1516.07</v>
      </c>
      <c r="T137" s="141"/>
      <c r="U137" s="141"/>
      <c r="V137" s="141"/>
      <c r="W137" s="141"/>
      <c r="X137" s="141"/>
      <c r="Y137" s="141"/>
      <c r="Z137" s="141"/>
      <c r="AA137" s="141"/>
      <c r="AB137" s="141">
        <v>1515.92</v>
      </c>
      <c r="AC137" s="141"/>
      <c r="AD137" s="141"/>
      <c r="AE137" s="141"/>
      <c r="AF137" s="142"/>
      <c r="AG137" s="138"/>
      <c r="AH137" s="48"/>
      <c r="AI137" s="49"/>
    </row>
    <row r="138" spans="1:37" ht="15.75" thickBot="1" x14ac:dyDescent="0.3">
      <c r="A138" s="143" t="s">
        <v>162</v>
      </c>
      <c r="B138" s="144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113">SUM(B139:B243)</f>
        <v>0</v>
      </c>
      <c r="C244" s="160">
        <f t="shared" si="113"/>
        <v>0</v>
      </c>
      <c r="D244" s="160">
        <f t="shared" si="113"/>
        <v>0</v>
      </c>
      <c r="E244" s="160">
        <f t="shared" si="113"/>
        <v>0</v>
      </c>
      <c r="F244" s="160">
        <f t="shared" si="113"/>
        <v>0</v>
      </c>
      <c r="G244" s="160">
        <f t="shared" si="113"/>
        <v>0</v>
      </c>
      <c r="H244" s="160">
        <f t="shared" si="113"/>
        <v>0</v>
      </c>
      <c r="I244" s="160">
        <f t="shared" si="113"/>
        <v>0</v>
      </c>
      <c r="J244" s="160">
        <f t="shared" si="113"/>
        <v>0</v>
      </c>
      <c r="K244" s="160">
        <f t="shared" si="113"/>
        <v>0</v>
      </c>
      <c r="L244" s="160">
        <f t="shared" si="113"/>
        <v>0</v>
      </c>
      <c r="M244" s="160">
        <f t="shared" si="113"/>
        <v>0</v>
      </c>
      <c r="N244" s="160">
        <f t="shared" si="113"/>
        <v>0</v>
      </c>
      <c r="O244" s="160">
        <f t="shared" si="113"/>
        <v>0</v>
      </c>
      <c r="P244" s="160">
        <f t="shared" si="113"/>
        <v>0</v>
      </c>
      <c r="Q244" s="160">
        <f t="shared" si="113"/>
        <v>0</v>
      </c>
      <c r="R244" s="160">
        <f t="shared" si="113"/>
        <v>0</v>
      </c>
      <c r="S244" s="160">
        <f t="shared" si="113"/>
        <v>0</v>
      </c>
      <c r="T244" s="160">
        <f t="shared" si="113"/>
        <v>0</v>
      </c>
      <c r="U244" s="160">
        <f t="shared" si="113"/>
        <v>0</v>
      </c>
      <c r="V244" s="160">
        <f t="shared" si="113"/>
        <v>0</v>
      </c>
      <c r="W244" s="160">
        <f t="shared" si="113"/>
        <v>0</v>
      </c>
      <c r="X244" s="160">
        <f t="shared" si="113"/>
        <v>0</v>
      </c>
      <c r="Y244" s="160">
        <f t="shared" si="113"/>
        <v>0</v>
      </c>
      <c r="Z244" s="160">
        <f t="shared" si="113"/>
        <v>0</v>
      </c>
      <c r="AA244" s="160">
        <f t="shared" si="113"/>
        <v>0</v>
      </c>
      <c r="AB244" s="160">
        <f t="shared" si="113"/>
        <v>0</v>
      </c>
      <c r="AC244" s="160">
        <f t="shared" si="113"/>
        <v>0</v>
      </c>
      <c r="AD244" s="160">
        <f t="shared" si="113"/>
        <v>0</v>
      </c>
      <c r="AE244" s="160">
        <f t="shared" si="113"/>
        <v>0</v>
      </c>
      <c r="AF244" s="161">
        <f t="shared" si="113"/>
        <v>0</v>
      </c>
      <c r="AG244" s="162">
        <f t="shared" si="113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114">AF246</f>
        <v>0.3</v>
      </c>
      <c r="C246" s="165">
        <v>0.3</v>
      </c>
      <c r="D246" s="165">
        <f t="shared" ref="D246:S251" si="115">C246</f>
        <v>0.3</v>
      </c>
      <c r="E246" s="165">
        <f t="shared" si="115"/>
        <v>0.3</v>
      </c>
      <c r="F246" s="165">
        <f t="shared" si="115"/>
        <v>0.3</v>
      </c>
      <c r="G246" s="165">
        <f t="shared" si="115"/>
        <v>0.3</v>
      </c>
      <c r="H246" s="165">
        <f t="shared" si="115"/>
        <v>0.3</v>
      </c>
      <c r="I246" s="165">
        <f t="shared" si="115"/>
        <v>0.3</v>
      </c>
      <c r="J246" s="165">
        <f t="shared" si="115"/>
        <v>0.3</v>
      </c>
      <c r="K246" s="165">
        <f t="shared" si="115"/>
        <v>0.3</v>
      </c>
      <c r="L246" s="165">
        <f t="shared" si="115"/>
        <v>0.3</v>
      </c>
      <c r="M246" s="165">
        <f t="shared" si="115"/>
        <v>0.3</v>
      </c>
      <c r="N246" s="165">
        <f t="shared" si="115"/>
        <v>0.3</v>
      </c>
      <c r="O246" s="165">
        <f t="shared" si="115"/>
        <v>0.3</v>
      </c>
      <c r="P246" s="165">
        <f t="shared" si="115"/>
        <v>0.3</v>
      </c>
      <c r="Q246" s="165">
        <f t="shared" si="115"/>
        <v>0.3</v>
      </c>
      <c r="R246" s="165">
        <f t="shared" si="115"/>
        <v>0.3</v>
      </c>
      <c r="S246" s="165">
        <f t="shared" si="115"/>
        <v>0.3</v>
      </c>
      <c r="T246" s="165">
        <f t="shared" ref="T246:AF251" si="116">S246</f>
        <v>0.3</v>
      </c>
      <c r="U246" s="165">
        <f t="shared" si="116"/>
        <v>0.3</v>
      </c>
      <c r="V246" s="165">
        <f t="shared" si="116"/>
        <v>0.3</v>
      </c>
      <c r="W246" s="165">
        <f t="shared" si="116"/>
        <v>0.3</v>
      </c>
      <c r="X246" s="165">
        <f t="shared" si="116"/>
        <v>0.3</v>
      </c>
      <c r="Y246" s="165">
        <f t="shared" si="116"/>
        <v>0.3</v>
      </c>
      <c r="Z246" s="165">
        <f t="shared" si="116"/>
        <v>0.3</v>
      </c>
      <c r="AA246" s="165">
        <f t="shared" si="116"/>
        <v>0.3</v>
      </c>
      <c r="AB246" s="165">
        <f t="shared" si="116"/>
        <v>0.3</v>
      </c>
      <c r="AC246" s="165">
        <f t="shared" si="116"/>
        <v>0.3</v>
      </c>
      <c r="AD246" s="165">
        <f t="shared" si="116"/>
        <v>0.3</v>
      </c>
      <c r="AE246" s="165">
        <f t="shared" si="116"/>
        <v>0.3</v>
      </c>
      <c r="AF246" s="165">
        <f t="shared" si="116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114"/>
        <v>0.4</v>
      </c>
      <c r="C247" s="151">
        <v>0.4</v>
      </c>
      <c r="D247" s="151">
        <f t="shared" si="115"/>
        <v>0.4</v>
      </c>
      <c r="E247" s="151">
        <f t="shared" si="115"/>
        <v>0.4</v>
      </c>
      <c r="F247" s="151">
        <f t="shared" si="115"/>
        <v>0.4</v>
      </c>
      <c r="G247" s="151">
        <f t="shared" si="115"/>
        <v>0.4</v>
      </c>
      <c r="H247" s="151">
        <f t="shared" si="115"/>
        <v>0.4</v>
      </c>
      <c r="I247" s="151">
        <f t="shared" si="115"/>
        <v>0.4</v>
      </c>
      <c r="J247" s="151">
        <f t="shared" si="115"/>
        <v>0.4</v>
      </c>
      <c r="K247" s="151">
        <f t="shared" si="115"/>
        <v>0.4</v>
      </c>
      <c r="L247" s="151">
        <f t="shared" si="115"/>
        <v>0.4</v>
      </c>
      <c r="M247" s="151">
        <f t="shared" si="115"/>
        <v>0.4</v>
      </c>
      <c r="N247" s="151">
        <f t="shared" si="115"/>
        <v>0.4</v>
      </c>
      <c r="O247" s="151">
        <f t="shared" si="115"/>
        <v>0.4</v>
      </c>
      <c r="P247" s="151">
        <f t="shared" si="115"/>
        <v>0.4</v>
      </c>
      <c r="Q247" s="151">
        <f t="shared" si="115"/>
        <v>0.4</v>
      </c>
      <c r="R247" s="151">
        <f t="shared" si="115"/>
        <v>0.4</v>
      </c>
      <c r="S247" s="151">
        <f t="shared" si="115"/>
        <v>0.4</v>
      </c>
      <c r="T247" s="151">
        <f t="shared" si="116"/>
        <v>0.4</v>
      </c>
      <c r="U247" s="151">
        <f t="shared" si="116"/>
        <v>0.4</v>
      </c>
      <c r="V247" s="151">
        <f t="shared" si="116"/>
        <v>0.4</v>
      </c>
      <c r="W247" s="151">
        <f t="shared" si="116"/>
        <v>0.4</v>
      </c>
      <c r="X247" s="151">
        <f t="shared" si="116"/>
        <v>0.4</v>
      </c>
      <c r="Y247" s="151">
        <f t="shared" si="116"/>
        <v>0.4</v>
      </c>
      <c r="Z247" s="151">
        <f t="shared" si="116"/>
        <v>0.4</v>
      </c>
      <c r="AA247" s="151">
        <f t="shared" si="116"/>
        <v>0.4</v>
      </c>
      <c r="AB247" s="151">
        <f t="shared" si="116"/>
        <v>0.4</v>
      </c>
      <c r="AC247" s="151">
        <f t="shared" si="116"/>
        <v>0.4</v>
      </c>
      <c r="AD247" s="151">
        <f t="shared" si="116"/>
        <v>0.4</v>
      </c>
      <c r="AE247" s="151">
        <f t="shared" si="116"/>
        <v>0.4</v>
      </c>
      <c r="AF247" s="151">
        <f t="shared" si="116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114"/>
        <v>1.5</v>
      </c>
      <c r="C248" s="151">
        <v>1.5</v>
      </c>
      <c r="D248" s="151">
        <f t="shared" si="115"/>
        <v>1.5</v>
      </c>
      <c r="E248" s="151">
        <f t="shared" si="115"/>
        <v>1.5</v>
      </c>
      <c r="F248" s="151">
        <f t="shared" si="115"/>
        <v>1.5</v>
      </c>
      <c r="G248" s="151">
        <f t="shared" si="115"/>
        <v>1.5</v>
      </c>
      <c r="H248" s="151">
        <f t="shared" si="115"/>
        <v>1.5</v>
      </c>
      <c r="I248" s="151">
        <f t="shared" si="115"/>
        <v>1.5</v>
      </c>
      <c r="J248" s="151">
        <f t="shared" si="115"/>
        <v>1.5</v>
      </c>
      <c r="K248" s="151">
        <f t="shared" si="115"/>
        <v>1.5</v>
      </c>
      <c r="L248" s="151">
        <f t="shared" si="115"/>
        <v>1.5</v>
      </c>
      <c r="M248" s="151">
        <f t="shared" si="115"/>
        <v>1.5</v>
      </c>
      <c r="N248" s="151">
        <f t="shared" si="115"/>
        <v>1.5</v>
      </c>
      <c r="O248" s="151">
        <f t="shared" si="115"/>
        <v>1.5</v>
      </c>
      <c r="P248" s="151">
        <f t="shared" si="115"/>
        <v>1.5</v>
      </c>
      <c r="Q248" s="151">
        <f t="shared" si="115"/>
        <v>1.5</v>
      </c>
      <c r="R248" s="151">
        <f t="shared" si="115"/>
        <v>1.5</v>
      </c>
      <c r="S248" s="151">
        <f t="shared" si="115"/>
        <v>1.5</v>
      </c>
      <c r="T248" s="151">
        <f t="shared" si="116"/>
        <v>1.5</v>
      </c>
      <c r="U248" s="151">
        <f t="shared" si="116"/>
        <v>1.5</v>
      </c>
      <c r="V248" s="151">
        <f t="shared" si="116"/>
        <v>1.5</v>
      </c>
      <c r="W248" s="151">
        <f t="shared" si="116"/>
        <v>1.5</v>
      </c>
      <c r="X248" s="151">
        <f t="shared" si="116"/>
        <v>1.5</v>
      </c>
      <c r="Y248" s="151">
        <f t="shared" si="116"/>
        <v>1.5</v>
      </c>
      <c r="Z248" s="151">
        <f t="shared" si="116"/>
        <v>1.5</v>
      </c>
      <c r="AA248" s="151">
        <f t="shared" si="116"/>
        <v>1.5</v>
      </c>
      <c r="AB248" s="151">
        <f t="shared" si="116"/>
        <v>1.5</v>
      </c>
      <c r="AC248" s="151">
        <f t="shared" si="116"/>
        <v>1.5</v>
      </c>
      <c r="AD248" s="151">
        <f t="shared" si="116"/>
        <v>1.5</v>
      </c>
      <c r="AE248" s="151">
        <f t="shared" si="116"/>
        <v>1.5</v>
      </c>
      <c r="AF248" s="151">
        <f t="shared" si="116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114"/>
        <v>0.3</v>
      </c>
      <c r="C249" s="151">
        <v>0.3</v>
      </c>
      <c r="D249" s="151">
        <f t="shared" si="115"/>
        <v>0.3</v>
      </c>
      <c r="E249" s="151">
        <f t="shared" si="115"/>
        <v>0.3</v>
      </c>
      <c r="F249" s="151">
        <f t="shared" si="115"/>
        <v>0.3</v>
      </c>
      <c r="G249" s="151">
        <f t="shared" si="115"/>
        <v>0.3</v>
      </c>
      <c r="H249" s="151">
        <f t="shared" si="115"/>
        <v>0.3</v>
      </c>
      <c r="I249" s="151">
        <f t="shared" si="115"/>
        <v>0.3</v>
      </c>
      <c r="J249" s="151">
        <f t="shared" si="115"/>
        <v>0.3</v>
      </c>
      <c r="K249" s="151">
        <f t="shared" si="115"/>
        <v>0.3</v>
      </c>
      <c r="L249" s="151">
        <f t="shared" si="115"/>
        <v>0.3</v>
      </c>
      <c r="M249" s="151">
        <f t="shared" si="115"/>
        <v>0.3</v>
      </c>
      <c r="N249" s="151">
        <f t="shared" si="115"/>
        <v>0.3</v>
      </c>
      <c r="O249" s="151">
        <f t="shared" si="115"/>
        <v>0.3</v>
      </c>
      <c r="P249" s="151">
        <f t="shared" si="115"/>
        <v>0.3</v>
      </c>
      <c r="Q249" s="151">
        <f t="shared" si="115"/>
        <v>0.3</v>
      </c>
      <c r="R249" s="151">
        <f t="shared" si="115"/>
        <v>0.3</v>
      </c>
      <c r="S249" s="151">
        <f t="shared" si="115"/>
        <v>0.3</v>
      </c>
      <c r="T249" s="151">
        <f t="shared" si="116"/>
        <v>0.3</v>
      </c>
      <c r="U249" s="151">
        <f t="shared" si="116"/>
        <v>0.3</v>
      </c>
      <c r="V249" s="151">
        <f t="shared" si="116"/>
        <v>0.3</v>
      </c>
      <c r="W249" s="151">
        <f t="shared" si="116"/>
        <v>0.3</v>
      </c>
      <c r="X249" s="151">
        <f t="shared" si="116"/>
        <v>0.3</v>
      </c>
      <c r="Y249" s="151">
        <f t="shared" si="116"/>
        <v>0.3</v>
      </c>
      <c r="Z249" s="151">
        <f t="shared" si="116"/>
        <v>0.3</v>
      </c>
      <c r="AA249" s="151">
        <f t="shared" si="116"/>
        <v>0.3</v>
      </c>
      <c r="AB249" s="151">
        <f t="shared" si="116"/>
        <v>0.3</v>
      </c>
      <c r="AC249" s="151">
        <f t="shared" si="116"/>
        <v>0.3</v>
      </c>
      <c r="AD249" s="151">
        <f t="shared" si="116"/>
        <v>0.3</v>
      </c>
      <c r="AE249" s="151">
        <f t="shared" si="116"/>
        <v>0.3</v>
      </c>
      <c r="AF249" s="151">
        <f t="shared" si="116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114"/>
        <v>0.4</v>
      </c>
      <c r="C250" s="151">
        <v>0.4</v>
      </c>
      <c r="D250" s="151">
        <f t="shared" si="115"/>
        <v>0.4</v>
      </c>
      <c r="E250" s="151">
        <f t="shared" si="115"/>
        <v>0.4</v>
      </c>
      <c r="F250" s="151">
        <f t="shared" si="115"/>
        <v>0.4</v>
      </c>
      <c r="G250" s="151">
        <f t="shared" si="115"/>
        <v>0.4</v>
      </c>
      <c r="H250" s="151">
        <f t="shared" si="115"/>
        <v>0.4</v>
      </c>
      <c r="I250" s="151">
        <f t="shared" si="115"/>
        <v>0.4</v>
      </c>
      <c r="J250" s="151">
        <f t="shared" si="115"/>
        <v>0.4</v>
      </c>
      <c r="K250" s="151">
        <f t="shared" si="115"/>
        <v>0.4</v>
      </c>
      <c r="L250" s="151">
        <f t="shared" si="115"/>
        <v>0.4</v>
      </c>
      <c r="M250" s="151">
        <f t="shared" si="115"/>
        <v>0.4</v>
      </c>
      <c r="N250" s="151">
        <f t="shared" si="115"/>
        <v>0.4</v>
      </c>
      <c r="O250" s="151">
        <f t="shared" si="115"/>
        <v>0.4</v>
      </c>
      <c r="P250" s="151">
        <f t="shared" si="115"/>
        <v>0.4</v>
      </c>
      <c r="Q250" s="151">
        <f t="shared" si="115"/>
        <v>0.4</v>
      </c>
      <c r="R250" s="151">
        <f t="shared" si="115"/>
        <v>0.4</v>
      </c>
      <c r="S250" s="151">
        <f t="shared" si="115"/>
        <v>0.4</v>
      </c>
      <c r="T250" s="151">
        <f t="shared" si="116"/>
        <v>0.4</v>
      </c>
      <c r="U250" s="151">
        <f t="shared" si="116"/>
        <v>0.4</v>
      </c>
      <c r="V250" s="151">
        <f t="shared" si="116"/>
        <v>0.4</v>
      </c>
      <c r="W250" s="151">
        <f t="shared" si="116"/>
        <v>0.4</v>
      </c>
      <c r="X250" s="151">
        <f t="shared" si="116"/>
        <v>0.4</v>
      </c>
      <c r="Y250" s="151">
        <f t="shared" si="116"/>
        <v>0.4</v>
      </c>
      <c r="Z250" s="151">
        <f t="shared" si="116"/>
        <v>0.4</v>
      </c>
      <c r="AA250" s="151">
        <f t="shared" si="116"/>
        <v>0.4</v>
      </c>
      <c r="AB250" s="151">
        <f t="shared" si="116"/>
        <v>0.4</v>
      </c>
      <c r="AC250" s="151">
        <f t="shared" si="116"/>
        <v>0.4</v>
      </c>
      <c r="AD250" s="151">
        <f t="shared" si="116"/>
        <v>0.4</v>
      </c>
      <c r="AE250" s="151">
        <f t="shared" si="116"/>
        <v>0.4</v>
      </c>
      <c r="AF250" s="151">
        <f t="shared" si="116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114"/>
        <v>0.64</v>
      </c>
      <c r="C251" s="156">
        <v>0.64</v>
      </c>
      <c r="D251" s="156">
        <f t="shared" si="115"/>
        <v>0.64</v>
      </c>
      <c r="E251" s="156">
        <f t="shared" si="115"/>
        <v>0.64</v>
      </c>
      <c r="F251" s="156">
        <f t="shared" si="115"/>
        <v>0.64</v>
      </c>
      <c r="G251" s="156">
        <f t="shared" si="115"/>
        <v>0.64</v>
      </c>
      <c r="H251" s="156">
        <f t="shared" si="115"/>
        <v>0.64</v>
      </c>
      <c r="I251" s="156">
        <f t="shared" si="115"/>
        <v>0.64</v>
      </c>
      <c r="J251" s="156">
        <f t="shared" si="115"/>
        <v>0.64</v>
      </c>
      <c r="K251" s="156">
        <f t="shared" si="115"/>
        <v>0.64</v>
      </c>
      <c r="L251" s="156">
        <f t="shared" si="115"/>
        <v>0.64</v>
      </c>
      <c r="M251" s="156">
        <f t="shared" si="115"/>
        <v>0.64</v>
      </c>
      <c r="N251" s="156">
        <f t="shared" si="115"/>
        <v>0.64</v>
      </c>
      <c r="O251" s="156">
        <f t="shared" si="115"/>
        <v>0.64</v>
      </c>
      <c r="P251" s="156">
        <f t="shared" si="115"/>
        <v>0.64</v>
      </c>
      <c r="Q251" s="156">
        <f t="shared" si="115"/>
        <v>0.64</v>
      </c>
      <c r="R251" s="156">
        <f t="shared" si="115"/>
        <v>0.64</v>
      </c>
      <c r="S251" s="156">
        <f t="shared" si="115"/>
        <v>0.64</v>
      </c>
      <c r="T251" s="156">
        <f t="shared" si="116"/>
        <v>0.64</v>
      </c>
      <c r="U251" s="156">
        <f t="shared" si="116"/>
        <v>0.64</v>
      </c>
      <c r="V251" s="156">
        <f t="shared" si="116"/>
        <v>0.64</v>
      </c>
      <c r="W251" s="156">
        <f t="shared" si="116"/>
        <v>0.64</v>
      </c>
      <c r="X251" s="156">
        <f t="shared" si="116"/>
        <v>0.64</v>
      </c>
      <c r="Y251" s="156">
        <f t="shared" si="116"/>
        <v>0.64</v>
      </c>
      <c r="Z251" s="156">
        <f t="shared" si="116"/>
        <v>0.64</v>
      </c>
      <c r="AA251" s="156">
        <f t="shared" si="116"/>
        <v>0.64</v>
      </c>
      <c r="AB251" s="156">
        <f t="shared" si="116"/>
        <v>0.64</v>
      </c>
      <c r="AC251" s="156">
        <f t="shared" si="116"/>
        <v>0.64</v>
      </c>
      <c r="AD251" s="156">
        <f t="shared" si="116"/>
        <v>0.64</v>
      </c>
      <c r="AE251" s="156">
        <f t="shared" si="116"/>
        <v>0.64</v>
      </c>
      <c r="AF251" s="156">
        <f t="shared" si="116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117">SUM(B246:B251)</f>
        <v>3.54</v>
      </c>
      <c r="C252" s="160">
        <f t="shared" si="117"/>
        <v>3.54</v>
      </c>
      <c r="D252" s="160">
        <f t="shared" si="117"/>
        <v>3.54</v>
      </c>
      <c r="E252" s="160">
        <f t="shared" si="117"/>
        <v>3.54</v>
      </c>
      <c r="F252" s="160">
        <f t="shared" si="117"/>
        <v>3.54</v>
      </c>
      <c r="G252" s="160">
        <f t="shared" si="117"/>
        <v>3.54</v>
      </c>
      <c r="H252" s="160">
        <f t="shared" si="117"/>
        <v>3.54</v>
      </c>
      <c r="I252" s="160">
        <f t="shared" si="117"/>
        <v>3.54</v>
      </c>
      <c r="J252" s="160">
        <f t="shared" si="117"/>
        <v>3.54</v>
      </c>
      <c r="K252" s="160">
        <f t="shared" si="117"/>
        <v>3.54</v>
      </c>
      <c r="L252" s="160">
        <f t="shared" si="117"/>
        <v>3.54</v>
      </c>
      <c r="M252" s="160">
        <f t="shared" si="117"/>
        <v>3.54</v>
      </c>
      <c r="N252" s="160">
        <f t="shared" si="117"/>
        <v>3.54</v>
      </c>
      <c r="O252" s="160">
        <f t="shared" si="117"/>
        <v>3.54</v>
      </c>
      <c r="P252" s="160">
        <f t="shared" si="117"/>
        <v>3.54</v>
      </c>
      <c r="Q252" s="160">
        <f t="shared" si="117"/>
        <v>3.54</v>
      </c>
      <c r="R252" s="160">
        <f t="shared" si="117"/>
        <v>3.54</v>
      </c>
      <c r="S252" s="160">
        <f t="shared" si="117"/>
        <v>3.54</v>
      </c>
      <c r="T252" s="160">
        <f t="shared" si="117"/>
        <v>3.54</v>
      </c>
      <c r="U252" s="160">
        <f t="shared" si="117"/>
        <v>3.54</v>
      </c>
      <c r="V252" s="160">
        <f t="shared" si="117"/>
        <v>3.54</v>
      </c>
      <c r="W252" s="160">
        <f t="shared" si="117"/>
        <v>3.54</v>
      </c>
      <c r="X252" s="160">
        <f t="shared" si="117"/>
        <v>3.54</v>
      </c>
      <c r="Y252" s="160">
        <f t="shared" si="117"/>
        <v>3.54</v>
      </c>
      <c r="Z252" s="160">
        <f t="shared" si="117"/>
        <v>3.54</v>
      </c>
      <c r="AA252" s="160">
        <f t="shared" si="117"/>
        <v>3.54</v>
      </c>
      <c r="AB252" s="160">
        <f t="shared" si="117"/>
        <v>3.54</v>
      </c>
      <c r="AC252" s="160">
        <f t="shared" si="117"/>
        <v>3.54</v>
      </c>
      <c r="AD252" s="160">
        <f t="shared" si="117"/>
        <v>3.54</v>
      </c>
      <c r="AE252" s="160">
        <f t="shared" si="117"/>
        <v>3.54</v>
      </c>
      <c r="AF252" s="160">
        <f t="shared" si="117"/>
        <v>3.54</v>
      </c>
      <c r="AG252" s="170">
        <f t="shared" si="117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1666.29</v>
      </c>
      <c r="C256" s="173">
        <f>INDEX(G9:N9,1,MATCH(MAX(G99:N99),G99:N99,0))</f>
        <v>0.3125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2080/10/28)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406" priority="115">
      <formula>$AH11=0</formula>
    </cfRule>
  </conditionalFormatting>
  <conditionalFormatting sqref="A132:A253">
    <cfRule type="expression" dxfId="405" priority="116">
      <formula>$AH132=0</formula>
    </cfRule>
  </conditionalFormatting>
  <conditionalFormatting sqref="B8">
    <cfRule type="expression" dxfId="404" priority="173">
      <formula>C$9&gt;=20/24</formula>
    </cfRule>
    <cfRule type="expression" dxfId="403" priority="172">
      <formula>C$9&lt;8/24</formula>
    </cfRule>
    <cfRule type="expression" dxfId="402" priority="171">
      <formula>AND(C$9&gt;=8/24,C$9&lt;14/24)</formula>
    </cfRule>
    <cfRule type="expression" dxfId="401" priority="170">
      <formula>AND(C$9&gt;=14/24,C$9&lt;20/24)</formula>
    </cfRule>
  </conditionalFormatting>
  <conditionalFormatting sqref="B56:D57">
    <cfRule type="expression" dxfId="400" priority="15">
      <formula>B$9&gt;=20/24</formula>
    </cfRule>
    <cfRule type="expression" dxfId="399" priority="16">
      <formula>AND(B$9&gt;=14/24,B$9&lt;20/24)</formula>
    </cfRule>
    <cfRule type="expression" dxfId="398" priority="17">
      <formula>AND(B$9&gt;=8/24,B$9&lt;14/24)</formula>
    </cfRule>
    <cfRule type="expression" dxfId="397" priority="26">
      <formula>B$9&lt;8/24</formula>
    </cfRule>
  </conditionalFormatting>
  <conditionalFormatting sqref="B59:D68">
    <cfRule type="expression" dxfId="396" priority="20">
      <formula>AND(B$9&gt;=8/24,B$9&lt;14/24)</formula>
    </cfRule>
    <cfRule type="expression" dxfId="395" priority="18">
      <formula>B$9&gt;=20/24</formula>
    </cfRule>
    <cfRule type="expression" dxfId="394" priority="19">
      <formula>AND(B$9&gt;=14/24,B$9&lt;20/24)</formula>
    </cfRule>
    <cfRule type="expression" dxfId="393" priority="21">
      <formula>B$9&lt;8/24</formula>
    </cfRule>
  </conditionalFormatting>
  <conditionalFormatting sqref="B11:E11">
    <cfRule type="expression" dxfId="392" priority="10">
      <formula>B11&gt;$AG11</formula>
    </cfRule>
    <cfRule type="expression" dxfId="391" priority="11">
      <formula>B$9&gt;=20/24</formula>
    </cfRule>
    <cfRule type="expression" dxfId="390" priority="12">
      <formula>AND(B$9&gt;=14/24,B$9&lt;20/24)</formula>
    </cfRule>
    <cfRule type="expression" dxfId="389" priority="13">
      <formula>AND(B$9&gt;=8/24,B$9&lt;14/24)</formula>
    </cfRule>
    <cfRule type="expression" dxfId="388" priority="14">
      <formula>B$9&lt;8/24</formula>
    </cfRule>
  </conditionalFormatting>
  <conditionalFormatting sqref="B9:AF10 U28 V28:AF30 G29:U30 T63:AF74 Q69:S69 E77:AE91 AF77:AF99 C92:AE99 B119:AF137 B244:AF244 B246:B252">
    <cfRule type="expression" dxfId="387" priority="68">
      <formula>AND(B$9&gt;=14/24,B$9&lt;20/24)</formula>
    </cfRule>
    <cfRule type="expression" dxfId="386" priority="69">
      <formula>AND(B$9&gt;=8/24,B$9&lt;14/24)</formula>
    </cfRule>
    <cfRule type="expression" dxfId="385" priority="70">
      <formula>B$9&lt;8/24</formula>
    </cfRule>
  </conditionalFormatting>
  <conditionalFormatting sqref="B53:AF55">
    <cfRule type="expression" dxfId="384" priority="2">
      <formula>AND(B$9&gt;=14/24,B$9&lt;20/24)</formula>
    </cfRule>
    <cfRule type="expression" dxfId="383" priority="3">
      <formula>AND(B$9&gt;=8/24,B$9&lt;14/24)</formula>
    </cfRule>
    <cfRule type="expression" dxfId="382" priority="9">
      <formula>B$9&lt;8/24</formula>
    </cfRule>
    <cfRule type="expression" dxfId="381" priority="1">
      <formula>B$9&gt;=20/24</formula>
    </cfRule>
  </conditionalFormatting>
  <conditionalFormatting sqref="D246:AF252">
    <cfRule type="expression" dxfId="380" priority="158">
      <formula>D$9&lt;8/24</formula>
    </cfRule>
    <cfRule type="expression" dxfId="379" priority="157">
      <formula>AND(D$9&gt;=8/24,D$9&lt;14/24)</formula>
    </cfRule>
    <cfRule type="expression" dxfId="378" priority="156">
      <formula>AND(D$9&gt;=14/24,D$9&lt;20/24)</formula>
    </cfRule>
    <cfRule type="expression" dxfId="377" priority="155">
      <formula>D$9&gt;=20/24</formula>
    </cfRule>
  </conditionalFormatting>
  <conditionalFormatting sqref="E12:F55 B12:D80 G31:AF55 U12:AF27 G12:T28 F67:I74 E67:E75 J69:P74 Q70:S74">
    <cfRule type="expression" dxfId="376" priority="4">
      <formula>B12&gt;$AG12</formula>
    </cfRule>
  </conditionalFormatting>
  <conditionalFormatting sqref="E63:I66">
    <cfRule type="expression" dxfId="375" priority="83">
      <formula>E$9&lt;8/24</formula>
    </cfRule>
    <cfRule type="expression" dxfId="374" priority="80">
      <formula>E$9&gt;=20/24</formula>
    </cfRule>
    <cfRule type="expression" dxfId="373" priority="81">
      <formula>AND(E$9&gt;=14/24,E$9&lt;20/24)</formula>
    </cfRule>
    <cfRule type="expression" dxfId="372" priority="82">
      <formula>AND(E$9&gt;=8/24,E$9&lt;14/24)</formula>
    </cfRule>
  </conditionalFormatting>
  <conditionalFormatting sqref="E67:I68">
    <cfRule type="expression" dxfId="371" priority="25">
      <formula>E$9&lt;8/24</formula>
    </cfRule>
    <cfRule type="expression" dxfId="370" priority="22">
      <formula>E$9&gt;=20/24</formula>
    </cfRule>
    <cfRule type="expression" dxfId="369" priority="23">
      <formula>AND(E$9&gt;=14/24,E$9&lt;20/24)</formula>
    </cfRule>
    <cfRule type="expression" dxfId="368" priority="24">
      <formula>AND(E$9&gt;=8/24,E$9&lt;14/24)</formula>
    </cfRule>
  </conditionalFormatting>
  <conditionalFormatting sqref="E11:AF11">
    <cfRule type="expression" dxfId="367" priority="84">
      <formula>E11&gt;$AG11</formula>
    </cfRule>
    <cfRule type="expression" dxfId="366" priority="85">
      <formula>E$9&gt;=20/24</formula>
    </cfRule>
    <cfRule type="expression" dxfId="365" priority="86">
      <formula>AND(E$9&gt;=14/24,E$9&lt;20/24)</formula>
    </cfRule>
    <cfRule type="expression" dxfId="364" priority="87">
      <formula>AND(E$9&gt;=8/24,E$9&lt;14/24)</formula>
    </cfRule>
    <cfRule type="expression" dxfId="363" priority="88">
      <formula>E$9&lt;8/24</formula>
    </cfRule>
  </conditionalFormatting>
  <conditionalFormatting sqref="E56:AF56">
    <cfRule type="expression" dxfId="362" priority="71">
      <formula>E56&gt;$AG56</formula>
    </cfRule>
  </conditionalFormatting>
  <conditionalFormatting sqref="E56:AF57">
    <cfRule type="expression" dxfId="361" priority="72">
      <formula>E$9&gt;=20/24</formula>
    </cfRule>
    <cfRule type="expression" dxfId="360" priority="73">
      <formula>AND(E$9&gt;=14/24,E$9&lt;20/24)</formula>
    </cfRule>
    <cfRule type="expression" dxfId="359" priority="79">
      <formula>E$9&lt;8/24</formula>
    </cfRule>
    <cfRule type="expression" dxfId="358" priority="74">
      <formula>AND(E$9&gt;=8/24,E$9&lt;14/24)</formula>
    </cfRule>
  </conditionalFormatting>
  <conditionalFormatting sqref="E59:AF62">
    <cfRule type="expression" dxfId="357" priority="96">
      <formula>E$9&lt;8/24</formula>
    </cfRule>
    <cfRule type="expression" dxfId="356" priority="95">
      <formula>AND(E$9&gt;=8/24,E$9&lt;14/24)</formula>
    </cfRule>
    <cfRule type="expression" dxfId="355" priority="94">
      <formula>AND(E$9&gt;=14/24,E$9&lt;20/24)</formula>
    </cfRule>
    <cfRule type="expression" dxfId="354" priority="93">
      <formula>E$9&gt;=20/24</formula>
    </cfRule>
  </conditionalFormatting>
  <conditionalFormatting sqref="I63:P65">
    <cfRule type="expression" dxfId="353" priority="110">
      <formula>I$9&lt;8/24</formula>
    </cfRule>
    <cfRule type="expression" dxfId="352" priority="109">
      <formula>AND(I$9&gt;=8/24,I$9&lt;14/24)</formula>
    </cfRule>
    <cfRule type="expression" dxfId="351" priority="108">
      <formula>AND(I$9&gt;=14/24,I$9&lt;20/24)</formula>
    </cfRule>
    <cfRule type="expression" dxfId="350" priority="107">
      <formula>I$9&gt;=20/24</formula>
    </cfRule>
  </conditionalFormatting>
  <conditionalFormatting sqref="J64:P68">
    <cfRule type="expression" dxfId="349" priority="75">
      <formula>J$9&gt;=20/24</formula>
    </cfRule>
    <cfRule type="expression" dxfId="348" priority="76">
      <formula>AND(J$9&gt;=14/24,J$9&lt;20/24)</formula>
    </cfRule>
    <cfRule type="expression" dxfId="347" priority="78">
      <formula>J$9&lt;8/24</formula>
    </cfRule>
    <cfRule type="expression" dxfId="346" priority="77">
      <formula>AND(J$9&gt;=8/24,J$9&lt;14/24)</formula>
    </cfRule>
  </conditionalFormatting>
  <conditionalFormatting sqref="M8 S8 AB8">
    <cfRule type="expression" dxfId="345" priority="163">
      <formula>AND(N$9&gt;=8/24,N$9&lt;14/24)</formula>
    </cfRule>
    <cfRule type="expression" dxfId="344" priority="164">
      <formula>N$9&lt;8/24</formula>
    </cfRule>
    <cfRule type="expression" dxfId="343" priority="162">
      <formula>AND(N$9&gt;=14/24,N$9&lt;20/24)</formula>
    </cfRule>
  </conditionalFormatting>
  <conditionalFormatting sqref="O3:P3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Q63:V68">
    <cfRule type="expression" dxfId="342" priority="103">
      <formula>Q$9&gt;=20/24</formula>
    </cfRule>
    <cfRule type="expression" dxfId="341" priority="104">
      <formula>AND(Q$9&gt;=14/24,Q$9&lt;20/24)</formula>
    </cfRule>
    <cfRule type="expression" dxfId="340" priority="105">
      <formula>AND(Q$9&gt;=8/24,Q$9&lt;14/24)</formula>
    </cfRule>
    <cfRule type="expression" dxfId="339" priority="106">
      <formula>Q$9&lt;8/24</formula>
    </cfRule>
  </conditionalFormatting>
  <conditionalFormatting sqref="S8 AB8 M8">
    <cfRule type="expression" dxfId="338" priority="161">
      <formula>N$9&gt;=20/24</formula>
    </cfRule>
  </conditionalFormatting>
  <conditionalFormatting sqref="S8">
    <cfRule type="expression" dxfId="337" priority="148">
      <formula>U$9&gt;=20/24</formula>
    </cfRule>
    <cfRule type="expression" dxfId="336" priority="149">
      <formula>AND(U$9&gt;=14/24,U$9&lt;20/24)</formula>
    </cfRule>
    <cfRule type="expression" dxfId="335" priority="150">
      <formula>AND(U$9&gt;=8/24,U$9&lt;14/24)</formula>
    </cfRule>
    <cfRule type="expression" dxfId="334" priority="151">
      <formula>U$9&lt;8/24</formula>
    </cfRule>
  </conditionalFormatting>
  <conditionalFormatting sqref="U28 V28:AF30 G29:U30 O57:AF59 E57:N62 O60:AE62 AF60:AF80 AG62 I63:J65 E63:H66 K63:P68 S63:U68 Q63:R69 V63:AE74 I66 J66:J68 S69 T69:U74 F75:M75 N75:AE80 E76:M80 AG80">
    <cfRule type="expression" dxfId="333" priority="66">
      <formula>E28&gt;$AG28</formula>
    </cfRule>
  </conditionalFormatting>
  <conditionalFormatting sqref="U28 V28:AF30 G29:U30 T63:AF74 Q69:S69 E77:AE91 AF77:AF99 B9:AF10 C92:AE99 B119:AF137 B244:AF244 B246:B252">
    <cfRule type="expression" dxfId="332" priority="67">
      <formula>B$9&gt;=20/24</formula>
    </cfRule>
  </conditionalFormatting>
  <conditionalFormatting sqref="U12:AF27 G12:T28 B12:F52 G31:AF52 B69:P74 Q70:S74 C77:D91 B77:B99 B101:AF117">
    <cfRule type="expression" dxfId="331" priority="5">
      <formula>B$9&gt;=20/24</formula>
    </cfRule>
    <cfRule type="expression" dxfId="330" priority="8">
      <formula>B$9&lt;8/24</formula>
    </cfRule>
    <cfRule type="expression" dxfId="329" priority="7">
      <formula>AND(B$9&gt;=8/24,B$9&lt;14/24)</formula>
    </cfRule>
    <cfRule type="expression" dxfId="328" priority="6">
      <formula>AND(B$9&gt;=14/24,B$9&lt;20/24)</formula>
    </cfRule>
  </conditionalFormatting>
  <conditionalFormatting sqref="V3 AB3">
    <cfRule type="iconSet" priority="160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27" priority="145">
      <formula>AND(AD$9&gt;=14/24,AD$9&lt;20/24)</formula>
    </cfRule>
    <cfRule type="expression" dxfId="326" priority="146">
      <formula>AND(AD$9&gt;=8/24,AD$9&lt;14/24)</formula>
    </cfRule>
    <cfRule type="expression" dxfId="325" priority="147">
      <formula>AD$9&lt;8/24</formula>
    </cfRule>
    <cfRule type="expression" dxfId="324" priority="144">
      <formula>AD$9&gt;=20/24</formula>
    </cfRule>
  </conditionalFormatting>
  <conditionalFormatting sqref="AG58">
    <cfRule type="expression" dxfId="323" priority="139">
      <formula>AG58&gt;$AG58</formula>
    </cfRule>
  </conditionalFormatting>
  <conditionalFormatting sqref="AG62">
    <cfRule type="expression" dxfId="322" priority="122">
      <formula>AG$9&gt;=20/24</formula>
    </cfRule>
    <cfRule type="expression" dxfId="321" priority="125">
      <formula>AG$9&lt;8/24</formula>
    </cfRule>
    <cfRule type="expression" dxfId="320" priority="124">
      <formula>AND(AG$9&gt;=8/24,AG$9&lt;14/24)</formula>
    </cfRule>
    <cfRule type="expression" dxfId="319" priority="123">
      <formula>AND(AG$9&gt;=14/24,AG$9&lt;20/24)</formula>
    </cfRule>
  </conditionalFormatting>
  <conditionalFormatting sqref="AG75:AG76">
    <cfRule type="expression" dxfId="318" priority="117">
      <formula>AG75&gt;$AG75</formula>
    </cfRule>
  </conditionalFormatting>
  <conditionalFormatting sqref="AG80">
    <cfRule type="expression" dxfId="317" priority="121">
      <formula>AG$9&lt;8/24</formula>
    </cfRule>
    <cfRule type="expression" dxfId="316" priority="120">
      <formula>AND(AG$9&gt;=8/24,AG$9&lt;14/24)</formula>
    </cfRule>
    <cfRule type="expression" dxfId="315" priority="119">
      <formula>AND(AG$9&gt;=14/24,AG$9&lt;20/24)</formula>
    </cfRule>
    <cfRule type="expression" dxfId="314" priority="118">
      <formula>AG$9&gt;=20/24</formula>
    </cfRule>
  </conditionalFormatting>
  <conditionalFormatting sqref="AG97">
    <cfRule type="expression" dxfId="313" priority="143">
      <formula>AG$9&lt;8/24</formula>
    </cfRule>
    <cfRule type="expression" dxfId="312" priority="140">
      <formula>AG$9&gt;=20/24</formula>
    </cfRule>
    <cfRule type="expression" dxfId="311" priority="141">
      <formula>AND(AG$9&gt;=14/24,AG$9&lt;20/24)</formula>
    </cfRule>
    <cfRule type="expression" dxfId="310" priority="142">
      <formula>AND(AG$9&gt;=8/24,AG$9&lt;14/24)</formula>
    </cfRule>
  </conditionalFormatting>
  <conditionalFormatting sqref="AL4:AL6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36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6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53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09" priority="167">
      <formula>AND(AJ$9&gt;=8/24,AJ$9&lt;14/24)</formula>
    </cfRule>
    <cfRule type="expression" dxfId="308" priority="165">
      <formula>AJ$9&gt;=20/24</formula>
    </cfRule>
    <cfRule type="expression" dxfId="307" priority="166">
      <formula>AND(AJ$9&gt;=14/24,AJ$9&lt;20/24)</formula>
    </cfRule>
    <cfRule type="expression" dxfId="306" priority="168">
      <formula>AJ$9&lt;8/24</formula>
    </cfRule>
  </conditionalFormatting>
  <conditionalFormatting sqref="AL88:AN88 AL94:AN94">
    <cfRule type="expression" dxfId="305" priority="132">
      <formula>AL$9&gt;=20/24</formula>
    </cfRule>
    <cfRule type="expression" dxfId="304" priority="133">
      <formula>AND(AL$9&gt;=14/24,AL$9&lt;20/24)</formula>
    </cfRule>
    <cfRule type="expression" dxfId="303" priority="134">
      <formula>AND(AL$9&gt;=8/24,AL$9&lt;14/24)</formula>
    </cfRule>
    <cfRule type="expression" dxfId="302" priority="135">
      <formula>AL$9&lt;8/24</formula>
    </cfRule>
  </conditionalFormatting>
  <conditionalFormatting sqref="AM15:AM21 AN16:AR21">
    <cfRule type="expression" dxfId="301" priority="42">
      <formula>AX$9&lt;8/24</formula>
    </cfRule>
    <cfRule type="expression" dxfId="300" priority="41">
      <formula>AND(AX$9&gt;=8/24,AX$9&lt;14/24)</formula>
    </cfRule>
    <cfRule type="expression" dxfId="299" priority="40">
      <formula>AND(AX$9&gt;=14/24,AX$9&lt;20/24)</formula>
    </cfRule>
    <cfRule type="expression" dxfId="298" priority="39">
      <formula>AX$9&gt;=20/24</formula>
    </cfRule>
  </conditionalFormatting>
  <conditionalFormatting sqref="AN89:AN92">
    <cfRule type="expression" dxfId="297" priority="131">
      <formula>AN$9&lt;8/24</formula>
    </cfRule>
    <cfRule type="expression" dxfId="296" priority="128">
      <formula>AN$9&gt;=20/24</formula>
    </cfRule>
    <cfRule type="expression" dxfId="295" priority="129">
      <formula>AND(AN$9&gt;=14/24,AN$9&lt;20/24)</formula>
    </cfRule>
    <cfRule type="expression" dxfId="294" priority="130">
      <formula>AND(AN$9&gt;=8/24,AN$9&lt;14/24)</formula>
    </cfRule>
  </conditionalFormatting>
  <conditionalFormatting sqref="AN15:AR15">
    <cfRule type="expression" dxfId="293" priority="27">
      <formula>U$9&gt;=20/24</formula>
    </cfRule>
    <cfRule type="expression" dxfId="292" priority="28">
      <formula>AND(U$9&gt;=14/24,U$9&lt;20/24)</formula>
    </cfRule>
    <cfRule type="expression" dxfId="291" priority="29">
      <formula>AND(U$9&gt;=8/24,U$9&lt;14/24)</formula>
    </cfRule>
    <cfRule type="expression" dxfId="290" priority="30">
      <formula>U$9&lt;8/24</formula>
    </cfRule>
  </conditionalFormatting>
  <conditionalFormatting sqref="AS15">
    <cfRule type="expression" dxfId="289" priority="36">
      <formula>AND(AA$9&gt;=14/24,AA$9&lt;20/24)</formula>
    </cfRule>
    <cfRule type="expression" dxfId="288" priority="38">
      <formula>AA$9&lt;8/24</formula>
    </cfRule>
    <cfRule type="expression" dxfId="287" priority="37">
      <formula>AND(AA$9&gt;=8/24,AA$9&lt;14/24)</formula>
    </cfRule>
    <cfRule type="expression" dxfId="286" priority="35">
      <formula>AA$9&gt;=20/24</formula>
    </cfRule>
  </conditionalFormatting>
  <conditionalFormatting sqref="AS16:AS21">
    <cfRule type="expression" dxfId="285" priority="46">
      <formula>BE$9&lt;8/24</formula>
    </cfRule>
    <cfRule type="expression" dxfId="284" priority="43">
      <formula>BE$9&gt;=20/24</formula>
    </cfRule>
    <cfRule type="expression" dxfId="283" priority="44">
      <formula>AND(BE$9&gt;=14/24,BE$9&lt;20/24)</formula>
    </cfRule>
    <cfRule type="expression" dxfId="282" priority="45">
      <formula>AND(BE$9&gt;=8/24,BE$9&lt;14/24)</formula>
    </cfRule>
  </conditionalFormatting>
  <conditionalFormatting sqref="AT15 AX15:BJ15">
    <cfRule type="expression" dxfId="281" priority="49">
      <formula>AND(AC$9&gt;=8/24,AC$9&lt;14/24)</formula>
    </cfRule>
    <cfRule type="expression" dxfId="280" priority="47">
      <formula>AC$9&gt;=20/24</formula>
    </cfRule>
    <cfRule type="expression" dxfId="279" priority="50">
      <formula>AC$9&lt;8/24</formula>
    </cfRule>
    <cfRule type="expression" dxfId="278" priority="48">
      <formula>AND(AC$9&gt;=14/24,AC$9&lt;20/24)</formula>
    </cfRule>
  </conditionalFormatting>
  <conditionalFormatting sqref="AT16:AT21">
    <cfRule type="expression" dxfId="277" priority="54">
      <formula>BG$9&lt;8/24</formula>
    </cfRule>
    <cfRule type="expression" dxfId="276" priority="53">
      <formula>AND(BG$9&gt;=8/24,BG$9&lt;14/24)</formula>
    </cfRule>
    <cfRule type="expression" dxfId="275" priority="51">
      <formula>BG$9&gt;=20/24</formula>
    </cfRule>
    <cfRule type="expression" dxfId="274" priority="52">
      <formula>AND(BG$9&gt;=14/24,BG$9&lt;20/24)</formula>
    </cfRule>
  </conditionalFormatting>
  <conditionalFormatting sqref="AU15:AV15">
    <cfRule type="expression" dxfId="273" priority="58">
      <formula>AE$9&lt;8/24</formula>
    </cfRule>
    <cfRule type="expression" dxfId="272" priority="57">
      <formula>AND(AE$9&gt;=8/24,AE$9&lt;14/24)</formula>
    </cfRule>
    <cfRule type="expression" dxfId="271" priority="56">
      <formula>AND(AE$9&gt;=14/24,AE$9&lt;20/24)</formula>
    </cfRule>
    <cfRule type="expression" dxfId="270" priority="55">
      <formula>AE$9&gt;=20/24</formula>
    </cfRule>
  </conditionalFormatting>
  <conditionalFormatting sqref="AU16:BJ21">
    <cfRule type="expression" dxfId="269" priority="59">
      <formula>BI$9&gt;=20/24</formula>
    </cfRule>
    <cfRule type="expression" dxfId="268" priority="61">
      <formula>AND(BI$9&gt;=8/24,BI$9&lt;14/24)</formula>
    </cfRule>
    <cfRule type="expression" dxfId="267" priority="60">
      <formula>AND(BI$9&gt;=14/24,BI$9&lt;20/24)</formula>
    </cfRule>
    <cfRule type="expression" dxfId="266" priority="62">
      <formula>BI$9&lt;8/24</formula>
    </cfRule>
  </conditionalFormatting>
  <conditionalFormatting sqref="AW15">
    <cfRule type="expression" dxfId="265" priority="33">
      <formula>AND(B$9&gt;=8/24,B$9&lt;14/24)</formula>
    </cfRule>
    <cfRule type="expression" dxfId="264" priority="32">
      <formula>AND(B$9&gt;=14/24,B$9&lt;20/24)</formula>
    </cfRule>
    <cfRule type="expression" dxfId="263" priority="31">
      <formula>B$9&gt;=20/24</formula>
    </cfRule>
    <cfRule type="expression" dxfId="262" priority="34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224E-53E3-4345-ADBF-A591769A0BA5}">
  <dimension ref="A1:CJ294"/>
  <sheetViews>
    <sheetView zoomScale="106" workbookViewId="0">
      <pane xSplit="1" ySplit="10" topLeftCell="B127" activePane="bottomRight" state="frozen"/>
      <selection activeCell="Z63" sqref="Z63"/>
      <selection pane="topRight" activeCell="Z63" sqref="Z63"/>
      <selection pane="bottomLeft" activeCell="Z63" sqref="Z63"/>
      <selection pane="bottomRight" activeCell="AD66" sqref="AD66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2080/10/29</v>
      </c>
      <c r="C4" s="214"/>
      <c r="D4" s="214"/>
      <c r="E4" s="215" t="str">
        <f ca="1">"2080/"&amp;"10/"&amp;INT(MID(CELL("filename",G6),FIND("]",CELL("filename",G6))+1,200))</f>
        <v>2080/10/29</v>
      </c>
      <c r="F4" s="215"/>
      <c r="G4" s="215"/>
      <c r="H4" s="215" t="str">
        <f ca="1">TEXT(E4,"dddd")</f>
        <v>Tuesday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369</v>
      </c>
      <c r="C5" s="30">
        <f t="shared" ref="C5:AE5" si="0">D92</f>
        <v>296</v>
      </c>
      <c r="D5" s="30">
        <f t="shared" si="0"/>
        <v>314.10000000000002</v>
      </c>
      <c r="E5" s="30">
        <f t="shared" si="0"/>
        <v>319.70000000000005</v>
      </c>
      <c r="F5" s="30">
        <f t="shared" si="0"/>
        <v>344.5</v>
      </c>
      <c r="G5" s="30">
        <f t="shared" si="0"/>
        <v>357.1</v>
      </c>
      <c r="H5" s="30">
        <f t="shared" si="0"/>
        <v>301.3</v>
      </c>
      <c r="I5" s="30">
        <f t="shared" si="0"/>
        <v>690.6</v>
      </c>
      <c r="J5" s="30">
        <f t="shared" si="0"/>
        <v>795.69999999999993</v>
      </c>
      <c r="K5" s="30">
        <f t="shared" si="0"/>
        <v>863.8</v>
      </c>
      <c r="L5" s="30">
        <f t="shared" si="0"/>
        <v>937.9</v>
      </c>
      <c r="M5" s="30">
        <f t="shared" si="0"/>
        <v>895.69999999999993</v>
      </c>
      <c r="N5" s="30">
        <f t="shared" si="0"/>
        <v>912.7</v>
      </c>
      <c r="O5" s="30">
        <f t="shared" si="0"/>
        <v>927.69999999999993</v>
      </c>
      <c r="P5" s="30">
        <f t="shared" si="0"/>
        <v>927.69999999999993</v>
      </c>
      <c r="Q5" s="30">
        <f t="shared" si="0"/>
        <v>912</v>
      </c>
      <c r="R5" s="30">
        <f t="shared" si="0"/>
        <v>919.80000000000007</v>
      </c>
      <c r="S5" s="30">
        <f t="shared" si="0"/>
        <v>919.90000000000009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641.9</v>
      </c>
      <c r="X5" s="30">
        <f t="shared" si="0"/>
        <v>52.2</v>
      </c>
      <c r="Y5" s="30">
        <f t="shared" si="0"/>
        <v>129</v>
      </c>
      <c r="Z5" s="30">
        <f t="shared" si="0"/>
        <v>119.3</v>
      </c>
      <c r="AA5" s="30">
        <f t="shared" si="0"/>
        <v>151.1</v>
      </c>
      <c r="AB5" s="30">
        <f t="shared" si="0"/>
        <v>151</v>
      </c>
      <c r="AC5" s="30">
        <f t="shared" si="0"/>
        <v>182.3</v>
      </c>
      <c r="AD5" s="30">
        <f t="shared" si="0"/>
        <v>270.70000000000005</v>
      </c>
      <c r="AE5" s="30">
        <f t="shared" si="0"/>
        <v>318.09999999999997</v>
      </c>
      <c r="AF5" s="30">
        <f>B92</f>
        <v>209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1803MW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Load=0</v>
      </c>
      <c r="B7" s="35">
        <f>B100</f>
        <v>1451.34</v>
      </c>
      <c r="C7" s="35">
        <f t="shared" ref="C7:AF7" si="1">C100</f>
        <v>1368.3400000000001</v>
      </c>
      <c r="D7" s="35">
        <f t="shared" si="1"/>
        <v>1362.3400000000001</v>
      </c>
      <c r="E7" s="35">
        <f t="shared" si="1"/>
        <v>1354.74</v>
      </c>
      <c r="F7" s="35">
        <f t="shared" si="1"/>
        <v>1360.3400000000001</v>
      </c>
      <c r="G7" s="35">
        <f t="shared" si="1"/>
        <v>1411.1399999999999</v>
      </c>
      <c r="H7" s="35">
        <f t="shared" si="1"/>
        <v>1479.7399999999998</v>
      </c>
      <c r="I7" s="35">
        <f t="shared" si="1"/>
        <v>1487.9399999999998</v>
      </c>
      <c r="J7" s="35">
        <f t="shared" si="1"/>
        <v>1522.3400000000001</v>
      </c>
      <c r="K7" s="35">
        <f t="shared" si="1"/>
        <v>1615.37</v>
      </c>
      <c r="L7" s="35">
        <f t="shared" si="1"/>
        <v>1681.04</v>
      </c>
      <c r="M7" s="35">
        <f t="shared" si="1"/>
        <v>1803.34</v>
      </c>
      <c r="N7" s="35">
        <f t="shared" si="1"/>
        <v>1690.54</v>
      </c>
      <c r="O7" s="35">
        <f t="shared" si="1"/>
        <v>1716.74</v>
      </c>
      <c r="P7" s="35">
        <f t="shared" si="1"/>
        <v>1742.6399999999999</v>
      </c>
      <c r="Q7" s="35">
        <f t="shared" si="1"/>
        <v>1742.6399999999999</v>
      </c>
      <c r="R7" s="35">
        <f t="shared" si="1"/>
        <v>1715.54</v>
      </c>
      <c r="S7" s="35">
        <f t="shared" si="1"/>
        <v>1720.54</v>
      </c>
      <c r="T7" s="35">
        <f t="shared" si="1"/>
        <v>1699.8400000000001</v>
      </c>
      <c r="U7" s="35">
        <f t="shared" si="1"/>
        <v>153.54</v>
      </c>
      <c r="V7" s="35">
        <f t="shared" si="1"/>
        <v>0</v>
      </c>
      <c r="W7" s="35">
        <f t="shared" si="1"/>
        <v>153.54</v>
      </c>
      <c r="X7" s="35">
        <f t="shared" si="1"/>
        <v>1260.04</v>
      </c>
      <c r="Y7" s="35">
        <f t="shared" si="1"/>
        <v>1560.44</v>
      </c>
      <c r="Z7" s="35">
        <f t="shared" si="1"/>
        <v>1612.24</v>
      </c>
      <c r="AA7" s="35">
        <f t="shared" si="1"/>
        <v>1461.14</v>
      </c>
      <c r="AB7" s="35">
        <f t="shared" si="1"/>
        <v>1398.84</v>
      </c>
      <c r="AC7" s="35">
        <f t="shared" si="1"/>
        <v>1368.04</v>
      </c>
      <c r="AD7" s="35">
        <f t="shared" si="1"/>
        <v>1322.04</v>
      </c>
      <c r="AE7" s="35">
        <f t="shared" si="1"/>
        <v>1221.1400000000001</v>
      </c>
      <c r="AF7" s="35">
        <f t="shared" si="1"/>
        <v>1270.9399999999998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1803.34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1803.34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22.7</v>
      </c>
      <c r="C11" s="46">
        <v>22.7</v>
      </c>
      <c r="D11" s="46">
        <v>22.7</v>
      </c>
      <c r="E11" s="46">
        <v>22.7</v>
      </c>
      <c r="F11" s="46">
        <v>22.7</v>
      </c>
      <c r="G11" s="46">
        <v>22.7</v>
      </c>
      <c r="H11" s="46">
        <v>22.7</v>
      </c>
      <c r="I11" s="46">
        <v>22.7</v>
      </c>
      <c r="J11" s="46">
        <v>22.7</v>
      </c>
      <c r="K11" s="46">
        <v>22.7</v>
      </c>
      <c r="L11" s="46">
        <v>22.7</v>
      </c>
      <c r="M11" s="46">
        <v>22.7</v>
      </c>
      <c r="N11" s="46">
        <v>22.7</v>
      </c>
      <c r="O11" s="46">
        <v>22.7</v>
      </c>
      <c r="P11" s="46">
        <v>21.3</v>
      </c>
      <c r="Q11" s="46">
        <v>21.3</v>
      </c>
      <c r="R11" s="46">
        <v>21.3</v>
      </c>
      <c r="S11" s="46">
        <v>21.3</v>
      </c>
      <c r="T11" s="46">
        <v>21.3</v>
      </c>
      <c r="U11" s="46" t="s">
        <v>295</v>
      </c>
      <c r="V11" s="46" t="s">
        <v>295</v>
      </c>
      <c r="W11" s="46" t="s">
        <v>295</v>
      </c>
      <c r="X11" s="46">
        <v>21.3</v>
      </c>
      <c r="Y11" s="46">
        <v>21.3</v>
      </c>
      <c r="Z11" s="46">
        <v>21.3</v>
      </c>
      <c r="AA11" s="46">
        <v>21.3</v>
      </c>
      <c r="AB11" s="46">
        <v>30.4</v>
      </c>
      <c r="AC11" s="46">
        <v>30.4</v>
      </c>
      <c r="AD11" s="46">
        <v>30.4</v>
      </c>
      <c r="AE11" s="46">
        <v>30.4</v>
      </c>
      <c r="AF11" s="46">
        <v>30.4</v>
      </c>
      <c r="AG11" s="47">
        <v>86</v>
      </c>
      <c r="AH11" s="48">
        <f t="shared" ref="AH11:AH16" si="2">MAX(B11:AF11)</f>
        <v>30.4</v>
      </c>
      <c r="AI11" s="49">
        <f t="shared" ref="AI11:AI16" si="3">MIN(B11:AF11)</f>
        <v>21.3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10</v>
      </c>
      <c r="C12" s="46">
        <v>10</v>
      </c>
      <c r="D12" s="46">
        <v>10</v>
      </c>
      <c r="E12" s="46">
        <v>10</v>
      </c>
      <c r="F12" s="46">
        <v>10</v>
      </c>
      <c r="G12" s="46">
        <v>10</v>
      </c>
      <c r="H12" s="46">
        <v>10</v>
      </c>
      <c r="I12" s="46">
        <v>10</v>
      </c>
      <c r="J12" s="46">
        <v>10</v>
      </c>
      <c r="K12" s="46">
        <v>10</v>
      </c>
      <c r="L12" s="46">
        <v>10</v>
      </c>
      <c r="M12" s="46">
        <v>10</v>
      </c>
      <c r="N12" s="46">
        <v>10</v>
      </c>
      <c r="O12" s="46">
        <v>10</v>
      </c>
      <c r="P12" s="46">
        <v>10</v>
      </c>
      <c r="Q12" s="46">
        <v>10</v>
      </c>
      <c r="R12" s="46">
        <v>10</v>
      </c>
      <c r="S12" s="46">
        <v>10</v>
      </c>
      <c r="T12" s="46">
        <v>10</v>
      </c>
      <c r="U12" s="46" t="s">
        <v>296</v>
      </c>
      <c r="V12" s="46" t="s">
        <v>296</v>
      </c>
      <c r="W12" s="46" t="s">
        <v>296</v>
      </c>
      <c r="X12" s="46">
        <v>10</v>
      </c>
      <c r="Y12" s="46">
        <v>10</v>
      </c>
      <c r="Z12" s="46">
        <v>10</v>
      </c>
      <c r="AA12" s="46">
        <v>10</v>
      </c>
      <c r="AB12" s="46">
        <v>10</v>
      </c>
      <c r="AC12" s="46">
        <v>10</v>
      </c>
      <c r="AD12" s="46">
        <v>10</v>
      </c>
      <c r="AE12" s="46">
        <v>10</v>
      </c>
      <c r="AF12" s="46">
        <v>10</v>
      </c>
      <c r="AG12" s="50">
        <v>54</v>
      </c>
      <c r="AH12" s="48">
        <f t="shared" si="2"/>
        <v>10</v>
      </c>
      <c r="AI12" s="49">
        <f t="shared" si="3"/>
        <v>10</v>
      </c>
      <c r="AK12" s="51"/>
      <c r="AL12" s="52" t="str">
        <f ca="1">MID(CELL("filename",C7),FIND("]",CELL("filename",C7))+1,600)</f>
        <v>29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11.9</v>
      </c>
      <c r="C13" s="46">
        <v>11.9</v>
      </c>
      <c r="D13" s="46">
        <v>11.9</v>
      </c>
      <c r="E13" s="46">
        <v>11.9</v>
      </c>
      <c r="F13" s="46">
        <v>11.9</v>
      </c>
      <c r="G13" s="46">
        <v>11.9</v>
      </c>
      <c r="H13" s="46">
        <v>11.9</v>
      </c>
      <c r="I13" s="46">
        <v>11.9</v>
      </c>
      <c r="J13" s="46">
        <v>11.9</v>
      </c>
      <c r="K13" s="46">
        <v>11.9</v>
      </c>
      <c r="L13" s="46">
        <v>11.9</v>
      </c>
      <c r="M13" s="46">
        <v>11.9</v>
      </c>
      <c r="N13" s="46">
        <v>11.9</v>
      </c>
      <c r="O13" s="46">
        <v>11.9</v>
      </c>
      <c r="P13" s="46">
        <v>10.9</v>
      </c>
      <c r="Q13" s="46">
        <v>10.9</v>
      </c>
      <c r="R13" s="46">
        <v>10.9</v>
      </c>
      <c r="S13" s="46">
        <v>10.9</v>
      </c>
      <c r="T13" s="46">
        <v>10.9</v>
      </c>
      <c r="U13" s="46" t="s">
        <v>295</v>
      </c>
      <c r="V13" s="46" t="s">
        <v>295</v>
      </c>
      <c r="W13" s="46" t="s">
        <v>295</v>
      </c>
      <c r="X13" s="46">
        <v>10.9</v>
      </c>
      <c r="Y13" s="46">
        <v>10.9</v>
      </c>
      <c r="Z13" s="46">
        <v>10.9</v>
      </c>
      <c r="AA13" s="46">
        <v>10.9</v>
      </c>
      <c r="AB13" s="46">
        <v>12</v>
      </c>
      <c r="AC13" s="46">
        <v>12</v>
      </c>
      <c r="AD13" s="46">
        <v>12</v>
      </c>
      <c r="AE13" s="46">
        <v>12</v>
      </c>
      <c r="AF13" s="46">
        <v>12</v>
      </c>
      <c r="AG13" s="50">
        <v>54</v>
      </c>
      <c r="AH13" s="48">
        <f t="shared" si="2"/>
        <v>12</v>
      </c>
      <c r="AI13" s="49">
        <f t="shared" si="3"/>
        <v>10.9</v>
      </c>
      <c r="AK13" s="51"/>
      <c r="AL13" s="52" t="str">
        <f ca="1">"Daily Load Curve(Excluding of Export) of Nepal ("&amp;A4&amp;" "&amp;B4&amp;")"</f>
        <v>Daily Load Curve(Excluding of Export) of Nepal (Nepali Date: 2080/10/29)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12.2</v>
      </c>
      <c r="C14" s="46">
        <v>12.2</v>
      </c>
      <c r="D14" s="46">
        <v>12.2</v>
      </c>
      <c r="E14" s="46">
        <v>12.2</v>
      </c>
      <c r="F14" s="46">
        <v>12.2</v>
      </c>
      <c r="G14" s="46">
        <v>12.2</v>
      </c>
      <c r="H14" s="46">
        <v>12.2</v>
      </c>
      <c r="I14" s="46">
        <v>12.2</v>
      </c>
      <c r="J14" s="46">
        <v>12.2</v>
      </c>
      <c r="K14" s="46">
        <v>12.2</v>
      </c>
      <c r="L14" s="46">
        <v>12.2</v>
      </c>
      <c r="M14" s="46">
        <v>12.2</v>
      </c>
      <c r="N14" s="46">
        <v>12.2</v>
      </c>
      <c r="O14" s="46">
        <v>12.2</v>
      </c>
      <c r="P14" s="46">
        <v>12.2</v>
      </c>
      <c r="Q14" s="46">
        <v>12.2</v>
      </c>
      <c r="R14" s="46">
        <v>12.2</v>
      </c>
      <c r="S14" s="46">
        <v>12.2</v>
      </c>
      <c r="T14" s="46">
        <v>12.2</v>
      </c>
      <c r="U14" s="46" t="s">
        <v>297</v>
      </c>
      <c r="V14" s="46" t="s">
        <v>297</v>
      </c>
      <c r="W14" s="46" t="s">
        <v>297</v>
      </c>
      <c r="X14" s="46">
        <v>12.2</v>
      </c>
      <c r="Y14" s="46">
        <v>12.2</v>
      </c>
      <c r="Z14" s="46">
        <v>12.2</v>
      </c>
      <c r="AA14" s="46">
        <v>12.2</v>
      </c>
      <c r="AB14" s="46">
        <v>12.2</v>
      </c>
      <c r="AC14" s="46">
        <v>12.2</v>
      </c>
      <c r="AD14" s="46">
        <v>12.2</v>
      </c>
      <c r="AE14" s="46">
        <v>12.2</v>
      </c>
      <c r="AF14" s="46">
        <v>12.2</v>
      </c>
      <c r="AG14" s="47">
        <v>52.4</v>
      </c>
      <c r="AH14" s="48">
        <f t="shared" si="2"/>
        <v>12.2</v>
      </c>
      <c r="AI14" s="49">
        <f t="shared" si="3"/>
        <v>12.2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29</v>
      </c>
      <c r="C15" s="46">
        <v>29</v>
      </c>
      <c r="D15" s="46">
        <v>29</v>
      </c>
      <c r="E15" s="46">
        <v>29</v>
      </c>
      <c r="F15" s="46">
        <v>29</v>
      </c>
      <c r="G15" s="46">
        <v>29</v>
      </c>
      <c r="H15" s="46">
        <v>29</v>
      </c>
      <c r="I15" s="46">
        <v>29</v>
      </c>
      <c r="J15" s="46">
        <v>29</v>
      </c>
      <c r="K15" s="46">
        <v>29</v>
      </c>
      <c r="L15" s="46">
        <v>29</v>
      </c>
      <c r="M15" s="46">
        <v>29</v>
      </c>
      <c r="N15" s="46">
        <v>29</v>
      </c>
      <c r="O15" s="46">
        <v>29</v>
      </c>
      <c r="P15" s="46">
        <v>28.4</v>
      </c>
      <c r="Q15" s="46">
        <v>28.4</v>
      </c>
      <c r="R15" s="46">
        <v>28.4</v>
      </c>
      <c r="S15" s="46">
        <v>28.4</v>
      </c>
      <c r="T15" s="46">
        <v>28.4</v>
      </c>
      <c r="U15" s="46" t="s">
        <v>298</v>
      </c>
      <c r="V15" s="46" t="s">
        <v>298</v>
      </c>
      <c r="W15" s="46" t="s">
        <v>298</v>
      </c>
      <c r="X15" s="53">
        <v>28.4</v>
      </c>
      <c r="Y15" s="53">
        <v>28.4</v>
      </c>
      <c r="Z15" s="53">
        <v>28.4</v>
      </c>
      <c r="AA15" s="53">
        <v>28.4</v>
      </c>
      <c r="AB15" s="53">
        <v>31.9</v>
      </c>
      <c r="AC15" s="53">
        <v>31.9</v>
      </c>
      <c r="AD15" s="53">
        <v>31.9</v>
      </c>
      <c r="AE15" s="53">
        <v>31.9</v>
      </c>
      <c r="AF15" s="53">
        <v>31.9</v>
      </c>
      <c r="AG15" s="50">
        <v>50</v>
      </c>
      <c r="AH15" s="48">
        <f t="shared" si="2"/>
        <v>31.9</v>
      </c>
      <c r="AI15" s="49">
        <f t="shared" si="3"/>
        <v>28.4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15</v>
      </c>
      <c r="C16" s="46">
        <v>15</v>
      </c>
      <c r="D16" s="46">
        <v>15</v>
      </c>
      <c r="E16" s="46">
        <v>15</v>
      </c>
      <c r="F16" s="46">
        <v>15</v>
      </c>
      <c r="G16" s="46">
        <v>15</v>
      </c>
      <c r="H16" s="46">
        <v>15</v>
      </c>
      <c r="I16" s="46">
        <v>15</v>
      </c>
      <c r="J16" s="46">
        <v>15</v>
      </c>
      <c r="K16" s="46">
        <v>15</v>
      </c>
      <c r="L16" s="46">
        <v>15</v>
      </c>
      <c r="M16" s="46">
        <v>15</v>
      </c>
      <c r="N16" s="46">
        <v>15</v>
      </c>
      <c r="O16" s="46">
        <v>15</v>
      </c>
      <c r="P16" s="46">
        <v>15</v>
      </c>
      <c r="Q16" s="46">
        <v>15</v>
      </c>
      <c r="R16" s="46">
        <v>15</v>
      </c>
      <c r="S16" s="46">
        <v>15</v>
      </c>
      <c r="T16" s="46">
        <v>15</v>
      </c>
      <c r="U16" s="46" t="s">
        <v>299</v>
      </c>
      <c r="V16" s="46" t="s">
        <v>299</v>
      </c>
      <c r="W16" s="46" t="s">
        <v>299</v>
      </c>
      <c r="X16" s="46">
        <v>15</v>
      </c>
      <c r="Y16" s="46">
        <v>15</v>
      </c>
      <c r="Z16" s="46">
        <v>15</v>
      </c>
      <c r="AA16" s="46">
        <v>15</v>
      </c>
      <c r="AB16" s="46">
        <v>15</v>
      </c>
      <c r="AC16" s="46">
        <v>15</v>
      </c>
      <c r="AD16" s="46">
        <v>15</v>
      </c>
      <c r="AE16" s="46">
        <v>15</v>
      </c>
      <c r="AF16" s="46">
        <v>15</v>
      </c>
      <c r="AG16" s="50">
        <v>45</v>
      </c>
      <c r="AH16" s="48">
        <f t="shared" si="2"/>
        <v>15</v>
      </c>
      <c r="AI16" s="49">
        <f t="shared" si="3"/>
        <v>15</v>
      </c>
      <c r="AK16" s="51"/>
      <c r="AL16" s="54" t="s">
        <v>7</v>
      </c>
      <c r="AM16" s="59">
        <f>B58</f>
        <v>449</v>
      </c>
      <c r="AN16" s="59">
        <f t="shared" ref="AN16:AR16" si="4">C58</f>
        <v>449</v>
      </c>
      <c r="AO16" s="59">
        <f t="shared" si="4"/>
        <v>449</v>
      </c>
      <c r="AP16" s="59">
        <f t="shared" si="4"/>
        <v>449</v>
      </c>
      <c r="AQ16" s="59">
        <f t="shared" si="4"/>
        <v>449</v>
      </c>
      <c r="AR16" s="59">
        <f t="shared" si="4"/>
        <v>449</v>
      </c>
      <c r="AS16" s="59">
        <f>I58</f>
        <v>449</v>
      </c>
      <c r="AT16" s="59">
        <f>K58</f>
        <v>449</v>
      </c>
      <c r="AU16" s="59">
        <f t="shared" ref="AU16:BD16" si="5">M58</f>
        <v>467.9</v>
      </c>
      <c r="AV16" s="59">
        <f t="shared" si="5"/>
        <v>467.9</v>
      </c>
      <c r="AW16" s="59">
        <f t="shared" si="5"/>
        <v>467.9</v>
      </c>
      <c r="AX16" s="59">
        <f t="shared" si="5"/>
        <v>458.2</v>
      </c>
      <c r="AY16" s="59">
        <f t="shared" si="5"/>
        <v>458.2</v>
      </c>
      <c r="AZ16" s="59">
        <f t="shared" si="5"/>
        <v>458.2</v>
      </c>
      <c r="BA16" s="59">
        <f t="shared" si="5"/>
        <v>458.2</v>
      </c>
      <c r="BB16" s="59">
        <f t="shared" si="5"/>
        <v>458.2</v>
      </c>
      <c r="BC16" s="59">
        <f t="shared" si="5"/>
        <v>150</v>
      </c>
      <c r="BD16" s="59">
        <f t="shared" si="5"/>
        <v>0</v>
      </c>
      <c r="BE16" s="197">
        <f>X58</f>
        <v>458.2</v>
      </c>
      <c r="BF16" s="197">
        <f>Z58</f>
        <v>458.2</v>
      </c>
      <c r="BG16" s="197">
        <f>AB58</f>
        <v>472.09999999999997</v>
      </c>
      <c r="BH16" s="197">
        <f>AD58</f>
        <v>472.09999999999997</v>
      </c>
      <c r="BI16" s="197">
        <f t="shared" ref="BI16:BJ16" si="6">AE58</f>
        <v>472.09999999999997</v>
      </c>
      <c r="BJ16" s="197">
        <f t="shared" si="6"/>
        <v>472.09999999999997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0</v>
      </c>
      <c r="C17" s="46">
        <v>0</v>
      </c>
      <c r="D17" s="46">
        <v>0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12</v>
      </c>
      <c r="N17" s="46">
        <v>12</v>
      </c>
      <c r="O17" s="46">
        <v>12</v>
      </c>
      <c r="P17" s="46">
        <v>12</v>
      </c>
      <c r="Q17" s="46">
        <v>12</v>
      </c>
      <c r="R17" s="46">
        <v>12</v>
      </c>
      <c r="S17" s="46">
        <v>12</v>
      </c>
      <c r="T17" s="46">
        <v>12</v>
      </c>
      <c r="U17" s="46"/>
      <c r="V17" s="46"/>
      <c r="W17" s="46"/>
      <c r="X17" s="46">
        <v>12</v>
      </c>
      <c r="Y17" s="46">
        <v>12</v>
      </c>
      <c r="Z17" s="46">
        <v>12</v>
      </c>
      <c r="AA17" s="46">
        <v>12</v>
      </c>
      <c r="AB17" s="46">
        <v>12</v>
      </c>
      <c r="AC17" s="46">
        <v>12</v>
      </c>
      <c r="AD17" s="46">
        <v>12</v>
      </c>
      <c r="AE17" s="46">
        <v>12</v>
      </c>
      <c r="AF17" s="46">
        <v>12</v>
      </c>
      <c r="AG17" s="50">
        <v>44</v>
      </c>
      <c r="AH17" s="48">
        <f>MAX(B17:AG17)</f>
        <v>44</v>
      </c>
      <c r="AI17" s="49">
        <f>MIN(B17:AG17)</f>
        <v>0</v>
      </c>
      <c r="AK17" s="51"/>
      <c r="AL17" s="54" t="s">
        <v>27</v>
      </c>
      <c r="AM17" s="59">
        <f>B62</f>
        <v>98.3</v>
      </c>
      <c r="AN17" s="59">
        <f t="shared" ref="AN17:AR17" si="7">C62</f>
        <v>28.3</v>
      </c>
      <c r="AO17" s="59">
        <f t="shared" si="7"/>
        <v>104.3</v>
      </c>
      <c r="AP17" s="59">
        <f t="shared" si="7"/>
        <v>78.5</v>
      </c>
      <c r="AQ17" s="59">
        <f t="shared" si="7"/>
        <v>78.5</v>
      </c>
      <c r="AR17" s="59">
        <f t="shared" si="7"/>
        <v>78.5</v>
      </c>
      <c r="AS17" s="59">
        <f>I62</f>
        <v>179.3</v>
      </c>
      <c r="AT17" s="59">
        <f>K62</f>
        <v>28.3</v>
      </c>
      <c r="AU17" s="59">
        <f t="shared" ref="AU17:BD17" si="8">M62</f>
        <v>28.3</v>
      </c>
      <c r="AV17" s="59">
        <f t="shared" si="8"/>
        <v>28.3</v>
      </c>
      <c r="AW17" s="59">
        <f t="shared" si="8"/>
        <v>28.3</v>
      </c>
      <c r="AX17" s="59">
        <f t="shared" si="8"/>
        <v>30.8</v>
      </c>
      <c r="AY17" s="59">
        <f t="shared" si="8"/>
        <v>30.8</v>
      </c>
      <c r="AZ17" s="59">
        <f t="shared" si="8"/>
        <v>30.8</v>
      </c>
      <c r="BA17" s="59">
        <f t="shared" si="8"/>
        <v>30.8</v>
      </c>
      <c r="BB17" s="59">
        <f t="shared" si="8"/>
        <v>30.8</v>
      </c>
      <c r="BC17" s="59">
        <f t="shared" si="8"/>
        <v>0</v>
      </c>
      <c r="BD17" s="59">
        <f t="shared" si="8"/>
        <v>0</v>
      </c>
      <c r="BE17" s="197">
        <f>X62</f>
        <v>30.8</v>
      </c>
      <c r="BF17" s="197">
        <f>Z62</f>
        <v>341.8</v>
      </c>
      <c r="BG17" s="197">
        <f>AB62</f>
        <v>214.6</v>
      </c>
      <c r="BH17" s="197">
        <f>AD62</f>
        <v>142.9</v>
      </c>
      <c r="BI17" s="197">
        <f t="shared" ref="BI17:BJ17" si="9">AE62</f>
        <v>33.799999999999997</v>
      </c>
      <c r="BJ17" s="197">
        <f t="shared" si="9"/>
        <v>33.6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7.5</v>
      </c>
      <c r="C18" s="46">
        <v>7.5</v>
      </c>
      <c r="D18" s="46">
        <v>7.5</v>
      </c>
      <c r="E18" s="46">
        <v>7.5</v>
      </c>
      <c r="F18" s="46">
        <v>7.5</v>
      </c>
      <c r="G18" s="46">
        <v>7.5</v>
      </c>
      <c r="H18" s="46">
        <v>7.5</v>
      </c>
      <c r="I18" s="46">
        <v>7.5</v>
      </c>
      <c r="J18" s="46">
        <v>7.5</v>
      </c>
      <c r="K18" s="46">
        <v>7.5</v>
      </c>
      <c r="L18" s="46">
        <v>7.5</v>
      </c>
      <c r="M18" s="46">
        <v>7.5</v>
      </c>
      <c r="N18" s="46">
        <v>7.5</v>
      </c>
      <c r="O18" s="46">
        <v>7.5</v>
      </c>
      <c r="P18" s="46">
        <v>7.5</v>
      </c>
      <c r="Q18" s="46">
        <v>7.5</v>
      </c>
      <c r="R18" s="46">
        <v>7.5</v>
      </c>
      <c r="S18" s="46">
        <v>7.5</v>
      </c>
      <c r="T18" s="46">
        <v>7.5</v>
      </c>
      <c r="U18" s="46" t="s">
        <v>300</v>
      </c>
      <c r="V18" s="46" t="s">
        <v>300</v>
      </c>
      <c r="W18" s="46" t="s">
        <v>300</v>
      </c>
      <c r="X18" s="46">
        <v>7.5</v>
      </c>
      <c r="Y18" s="46">
        <v>7.5</v>
      </c>
      <c r="Z18" s="46">
        <v>7.5</v>
      </c>
      <c r="AA18" s="46">
        <v>7.5</v>
      </c>
      <c r="AB18" s="46">
        <v>7.5</v>
      </c>
      <c r="AC18" s="46">
        <v>7.5</v>
      </c>
      <c r="AD18" s="46">
        <v>7.5</v>
      </c>
      <c r="AE18" s="46">
        <v>7.5</v>
      </c>
      <c r="AF18" s="46">
        <v>7.5</v>
      </c>
      <c r="AG18" s="50">
        <v>42</v>
      </c>
      <c r="AH18" s="48">
        <f t="shared" ref="AH18:AH81" si="10">MAX(B18:AF18)</f>
        <v>7.5</v>
      </c>
      <c r="AI18" s="49">
        <f t="shared" ref="AI18:AI81" si="11">MIN(B18:AF18)</f>
        <v>7.5</v>
      </c>
      <c r="AK18" s="51"/>
      <c r="AL18" s="54" t="s">
        <v>29</v>
      </c>
      <c r="AM18" s="59">
        <f>B76</f>
        <v>197.94</v>
      </c>
      <c r="AN18" s="59">
        <f t="shared" ref="AN18:AR18" si="12">C76</f>
        <v>124.94000000000001</v>
      </c>
      <c r="AO18" s="59">
        <f t="shared" si="12"/>
        <v>115.94000000000001</v>
      </c>
      <c r="AP18" s="59">
        <f t="shared" si="12"/>
        <v>116.74000000000001</v>
      </c>
      <c r="AQ18" s="59">
        <f t="shared" si="12"/>
        <v>116.74000000000001</v>
      </c>
      <c r="AR18" s="59">
        <f t="shared" si="12"/>
        <v>142.73999999999998</v>
      </c>
      <c r="AS18" s="59">
        <f>I76</f>
        <v>161.93999999999997</v>
      </c>
      <c r="AT18" s="59">
        <f>K76</f>
        <v>179.73999999999998</v>
      </c>
      <c r="AU18" s="59">
        <f t="shared" ref="AU18:BD18" si="13">M76</f>
        <v>193.54</v>
      </c>
      <c r="AV18" s="59">
        <f t="shared" si="13"/>
        <v>203.43999999999997</v>
      </c>
      <c r="AW18" s="59">
        <f t="shared" si="13"/>
        <v>212.64</v>
      </c>
      <c r="AX18" s="59">
        <f t="shared" si="13"/>
        <v>227.33999999999997</v>
      </c>
      <c r="AY18" s="59">
        <f t="shared" si="13"/>
        <v>227.33999999999997</v>
      </c>
      <c r="AZ18" s="59">
        <f t="shared" si="13"/>
        <v>215.94</v>
      </c>
      <c r="BA18" s="59">
        <f t="shared" si="13"/>
        <v>214.34</v>
      </c>
      <c r="BB18" s="59">
        <f t="shared" si="13"/>
        <v>193.34</v>
      </c>
      <c r="BC18" s="59">
        <f t="shared" si="13"/>
        <v>3.54</v>
      </c>
      <c r="BD18" s="59">
        <f t="shared" si="13"/>
        <v>0</v>
      </c>
      <c r="BE18" s="197">
        <f>X76</f>
        <v>129.13999999999999</v>
      </c>
      <c r="BF18" s="197">
        <f>Z76</f>
        <v>363.24000000000007</v>
      </c>
      <c r="BG18" s="197">
        <f>AB76</f>
        <v>281.34000000000003</v>
      </c>
      <c r="BH18" s="197">
        <f>AD76</f>
        <v>246.74</v>
      </c>
      <c r="BI18" s="197">
        <f t="shared" ref="BI18:BJ18" si="14">AE76</f>
        <v>146.44</v>
      </c>
      <c r="BJ18" s="197">
        <f t="shared" si="14"/>
        <v>149.33999999999997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13.8</v>
      </c>
      <c r="C19" s="46">
        <v>13.8</v>
      </c>
      <c r="D19" s="46">
        <v>13.8</v>
      </c>
      <c r="E19" s="46">
        <v>13.8</v>
      </c>
      <c r="F19" s="46">
        <v>13.8</v>
      </c>
      <c r="G19" s="46">
        <v>13.8</v>
      </c>
      <c r="H19" s="46">
        <v>13.8</v>
      </c>
      <c r="I19" s="46">
        <v>13.8</v>
      </c>
      <c r="J19" s="46">
        <v>13.8</v>
      </c>
      <c r="K19" s="46">
        <v>13.8</v>
      </c>
      <c r="L19" s="46">
        <v>13.8</v>
      </c>
      <c r="M19" s="46">
        <v>13.8</v>
      </c>
      <c r="N19" s="46">
        <v>13.8</v>
      </c>
      <c r="O19" s="46">
        <v>13.8</v>
      </c>
      <c r="P19" s="46">
        <v>12.8</v>
      </c>
      <c r="Q19" s="46">
        <v>12.8</v>
      </c>
      <c r="R19" s="46">
        <v>12.8</v>
      </c>
      <c r="S19" s="46">
        <v>12.8</v>
      </c>
      <c r="T19" s="46">
        <v>12.8</v>
      </c>
      <c r="U19" s="46" t="s">
        <v>301</v>
      </c>
      <c r="V19" s="46" t="s">
        <v>301</v>
      </c>
      <c r="W19" s="46" t="s">
        <v>301</v>
      </c>
      <c r="X19" s="46">
        <v>12.8</v>
      </c>
      <c r="Y19" s="46">
        <v>12.8</v>
      </c>
      <c r="Z19" s="46">
        <v>12.8</v>
      </c>
      <c r="AA19" s="46">
        <v>12.8</v>
      </c>
      <c r="AB19" s="46">
        <v>13</v>
      </c>
      <c r="AC19" s="46">
        <v>13</v>
      </c>
      <c r="AD19" s="46">
        <v>13</v>
      </c>
      <c r="AE19" s="46">
        <v>13</v>
      </c>
      <c r="AF19" s="46">
        <v>13</v>
      </c>
      <c r="AG19" s="50">
        <v>38.46</v>
      </c>
      <c r="AH19" s="48">
        <f t="shared" si="10"/>
        <v>13.8</v>
      </c>
      <c r="AI19" s="49">
        <f t="shared" si="11"/>
        <v>12.8</v>
      </c>
      <c r="AK19" s="51"/>
      <c r="AL19" s="54" t="s">
        <v>31</v>
      </c>
      <c r="AM19" s="59">
        <f>B92</f>
        <v>209</v>
      </c>
      <c r="AN19" s="59">
        <f t="shared" ref="AN19:AR19" si="15">C92</f>
        <v>369</v>
      </c>
      <c r="AO19" s="59">
        <f t="shared" si="15"/>
        <v>296</v>
      </c>
      <c r="AP19" s="59">
        <f t="shared" si="15"/>
        <v>314.10000000000002</v>
      </c>
      <c r="AQ19" s="59">
        <f t="shared" si="15"/>
        <v>319.70000000000005</v>
      </c>
      <c r="AR19" s="59">
        <f t="shared" si="15"/>
        <v>344.5</v>
      </c>
      <c r="AS19" s="59">
        <f>I92</f>
        <v>301.3</v>
      </c>
      <c r="AT19" s="59">
        <f>K92</f>
        <v>795.69999999999993</v>
      </c>
      <c r="AU19" s="59">
        <f t="shared" ref="AU19:BD19" si="16">M92</f>
        <v>937.9</v>
      </c>
      <c r="AV19" s="59">
        <f t="shared" si="16"/>
        <v>895.69999999999993</v>
      </c>
      <c r="AW19" s="59">
        <f t="shared" si="16"/>
        <v>912.7</v>
      </c>
      <c r="AX19" s="59">
        <f t="shared" si="16"/>
        <v>927.69999999999993</v>
      </c>
      <c r="AY19" s="59">
        <f t="shared" si="16"/>
        <v>927.69999999999993</v>
      </c>
      <c r="AZ19" s="59">
        <f t="shared" si="16"/>
        <v>912</v>
      </c>
      <c r="BA19" s="59">
        <f t="shared" si="16"/>
        <v>919.80000000000007</v>
      </c>
      <c r="BB19" s="59">
        <f t="shared" si="16"/>
        <v>919.90000000000009</v>
      </c>
      <c r="BC19" s="59">
        <f t="shared" si="16"/>
        <v>0</v>
      </c>
      <c r="BD19" s="59">
        <f t="shared" si="16"/>
        <v>0</v>
      </c>
      <c r="BE19" s="197">
        <f>X92</f>
        <v>641.9</v>
      </c>
      <c r="BF19" s="197">
        <f>Z92</f>
        <v>129</v>
      </c>
      <c r="BG19" s="197">
        <f>AB92</f>
        <v>151.1</v>
      </c>
      <c r="BH19" s="197">
        <f>AD92</f>
        <v>182.3</v>
      </c>
      <c r="BI19" s="197">
        <f t="shared" ref="BI19:BJ19" si="17">AE92</f>
        <v>270.70000000000005</v>
      </c>
      <c r="BJ19" s="197">
        <f t="shared" si="17"/>
        <v>318.09999999999997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11.8</v>
      </c>
      <c r="C20" s="46">
        <v>11.8</v>
      </c>
      <c r="D20" s="46">
        <v>11.8</v>
      </c>
      <c r="E20" s="46">
        <v>11.8</v>
      </c>
      <c r="F20" s="46">
        <v>11.8</v>
      </c>
      <c r="G20" s="46">
        <v>11.8</v>
      </c>
      <c r="H20" s="46">
        <v>11.8</v>
      </c>
      <c r="I20" s="46">
        <v>11.8</v>
      </c>
      <c r="J20" s="46">
        <v>11.8</v>
      </c>
      <c r="K20" s="46">
        <v>11.8</v>
      </c>
      <c r="L20" s="46">
        <v>11.8</v>
      </c>
      <c r="M20" s="46">
        <v>11.8</v>
      </c>
      <c r="N20" s="46">
        <v>11.8</v>
      </c>
      <c r="O20" s="46">
        <v>11.8</v>
      </c>
      <c r="P20" s="46">
        <v>11.8</v>
      </c>
      <c r="Q20" s="46">
        <v>11.8</v>
      </c>
      <c r="R20" s="46">
        <v>11.8</v>
      </c>
      <c r="S20" s="46">
        <v>11.8</v>
      </c>
      <c r="T20" s="46">
        <v>11.8</v>
      </c>
      <c r="U20" s="46" t="s">
        <v>302</v>
      </c>
      <c r="V20" s="46" t="s">
        <v>302</v>
      </c>
      <c r="W20" s="46" t="s">
        <v>302</v>
      </c>
      <c r="X20" s="46">
        <v>11.8</v>
      </c>
      <c r="Y20" s="46">
        <v>11.8</v>
      </c>
      <c r="Z20" s="46">
        <v>11.8</v>
      </c>
      <c r="AA20" s="46">
        <v>11.8</v>
      </c>
      <c r="AB20" s="46">
        <v>11.8</v>
      </c>
      <c r="AC20" s="46">
        <v>11.8</v>
      </c>
      <c r="AD20" s="46">
        <v>11.8</v>
      </c>
      <c r="AE20" s="46">
        <v>11.8</v>
      </c>
      <c r="AF20" s="46">
        <v>11.8</v>
      </c>
      <c r="AG20" s="50">
        <v>38.46</v>
      </c>
      <c r="AH20" s="48">
        <f t="shared" si="10"/>
        <v>11.8</v>
      </c>
      <c r="AI20" s="49">
        <f t="shared" si="11"/>
        <v>11.8</v>
      </c>
      <c r="AK20" s="51"/>
      <c r="AL20" s="54" t="s">
        <v>33</v>
      </c>
      <c r="AM20" s="59">
        <f>B80</f>
        <v>97.1</v>
      </c>
      <c r="AN20" s="59">
        <f t="shared" ref="AN20:AR20" si="18">C80</f>
        <v>97.1</v>
      </c>
      <c r="AO20" s="59">
        <f t="shared" si="18"/>
        <v>97.1</v>
      </c>
      <c r="AP20" s="59">
        <f t="shared" si="18"/>
        <v>96.399999999999991</v>
      </c>
      <c r="AQ20" s="59">
        <f t="shared" si="18"/>
        <v>96.399999999999991</v>
      </c>
      <c r="AR20" s="59">
        <f t="shared" si="18"/>
        <v>96.399999999999991</v>
      </c>
      <c r="AS20" s="59">
        <f>I80</f>
        <v>96.399999999999991</v>
      </c>
      <c r="AT20" s="59">
        <f>K80</f>
        <v>62.629999999999995</v>
      </c>
      <c r="AU20" s="59">
        <f t="shared" ref="AU20:BD20" si="19">M80</f>
        <v>75.7</v>
      </c>
      <c r="AV20" s="59">
        <f t="shared" si="19"/>
        <v>95.199999999999989</v>
      </c>
      <c r="AW20" s="59">
        <f t="shared" si="19"/>
        <v>95.199999999999989</v>
      </c>
      <c r="AX20" s="59">
        <f t="shared" si="19"/>
        <v>98.600000000000009</v>
      </c>
      <c r="AY20" s="59">
        <f t="shared" si="19"/>
        <v>98.600000000000009</v>
      </c>
      <c r="AZ20" s="59">
        <f t="shared" si="19"/>
        <v>98.600000000000009</v>
      </c>
      <c r="BA20" s="59">
        <f t="shared" si="19"/>
        <v>97.4</v>
      </c>
      <c r="BB20" s="59">
        <f t="shared" si="19"/>
        <v>97.6</v>
      </c>
      <c r="BC20" s="59">
        <f t="shared" si="19"/>
        <v>0</v>
      </c>
      <c r="BD20" s="59">
        <f t="shared" si="19"/>
        <v>0</v>
      </c>
      <c r="BE20" s="197">
        <f>X80</f>
        <v>0</v>
      </c>
      <c r="BF20" s="197">
        <f>Z80</f>
        <v>0</v>
      </c>
      <c r="BG20" s="197">
        <f>AB80</f>
        <v>99.7</v>
      </c>
      <c r="BH20" s="197">
        <f>AD80</f>
        <v>98</v>
      </c>
      <c r="BI20" s="197">
        <f t="shared" ref="BI20:BJ20" si="20">AE80</f>
        <v>98.100000000000009</v>
      </c>
      <c r="BJ20" s="197">
        <f t="shared" si="20"/>
        <v>97.8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11</v>
      </c>
      <c r="C21" s="46">
        <v>11</v>
      </c>
      <c r="D21" s="46">
        <v>11</v>
      </c>
      <c r="E21" s="46">
        <v>11</v>
      </c>
      <c r="F21" s="46">
        <v>11</v>
      </c>
      <c r="G21" s="46">
        <v>11</v>
      </c>
      <c r="H21" s="46">
        <v>11</v>
      </c>
      <c r="I21" s="46">
        <v>11</v>
      </c>
      <c r="J21" s="46">
        <v>11</v>
      </c>
      <c r="K21" s="46">
        <v>11</v>
      </c>
      <c r="L21" s="46">
        <v>11</v>
      </c>
      <c r="M21" s="46">
        <v>11</v>
      </c>
      <c r="N21" s="46">
        <v>11</v>
      </c>
      <c r="O21" s="46">
        <v>11</v>
      </c>
      <c r="P21" s="46">
        <v>11</v>
      </c>
      <c r="Q21" s="46">
        <v>11</v>
      </c>
      <c r="R21" s="46">
        <v>11</v>
      </c>
      <c r="S21" s="46">
        <v>11</v>
      </c>
      <c r="T21" s="46">
        <v>11</v>
      </c>
      <c r="U21" s="46" t="s">
        <v>302</v>
      </c>
      <c r="V21" s="46" t="s">
        <v>302</v>
      </c>
      <c r="W21" s="46" t="s">
        <v>302</v>
      </c>
      <c r="X21" s="46">
        <v>11</v>
      </c>
      <c r="Y21" s="46">
        <v>11</v>
      </c>
      <c r="Z21" s="46">
        <v>11</v>
      </c>
      <c r="AA21" s="46">
        <v>11</v>
      </c>
      <c r="AB21" s="46">
        <v>11</v>
      </c>
      <c r="AC21" s="46">
        <v>11</v>
      </c>
      <c r="AD21" s="46">
        <v>11</v>
      </c>
      <c r="AE21" s="46">
        <v>11</v>
      </c>
      <c r="AF21" s="46">
        <v>11</v>
      </c>
      <c r="AG21" s="50">
        <v>36</v>
      </c>
      <c r="AH21" s="48">
        <f t="shared" si="10"/>
        <v>11</v>
      </c>
      <c r="AI21" s="49">
        <f t="shared" si="11"/>
        <v>11</v>
      </c>
      <c r="AK21" s="51"/>
      <c r="AL21" s="54" t="s">
        <v>35</v>
      </c>
      <c r="AM21" s="59">
        <f>B98</f>
        <v>400</v>
      </c>
      <c r="AN21" s="59">
        <f t="shared" ref="AN21:AR21" si="21">C98</f>
        <v>300</v>
      </c>
      <c r="AO21" s="59">
        <f t="shared" si="21"/>
        <v>300</v>
      </c>
      <c r="AP21" s="59">
        <f t="shared" si="21"/>
        <v>300</v>
      </c>
      <c r="AQ21" s="59">
        <f t="shared" si="21"/>
        <v>300</v>
      </c>
      <c r="AR21" s="59">
        <f t="shared" si="21"/>
        <v>300</v>
      </c>
      <c r="AS21" s="59">
        <f>I98</f>
        <v>300</v>
      </c>
      <c r="AT21" s="59">
        <f>K98</f>
        <v>100</v>
      </c>
      <c r="AU21" s="59">
        <f t="shared" ref="AU21:BD21" si="22">M98</f>
        <v>100</v>
      </c>
      <c r="AV21" s="59">
        <f t="shared" si="22"/>
        <v>0</v>
      </c>
      <c r="AW21" s="59">
        <f t="shared" si="22"/>
        <v>0</v>
      </c>
      <c r="AX21" s="59">
        <f t="shared" si="22"/>
        <v>0</v>
      </c>
      <c r="AY21" s="59">
        <f t="shared" si="22"/>
        <v>0</v>
      </c>
      <c r="AZ21" s="59">
        <f t="shared" si="22"/>
        <v>0</v>
      </c>
      <c r="BA21" s="59">
        <f t="shared" si="22"/>
        <v>0</v>
      </c>
      <c r="BB21" s="59">
        <f t="shared" si="22"/>
        <v>0</v>
      </c>
      <c r="BC21" s="59">
        <f t="shared" si="22"/>
        <v>0</v>
      </c>
      <c r="BD21" s="59">
        <f t="shared" si="22"/>
        <v>0</v>
      </c>
      <c r="BE21" s="197">
        <f>X98</f>
        <v>0</v>
      </c>
      <c r="BF21" s="197">
        <f>Z98</f>
        <v>320</v>
      </c>
      <c r="BG21" s="197">
        <f>AB98</f>
        <v>180</v>
      </c>
      <c r="BH21" s="197">
        <f>AD98</f>
        <v>180</v>
      </c>
      <c r="BI21" s="197">
        <f t="shared" ref="BI21:BJ21" si="23">AE98</f>
        <v>200</v>
      </c>
      <c r="BJ21" s="197">
        <f t="shared" si="23"/>
        <v>200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7</v>
      </c>
      <c r="C22" s="46">
        <v>7</v>
      </c>
      <c r="D22" s="46">
        <v>7</v>
      </c>
      <c r="E22" s="46">
        <v>7</v>
      </c>
      <c r="F22" s="46">
        <v>7</v>
      </c>
      <c r="G22" s="46">
        <v>7</v>
      </c>
      <c r="H22" s="46">
        <v>7</v>
      </c>
      <c r="I22" s="46">
        <v>7</v>
      </c>
      <c r="J22" s="46">
        <v>7</v>
      </c>
      <c r="K22" s="46">
        <v>7</v>
      </c>
      <c r="L22" s="46">
        <v>7</v>
      </c>
      <c r="M22" s="46">
        <v>7</v>
      </c>
      <c r="N22" s="46">
        <v>7</v>
      </c>
      <c r="O22" s="46">
        <v>7</v>
      </c>
      <c r="P22" s="46">
        <v>6.7</v>
      </c>
      <c r="Q22" s="46">
        <v>6.7</v>
      </c>
      <c r="R22" s="46">
        <v>6.7</v>
      </c>
      <c r="S22" s="46">
        <v>6.7</v>
      </c>
      <c r="T22" s="46">
        <v>6.7</v>
      </c>
      <c r="U22" s="46" t="s">
        <v>303</v>
      </c>
      <c r="V22" s="46" t="s">
        <v>303</v>
      </c>
      <c r="W22" s="46" t="s">
        <v>303</v>
      </c>
      <c r="X22" s="46">
        <v>6.7</v>
      </c>
      <c r="Y22" s="46">
        <v>6.7</v>
      </c>
      <c r="Z22" s="46">
        <v>6.7</v>
      </c>
      <c r="AA22" s="46">
        <v>6.7</v>
      </c>
      <c r="AB22" s="46">
        <v>6.7</v>
      </c>
      <c r="AC22" s="46">
        <v>6.7</v>
      </c>
      <c r="AD22" s="46">
        <v>6.7</v>
      </c>
      <c r="AE22" s="46">
        <v>6.7</v>
      </c>
      <c r="AF22" s="46">
        <v>6.7</v>
      </c>
      <c r="AG22" s="60">
        <v>30</v>
      </c>
      <c r="AH22" s="48">
        <f t="shared" si="10"/>
        <v>7</v>
      </c>
      <c r="AI22" s="49">
        <f t="shared" si="11"/>
        <v>6.7</v>
      </c>
      <c r="AK22" s="51"/>
      <c r="AL22" s="61" t="s">
        <v>37</v>
      </c>
      <c r="AM22" s="62">
        <f>SUM(AM16:AM21)</f>
        <v>1451.34</v>
      </c>
      <c r="AN22" s="62">
        <f t="shared" ref="AN22:BJ22" si="24">SUM(AN16:AN21)</f>
        <v>1368.34</v>
      </c>
      <c r="AO22" s="62">
        <f t="shared" si="24"/>
        <v>1362.34</v>
      </c>
      <c r="AP22" s="62">
        <f t="shared" si="24"/>
        <v>1354.74</v>
      </c>
      <c r="AQ22" s="62">
        <f t="shared" si="24"/>
        <v>1360.3400000000001</v>
      </c>
      <c r="AR22" s="62">
        <f t="shared" si="24"/>
        <v>1411.14</v>
      </c>
      <c r="AS22" s="62">
        <f t="shared" si="24"/>
        <v>1487.94</v>
      </c>
      <c r="AT22" s="62">
        <f t="shared" si="24"/>
        <v>1615.37</v>
      </c>
      <c r="AU22" s="62">
        <f t="shared" si="24"/>
        <v>1803.34</v>
      </c>
      <c r="AV22" s="62">
        <f t="shared" si="24"/>
        <v>1690.54</v>
      </c>
      <c r="AW22" s="62">
        <f t="shared" si="24"/>
        <v>1716.74</v>
      </c>
      <c r="AX22" s="62">
        <f t="shared" si="24"/>
        <v>1742.6399999999999</v>
      </c>
      <c r="AY22" s="62">
        <f t="shared" si="24"/>
        <v>1742.6399999999999</v>
      </c>
      <c r="AZ22" s="62">
        <f t="shared" si="24"/>
        <v>1715.54</v>
      </c>
      <c r="BA22" s="62">
        <f t="shared" si="24"/>
        <v>1720.5400000000002</v>
      </c>
      <c r="BB22" s="62">
        <f t="shared" si="24"/>
        <v>1699.8400000000001</v>
      </c>
      <c r="BC22" s="62">
        <f t="shared" si="24"/>
        <v>153.54</v>
      </c>
      <c r="BD22" s="62">
        <f t="shared" si="24"/>
        <v>0</v>
      </c>
      <c r="BE22" s="62">
        <f t="shared" si="24"/>
        <v>1260.04</v>
      </c>
      <c r="BF22" s="62">
        <f t="shared" si="24"/>
        <v>1612.24</v>
      </c>
      <c r="BG22" s="62">
        <f t="shared" si="24"/>
        <v>1398.84</v>
      </c>
      <c r="BH22" s="62">
        <f t="shared" si="24"/>
        <v>1322.04</v>
      </c>
      <c r="BI22" s="62">
        <f t="shared" si="24"/>
        <v>1221.1399999999999</v>
      </c>
      <c r="BJ22" s="62">
        <f t="shared" si="24"/>
        <v>1270.9399999999998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4.5</v>
      </c>
      <c r="C23" s="46">
        <v>4.5</v>
      </c>
      <c r="D23" s="46">
        <v>4.5</v>
      </c>
      <c r="E23" s="46">
        <v>4.5</v>
      </c>
      <c r="F23" s="46">
        <v>4.5</v>
      </c>
      <c r="G23" s="46">
        <v>4.5</v>
      </c>
      <c r="H23" s="46">
        <v>4.5</v>
      </c>
      <c r="I23" s="46">
        <v>4.5</v>
      </c>
      <c r="J23" s="46">
        <v>4.5</v>
      </c>
      <c r="K23" s="46">
        <v>4.5</v>
      </c>
      <c r="L23" s="46">
        <v>4.5</v>
      </c>
      <c r="M23" s="46">
        <v>4.5</v>
      </c>
      <c r="N23" s="46">
        <v>4.5</v>
      </c>
      <c r="O23" s="46">
        <v>4.5</v>
      </c>
      <c r="P23" s="46">
        <v>4.5</v>
      </c>
      <c r="Q23" s="46">
        <v>4.5</v>
      </c>
      <c r="R23" s="46">
        <v>4.5</v>
      </c>
      <c r="S23" s="46">
        <v>4.5</v>
      </c>
      <c r="T23" s="46">
        <v>4.5</v>
      </c>
      <c r="U23" s="46" t="s">
        <v>295</v>
      </c>
      <c r="V23" s="46" t="s">
        <v>295</v>
      </c>
      <c r="W23" s="46" t="s">
        <v>295</v>
      </c>
      <c r="X23" s="46">
        <v>4.5</v>
      </c>
      <c r="Y23" s="46">
        <v>4.5</v>
      </c>
      <c r="Z23" s="46">
        <v>4.5</v>
      </c>
      <c r="AA23" s="46">
        <v>4.5</v>
      </c>
      <c r="AB23" s="46">
        <v>4.5</v>
      </c>
      <c r="AC23" s="46">
        <v>4.5</v>
      </c>
      <c r="AD23" s="46">
        <v>4.5</v>
      </c>
      <c r="AE23" s="46">
        <v>4.5</v>
      </c>
      <c r="AF23" s="46">
        <v>4.5</v>
      </c>
      <c r="AG23" s="50">
        <v>24.2</v>
      </c>
      <c r="AH23" s="48">
        <f t="shared" si="10"/>
        <v>4.5</v>
      </c>
      <c r="AI23" s="49">
        <f t="shared" si="11"/>
        <v>4.5</v>
      </c>
      <c r="AK23" s="51"/>
      <c r="AL23" s="61" t="s">
        <v>39</v>
      </c>
      <c r="AM23" s="62">
        <f>B107*-1</f>
        <v>0</v>
      </c>
      <c r="AN23" s="62">
        <f t="shared" ref="AN23:AR23" si="25">C107*-1</f>
        <v>0</v>
      </c>
      <c r="AO23" s="62">
        <f t="shared" si="25"/>
        <v>0</v>
      </c>
      <c r="AP23" s="62">
        <f t="shared" si="25"/>
        <v>0</v>
      </c>
      <c r="AQ23" s="62">
        <f t="shared" si="25"/>
        <v>0</v>
      </c>
      <c r="AR23" s="62">
        <f t="shared" si="25"/>
        <v>0</v>
      </c>
      <c r="AS23" s="62">
        <f>I107*-1</f>
        <v>0</v>
      </c>
      <c r="AT23" s="62">
        <f>K107*-1</f>
        <v>0</v>
      </c>
      <c r="AU23" s="62">
        <f t="shared" ref="AU23:BD23" si="26">M107*-1</f>
        <v>0</v>
      </c>
      <c r="AV23" s="62">
        <f t="shared" si="26"/>
        <v>0</v>
      </c>
      <c r="AW23" s="62">
        <f t="shared" si="26"/>
        <v>0</v>
      </c>
      <c r="AX23" s="62">
        <f t="shared" si="26"/>
        <v>0</v>
      </c>
      <c r="AY23" s="62">
        <f t="shared" si="26"/>
        <v>0</v>
      </c>
      <c r="AZ23" s="62">
        <f t="shared" si="26"/>
        <v>0</v>
      </c>
      <c r="BA23" s="62">
        <f t="shared" si="26"/>
        <v>0</v>
      </c>
      <c r="BB23" s="62">
        <f t="shared" si="26"/>
        <v>0</v>
      </c>
      <c r="BC23" s="62">
        <f t="shared" si="26"/>
        <v>0</v>
      </c>
      <c r="BD23" s="62">
        <f t="shared" si="26"/>
        <v>0</v>
      </c>
      <c r="BE23" s="62">
        <f>X107*-1</f>
        <v>0</v>
      </c>
      <c r="BF23" s="62">
        <f>Z107*-1</f>
        <v>0</v>
      </c>
      <c r="BG23" s="62">
        <f>AB107*-1</f>
        <v>0</v>
      </c>
      <c r="BH23" s="62">
        <f>AD107*-1</f>
        <v>0</v>
      </c>
      <c r="BI23" s="62">
        <f t="shared" ref="BI23:BJ23" si="27">AE107*-1</f>
        <v>0</v>
      </c>
      <c r="BJ23" s="62">
        <f t="shared" si="27"/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6</v>
      </c>
      <c r="C24" s="46">
        <v>6</v>
      </c>
      <c r="D24" s="46">
        <v>6</v>
      </c>
      <c r="E24" s="46">
        <v>6</v>
      </c>
      <c r="F24" s="46">
        <v>6</v>
      </c>
      <c r="G24" s="46">
        <v>6</v>
      </c>
      <c r="H24" s="46">
        <v>6</v>
      </c>
      <c r="I24" s="46">
        <v>6</v>
      </c>
      <c r="J24" s="46">
        <v>6</v>
      </c>
      <c r="K24" s="46">
        <v>6</v>
      </c>
      <c r="L24" s="46">
        <v>6</v>
      </c>
      <c r="M24" s="46">
        <v>6</v>
      </c>
      <c r="N24" s="46">
        <v>6</v>
      </c>
      <c r="O24" s="46">
        <v>6</v>
      </c>
      <c r="P24" s="46">
        <v>5.6</v>
      </c>
      <c r="Q24" s="46">
        <v>5.6</v>
      </c>
      <c r="R24" s="46">
        <v>5.6</v>
      </c>
      <c r="S24" s="46">
        <v>5.6</v>
      </c>
      <c r="T24" s="46">
        <v>5.6</v>
      </c>
      <c r="U24" s="46" t="s">
        <v>304</v>
      </c>
      <c r="V24" s="46" t="s">
        <v>304</v>
      </c>
      <c r="W24" s="46" t="s">
        <v>304</v>
      </c>
      <c r="X24" s="46">
        <v>5.6</v>
      </c>
      <c r="Y24" s="46">
        <v>5.6</v>
      </c>
      <c r="Z24" s="46">
        <v>5.6</v>
      </c>
      <c r="AA24" s="46">
        <v>5.6</v>
      </c>
      <c r="AB24" s="46">
        <v>5.6</v>
      </c>
      <c r="AC24" s="46">
        <v>5.6</v>
      </c>
      <c r="AD24" s="46">
        <v>5.6</v>
      </c>
      <c r="AE24" s="46">
        <v>5.6</v>
      </c>
      <c r="AF24" s="46">
        <v>5.6</v>
      </c>
      <c r="AG24" s="50">
        <v>28</v>
      </c>
      <c r="AH24" s="48">
        <f t="shared" si="10"/>
        <v>6</v>
      </c>
      <c r="AI24" s="49">
        <f t="shared" si="11"/>
        <v>5.6</v>
      </c>
      <c r="AK24" s="51"/>
      <c r="AL24" s="61" t="s">
        <v>41</v>
      </c>
      <c r="AM24" s="62">
        <f>AM22+AM23</f>
        <v>1451.34</v>
      </c>
      <c r="AN24" s="62">
        <f t="shared" ref="AN24:BJ24" si="28">AN22+AN23</f>
        <v>1368.34</v>
      </c>
      <c r="AO24" s="62">
        <f t="shared" si="28"/>
        <v>1362.34</v>
      </c>
      <c r="AP24" s="62">
        <f t="shared" si="28"/>
        <v>1354.74</v>
      </c>
      <c r="AQ24" s="62">
        <f t="shared" si="28"/>
        <v>1360.3400000000001</v>
      </c>
      <c r="AR24" s="62">
        <f t="shared" si="28"/>
        <v>1411.14</v>
      </c>
      <c r="AS24" s="62">
        <f t="shared" si="28"/>
        <v>1487.94</v>
      </c>
      <c r="AT24" s="62">
        <f t="shared" si="28"/>
        <v>1615.37</v>
      </c>
      <c r="AU24" s="62">
        <f t="shared" si="28"/>
        <v>1803.34</v>
      </c>
      <c r="AV24" s="62">
        <f t="shared" si="28"/>
        <v>1690.54</v>
      </c>
      <c r="AW24" s="62">
        <f t="shared" si="28"/>
        <v>1716.74</v>
      </c>
      <c r="AX24" s="62">
        <f t="shared" si="28"/>
        <v>1742.6399999999999</v>
      </c>
      <c r="AY24" s="62">
        <f t="shared" si="28"/>
        <v>1742.6399999999999</v>
      </c>
      <c r="AZ24" s="62">
        <f t="shared" si="28"/>
        <v>1715.54</v>
      </c>
      <c r="BA24" s="62">
        <f t="shared" si="28"/>
        <v>1720.5400000000002</v>
      </c>
      <c r="BB24" s="62">
        <f t="shared" si="28"/>
        <v>1699.8400000000001</v>
      </c>
      <c r="BC24" s="62">
        <f t="shared" si="28"/>
        <v>153.54</v>
      </c>
      <c r="BD24" s="62">
        <f t="shared" si="28"/>
        <v>0</v>
      </c>
      <c r="BE24" s="62">
        <f t="shared" si="28"/>
        <v>1260.04</v>
      </c>
      <c r="BF24" s="62">
        <f t="shared" si="28"/>
        <v>1612.24</v>
      </c>
      <c r="BG24" s="62">
        <f t="shared" si="28"/>
        <v>1398.84</v>
      </c>
      <c r="BH24" s="62">
        <f t="shared" si="28"/>
        <v>1322.04</v>
      </c>
      <c r="BI24" s="62">
        <f t="shared" si="28"/>
        <v>1221.1399999999999</v>
      </c>
      <c r="BJ24" s="62">
        <f t="shared" si="28"/>
        <v>1270.9399999999998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6.7</v>
      </c>
      <c r="C25" s="46">
        <v>6.7</v>
      </c>
      <c r="D25" s="46">
        <v>6.7</v>
      </c>
      <c r="E25" s="46">
        <v>6.7</v>
      </c>
      <c r="F25" s="46">
        <v>6.7</v>
      </c>
      <c r="G25" s="46">
        <v>6.7</v>
      </c>
      <c r="H25" s="46">
        <v>6.7</v>
      </c>
      <c r="I25" s="46">
        <v>6.7</v>
      </c>
      <c r="J25" s="46">
        <v>6.7</v>
      </c>
      <c r="K25" s="46">
        <v>6.7</v>
      </c>
      <c r="L25" s="46">
        <v>6.7</v>
      </c>
      <c r="M25" s="46">
        <v>6.7</v>
      </c>
      <c r="N25" s="46">
        <v>6.7</v>
      </c>
      <c r="O25" s="46">
        <v>6.7</v>
      </c>
      <c r="P25" s="46">
        <v>5.3</v>
      </c>
      <c r="Q25" s="46">
        <v>5.3</v>
      </c>
      <c r="R25" s="46">
        <v>5.3</v>
      </c>
      <c r="S25" s="46">
        <v>5.3</v>
      </c>
      <c r="T25" s="46">
        <v>5.3</v>
      </c>
      <c r="U25" s="46" t="s">
        <v>298</v>
      </c>
      <c r="V25" s="46" t="s">
        <v>298</v>
      </c>
      <c r="W25" s="46" t="s">
        <v>298</v>
      </c>
      <c r="X25" s="46">
        <v>5.3</v>
      </c>
      <c r="Y25" s="46">
        <v>5.3</v>
      </c>
      <c r="Z25" s="46">
        <v>5.3</v>
      </c>
      <c r="AA25" s="46">
        <v>5.3</v>
      </c>
      <c r="AB25" s="46">
        <v>5.3</v>
      </c>
      <c r="AC25" s="46">
        <v>5.3</v>
      </c>
      <c r="AD25" s="46">
        <v>5.3</v>
      </c>
      <c r="AE25" s="46">
        <v>5.3</v>
      </c>
      <c r="AF25" s="46">
        <v>5.3</v>
      </c>
      <c r="AG25" s="60">
        <v>30</v>
      </c>
      <c r="AH25" s="48">
        <f t="shared" si="10"/>
        <v>6.7</v>
      </c>
      <c r="AI25" s="49">
        <f t="shared" si="11"/>
        <v>5.3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1.5</v>
      </c>
      <c r="C26" s="46">
        <v>1.5</v>
      </c>
      <c r="D26" s="46">
        <v>1.5</v>
      </c>
      <c r="E26" s="46">
        <v>1.5</v>
      </c>
      <c r="F26" s="46">
        <v>1.5</v>
      </c>
      <c r="G26" s="46">
        <v>1.5</v>
      </c>
      <c r="H26" s="46">
        <v>1.5</v>
      </c>
      <c r="I26" s="46">
        <v>1.5</v>
      </c>
      <c r="J26" s="46">
        <v>1.5</v>
      </c>
      <c r="K26" s="46">
        <v>1.5</v>
      </c>
      <c r="L26" s="46">
        <v>1.5</v>
      </c>
      <c r="M26" s="46">
        <v>8.4</v>
      </c>
      <c r="N26" s="46">
        <v>8.4</v>
      </c>
      <c r="O26" s="46">
        <v>8.4</v>
      </c>
      <c r="P26" s="46">
        <v>8.4</v>
      </c>
      <c r="Q26" s="46">
        <v>8.4</v>
      </c>
      <c r="R26" s="46">
        <v>8.4</v>
      </c>
      <c r="S26" s="46">
        <v>8.4</v>
      </c>
      <c r="T26" s="46">
        <v>8.4</v>
      </c>
      <c r="U26" s="46"/>
      <c r="V26" s="46"/>
      <c r="W26" s="46"/>
      <c r="X26" s="46">
        <v>8.4</v>
      </c>
      <c r="Y26" s="46">
        <v>8.4</v>
      </c>
      <c r="Z26" s="46">
        <v>8.4</v>
      </c>
      <c r="AA26" s="46">
        <v>8.4</v>
      </c>
      <c r="AB26" s="46">
        <v>8.4</v>
      </c>
      <c r="AC26" s="46">
        <v>8.4</v>
      </c>
      <c r="AD26" s="46">
        <v>8.4</v>
      </c>
      <c r="AE26" s="46">
        <v>8.4</v>
      </c>
      <c r="AF26" s="46">
        <v>8.4</v>
      </c>
      <c r="AG26" s="50">
        <v>25</v>
      </c>
      <c r="AH26" s="48">
        <f t="shared" si="10"/>
        <v>8.4</v>
      </c>
      <c r="AI26" s="49">
        <f t="shared" si="11"/>
        <v>1.5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5</v>
      </c>
      <c r="N27" s="46">
        <v>5</v>
      </c>
      <c r="O27" s="46">
        <v>5</v>
      </c>
      <c r="P27" s="46">
        <v>5</v>
      </c>
      <c r="Q27" s="46">
        <v>5</v>
      </c>
      <c r="R27" s="46">
        <v>5</v>
      </c>
      <c r="S27" s="46">
        <v>5</v>
      </c>
      <c r="T27" s="46">
        <v>5</v>
      </c>
      <c r="U27" s="46"/>
      <c r="V27" s="46"/>
      <c r="W27" s="46"/>
      <c r="X27" s="46">
        <v>5</v>
      </c>
      <c r="Y27" s="46">
        <v>5</v>
      </c>
      <c r="Z27" s="46">
        <v>5</v>
      </c>
      <c r="AA27" s="46">
        <v>5</v>
      </c>
      <c r="AB27" s="46">
        <v>5</v>
      </c>
      <c r="AC27" s="46">
        <v>5</v>
      </c>
      <c r="AD27" s="46">
        <v>5</v>
      </c>
      <c r="AE27" s="46">
        <v>5</v>
      </c>
      <c r="AF27" s="46">
        <v>5</v>
      </c>
      <c r="AG27" s="50">
        <v>25</v>
      </c>
      <c r="AH27" s="48">
        <f t="shared" si="10"/>
        <v>5</v>
      </c>
      <c r="AI27" s="49">
        <f t="shared" si="11"/>
        <v>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6</v>
      </c>
      <c r="C28" s="46">
        <v>6</v>
      </c>
      <c r="D28" s="46">
        <v>6</v>
      </c>
      <c r="E28" s="46">
        <v>6</v>
      </c>
      <c r="F28" s="46">
        <v>6</v>
      </c>
      <c r="G28" s="46">
        <v>6</v>
      </c>
      <c r="H28" s="46">
        <v>6</v>
      </c>
      <c r="I28" s="46">
        <v>6</v>
      </c>
      <c r="J28" s="46">
        <v>6</v>
      </c>
      <c r="K28" s="46">
        <v>6</v>
      </c>
      <c r="L28" s="46">
        <v>6</v>
      </c>
      <c r="M28" s="46">
        <v>6</v>
      </c>
      <c r="N28" s="46">
        <v>6</v>
      </c>
      <c r="O28" s="46">
        <v>6</v>
      </c>
      <c r="P28" s="46">
        <v>6</v>
      </c>
      <c r="Q28" s="46">
        <v>6</v>
      </c>
      <c r="R28" s="46">
        <v>6</v>
      </c>
      <c r="S28" s="46">
        <v>6</v>
      </c>
      <c r="T28" s="46">
        <v>6</v>
      </c>
      <c r="U28" s="46"/>
      <c r="V28" s="46"/>
      <c r="W28" s="46"/>
      <c r="X28" s="46">
        <v>6</v>
      </c>
      <c r="Y28" s="46">
        <v>6</v>
      </c>
      <c r="Z28" s="46">
        <v>6</v>
      </c>
      <c r="AA28" s="46">
        <v>6</v>
      </c>
      <c r="AB28" s="46">
        <v>6</v>
      </c>
      <c r="AC28" s="46">
        <v>6</v>
      </c>
      <c r="AD28" s="46">
        <v>6</v>
      </c>
      <c r="AE28" s="46">
        <v>6</v>
      </c>
      <c r="AF28" s="46">
        <v>6</v>
      </c>
      <c r="AG28" s="50">
        <v>25</v>
      </c>
      <c r="AH28" s="48">
        <f t="shared" si="10"/>
        <v>6</v>
      </c>
      <c r="AI28" s="49">
        <f t="shared" si="11"/>
        <v>6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8</v>
      </c>
      <c r="C29" s="46">
        <v>8</v>
      </c>
      <c r="D29" s="46">
        <v>8</v>
      </c>
      <c r="E29" s="46">
        <v>8</v>
      </c>
      <c r="F29" s="46">
        <v>8</v>
      </c>
      <c r="G29" s="46">
        <v>8</v>
      </c>
      <c r="H29" s="46">
        <v>8</v>
      </c>
      <c r="I29" s="46">
        <v>8</v>
      </c>
      <c r="J29" s="46">
        <v>8</v>
      </c>
      <c r="K29" s="46">
        <v>8</v>
      </c>
      <c r="L29" s="46">
        <v>8</v>
      </c>
      <c r="M29" s="46">
        <v>8</v>
      </c>
      <c r="N29" s="46">
        <v>8</v>
      </c>
      <c r="O29" s="46">
        <v>8</v>
      </c>
      <c r="P29" s="46">
        <v>7.2</v>
      </c>
      <c r="Q29" s="46">
        <v>7.2</v>
      </c>
      <c r="R29" s="46">
        <v>7.2</v>
      </c>
      <c r="S29" s="46">
        <v>7.2</v>
      </c>
      <c r="T29" s="46">
        <v>7.2</v>
      </c>
      <c r="U29" s="46"/>
      <c r="V29" s="46"/>
      <c r="W29" s="46"/>
      <c r="X29" s="46">
        <v>7.2</v>
      </c>
      <c r="Y29" s="46">
        <v>7.2</v>
      </c>
      <c r="Z29" s="46">
        <v>7.2</v>
      </c>
      <c r="AA29" s="46">
        <v>7.2</v>
      </c>
      <c r="AB29" s="46">
        <v>7.2</v>
      </c>
      <c r="AC29" s="46">
        <v>7.2</v>
      </c>
      <c r="AD29" s="46">
        <v>7.2</v>
      </c>
      <c r="AE29" s="46">
        <v>7.2</v>
      </c>
      <c r="AF29" s="46">
        <v>7.2</v>
      </c>
      <c r="AG29" s="50">
        <v>25</v>
      </c>
      <c r="AH29" s="48">
        <f t="shared" si="10"/>
        <v>8</v>
      </c>
      <c r="AI29" s="49">
        <f t="shared" si="11"/>
        <v>7.2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5.0999999999999996</v>
      </c>
      <c r="C30" s="46">
        <v>5.0999999999999996</v>
      </c>
      <c r="D30" s="46">
        <v>5.0999999999999996</v>
      </c>
      <c r="E30" s="46">
        <v>5.0999999999999996</v>
      </c>
      <c r="F30" s="46">
        <v>5.0999999999999996</v>
      </c>
      <c r="G30" s="46">
        <v>5.0999999999999996</v>
      </c>
      <c r="H30" s="46">
        <v>5.0999999999999996</v>
      </c>
      <c r="I30" s="46">
        <v>5.0999999999999996</v>
      </c>
      <c r="J30" s="46">
        <v>5.0999999999999996</v>
      </c>
      <c r="K30" s="46">
        <v>5.0999999999999996</v>
      </c>
      <c r="L30" s="46">
        <v>5.0999999999999996</v>
      </c>
      <c r="M30" s="46">
        <v>5.0999999999999996</v>
      </c>
      <c r="N30" s="46">
        <v>5.0999999999999996</v>
      </c>
      <c r="O30" s="46">
        <v>5.0999999999999996</v>
      </c>
      <c r="P30" s="46">
        <v>6.5</v>
      </c>
      <c r="Q30" s="46">
        <v>6.5</v>
      </c>
      <c r="R30" s="46">
        <v>6.5</v>
      </c>
      <c r="S30" s="46">
        <v>6.5</v>
      </c>
      <c r="T30" s="46">
        <v>6.5</v>
      </c>
      <c r="U30" s="46"/>
      <c r="V30" s="46"/>
      <c r="W30" s="46"/>
      <c r="X30" s="46">
        <v>6.5</v>
      </c>
      <c r="Y30" s="46">
        <v>6.5</v>
      </c>
      <c r="Z30" s="46">
        <v>6.5</v>
      </c>
      <c r="AA30" s="46">
        <v>6.5</v>
      </c>
      <c r="AB30" s="46">
        <v>6.5</v>
      </c>
      <c r="AC30" s="46">
        <v>6.5</v>
      </c>
      <c r="AD30" s="46">
        <v>6.5</v>
      </c>
      <c r="AE30" s="46">
        <v>6.5</v>
      </c>
      <c r="AF30" s="46">
        <v>6.5</v>
      </c>
      <c r="AG30" s="50">
        <v>23.5</v>
      </c>
      <c r="AH30" s="48">
        <f t="shared" si="10"/>
        <v>6.5</v>
      </c>
      <c r="AI30" s="49">
        <f t="shared" si="11"/>
        <v>5.0999999999999996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/>
      <c r="V31" s="46"/>
      <c r="W31" s="46"/>
      <c r="X31" s="46">
        <v>3</v>
      </c>
      <c r="Y31" s="46">
        <v>3</v>
      </c>
      <c r="Z31" s="46">
        <v>3</v>
      </c>
      <c r="AA31" s="46">
        <v>3</v>
      </c>
      <c r="AB31" s="46">
        <v>3</v>
      </c>
      <c r="AC31" s="46">
        <v>3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10"/>
        <v>3</v>
      </c>
      <c r="AI31" s="49">
        <f t="shared" si="11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5.5</v>
      </c>
      <c r="Q32" s="46">
        <v>5.5</v>
      </c>
      <c r="R32" s="46">
        <v>5.5</v>
      </c>
      <c r="S32" s="46">
        <v>5.5</v>
      </c>
      <c r="T32" s="46">
        <v>5.5</v>
      </c>
      <c r="U32" s="46"/>
      <c r="V32" s="46"/>
      <c r="W32" s="46"/>
      <c r="X32" s="46">
        <v>5.5</v>
      </c>
      <c r="Y32" s="46">
        <v>5.5</v>
      </c>
      <c r="Z32" s="46">
        <v>5.5</v>
      </c>
      <c r="AA32" s="46">
        <v>5.5</v>
      </c>
      <c r="AB32" s="46">
        <v>5.5</v>
      </c>
      <c r="AC32" s="46">
        <v>5.5</v>
      </c>
      <c r="AD32" s="46">
        <v>5.5</v>
      </c>
      <c r="AE32" s="46">
        <v>5.5</v>
      </c>
      <c r="AF32" s="46">
        <v>5.5</v>
      </c>
      <c r="AG32" s="50">
        <v>22.1</v>
      </c>
      <c r="AH32" s="48">
        <f t="shared" si="10"/>
        <v>5.5</v>
      </c>
      <c r="AI32" s="49">
        <f t="shared" si="11"/>
        <v>5.5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5</v>
      </c>
      <c r="C33" s="46">
        <v>5</v>
      </c>
      <c r="D33" s="46">
        <v>5</v>
      </c>
      <c r="E33" s="46">
        <v>5</v>
      </c>
      <c r="F33" s="46">
        <v>5</v>
      </c>
      <c r="G33" s="46">
        <v>5</v>
      </c>
      <c r="H33" s="46">
        <v>5</v>
      </c>
      <c r="I33" s="46">
        <v>5</v>
      </c>
      <c r="J33" s="46">
        <v>5</v>
      </c>
      <c r="K33" s="46">
        <v>5</v>
      </c>
      <c r="L33" s="46">
        <v>5</v>
      </c>
      <c r="M33" s="46">
        <v>5</v>
      </c>
      <c r="N33" s="46">
        <v>5</v>
      </c>
      <c r="O33" s="46">
        <v>5</v>
      </c>
      <c r="P33" s="46">
        <v>5</v>
      </c>
      <c r="Q33" s="46">
        <v>5</v>
      </c>
      <c r="R33" s="46">
        <v>5</v>
      </c>
      <c r="S33" s="46">
        <v>5</v>
      </c>
      <c r="T33" s="46">
        <v>5</v>
      </c>
      <c r="U33" s="46"/>
      <c r="V33" s="46"/>
      <c r="W33" s="46"/>
      <c r="X33" s="46">
        <v>5</v>
      </c>
      <c r="Y33" s="46">
        <v>5</v>
      </c>
      <c r="Z33" s="46">
        <v>5</v>
      </c>
      <c r="AA33" s="46">
        <v>5</v>
      </c>
      <c r="AB33" s="46">
        <v>5</v>
      </c>
      <c r="AC33" s="46">
        <v>5</v>
      </c>
      <c r="AD33" s="46">
        <v>5</v>
      </c>
      <c r="AE33" s="46">
        <v>5</v>
      </c>
      <c r="AF33" s="46">
        <v>5</v>
      </c>
      <c r="AG33" s="50">
        <v>22</v>
      </c>
      <c r="AH33" s="48">
        <f t="shared" si="10"/>
        <v>5</v>
      </c>
      <c r="AI33" s="49">
        <f t="shared" si="11"/>
        <v>5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8.4</v>
      </c>
      <c r="C34" s="46">
        <v>8.4</v>
      </c>
      <c r="D34" s="46">
        <v>8.4</v>
      </c>
      <c r="E34" s="46">
        <v>8.4</v>
      </c>
      <c r="F34" s="46">
        <v>8.4</v>
      </c>
      <c r="G34" s="46">
        <v>8.4</v>
      </c>
      <c r="H34" s="46">
        <v>8.4</v>
      </c>
      <c r="I34" s="46">
        <v>8.4</v>
      </c>
      <c r="J34" s="46">
        <v>8.4</v>
      </c>
      <c r="K34" s="46">
        <v>8.4</v>
      </c>
      <c r="L34" s="46">
        <v>8.4</v>
      </c>
      <c r="M34" s="46">
        <v>8.4</v>
      </c>
      <c r="N34" s="46">
        <v>8.4</v>
      </c>
      <c r="O34" s="46">
        <v>8.4</v>
      </c>
      <c r="P34" s="46">
        <v>4.2</v>
      </c>
      <c r="Q34" s="46">
        <v>4.2</v>
      </c>
      <c r="R34" s="46">
        <v>4.2</v>
      </c>
      <c r="S34" s="46">
        <v>4.2</v>
      </c>
      <c r="T34" s="46">
        <v>4.2</v>
      </c>
      <c r="U34" s="46"/>
      <c r="V34" s="46"/>
      <c r="W34" s="46"/>
      <c r="X34" s="46">
        <v>4.2</v>
      </c>
      <c r="Y34" s="46">
        <v>4.2</v>
      </c>
      <c r="Z34" s="46">
        <v>4.2</v>
      </c>
      <c r="AA34" s="46">
        <v>4.2</v>
      </c>
      <c r="AB34" s="46">
        <v>4.2</v>
      </c>
      <c r="AC34" s="46">
        <v>4.2</v>
      </c>
      <c r="AD34" s="46">
        <v>4.2</v>
      </c>
      <c r="AE34" s="46">
        <v>4.2</v>
      </c>
      <c r="AF34" s="46">
        <v>4.2</v>
      </c>
      <c r="AG34" s="50">
        <v>22</v>
      </c>
      <c r="AH34" s="48">
        <f t="shared" si="10"/>
        <v>8.4</v>
      </c>
      <c r="AI34" s="49">
        <f t="shared" si="11"/>
        <v>4.2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/>
      <c r="V35" s="46"/>
      <c r="W35" s="46"/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10"/>
        <v>4</v>
      </c>
      <c r="AI35" s="49">
        <f t="shared" si="11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/>
      <c r="V36" s="46"/>
      <c r="W36" s="46"/>
      <c r="X36" s="46">
        <v>4</v>
      </c>
      <c r="Y36" s="46">
        <v>4</v>
      </c>
      <c r="Z36" s="46">
        <v>4</v>
      </c>
      <c r="AA36" s="46">
        <v>4</v>
      </c>
      <c r="AB36" s="46">
        <v>4</v>
      </c>
      <c r="AC36" s="46">
        <v>4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10"/>
        <v>4</v>
      </c>
      <c r="AI36" s="49">
        <f t="shared" si="11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/>
      <c r="V37" s="46"/>
      <c r="W37" s="46"/>
      <c r="X37" s="46">
        <v>5.7</v>
      </c>
      <c r="Y37" s="46">
        <v>5.7</v>
      </c>
      <c r="Z37" s="46">
        <v>5.7</v>
      </c>
      <c r="AA37" s="46">
        <v>5.7</v>
      </c>
      <c r="AB37" s="46">
        <v>5.7</v>
      </c>
      <c r="AC37" s="46">
        <v>5.7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10"/>
        <v>5.7</v>
      </c>
      <c r="AI37" s="49">
        <f t="shared" si="11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7.2</v>
      </c>
      <c r="Q38" s="46">
        <v>7.2</v>
      </c>
      <c r="R38" s="46">
        <v>7.2</v>
      </c>
      <c r="S38" s="46">
        <v>7.2</v>
      </c>
      <c r="T38" s="46">
        <v>7.2</v>
      </c>
      <c r="U38" s="46"/>
      <c r="V38" s="46"/>
      <c r="W38" s="46"/>
      <c r="X38" s="46">
        <v>7.2</v>
      </c>
      <c r="Y38" s="46">
        <v>7.2</v>
      </c>
      <c r="Z38" s="46">
        <v>7.2</v>
      </c>
      <c r="AA38" s="46">
        <v>7.2</v>
      </c>
      <c r="AB38" s="46">
        <v>7.2</v>
      </c>
      <c r="AC38" s="46">
        <v>7.2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10"/>
        <v>7.2</v>
      </c>
      <c r="AI38" s="49">
        <f t="shared" si="11"/>
        <v>7.2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/>
      <c r="V39" s="46"/>
      <c r="W39" s="46"/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10"/>
        <v>0</v>
      </c>
      <c r="AI39" s="49">
        <f t="shared" si="11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8</v>
      </c>
      <c r="C40" s="46">
        <v>8</v>
      </c>
      <c r="D40" s="46">
        <v>8</v>
      </c>
      <c r="E40" s="46">
        <v>8</v>
      </c>
      <c r="F40" s="46">
        <v>8</v>
      </c>
      <c r="G40" s="46">
        <v>8</v>
      </c>
      <c r="H40" s="46">
        <v>8</v>
      </c>
      <c r="I40" s="46">
        <v>8</v>
      </c>
      <c r="J40" s="46">
        <v>8</v>
      </c>
      <c r="K40" s="46">
        <v>8</v>
      </c>
      <c r="L40" s="46">
        <v>8</v>
      </c>
      <c r="M40" s="46">
        <v>8</v>
      </c>
      <c r="N40" s="46">
        <v>8</v>
      </c>
      <c r="O40" s="46">
        <v>8</v>
      </c>
      <c r="P40" s="46">
        <v>8</v>
      </c>
      <c r="Q40" s="46">
        <v>8</v>
      </c>
      <c r="R40" s="46">
        <v>8</v>
      </c>
      <c r="S40" s="46">
        <v>8</v>
      </c>
      <c r="T40" s="46">
        <v>8</v>
      </c>
      <c r="U40" s="46"/>
      <c r="V40" s="46"/>
      <c r="W40" s="46"/>
      <c r="X40" s="46">
        <v>8</v>
      </c>
      <c r="Y40" s="46">
        <v>8</v>
      </c>
      <c r="Z40" s="46">
        <v>8</v>
      </c>
      <c r="AA40" s="46">
        <v>8</v>
      </c>
      <c r="AB40" s="46">
        <v>8</v>
      </c>
      <c r="AC40" s="46">
        <v>8</v>
      </c>
      <c r="AD40" s="46">
        <v>8</v>
      </c>
      <c r="AE40" s="46">
        <v>8</v>
      </c>
      <c r="AF40" s="46">
        <v>8</v>
      </c>
      <c r="AG40" s="50">
        <v>14.9</v>
      </c>
      <c r="AH40" s="48">
        <f t="shared" si="10"/>
        <v>8</v>
      </c>
      <c r="AI40" s="49">
        <f t="shared" si="11"/>
        <v>8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/>
      <c r="V41" s="46"/>
      <c r="W41" s="46"/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10"/>
        <v>4</v>
      </c>
      <c r="AI41" s="49">
        <f t="shared" si="11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/>
      <c r="V42" s="46"/>
      <c r="W42" s="46"/>
      <c r="X42" s="46">
        <v>1.8</v>
      </c>
      <c r="Y42" s="46">
        <v>1.8</v>
      </c>
      <c r="Z42" s="46">
        <v>1.8</v>
      </c>
      <c r="AA42" s="46">
        <v>1.8</v>
      </c>
      <c r="AB42" s="46">
        <v>1.8</v>
      </c>
      <c r="AC42" s="46">
        <v>1.8</v>
      </c>
      <c r="AD42" s="46">
        <v>1.8</v>
      </c>
      <c r="AE42" s="46">
        <v>1.8</v>
      </c>
      <c r="AF42" s="46">
        <v>1.8</v>
      </c>
      <c r="AG42" s="50">
        <v>13.6</v>
      </c>
      <c r="AH42" s="48">
        <f t="shared" si="10"/>
        <v>1.8</v>
      </c>
      <c r="AI42" s="49">
        <f t="shared" si="11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/>
      <c r="V43" s="46"/>
      <c r="W43" s="46"/>
      <c r="X43" s="46">
        <v>3.8</v>
      </c>
      <c r="Y43" s="46">
        <v>3.8</v>
      </c>
      <c r="Z43" s="46">
        <v>3.8</v>
      </c>
      <c r="AA43" s="46">
        <v>3.8</v>
      </c>
      <c r="AB43" s="46">
        <v>3.8</v>
      </c>
      <c r="AC43" s="46">
        <v>3.8</v>
      </c>
      <c r="AD43" s="46">
        <v>3.8</v>
      </c>
      <c r="AE43" s="46">
        <v>3.8</v>
      </c>
      <c r="AF43" s="46">
        <v>3.8</v>
      </c>
      <c r="AG43" s="50">
        <v>13</v>
      </c>
      <c r="AH43" s="48">
        <f t="shared" si="10"/>
        <v>3.8</v>
      </c>
      <c r="AI43" s="49">
        <f t="shared" si="11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6.4</v>
      </c>
      <c r="C44" s="46">
        <v>6.4</v>
      </c>
      <c r="D44" s="46">
        <v>6.4</v>
      </c>
      <c r="E44" s="46">
        <v>6.4</v>
      </c>
      <c r="F44" s="46">
        <v>6.4</v>
      </c>
      <c r="G44" s="46">
        <v>6.4</v>
      </c>
      <c r="H44" s="46">
        <v>6.4</v>
      </c>
      <c r="I44" s="46">
        <v>6.4</v>
      </c>
      <c r="J44" s="46">
        <v>6.4</v>
      </c>
      <c r="K44" s="46">
        <v>6.4</v>
      </c>
      <c r="L44" s="46">
        <v>6.4</v>
      </c>
      <c r="M44" s="46">
        <v>6.4</v>
      </c>
      <c r="N44" s="46">
        <v>6.4</v>
      </c>
      <c r="O44" s="46">
        <v>6.4</v>
      </c>
      <c r="P44" s="46">
        <v>6.4</v>
      </c>
      <c r="Q44" s="46">
        <v>6.4</v>
      </c>
      <c r="R44" s="46">
        <v>6.4</v>
      </c>
      <c r="S44" s="46">
        <v>6.4</v>
      </c>
      <c r="T44" s="46">
        <v>6.4</v>
      </c>
      <c r="U44" s="46"/>
      <c r="V44" s="46"/>
      <c r="W44" s="46"/>
      <c r="X44" s="46">
        <v>6.4</v>
      </c>
      <c r="Y44" s="46">
        <v>6.4</v>
      </c>
      <c r="Z44" s="46">
        <v>6.4</v>
      </c>
      <c r="AA44" s="46">
        <v>6.4</v>
      </c>
      <c r="AB44" s="46">
        <v>6.4</v>
      </c>
      <c r="AC44" s="46">
        <v>6.4</v>
      </c>
      <c r="AD44" s="46">
        <v>6.4</v>
      </c>
      <c r="AE44" s="46">
        <v>6.4</v>
      </c>
      <c r="AF44" s="46">
        <v>6.4</v>
      </c>
      <c r="AG44" s="50">
        <v>12</v>
      </c>
      <c r="AH44" s="48">
        <f t="shared" si="10"/>
        <v>6.4</v>
      </c>
      <c r="AI44" s="49">
        <f t="shared" si="11"/>
        <v>6.4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/>
      <c r="V45" s="46"/>
      <c r="W45" s="46"/>
      <c r="X45" s="46">
        <v>9</v>
      </c>
      <c r="Y45" s="46">
        <v>9</v>
      </c>
      <c r="Z45" s="46">
        <v>9</v>
      </c>
      <c r="AA45" s="46">
        <v>9</v>
      </c>
      <c r="AB45" s="46">
        <v>9</v>
      </c>
      <c r="AC45" s="46">
        <v>9</v>
      </c>
      <c r="AD45" s="46">
        <v>9</v>
      </c>
      <c r="AE45" s="46">
        <v>9</v>
      </c>
      <c r="AF45" s="46">
        <v>9</v>
      </c>
      <c r="AG45" s="50">
        <v>12</v>
      </c>
      <c r="AH45" s="48">
        <f t="shared" si="10"/>
        <v>9</v>
      </c>
      <c r="AI45" s="49">
        <f t="shared" si="11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/>
      <c r="V46" s="46"/>
      <c r="W46" s="46"/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10"/>
        <v>3</v>
      </c>
      <c r="AI46" s="49">
        <f t="shared" si="11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/>
      <c r="V47" s="46"/>
      <c r="W47" s="46"/>
      <c r="X47" s="46">
        <v>3.5</v>
      </c>
      <c r="Y47" s="46">
        <v>3.5</v>
      </c>
      <c r="Z47" s="46">
        <v>3.5</v>
      </c>
      <c r="AA47" s="46">
        <v>3.5</v>
      </c>
      <c r="AB47" s="46">
        <v>3.5</v>
      </c>
      <c r="AC47" s="46">
        <v>3.5</v>
      </c>
      <c r="AD47" s="46">
        <v>3.5</v>
      </c>
      <c r="AE47" s="46">
        <v>3.5</v>
      </c>
      <c r="AF47" s="46">
        <v>3.5</v>
      </c>
      <c r="AG47" s="63">
        <v>22</v>
      </c>
      <c r="AH47" s="48">
        <f t="shared" si="10"/>
        <v>3.5</v>
      </c>
      <c r="AI47" s="49">
        <f t="shared" si="11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/>
      <c r="V48" s="46"/>
      <c r="W48" s="46"/>
      <c r="X48" s="46">
        <v>5</v>
      </c>
      <c r="Y48" s="46">
        <v>5</v>
      </c>
      <c r="Z48" s="46">
        <v>5</v>
      </c>
      <c r="AA48" s="46">
        <v>5</v>
      </c>
      <c r="AB48" s="46">
        <v>5</v>
      </c>
      <c r="AC48" s="46">
        <v>5</v>
      </c>
      <c r="AD48" s="46">
        <v>5</v>
      </c>
      <c r="AE48" s="46">
        <v>5</v>
      </c>
      <c r="AF48" s="46">
        <v>5</v>
      </c>
      <c r="AG48" s="60">
        <v>11.88</v>
      </c>
      <c r="AH48" s="48">
        <f t="shared" si="10"/>
        <v>5</v>
      </c>
      <c r="AI48" s="49">
        <f t="shared" si="11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/>
      <c r="V49" s="46"/>
      <c r="W49" s="46"/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5">
        <v>11</v>
      </c>
      <c r="AH49" s="48">
        <f t="shared" si="10"/>
        <v>3</v>
      </c>
      <c r="AI49" s="49">
        <f t="shared" si="11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4" t="s">
        <v>67</v>
      </c>
      <c r="B50" s="46">
        <v>2.5</v>
      </c>
      <c r="C50" s="46">
        <v>2.5</v>
      </c>
      <c r="D50" s="46">
        <v>2.5</v>
      </c>
      <c r="E50" s="46">
        <v>2.5</v>
      </c>
      <c r="F50" s="46">
        <v>2.5</v>
      </c>
      <c r="G50" s="46">
        <v>2.5</v>
      </c>
      <c r="H50" s="46">
        <v>2.5</v>
      </c>
      <c r="I50" s="46">
        <v>2.5</v>
      </c>
      <c r="J50" s="46">
        <v>2.5</v>
      </c>
      <c r="K50" s="46">
        <v>2.5</v>
      </c>
      <c r="L50" s="46">
        <v>2.5</v>
      </c>
      <c r="M50" s="46">
        <v>2.5</v>
      </c>
      <c r="N50" s="46">
        <v>2.5</v>
      </c>
      <c r="O50" s="46">
        <v>2.5</v>
      </c>
      <c r="P50" s="46">
        <v>2.5</v>
      </c>
      <c r="Q50" s="46">
        <v>2.5</v>
      </c>
      <c r="R50" s="46">
        <v>2.5</v>
      </c>
      <c r="S50" s="46">
        <v>2.5</v>
      </c>
      <c r="T50" s="46">
        <v>2.5</v>
      </c>
      <c r="U50" s="46"/>
      <c r="V50" s="46"/>
      <c r="W50" s="46"/>
      <c r="X50" s="46">
        <v>2.5</v>
      </c>
      <c r="Y50" s="46">
        <v>2.5</v>
      </c>
      <c r="Z50" s="46">
        <v>2.5</v>
      </c>
      <c r="AA50" s="46">
        <v>2.5</v>
      </c>
      <c r="AB50" s="46">
        <v>2.5</v>
      </c>
      <c r="AC50" s="46">
        <v>2.5</v>
      </c>
      <c r="AD50" s="46">
        <v>2.5</v>
      </c>
      <c r="AE50" s="46">
        <v>2.5</v>
      </c>
      <c r="AF50" s="46">
        <v>2.5</v>
      </c>
      <c r="AG50" s="65">
        <v>11</v>
      </c>
      <c r="AH50" s="48">
        <f t="shared" si="10"/>
        <v>2.5</v>
      </c>
      <c r="AI50" s="49">
        <f t="shared" si="11"/>
        <v>2.5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/>
      <c r="V51" s="46"/>
      <c r="W51" s="46"/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65">
        <v>11</v>
      </c>
      <c r="AH51" s="48">
        <f t="shared" si="10"/>
        <v>3</v>
      </c>
      <c r="AI51" s="49">
        <f t="shared" si="11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/>
      <c r="V52" s="46"/>
      <c r="W52" s="46"/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5">
        <v>10</v>
      </c>
      <c r="AH52" s="48">
        <f t="shared" si="10"/>
        <v>4</v>
      </c>
      <c r="AI52" s="49">
        <f t="shared" si="11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/>
      <c r="V53" s="46"/>
      <c r="W53" s="46"/>
      <c r="X53" s="46">
        <v>4.5</v>
      </c>
      <c r="Y53" s="46">
        <v>4.5</v>
      </c>
      <c r="Z53" s="46">
        <v>4.5</v>
      </c>
      <c r="AA53" s="46">
        <v>4.5</v>
      </c>
      <c r="AB53" s="46">
        <v>4.5</v>
      </c>
      <c r="AC53" s="46">
        <v>4.5</v>
      </c>
      <c r="AD53" s="46">
        <v>4.5</v>
      </c>
      <c r="AE53" s="46">
        <v>4.5</v>
      </c>
      <c r="AF53" s="46">
        <v>4.5</v>
      </c>
      <c r="AG53" s="65">
        <v>10</v>
      </c>
      <c r="AH53" s="48">
        <f t="shared" si="10"/>
        <v>4.5</v>
      </c>
      <c r="AI53" s="49">
        <f t="shared" si="11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/>
      <c r="V54" s="46"/>
      <c r="W54" s="46"/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5">
        <v>10</v>
      </c>
      <c r="AH54" s="48">
        <f t="shared" si="10"/>
        <v>0</v>
      </c>
      <c r="AI54" s="49">
        <f t="shared" si="11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/>
      <c r="V55" s="46"/>
      <c r="W55" s="46"/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5">
        <v>10</v>
      </c>
      <c r="AH55" s="48">
        <f t="shared" si="10"/>
        <v>0</v>
      </c>
      <c r="AI55" s="49">
        <f t="shared" si="11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/>
      <c r="W56" s="67">
        <v>150</v>
      </c>
      <c r="X56" s="67">
        <v>150</v>
      </c>
      <c r="Y56" s="67">
        <v>150</v>
      </c>
      <c r="Z56" s="67">
        <v>150</v>
      </c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10"/>
        <v>150</v>
      </c>
      <c r="AI56" s="49">
        <f t="shared" si="11"/>
        <v>150</v>
      </c>
      <c r="AK56" s="51"/>
    </row>
    <row r="57" spans="1:88" ht="15.75" thickBot="1" x14ac:dyDescent="0.3">
      <c r="A57" s="68" t="s">
        <v>74</v>
      </c>
      <c r="B57" s="67">
        <v>23</v>
      </c>
      <c r="C57" s="67">
        <v>23</v>
      </c>
      <c r="D57" s="67">
        <v>23</v>
      </c>
      <c r="E57" s="67">
        <v>23.6</v>
      </c>
      <c r="F57" s="67">
        <v>23</v>
      </c>
      <c r="G57" s="67">
        <v>21</v>
      </c>
      <c r="H57" s="67">
        <v>21</v>
      </c>
      <c r="I57" s="67">
        <v>20.6</v>
      </c>
      <c r="J57" s="67">
        <v>16.5</v>
      </c>
      <c r="K57" s="67">
        <v>22.1</v>
      </c>
      <c r="L57" s="67">
        <v>20.8</v>
      </c>
      <c r="M57" s="67">
        <v>20.8</v>
      </c>
      <c r="N57" s="67">
        <v>20.8</v>
      </c>
      <c r="O57" s="67">
        <v>20.8</v>
      </c>
      <c r="P57" s="67">
        <f>8.7+13.8</f>
        <v>22.5</v>
      </c>
      <c r="Q57" s="67">
        <f t="shared" ref="Q57:T57" si="29">8.7+13.8</f>
        <v>22.5</v>
      </c>
      <c r="R57" s="67">
        <f t="shared" si="29"/>
        <v>22.5</v>
      </c>
      <c r="S57" s="67">
        <f t="shared" si="29"/>
        <v>22.5</v>
      </c>
      <c r="T57" s="67">
        <f t="shared" si="29"/>
        <v>22.5</v>
      </c>
      <c r="U57" s="53"/>
      <c r="V57" s="53"/>
      <c r="W57" s="53"/>
      <c r="X57" s="53">
        <v>23.8</v>
      </c>
      <c r="Y57" s="53">
        <v>23.8</v>
      </c>
      <c r="Z57" s="67">
        <v>0</v>
      </c>
      <c r="AA57" s="67">
        <v>27.8</v>
      </c>
      <c r="AB57" s="67">
        <v>28.5</v>
      </c>
      <c r="AC57" s="67">
        <v>28.5</v>
      </c>
      <c r="AD57" s="67">
        <v>28.5</v>
      </c>
      <c r="AE57" s="67">
        <v>28.5</v>
      </c>
      <c r="AF57" s="67">
        <v>7</v>
      </c>
      <c r="AG57" s="65">
        <v>240</v>
      </c>
      <c r="AH57" s="48">
        <f t="shared" si="10"/>
        <v>28.5</v>
      </c>
      <c r="AI57" s="49">
        <f t="shared" si="11"/>
        <v>0</v>
      </c>
      <c r="AK57" s="51"/>
    </row>
    <row r="58" spans="1:88" ht="15.75" thickBot="1" x14ac:dyDescent="0.3">
      <c r="A58" s="69" t="s">
        <v>75</v>
      </c>
      <c r="B58" s="70">
        <f t="shared" ref="B58:C58" si="30">SUM(B11:B56)</f>
        <v>449</v>
      </c>
      <c r="C58" s="70">
        <f t="shared" si="30"/>
        <v>449</v>
      </c>
      <c r="D58" s="70">
        <f t="shared" ref="D58" si="31">SUM(D11:D56)</f>
        <v>449</v>
      </c>
      <c r="E58" s="70">
        <f t="shared" ref="E58:AF58" si="32">SUM(E11:E56)</f>
        <v>449</v>
      </c>
      <c r="F58" s="70">
        <f t="shared" si="32"/>
        <v>449</v>
      </c>
      <c r="G58" s="70">
        <f t="shared" si="32"/>
        <v>449</v>
      </c>
      <c r="H58" s="70">
        <f t="shared" si="32"/>
        <v>449</v>
      </c>
      <c r="I58" s="70">
        <f t="shared" si="32"/>
        <v>449</v>
      </c>
      <c r="J58" s="70">
        <f t="shared" si="32"/>
        <v>449</v>
      </c>
      <c r="K58" s="70">
        <f t="shared" si="32"/>
        <v>449</v>
      </c>
      <c r="L58" s="70">
        <f t="shared" si="32"/>
        <v>449</v>
      </c>
      <c r="M58" s="70">
        <f t="shared" si="32"/>
        <v>467.9</v>
      </c>
      <c r="N58" s="70">
        <f t="shared" si="32"/>
        <v>467.9</v>
      </c>
      <c r="O58" s="70">
        <f t="shared" si="32"/>
        <v>467.9</v>
      </c>
      <c r="P58" s="70">
        <f t="shared" ref="P58" si="33">SUM(P11:P56)</f>
        <v>458.2</v>
      </c>
      <c r="Q58" s="70">
        <f t="shared" si="32"/>
        <v>458.2</v>
      </c>
      <c r="R58" s="70">
        <f t="shared" si="32"/>
        <v>458.2</v>
      </c>
      <c r="S58" s="70">
        <f t="shared" ref="S58:T58" si="34">SUM(S11:S56)</f>
        <v>458.2</v>
      </c>
      <c r="T58" s="70">
        <f t="shared" si="34"/>
        <v>458.2</v>
      </c>
      <c r="U58" s="70">
        <f t="shared" si="32"/>
        <v>150</v>
      </c>
      <c r="V58" s="70"/>
      <c r="W58" s="70">
        <f t="shared" si="32"/>
        <v>150</v>
      </c>
      <c r="X58" s="70">
        <f t="shared" si="32"/>
        <v>458.2</v>
      </c>
      <c r="Y58" s="70">
        <f t="shared" ref="Y58:Z58" si="35">SUM(Y11:Y56)</f>
        <v>458.2</v>
      </c>
      <c r="Z58" s="70">
        <f t="shared" si="35"/>
        <v>458.2</v>
      </c>
      <c r="AA58" s="70">
        <f t="shared" ref="AA58" si="36">SUM(AA11:AA56)</f>
        <v>458.2</v>
      </c>
      <c r="AB58" s="70">
        <f t="shared" si="32"/>
        <v>472.09999999999997</v>
      </c>
      <c r="AC58" s="70">
        <f t="shared" si="32"/>
        <v>472.09999999999997</v>
      </c>
      <c r="AD58" s="70">
        <f t="shared" si="32"/>
        <v>472.09999999999997</v>
      </c>
      <c r="AE58" s="70">
        <f t="shared" si="32"/>
        <v>472.09999999999997</v>
      </c>
      <c r="AF58" s="70">
        <f t="shared" si="32"/>
        <v>472.09999999999997</v>
      </c>
      <c r="AG58" s="71">
        <f>SUM(AG14:AG56)</f>
        <v>1042.4000000000001</v>
      </c>
      <c r="AH58" s="48">
        <f t="shared" si="10"/>
        <v>472.09999999999997</v>
      </c>
      <c r="AI58" s="49">
        <f t="shared" si="11"/>
        <v>150</v>
      </c>
      <c r="AK58" s="51"/>
    </row>
    <row r="59" spans="1:88" x14ac:dyDescent="0.25">
      <c r="A59" s="72" t="s">
        <v>76</v>
      </c>
      <c r="B59" s="46">
        <v>70</v>
      </c>
      <c r="C59" s="46">
        <v>0</v>
      </c>
      <c r="D59" s="46">
        <v>76</v>
      </c>
      <c r="E59" s="46">
        <v>50.2</v>
      </c>
      <c r="F59" s="46">
        <v>50.2</v>
      </c>
      <c r="G59" s="46">
        <v>50.2</v>
      </c>
      <c r="H59" s="46">
        <v>76</v>
      </c>
      <c r="I59" s="46">
        <v>151</v>
      </c>
      <c r="J59" s="46">
        <v>15</v>
      </c>
      <c r="K59" s="46">
        <v>0</v>
      </c>
      <c r="L59" s="46">
        <v>0</v>
      </c>
      <c r="M59" s="46">
        <v>0</v>
      </c>
      <c r="N59" s="46">
        <v>0</v>
      </c>
      <c r="O59" s="46">
        <v>0</v>
      </c>
      <c r="P59" s="46">
        <v>0</v>
      </c>
      <c r="Q59" s="46">
        <v>0</v>
      </c>
      <c r="R59" s="46">
        <v>0</v>
      </c>
      <c r="S59" s="46">
        <v>0</v>
      </c>
      <c r="T59" s="46">
        <v>0</v>
      </c>
      <c r="U59" s="73"/>
      <c r="V59" s="73"/>
      <c r="W59" s="46"/>
      <c r="X59" s="46">
        <v>0</v>
      </c>
      <c r="Y59" s="46">
        <v>254</v>
      </c>
      <c r="Z59" s="46">
        <v>311</v>
      </c>
      <c r="AA59" s="46">
        <v>231</v>
      </c>
      <c r="AB59" s="46">
        <v>180.9</v>
      </c>
      <c r="AC59" s="46">
        <v>152.9</v>
      </c>
      <c r="AD59" s="46">
        <v>110</v>
      </c>
      <c r="AE59" s="46">
        <v>0</v>
      </c>
      <c r="AF59" s="46">
        <v>0</v>
      </c>
      <c r="AG59" s="60">
        <v>456</v>
      </c>
      <c r="AH59" s="48">
        <f t="shared" si="10"/>
        <v>311</v>
      </c>
      <c r="AI59" s="49">
        <f t="shared" si="11"/>
        <v>0</v>
      </c>
      <c r="AK59" s="51"/>
    </row>
    <row r="60" spans="1:88" x14ac:dyDescent="0.25">
      <c r="A60" s="74" t="s">
        <v>77</v>
      </c>
      <c r="B60" s="75">
        <v>18</v>
      </c>
      <c r="C60" s="75">
        <v>18</v>
      </c>
      <c r="D60" s="75">
        <v>18</v>
      </c>
      <c r="E60" s="75">
        <v>18</v>
      </c>
      <c r="F60" s="75">
        <v>18</v>
      </c>
      <c r="G60" s="75">
        <v>18</v>
      </c>
      <c r="H60" s="75">
        <v>18</v>
      </c>
      <c r="I60" s="75">
        <v>18</v>
      </c>
      <c r="J60" s="75">
        <v>18</v>
      </c>
      <c r="K60" s="75">
        <v>18</v>
      </c>
      <c r="L60" s="75">
        <v>18</v>
      </c>
      <c r="M60" s="75">
        <v>18</v>
      </c>
      <c r="N60" s="75">
        <v>18</v>
      </c>
      <c r="O60" s="75">
        <v>18</v>
      </c>
      <c r="P60" s="75">
        <v>20.5</v>
      </c>
      <c r="Q60" s="75">
        <v>20.5</v>
      </c>
      <c r="R60" s="75">
        <v>20.5</v>
      </c>
      <c r="S60" s="75">
        <v>20.5</v>
      </c>
      <c r="T60" s="75">
        <v>20.5</v>
      </c>
      <c r="U60" s="75"/>
      <c r="V60" s="75"/>
      <c r="W60" s="75"/>
      <c r="X60" s="75">
        <v>20.5</v>
      </c>
      <c r="Y60" s="75">
        <v>20.5</v>
      </c>
      <c r="Z60" s="75">
        <v>20.5</v>
      </c>
      <c r="AA60" s="75">
        <v>20.5</v>
      </c>
      <c r="AB60" s="75">
        <v>20.5</v>
      </c>
      <c r="AC60" s="75">
        <v>23.7</v>
      </c>
      <c r="AD60" s="75">
        <v>23.5</v>
      </c>
      <c r="AE60" s="75">
        <v>23.7</v>
      </c>
      <c r="AF60" s="75">
        <v>23.5</v>
      </c>
      <c r="AG60" s="65">
        <v>60</v>
      </c>
      <c r="AH60" s="48">
        <f t="shared" si="10"/>
        <v>23.7</v>
      </c>
      <c r="AI60" s="49">
        <f t="shared" si="11"/>
        <v>18</v>
      </c>
      <c r="AK60" s="51"/>
    </row>
    <row r="61" spans="1:88" ht="15.75" thickBot="1" x14ac:dyDescent="0.3">
      <c r="A61" s="76" t="s">
        <v>78</v>
      </c>
      <c r="B61" s="77">
        <v>10.3</v>
      </c>
      <c r="C61" s="77">
        <v>10.3</v>
      </c>
      <c r="D61" s="77">
        <v>10.3</v>
      </c>
      <c r="E61" s="77">
        <v>10.3</v>
      </c>
      <c r="F61" s="77">
        <v>10.3</v>
      </c>
      <c r="G61" s="77">
        <v>10.3</v>
      </c>
      <c r="H61" s="77">
        <v>10.3</v>
      </c>
      <c r="I61" s="77">
        <v>10.3</v>
      </c>
      <c r="J61" s="77">
        <v>10.3</v>
      </c>
      <c r="K61" s="77">
        <v>10.3</v>
      </c>
      <c r="L61" s="77">
        <v>10.3</v>
      </c>
      <c r="M61" s="77">
        <v>10.3</v>
      </c>
      <c r="N61" s="77">
        <v>10.3</v>
      </c>
      <c r="O61" s="77">
        <v>10.3</v>
      </c>
      <c r="P61" s="77">
        <v>10.3</v>
      </c>
      <c r="Q61" s="77">
        <v>10.3</v>
      </c>
      <c r="R61" s="77">
        <v>10.3</v>
      </c>
      <c r="S61" s="77">
        <v>10.3</v>
      </c>
      <c r="T61" s="77">
        <v>10.3</v>
      </c>
      <c r="U61" s="77"/>
      <c r="V61" s="77"/>
      <c r="W61" s="77"/>
      <c r="X61" s="77">
        <v>10.3</v>
      </c>
      <c r="Y61" s="77">
        <v>10.3</v>
      </c>
      <c r="Z61" s="77">
        <v>10.3</v>
      </c>
      <c r="AA61" s="77">
        <v>10.3</v>
      </c>
      <c r="AB61" s="77">
        <v>13.2</v>
      </c>
      <c r="AC61" s="77">
        <v>13.2</v>
      </c>
      <c r="AD61" s="77">
        <v>9.4</v>
      </c>
      <c r="AE61" s="77">
        <v>10.1</v>
      </c>
      <c r="AF61" s="77">
        <v>10.1</v>
      </c>
      <c r="AG61" s="78">
        <v>22.1</v>
      </c>
      <c r="AH61" s="48">
        <f t="shared" si="10"/>
        <v>13.2</v>
      </c>
      <c r="AI61" s="49">
        <f t="shared" si="11"/>
        <v>9.4</v>
      </c>
      <c r="AK61" s="51"/>
    </row>
    <row r="62" spans="1:88" ht="15.75" thickBot="1" x14ac:dyDescent="0.3">
      <c r="A62" s="79" t="s">
        <v>79</v>
      </c>
      <c r="B62" s="70">
        <f t="shared" ref="B62:C62" si="37">SUM(B59:B61)</f>
        <v>98.3</v>
      </c>
      <c r="C62" s="70">
        <f t="shared" si="37"/>
        <v>28.3</v>
      </c>
      <c r="D62" s="70">
        <f t="shared" ref="D62" si="38">SUM(D59:D61)</f>
        <v>104.3</v>
      </c>
      <c r="E62" s="70">
        <f t="shared" ref="E62:AG62" si="39">SUM(E59:E61)</f>
        <v>78.5</v>
      </c>
      <c r="F62" s="70">
        <f t="shared" si="39"/>
        <v>78.5</v>
      </c>
      <c r="G62" s="70">
        <f t="shared" si="39"/>
        <v>78.5</v>
      </c>
      <c r="H62" s="70">
        <f t="shared" si="39"/>
        <v>104.3</v>
      </c>
      <c r="I62" s="70">
        <f t="shared" si="39"/>
        <v>179.3</v>
      </c>
      <c r="J62" s="70">
        <f t="shared" si="39"/>
        <v>43.3</v>
      </c>
      <c r="K62" s="70">
        <f t="shared" si="39"/>
        <v>28.3</v>
      </c>
      <c r="L62" s="70">
        <f t="shared" si="39"/>
        <v>28.3</v>
      </c>
      <c r="M62" s="70">
        <f t="shared" si="39"/>
        <v>28.3</v>
      </c>
      <c r="N62" s="70">
        <f t="shared" si="39"/>
        <v>28.3</v>
      </c>
      <c r="O62" s="70">
        <f t="shared" si="39"/>
        <v>28.3</v>
      </c>
      <c r="P62" s="70">
        <f t="shared" ref="P62" si="40">SUM(P59:P61)</f>
        <v>30.8</v>
      </c>
      <c r="Q62" s="70">
        <f t="shared" si="39"/>
        <v>30.8</v>
      </c>
      <c r="R62" s="70">
        <f t="shared" si="39"/>
        <v>30.8</v>
      </c>
      <c r="S62" s="70">
        <f t="shared" ref="S62:T62" si="41">SUM(S59:S61)</f>
        <v>30.8</v>
      </c>
      <c r="T62" s="70">
        <f t="shared" si="41"/>
        <v>30.8</v>
      </c>
      <c r="U62" s="70">
        <f t="shared" si="39"/>
        <v>0</v>
      </c>
      <c r="V62" s="70"/>
      <c r="W62" s="70">
        <f t="shared" si="39"/>
        <v>0</v>
      </c>
      <c r="X62" s="70">
        <f t="shared" si="39"/>
        <v>30.8</v>
      </c>
      <c r="Y62" s="70">
        <f t="shared" ref="Y62:Z62" si="42">SUM(Y59:Y61)</f>
        <v>284.8</v>
      </c>
      <c r="Z62" s="70">
        <f t="shared" si="42"/>
        <v>341.8</v>
      </c>
      <c r="AA62" s="70">
        <f t="shared" ref="AA62" si="43">SUM(AA59:AA61)</f>
        <v>261.8</v>
      </c>
      <c r="AB62" s="70">
        <f t="shared" si="39"/>
        <v>214.6</v>
      </c>
      <c r="AC62" s="70">
        <f t="shared" si="39"/>
        <v>189.79999999999998</v>
      </c>
      <c r="AD62" s="70">
        <f t="shared" si="39"/>
        <v>142.9</v>
      </c>
      <c r="AE62" s="70">
        <f t="shared" si="39"/>
        <v>33.799999999999997</v>
      </c>
      <c r="AF62" s="70">
        <f t="shared" si="39"/>
        <v>33.6</v>
      </c>
      <c r="AG62" s="71">
        <f t="shared" si="39"/>
        <v>538.1</v>
      </c>
      <c r="AH62" s="48">
        <f t="shared" si="10"/>
        <v>341.8</v>
      </c>
      <c r="AI62" s="49">
        <f t="shared" si="11"/>
        <v>0</v>
      </c>
      <c r="AK62" s="51"/>
    </row>
    <row r="63" spans="1:88" x14ac:dyDescent="0.25">
      <c r="A63" s="45" t="s">
        <v>80</v>
      </c>
      <c r="B63" s="46">
        <v>45</v>
      </c>
      <c r="C63" s="46">
        <v>30</v>
      </c>
      <c r="D63" s="46">
        <v>30</v>
      </c>
      <c r="E63" s="46">
        <v>30</v>
      </c>
      <c r="F63" s="46">
        <v>30</v>
      </c>
      <c r="G63" s="46">
        <v>30</v>
      </c>
      <c r="H63" s="46">
        <v>45</v>
      </c>
      <c r="I63" s="46">
        <v>35</v>
      </c>
      <c r="J63" s="46">
        <v>30.6</v>
      </c>
      <c r="K63" s="46">
        <v>30.6</v>
      </c>
      <c r="L63" s="46">
        <v>30.6</v>
      </c>
      <c r="M63" s="46">
        <v>30.6</v>
      </c>
      <c r="N63" s="46">
        <v>30.8</v>
      </c>
      <c r="O63" s="46">
        <v>40</v>
      </c>
      <c r="P63" s="46">
        <v>49.2</v>
      </c>
      <c r="Q63" s="46">
        <v>49.2</v>
      </c>
      <c r="R63" s="46">
        <v>61</v>
      </c>
      <c r="S63" s="46">
        <v>71</v>
      </c>
      <c r="T63" s="46">
        <v>76.099999999999994</v>
      </c>
      <c r="U63" s="46"/>
      <c r="V63" s="46"/>
      <c r="W63" s="46"/>
      <c r="X63" s="46">
        <v>30</v>
      </c>
      <c r="Y63" s="46">
        <v>132</v>
      </c>
      <c r="Z63" s="46">
        <v>134.30000000000001</v>
      </c>
      <c r="AA63" s="46">
        <v>134.30000000000001</v>
      </c>
      <c r="AB63" s="46">
        <v>102</v>
      </c>
      <c r="AC63" s="46">
        <v>91</v>
      </c>
      <c r="AD63" s="46">
        <v>90.8</v>
      </c>
      <c r="AE63" s="46">
        <v>30.8</v>
      </c>
      <c r="AF63" s="46">
        <v>30.6</v>
      </c>
      <c r="AG63" s="60">
        <v>144</v>
      </c>
      <c r="AH63" s="48">
        <f t="shared" si="10"/>
        <v>134.30000000000001</v>
      </c>
      <c r="AI63" s="49">
        <f t="shared" si="11"/>
        <v>30</v>
      </c>
      <c r="AK63" s="51"/>
    </row>
    <row r="64" spans="1:88" x14ac:dyDescent="0.25">
      <c r="A64" s="64" t="s">
        <v>81</v>
      </c>
      <c r="B64" s="75">
        <v>30</v>
      </c>
      <c r="C64" s="75">
        <v>0</v>
      </c>
      <c r="D64" s="75">
        <v>0</v>
      </c>
      <c r="E64" s="75">
        <v>0</v>
      </c>
      <c r="F64" s="75">
        <v>0</v>
      </c>
      <c r="G64" s="75">
        <v>26</v>
      </c>
      <c r="H64" s="75">
        <v>36</v>
      </c>
      <c r="I64" s="75">
        <v>35</v>
      </c>
      <c r="J64" s="75">
        <v>25.7</v>
      </c>
      <c r="K64" s="75">
        <v>49</v>
      </c>
      <c r="L64" s="75">
        <v>49</v>
      </c>
      <c r="M64" s="75">
        <v>49</v>
      </c>
      <c r="N64" s="75">
        <v>49</v>
      </c>
      <c r="O64" s="75">
        <v>49</v>
      </c>
      <c r="P64" s="75">
        <v>46.3</v>
      </c>
      <c r="Q64" s="75">
        <v>46.3</v>
      </c>
      <c r="R64" s="75">
        <v>35</v>
      </c>
      <c r="S64" s="75">
        <v>25.9</v>
      </c>
      <c r="T64" s="75">
        <v>0</v>
      </c>
      <c r="U64" s="75"/>
      <c r="V64" s="75"/>
      <c r="W64" s="46"/>
      <c r="X64" s="46">
        <v>0</v>
      </c>
      <c r="Y64" s="46">
        <v>65.3</v>
      </c>
      <c r="Z64" s="46">
        <v>64.7</v>
      </c>
      <c r="AA64" s="46">
        <v>46.8</v>
      </c>
      <c r="AB64" s="46">
        <v>47.2</v>
      </c>
      <c r="AC64" s="46">
        <v>46.7</v>
      </c>
      <c r="AD64" s="46">
        <v>46.2</v>
      </c>
      <c r="AE64" s="46">
        <v>25.3</v>
      </c>
      <c r="AF64" s="46">
        <v>25.5</v>
      </c>
      <c r="AG64" s="65">
        <v>70</v>
      </c>
      <c r="AH64" s="48">
        <f t="shared" si="10"/>
        <v>65.3</v>
      </c>
      <c r="AI64" s="49">
        <f t="shared" si="11"/>
        <v>0</v>
      </c>
      <c r="AK64" s="51"/>
    </row>
    <row r="65" spans="1:75" x14ac:dyDescent="0.25">
      <c r="A65" s="64" t="s">
        <v>82</v>
      </c>
      <c r="B65" s="75">
        <v>45</v>
      </c>
      <c r="C65" s="75">
        <v>17</v>
      </c>
      <c r="D65" s="75">
        <v>18</v>
      </c>
      <c r="E65" s="75">
        <v>18</v>
      </c>
      <c r="F65" s="75">
        <v>18</v>
      </c>
      <c r="G65" s="75">
        <v>18</v>
      </c>
      <c r="H65" s="75">
        <v>23.2</v>
      </c>
      <c r="I65" s="75">
        <v>23.2</v>
      </c>
      <c r="J65" s="75">
        <v>15.8</v>
      </c>
      <c r="K65" s="75">
        <v>33</v>
      </c>
      <c r="L65" s="75">
        <v>33</v>
      </c>
      <c r="M65" s="75">
        <v>35</v>
      </c>
      <c r="N65" s="75">
        <v>44.4</v>
      </c>
      <c r="O65" s="75">
        <v>44.4</v>
      </c>
      <c r="P65" s="75">
        <v>33.9</v>
      </c>
      <c r="Q65" s="75">
        <v>33.9</v>
      </c>
      <c r="R65" s="75">
        <v>22</v>
      </c>
      <c r="S65" s="75">
        <v>22.9</v>
      </c>
      <c r="T65" s="75">
        <v>22.9</v>
      </c>
      <c r="U65" s="75"/>
      <c r="V65" s="75"/>
      <c r="W65" s="46"/>
      <c r="X65" s="46">
        <v>15.9</v>
      </c>
      <c r="Y65" s="46">
        <v>69.8</v>
      </c>
      <c r="Z65" s="46">
        <v>68.5</v>
      </c>
      <c r="AA65" s="46">
        <v>68.099999999999994</v>
      </c>
      <c r="AB65" s="46">
        <v>51.3</v>
      </c>
      <c r="AC65" s="46">
        <v>37.6</v>
      </c>
      <c r="AD65" s="46">
        <v>37</v>
      </c>
      <c r="AE65" s="46">
        <v>15.6</v>
      </c>
      <c r="AF65" s="46">
        <v>15.5</v>
      </c>
      <c r="AG65" s="65">
        <v>69</v>
      </c>
      <c r="AH65" s="48">
        <f t="shared" si="10"/>
        <v>69.8</v>
      </c>
      <c r="AI65" s="49">
        <f t="shared" si="11"/>
        <v>15.5</v>
      </c>
      <c r="AK65" s="51"/>
    </row>
    <row r="66" spans="1:75" x14ac:dyDescent="0.25">
      <c r="A66" s="64" t="s">
        <v>83</v>
      </c>
      <c r="B66" s="75">
        <v>30</v>
      </c>
      <c r="C66" s="75">
        <v>30</v>
      </c>
      <c r="D66" s="75">
        <v>30</v>
      </c>
      <c r="E66" s="75">
        <v>30</v>
      </c>
      <c r="F66" s="75">
        <v>30</v>
      </c>
      <c r="G66" s="75">
        <v>30</v>
      </c>
      <c r="H66" s="75">
        <v>30</v>
      </c>
      <c r="I66" s="75">
        <v>30</v>
      </c>
      <c r="J66" s="75">
        <v>30</v>
      </c>
      <c r="K66" s="75">
        <v>30</v>
      </c>
      <c r="L66" s="75">
        <v>30</v>
      </c>
      <c r="M66" s="75">
        <v>30</v>
      </c>
      <c r="N66" s="75">
        <v>30</v>
      </c>
      <c r="O66" s="75">
        <v>30</v>
      </c>
      <c r="P66" s="75">
        <v>36.299999999999997</v>
      </c>
      <c r="Q66" s="75">
        <v>36.299999999999997</v>
      </c>
      <c r="R66" s="75">
        <v>36.299999999999997</v>
      </c>
      <c r="S66" s="75">
        <v>33.299999999999997</v>
      </c>
      <c r="T66" s="75">
        <v>33.299999999999997</v>
      </c>
      <c r="U66" s="75"/>
      <c r="V66" s="75"/>
      <c r="W66" s="46"/>
      <c r="X66" s="46">
        <v>34.299999999999997</v>
      </c>
      <c r="Y66" s="46">
        <v>33.299999999999997</v>
      </c>
      <c r="Z66" s="46">
        <v>33.299999999999997</v>
      </c>
      <c r="AA66" s="46">
        <v>33.299999999999997</v>
      </c>
      <c r="AB66" s="46">
        <v>31.5</v>
      </c>
      <c r="AC66" s="46">
        <v>32.200000000000003</v>
      </c>
      <c r="AD66" s="46">
        <v>33.299999999999997</v>
      </c>
      <c r="AE66" s="46">
        <v>35.299999999999997</v>
      </c>
      <c r="AF66" s="46">
        <v>38.299999999999997</v>
      </c>
      <c r="AG66" s="65">
        <v>60</v>
      </c>
      <c r="AH66" s="48">
        <f t="shared" si="10"/>
        <v>38.299999999999997</v>
      </c>
      <c r="AI66" s="49">
        <f t="shared" si="11"/>
        <v>30</v>
      </c>
      <c r="AK66" s="51"/>
    </row>
    <row r="67" spans="1:75" x14ac:dyDescent="0.25">
      <c r="A67" s="64" t="s">
        <v>84</v>
      </c>
      <c r="B67" s="46">
        <v>10</v>
      </c>
      <c r="C67" s="46">
        <v>10</v>
      </c>
      <c r="D67" s="46">
        <v>0</v>
      </c>
      <c r="E67" s="46">
        <v>0</v>
      </c>
      <c r="F67" s="46">
        <v>0</v>
      </c>
      <c r="G67" s="46">
        <v>0</v>
      </c>
      <c r="H67" s="46">
        <v>0</v>
      </c>
      <c r="I67" s="46">
        <v>0</v>
      </c>
      <c r="J67" s="46">
        <v>0</v>
      </c>
      <c r="K67" s="46">
        <v>0</v>
      </c>
      <c r="L67" s="46">
        <v>10.3</v>
      </c>
      <c r="M67" s="46">
        <v>10.3</v>
      </c>
      <c r="N67" s="75">
        <v>10.6</v>
      </c>
      <c r="O67" s="75">
        <v>10.6</v>
      </c>
      <c r="P67" s="75">
        <v>10.5</v>
      </c>
      <c r="Q67" s="75">
        <v>10.5</v>
      </c>
      <c r="R67" s="75">
        <v>10.5</v>
      </c>
      <c r="S67" s="75">
        <v>12.2</v>
      </c>
      <c r="T67" s="75">
        <v>14.8</v>
      </c>
      <c r="U67" s="75"/>
      <c r="V67" s="75"/>
      <c r="W67" s="46"/>
      <c r="X67" s="46">
        <v>9.8000000000000007</v>
      </c>
      <c r="Y67" s="46">
        <v>22.9</v>
      </c>
      <c r="Z67" s="46">
        <v>23.3</v>
      </c>
      <c r="AA67" s="46">
        <v>23.3</v>
      </c>
      <c r="AB67" s="46">
        <v>10.199999999999999</v>
      </c>
      <c r="AC67" s="46">
        <v>10.199999999999999</v>
      </c>
      <c r="AD67" s="46">
        <v>0</v>
      </c>
      <c r="AE67" s="46">
        <v>0</v>
      </c>
      <c r="AF67" s="46">
        <v>0</v>
      </c>
      <c r="AG67" s="65">
        <v>30</v>
      </c>
      <c r="AH67" s="48">
        <f t="shared" si="10"/>
        <v>23.3</v>
      </c>
      <c r="AI67" s="49">
        <f t="shared" si="11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</row>
    <row r="68" spans="1:75" x14ac:dyDescent="0.25">
      <c r="A68" s="64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0.8</v>
      </c>
      <c r="K68" s="46">
        <v>1.7</v>
      </c>
      <c r="L68" s="46">
        <v>3.2</v>
      </c>
      <c r="M68" s="46">
        <v>3.2</v>
      </c>
      <c r="N68" s="46">
        <v>3.2</v>
      </c>
      <c r="O68" s="46">
        <v>3.2</v>
      </c>
      <c r="P68" s="46">
        <v>12</v>
      </c>
      <c r="Q68" s="46">
        <v>12</v>
      </c>
      <c r="R68" s="46">
        <v>12</v>
      </c>
      <c r="S68" s="46">
        <v>9.9</v>
      </c>
      <c r="T68" s="46">
        <v>7.1</v>
      </c>
      <c r="U68" s="75"/>
      <c r="V68" s="75"/>
      <c r="W68" s="46"/>
      <c r="X68" s="46">
        <v>0</v>
      </c>
      <c r="Y68" s="46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5">
        <v>25</v>
      </c>
      <c r="AH68" s="48">
        <f t="shared" si="10"/>
        <v>12</v>
      </c>
      <c r="AI68" s="49">
        <f t="shared" si="11"/>
        <v>0</v>
      </c>
      <c r="AK68" s="51"/>
      <c r="AY68" s="1" t="s">
        <v>86</v>
      </c>
      <c r="AZ68" s="81">
        <f>ROUND(C81,0)</f>
        <v>29</v>
      </c>
      <c r="BA68" s="80">
        <f t="shared" ref="BA68:BD72" si="44">D81</f>
        <v>30</v>
      </c>
      <c r="BB68" s="80">
        <f t="shared" si="44"/>
        <v>31.1</v>
      </c>
      <c r="BC68" s="80">
        <f t="shared" si="44"/>
        <v>31.2</v>
      </c>
      <c r="BD68" s="80">
        <f t="shared" si="44"/>
        <v>32</v>
      </c>
      <c r="BE68" s="81">
        <f>I81</f>
        <v>35.299999999999997</v>
      </c>
      <c r="BF68" s="81">
        <f>K81</f>
        <v>42.6</v>
      </c>
      <c r="BG68" s="81">
        <f t="shared" ref="BG68:BP72" si="45">M81</f>
        <v>69.2</v>
      </c>
      <c r="BH68" s="81">
        <f t="shared" si="45"/>
        <v>71.400000000000006</v>
      </c>
      <c r="BI68" s="81">
        <f t="shared" si="45"/>
        <v>70.7</v>
      </c>
      <c r="BJ68" s="81">
        <f t="shared" si="45"/>
        <v>63.4</v>
      </c>
      <c r="BK68" s="81">
        <f t="shared" si="45"/>
        <v>63.4</v>
      </c>
      <c r="BL68" s="81">
        <f t="shared" si="45"/>
        <v>65</v>
      </c>
      <c r="BM68" s="81">
        <f t="shared" si="45"/>
        <v>75.8</v>
      </c>
      <c r="BN68" s="81">
        <f t="shared" si="45"/>
        <v>76.3</v>
      </c>
      <c r="BO68" s="81">
        <f t="shared" si="45"/>
        <v>0</v>
      </c>
      <c r="BP68" s="81">
        <f t="shared" si="45"/>
        <v>0</v>
      </c>
      <c r="BQ68" s="81">
        <f>X81</f>
        <v>57.8</v>
      </c>
      <c r="BR68" s="81">
        <f>Z81</f>
        <v>16.3</v>
      </c>
      <c r="BS68" s="80">
        <f>AB81</f>
        <v>34.1</v>
      </c>
      <c r="BT68" s="80">
        <f>AD81</f>
        <v>25.6</v>
      </c>
      <c r="BU68" s="80">
        <f>AE81</f>
        <v>36.6</v>
      </c>
      <c r="BV68" s="80">
        <f>AF81</f>
        <v>32.4</v>
      </c>
      <c r="BW68" s="80">
        <f>B81</f>
        <v>29</v>
      </c>
    </row>
    <row r="69" spans="1:75" x14ac:dyDescent="0.25">
      <c r="A69" s="64" t="s">
        <v>87</v>
      </c>
      <c r="B69" s="75">
        <v>15</v>
      </c>
      <c r="C69" s="75">
        <v>15</v>
      </c>
      <c r="D69" s="75">
        <v>15</v>
      </c>
      <c r="E69" s="75">
        <v>15</v>
      </c>
      <c r="F69" s="75">
        <v>15</v>
      </c>
      <c r="G69" s="75">
        <v>15</v>
      </c>
      <c r="H69" s="75">
        <v>15</v>
      </c>
      <c r="I69" s="75">
        <v>15</v>
      </c>
      <c r="J69" s="75">
        <v>15</v>
      </c>
      <c r="K69" s="75">
        <v>15</v>
      </c>
      <c r="L69" s="75">
        <v>15</v>
      </c>
      <c r="M69" s="75">
        <v>15</v>
      </c>
      <c r="N69" s="75">
        <v>15</v>
      </c>
      <c r="O69" s="75">
        <v>15</v>
      </c>
      <c r="P69" s="75">
        <v>15</v>
      </c>
      <c r="Q69" s="75">
        <v>15</v>
      </c>
      <c r="R69" s="75">
        <v>15</v>
      </c>
      <c r="S69" s="75">
        <v>15</v>
      </c>
      <c r="T69" s="75">
        <v>15</v>
      </c>
      <c r="U69" s="75"/>
      <c r="V69" s="75"/>
      <c r="W69" s="75"/>
      <c r="X69" s="75">
        <v>15</v>
      </c>
      <c r="Y69" s="75">
        <v>15</v>
      </c>
      <c r="Z69" s="75">
        <v>15</v>
      </c>
      <c r="AA69" s="75">
        <v>15</v>
      </c>
      <c r="AB69" s="75">
        <v>15</v>
      </c>
      <c r="AC69" s="75">
        <v>15</v>
      </c>
      <c r="AD69" s="75">
        <v>15</v>
      </c>
      <c r="AE69" s="75">
        <v>15</v>
      </c>
      <c r="AF69" s="75">
        <v>15</v>
      </c>
      <c r="AG69" s="65">
        <v>24</v>
      </c>
      <c r="AH69" s="48">
        <f t="shared" si="10"/>
        <v>15</v>
      </c>
      <c r="AI69" s="49">
        <f t="shared" si="11"/>
        <v>15</v>
      </c>
      <c r="AK69" s="51"/>
      <c r="AY69" s="1" t="s">
        <v>88</v>
      </c>
      <c r="AZ69" s="81">
        <f>ROUND(C82,0)</f>
        <v>170</v>
      </c>
      <c r="BA69" s="80">
        <f t="shared" si="44"/>
        <v>52</v>
      </c>
      <c r="BB69" s="80">
        <f t="shared" si="44"/>
        <v>49.4</v>
      </c>
      <c r="BC69" s="80">
        <f t="shared" si="44"/>
        <v>52.5</v>
      </c>
      <c r="BD69" s="80">
        <f t="shared" si="44"/>
        <v>59.3</v>
      </c>
      <c r="BE69" s="81">
        <f t="shared" ref="BE69:BE72" si="46">I82</f>
        <v>73.400000000000006</v>
      </c>
      <c r="BF69" s="81">
        <f t="shared" ref="BF69:BF72" si="47">K82</f>
        <v>114.3</v>
      </c>
      <c r="BG69" s="81">
        <f t="shared" si="45"/>
        <v>122.6</v>
      </c>
      <c r="BH69" s="81">
        <f t="shared" si="45"/>
        <v>124</v>
      </c>
      <c r="BI69" s="81">
        <f t="shared" si="45"/>
        <v>124</v>
      </c>
      <c r="BJ69" s="81">
        <f t="shared" si="45"/>
        <v>123.9</v>
      </c>
      <c r="BK69" s="81">
        <f t="shared" si="45"/>
        <v>123.9</v>
      </c>
      <c r="BL69" s="81">
        <f t="shared" si="45"/>
        <v>116</v>
      </c>
      <c r="BM69" s="81">
        <f t="shared" si="45"/>
        <v>122.8</v>
      </c>
      <c r="BN69" s="81">
        <f t="shared" si="45"/>
        <v>119.5</v>
      </c>
      <c r="BO69" s="81">
        <f t="shared" si="45"/>
        <v>0</v>
      </c>
      <c r="BP69" s="81">
        <f t="shared" si="45"/>
        <v>0</v>
      </c>
      <c r="BQ69" s="81">
        <f t="shared" ref="BQ69:BQ72" si="48">X82</f>
        <v>115.3</v>
      </c>
      <c r="BR69" s="81">
        <f t="shared" ref="BR69:BR72" si="49">Z82</f>
        <v>0</v>
      </c>
      <c r="BS69" s="80">
        <f t="shared" ref="BS69:BS72" si="50">AB82</f>
        <v>0</v>
      </c>
      <c r="BT69" s="80">
        <f t="shared" ref="BT69:BV72" si="51">AD82</f>
        <v>0</v>
      </c>
      <c r="BU69" s="80">
        <f t="shared" si="51"/>
        <v>20</v>
      </c>
      <c r="BV69" s="80">
        <f t="shared" si="51"/>
        <v>24.3</v>
      </c>
      <c r="BW69" s="80">
        <f t="shared" ref="BW69:BW72" si="52">B82</f>
        <v>0</v>
      </c>
    </row>
    <row r="70" spans="1:75" x14ac:dyDescent="0.25">
      <c r="A70" s="64" t="s">
        <v>89</v>
      </c>
      <c r="B70" s="75">
        <v>0</v>
      </c>
      <c r="C70" s="75">
        <v>0</v>
      </c>
      <c r="D70" s="75">
        <v>0</v>
      </c>
      <c r="E70" s="75">
        <v>0</v>
      </c>
      <c r="F70" s="75">
        <v>0</v>
      </c>
      <c r="G70" s="75">
        <v>0</v>
      </c>
      <c r="H70" s="75">
        <v>0</v>
      </c>
      <c r="I70" s="75">
        <v>0</v>
      </c>
      <c r="J70" s="75">
        <v>0</v>
      </c>
      <c r="K70" s="75">
        <v>0</v>
      </c>
      <c r="L70" s="75">
        <v>0</v>
      </c>
      <c r="M70" s="75">
        <v>0</v>
      </c>
      <c r="N70" s="75">
        <v>0</v>
      </c>
      <c r="O70" s="75">
        <v>0</v>
      </c>
      <c r="P70" s="75">
        <v>0</v>
      </c>
      <c r="Q70" s="75">
        <v>0</v>
      </c>
      <c r="R70" s="75">
        <v>0</v>
      </c>
      <c r="S70" s="75">
        <v>0</v>
      </c>
      <c r="T70" s="75">
        <v>0</v>
      </c>
      <c r="U70" s="75"/>
      <c r="V70" s="75"/>
      <c r="W70" s="75"/>
      <c r="X70" s="75">
        <v>0</v>
      </c>
      <c r="Y70" s="75">
        <v>0</v>
      </c>
      <c r="Z70" s="75">
        <v>0</v>
      </c>
      <c r="AA70" s="75">
        <v>0</v>
      </c>
      <c r="AB70" s="75">
        <v>0</v>
      </c>
      <c r="AC70" s="75">
        <v>0</v>
      </c>
      <c r="AD70" s="75">
        <v>0</v>
      </c>
      <c r="AE70" s="75">
        <v>0</v>
      </c>
      <c r="AF70" s="75">
        <v>0</v>
      </c>
      <c r="AG70" s="65">
        <v>15</v>
      </c>
      <c r="AH70" s="48">
        <f t="shared" si="10"/>
        <v>0</v>
      </c>
      <c r="AI70" s="49">
        <f t="shared" si="11"/>
        <v>0</v>
      </c>
      <c r="AK70" s="51"/>
      <c r="AL70" s="82"/>
      <c r="AO70" s="82"/>
      <c r="AY70" s="1" t="s">
        <v>90</v>
      </c>
      <c r="AZ70" s="81">
        <f>ROUND(C83,0)</f>
        <v>0</v>
      </c>
      <c r="BA70" s="80">
        <f t="shared" si="44"/>
        <v>40</v>
      </c>
      <c r="BB70" s="80">
        <f t="shared" si="44"/>
        <v>53.7</v>
      </c>
      <c r="BC70" s="80">
        <f t="shared" si="44"/>
        <v>52.1</v>
      </c>
      <c r="BD70" s="80">
        <f t="shared" si="44"/>
        <v>66</v>
      </c>
      <c r="BE70" s="81">
        <f t="shared" si="46"/>
        <v>0</v>
      </c>
      <c r="BF70" s="81">
        <f t="shared" si="47"/>
        <v>438</v>
      </c>
      <c r="BG70" s="81">
        <f t="shared" si="45"/>
        <v>495</v>
      </c>
      <c r="BH70" s="81">
        <f t="shared" si="45"/>
        <v>475</v>
      </c>
      <c r="BI70" s="81">
        <f t="shared" si="45"/>
        <v>470</v>
      </c>
      <c r="BJ70" s="81">
        <f t="shared" si="45"/>
        <v>490</v>
      </c>
      <c r="BK70" s="81">
        <f t="shared" si="45"/>
        <v>490</v>
      </c>
      <c r="BL70" s="81">
        <f t="shared" si="45"/>
        <v>488</v>
      </c>
      <c r="BM70" s="81">
        <f t="shared" si="45"/>
        <v>493.3</v>
      </c>
      <c r="BN70" s="81">
        <f t="shared" si="45"/>
        <v>489.9</v>
      </c>
      <c r="BO70" s="81">
        <f t="shared" si="45"/>
        <v>0</v>
      </c>
      <c r="BP70" s="81">
        <f t="shared" si="45"/>
        <v>0</v>
      </c>
      <c r="BQ70" s="81">
        <f t="shared" si="48"/>
        <v>363.5</v>
      </c>
      <c r="BR70" s="81">
        <f t="shared" si="49"/>
        <v>68.7</v>
      </c>
      <c r="BS70" s="80">
        <f t="shared" si="50"/>
        <v>39</v>
      </c>
      <c r="BT70" s="80">
        <f t="shared" si="51"/>
        <v>32.200000000000003</v>
      </c>
      <c r="BU70" s="80">
        <f t="shared" si="51"/>
        <v>50.6</v>
      </c>
      <c r="BV70" s="80">
        <f t="shared" si="51"/>
        <v>47.2</v>
      </c>
      <c r="BW70" s="80">
        <f t="shared" si="52"/>
        <v>110</v>
      </c>
    </row>
    <row r="71" spans="1:75" s="82" customFormat="1" x14ac:dyDescent="0.25">
      <c r="A71" s="64" t="s">
        <v>91</v>
      </c>
      <c r="B71" s="75">
        <v>8.8000000000000007</v>
      </c>
      <c r="C71" s="75">
        <v>8.8000000000000007</v>
      </c>
      <c r="D71" s="75">
        <v>8.8000000000000007</v>
      </c>
      <c r="E71" s="75">
        <v>8.8000000000000007</v>
      </c>
      <c r="F71" s="75">
        <v>8.8000000000000007</v>
      </c>
      <c r="G71" s="75">
        <v>8.8000000000000007</v>
      </c>
      <c r="H71" s="75">
        <v>8.8000000000000007</v>
      </c>
      <c r="I71" s="75">
        <v>8.8000000000000007</v>
      </c>
      <c r="J71" s="75">
        <v>6.9</v>
      </c>
      <c r="K71" s="75">
        <v>6.9</v>
      </c>
      <c r="L71" s="75">
        <v>6.9</v>
      </c>
      <c r="M71" s="75">
        <v>6.9</v>
      </c>
      <c r="N71" s="75">
        <v>6.9</v>
      </c>
      <c r="O71" s="75">
        <v>6.9</v>
      </c>
      <c r="P71" s="75">
        <v>10.4</v>
      </c>
      <c r="Q71" s="75">
        <v>10.4</v>
      </c>
      <c r="R71" s="75">
        <v>10.4</v>
      </c>
      <c r="S71" s="75">
        <v>10.4</v>
      </c>
      <c r="T71" s="75">
        <v>10.4</v>
      </c>
      <c r="U71" s="75"/>
      <c r="V71" s="75"/>
      <c r="W71" s="75"/>
      <c r="X71" s="75">
        <v>10.4</v>
      </c>
      <c r="Y71" s="75">
        <v>10.4</v>
      </c>
      <c r="Z71" s="75">
        <v>10.4</v>
      </c>
      <c r="AA71" s="75">
        <v>10.4</v>
      </c>
      <c r="AB71" s="75">
        <v>10.4</v>
      </c>
      <c r="AC71" s="75">
        <v>9.9</v>
      </c>
      <c r="AD71" s="75">
        <v>9.9</v>
      </c>
      <c r="AE71" s="75">
        <v>9.9</v>
      </c>
      <c r="AF71" s="75">
        <v>9.9</v>
      </c>
      <c r="AG71" s="65">
        <v>14.1</v>
      </c>
      <c r="AH71" s="48">
        <f t="shared" si="10"/>
        <v>10.4</v>
      </c>
      <c r="AI71" s="49">
        <f t="shared" si="11"/>
        <v>6.9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35</v>
      </c>
      <c r="BA71" s="80">
        <f t="shared" si="44"/>
        <v>34</v>
      </c>
      <c r="BB71" s="80">
        <f t="shared" si="44"/>
        <v>38</v>
      </c>
      <c r="BC71" s="80">
        <f t="shared" si="44"/>
        <v>41.5</v>
      </c>
      <c r="BD71" s="80">
        <f t="shared" si="44"/>
        <v>42.7</v>
      </c>
      <c r="BE71" s="81">
        <f t="shared" si="46"/>
        <v>45.1</v>
      </c>
      <c r="BF71" s="81">
        <f t="shared" si="47"/>
        <v>49.2</v>
      </c>
      <c r="BG71" s="81">
        <f t="shared" si="45"/>
        <v>60.1</v>
      </c>
      <c r="BH71" s="81">
        <f t="shared" si="45"/>
        <v>56.8</v>
      </c>
      <c r="BI71" s="81">
        <f t="shared" si="45"/>
        <v>56</v>
      </c>
      <c r="BJ71" s="81">
        <f t="shared" si="45"/>
        <v>56</v>
      </c>
      <c r="BK71" s="81">
        <f t="shared" si="45"/>
        <v>56</v>
      </c>
      <c r="BL71" s="81">
        <f t="shared" si="45"/>
        <v>52</v>
      </c>
      <c r="BM71" s="81">
        <f t="shared" si="45"/>
        <v>52.2</v>
      </c>
      <c r="BN71" s="81">
        <f t="shared" si="45"/>
        <v>53.6</v>
      </c>
      <c r="BO71" s="81">
        <f t="shared" si="45"/>
        <v>0</v>
      </c>
      <c r="BP71" s="81">
        <f t="shared" si="45"/>
        <v>0</v>
      </c>
      <c r="BQ71" s="81">
        <f t="shared" si="48"/>
        <v>0</v>
      </c>
      <c r="BR71" s="81">
        <f t="shared" si="49"/>
        <v>0</v>
      </c>
      <c r="BS71" s="80">
        <f t="shared" si="50"/>
        <v>19</v>
      </c>
      <c r="BT71" s="80">
        <f t="shared" si="51"/>
        <v>19</v>
      </c>
      <c r="BU71" s="80">
        <f t="shared" si="51"/>
        <v>53.6</v>
      </c>
      <c r="BV71" s="80">
        <f t="shared" si="51"/>
        <v>48</v>
      </c>
      <c r="BW71" s="80">
        <f t="shared" si="52"/>
        <v>15</v>
      </c>
    </row>
    <row r="72" spans="1:75" x14ac:dyDescent="0.25">
      <c r="A72" s="83" t="s">
        <v>93</v>
      </c>
      <c r="B72" s="75">
        <v>4.9000000000000004</v>
      </c>
      <c r="C72" s="75">
        <v>4.9000000000000004</v>
      </c>
      <c r="D72" s="75">
        <v>4.9000000000000004</v>
      </c>
      <c r="E72" s="75">
        <v>5.7</v>
      </c>
      <c r="F72" s="75">
        <v>5.7</v>
      </c>
      <c r="G72" s="75">
        <v>5.7</v>
      </c>
      <c r="H72" s="75">
        <v>5.7</v>
      </c>
      <c r="I72" s="75">
        <v>5.7</v>
      </c>
      <c r="J72" s="75">
        <v>4.9000000000000004</v>
      </c>
      <c r="K72" s="75">
        <v>4.9000000000000004</v>
      </c>
      <c r="L72" s="75">
        <v>4.9000000000000004</v>
      </c>
      <c r="M72" s="75">
        <v>4.9000000000000004</v>
      </c>
      <c r="N72" s="75">
        <v>4.9000000000000004</v>
      </c>
      <c r="O72" s="75">
        <v>4.9000000000000004</v>
      </c>
      <c r="P72" s="75">
        <v>5.0999999999999996</v>
      </c>
      <c r="Q72" s="75">
        <v>5.0999999999999996</v>
      </c>
      <c r="R72" s="75">
        <v>5.0999999999999996</v>
      </c>
      <c r="S72" s="75">
        <v>5.0999999999999996</v>
      </c>
      <c r="T72" s="75">
        <v>5.0999999999999996</v>
      </c>
      <c r="U72" s="75"/>
      <c r="V72" s="75"/>
      <c r="W72" s="75"/>
      <c r="X72" s="75">
        <v>5.0999999999999996</v>
      </c>
      <c r="Y72" s="75">
        <v>5.0999999999999996</v>
      </c>
      <c r="Z72" s="75">
        <v>5.0999999999999996</v>
      </c>
      <c r="AA72" s="75">
        <v>5.0999999999999996</v>
      </c>
      <c r="AB72" s="75">
        <v>5.0999999999999996</v>
      </c>
      <c r="AC72" s="75">
        <v>5.9</v>
      </c>
      <c r="AD72" s="75">
        <v>5.9</v>
      </c>
      <c r="AE72" s="75">
        <v>5.9</v>
      </c>
      <c r="AF72" s="75">
        <v>5.9</v>
      </c>
      <c r="AG72" s="65">
        <v>14</v>
      </c>
      <c r="AH72" s="48">
        <f t="shared" si="10"/>
        <v>5.9</v>
      </c>
      <c r="AI72" s="49">
        <f t="shared" si="11"/>
        <v>4.9000000000000004</v>
      </c>
      <c r="AK72" s="51"/>
      <c r="AY72" s="1" t="s">
        <v>94</v>
      </c>
      <c r="AZ72" s="81">
        <f>ROUND(C85,0)</f>
        <v>80</v>
      </c>
      <c r="BA72" s="80">
        <f t="shared" si="44"/>
        <v>85</v>
      </c>
      <c r="BB72" s="80">
        <f t="shared" si="44"/>
        <v>86.4</v>
      </c>
      <c r="BC72" s="80">
        <f t="shared" si="44"/>
        <v>86.9</v>
      </c>
      <c r="BD72" s="80">
        <f t="shared" si="44"/>
        <v>89</v>
      </c>
      <c r="BE72" s="81">
        <f t="shared" si="46"/>
        <v>92</v>
      </c>
      <c r="BF72" s="81">
        <f t="shared" si="47"/>
        <v>102.3</v>
      </c>
      <c r="BG72" s="81">
        <f t="shared" si="45"/>
        <v>136</v>
      </c>
      <c r="BH72" s="81">
        <f t="shared" si="45"/>
        <v>113</v>
      </c>
      <c r="BI72" s="81">
        <f t="shared" si="45"/>
        <v>137</v>
      </c>
      <c r="BJ72" s="81">
        <f t="shared" si="45"/>
        <v>138.9</v>
      </c>
      <c r="BK72" s="81">
        <f t="shared" si="45"/>
        <v>138.9</v>
      </c>
      <c r="BL72" s="81">
        <f t="shared" si="45"/>
        <v>136</v>
      </c>
      <c r="BM72" s="81">
        <f t="shared" si="45"/>
        <v>120.2</v>
      </c>
      <c r="BN72" s="81">
        <f t="shared" si="45"/>
        <v>125.1</v>
      </c>
      <c r="BO72" s="81">
        <f t="shared" si="45"/>
        <v>0</v>
      </c>
      <c r="BP72" s="81">
        <f t="shared" si="45"/>
        <v>0</v>
      </c>
      <c r="BQ72" s="81">
        <f t="shared" si="48"/>
        <v>59.8</v>
      </c>
      <c r="BR72" s="81">
        <f t="shared" si="49"/>
        <v>0</v>
      </c>
      <c r="BS72" s="80">
        <f t="shared" si="50"/>
        <v>17</v>
      </c>
      <c r="BT72" s="80">
        <f t="shared" si="51"/>
        <v>63.5</v>
      </c>
      <c r="BU72" s="80">
        <f t="shared" si="51"/>
        <v>67.900000000000006</v>
      </c>
      <c r="BV72" s="80">
        <f t="shared" si="51"/>
        <v>122.5</v>
      </c>
      <c r="BW72" s="80">
        <f t="shared" si="52"/>
        <v>0</v>
      </c>
    </row>
    <row r="73" spans="1:75" x14ac:dyDescent="0.25">
      <c r="A73" s="64" t="s">
        <v>95</v>
      </c>
      <c r="B73" s="75">
        <v>3.7</v>
      </c>
      <c r="C73" s="75">
        <v>3.7</v>
      </c>
      <c r="D73" s="75">
        <v>3.7</v>
      </c>
      <c r="E73" s="75">
        <v>3.7</v>
      </c>
      <c r="F73" s="75">
        <v>3.7</v>
      </c>
      <c r="G73" s="75">
        <v>3.7</v>
      </c>
      <c r="H73" s="75">
        <v>3.7</v>
      </c>
      <c r="I73" s="75">
        <v>3.7</v>
      </c>
      <c r="J73" s="75">
        <v>3.1</v>
      </c>
      <c r="K73" s="75">
        <v>3.1</v>
      </c>
      <c r="L73" s="75">
        <v>3.1</v>
      </c>
      <c r="M73" s="75">
        <v>3.1</v>
      </c>
      <c r="N73" s="75">
        <v>3.1</v>
      </c>
      <c r="O73" s="75">
        <v>3.1</v>
      </c>
      <c r="P73" s="75">
        <v>3.1</v>
      </c>
      <c r="Q73" s="75">
        <v>3.1</v>
      </c>
      <c r="R73" s="75">
        <v>3.1</v>
      </c>
      <c r="S73" s="75">
        <v>3.1</v>
      </c>
      <c r="T73" s="75">
        <v>3.1</v>
      </c>
      <c r="U73" s="75"/>
      <c r="V73" s="75"/>
      <c r="W73" s="75"/>
      <c r="X73" s="75">
        <v>3.1</v>
      </c>
      <c r="Y73" s="75">
        <v>3.1</v>
      </c>
      <c r="Z73" s="75">
        <v>3.1</v>
      </c>
      <c r="AA73" s="75">
        <v>3.1</v>
      </c>
      <c r="AB73" s="75">
        <v>3.1</v>
      </c>
      <c r="AC73" s="75">
        <v>3.1</v>
      </c>
      <c r="AD73" s="75">
        <v>3.1</v>
      </c>
      <c r="AE73" s="75">
        <v>3.1</v>
      </c>
      <c r="AF73" s="75">
        <v>3.1</v>
      </c>
      <c r="AG73" s="65">
        <v>10.050000000000001</v>
      </c>
      <c r="AH73" s="48">
        <f t="shared" si="10"/>
        <v>3.7</v>
      </c>
      <c r="AI73" s="49">
        <f t="shared" si="11"/>
        <v>3.1</v>
      </c>
      <c r="AK73" s="51"/>
      <c r="AY73" s="1" t="s">
        <v>96</v>
      </c>
      <c r="AZ73" s="81">
        <f>ROUND(C91,0)</f>
        <v>55</v>
      </c>
      <c r="BA73" s="81">
        <f>D91</f>
        <v>55</v>
      </c>
      <c r="BB73" s="81">
        <f>E91</f>
        <v>55.5</v>
      </c>
      <c r="BC73" s="81">
        <f>F91</f>
        <v>55.5</v>
      </c>
      <c r="BD73" s="81">
        <f>G91</f>
        <v>55.5</v>
      </c>
      <c r="BE73" s="81">
        <f>I91</f>
        <v>55.5</v>
      </c>
      <c r="BF73" s="81">
        <f>K91</f>
        <v>49.3</v>
      </c>
      <c r="BG73" s="81">
        <f t="shared" ref="BG73:BP73" si="53">M91</f>
        <v>55</v>
      </c>
      <c r="BH73" s="81">
        <f t="shared" si="53"/>
        <v>55.5</v>
      </c>
      <c r="BI73" s="81">
        <f t="shared" si="53"/>
        <v>55</v>
      </c>
      <c r="BJ73" s="81">
        <f t="shared" si="53"/>
        <v>55.5</v>
      </c>
      <c r="BK73" s="81">
        <f t="shared" si="53"/>
        <v>55.5</v>
      </c>
      <c r="BL73" s="81">
        <f t="shared" si="53"/>
        <v>55</v>
      </c>
      <c r="BM73" s="81">
        <f t="shared" si="53"/>
        <v>55.5</v>
      </c>
      <c r="BN73" s="81">
        <f t="shared" si="53"/>
        <v>55.5</v>
      </c>
      <c r="BO73" s="81">
        <f t="shared" si="53"/>
        <v>0</v>
      </c>
      <c r="BP73" s="81">
        <f t="shared" si="53"/>
        <v>0</v>
      </c>
      <c r="BQ73" s="81">
        <f>X91</f>
        <v>45.5</v>
      </c>
      <c r="BR73" s="81">
        <f>Z91</f>
        <v>44</v>
      </c>
      <c r="BS73" s="81">
        <f>AB91</f>
        <v>42</v>
      </c>
      <c r="BT73" s="81">
        <f>AD91</f>
        <v>42</v>
      </c>
      <c r="BU73" s="81">
        <f>AE91</f>
        <v>42</v>
      </c>
      <c r="BV73" s="81">
        <f>AF91</f>
        <v>43.7</v>
      </c>
      <c r="BW73" s="81">
        <f>B91</f>
        <v>55</v>
      </c>
    </row>
    <row r="74" spans="1:75" x14ac:dyDescent="0.25">
      <c r="A74" s="64" t="s">
        <v>97</v>
      </c>
      <c r="B74" s="75">
        <v>2</v>
      </c>
      <c r="C74" s="75">
        <v>2</v>
      </c>
      <c r="D74" s="75">
        <v>2</v>
      </c>
      <c r="E74" s="75">
        <v>2</v>
      </c>
      <c r="F74" s="75">
        <v>2</v>
      </c>
      <c r="G74" s="75">
        <v>2</v>
      </c>
      <c r="H74" s="75">
        <v>2</v>
      </c>
      <c r="I74" s="75">
        <v>2</v>
      </c>
      <c r="J74" s="75">
        <v>2</v>
      </c>
      <c r="K74" s="75">
        <v>2</v>
      </c>
      <c r="L74" s="75">
        <v>2</v>
      </c>
      <c r="M74" s="75">
        <v>2</v>
      </c>
      <c r="N74" s="75">
        <v>2</v>
      </c>
      <c r="O74" s="75">
        <v>2</v>
      </c>
      <c r="P74" s="75">
        <v>2</v>
      </c>
      <c r="Q74" s="75">
        <v>2</v>
      </c>
      <c r="R74" s="75">
        <v>2</v>
      </c>
      <c r="S74" s="75">
        <v>2</v>
      </c>
      <c r="T74" s="75">
        <v>2</v>
      </c>
      <c r="U74" s="75"/>
      <c r="V74" s="75"/>
      <c r="W74" s="75"/>
      <c r="X74" s="75">
        <v>2</v>
      </c>
      <c r="Y74" s="75">
        <v>2</v>
      </c>
      <c r="Z74" s="75">
        <v>2</v>
      </c>
      <c r="AA74" s="75">
        <v>2</v>
      </c>
      <c r="AB74" s="75">
        <v>2</v>
      </c>
      <c r="AC74" s="75">
        <v>2</v>
      </c>
      <c r="AD74" s="75">
        <v>2</v>
      </c>
      <c r="AE74" s="75">
        <v>2</v>
      </c>
      <c r="AF74" s="75">
        <v>2</v>
      </c>
      <c r="AG74" s="65">
        <v>6.2</v>
      </c>
      <c r="AH74" s="48">
        <f t="shared" si="10"/>
        <v>2</v>
      </c>
      <c r="AI74" s="49">
        <f t="shared" si="11"/>
        <v>2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</row>
    <row r="75" spans="1:75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/>
      <c r="W75" s="84">
        <v>3.54</v>
      </c>
      <c r="X75" s="84">
        <v>3.54</v>
      </c>
      <c r="Y75" s="84">
        <v>3.54</v>
      </c>
      <c r="Z75" s="84">
        <v>3.54</v>
      </c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10"/>
        <v>3.54</v>
      </c>
      <c r="AI75" s="49">
        <f t="shared" si="11"/>
        <v>3.54</v>
      </c>
      <c r="AK75" s="51"/>
      <c r="AZ75" s="81">
        <f>VALUE(AZ68)</f>
        <v>29</v>
      </c>
      <c r="BA75" s="81">
        <f t="shared" ref="BA75:BW75" si="54">VALUE(BA68)</f>
        <v>30</v>
      </c>
      <c r="BB75" s="81">
        <f t="shared" si="54"/>
        <v>31.1</v>
      </c>
      <c r="BC75" s="81">
        <f t="shared" si="54"/>
        <v>31.2</v>
      </c>
      <c r="BD75" s="81">
        <f t="shared" si="54"/>
        <v>32</v>
      </c>
      <c r="BE75" s="81">
        <f t="shared" si="54"/>
        <v>35.299999999999997</v>
      </c>
      <c r="BF75" s="81">
        <f t="shared" si="54"/>
        <v>42.6</v>
      </c>
      <c r="BG75" s="81">
        <f t="shared" si="54"/>
        <v>69.2</v>
      </c>
      <c r="BH75" s="81">
        <f t="shared" si="54"/>
        <v>71.400000000000006</v>
      </c>
      <c r="BI75" s="81">
        <f t="shared" si="54"/>
        <v>70.7</v>
      </c>
      <c r="BJ75" s="81">
        <f t="shared" si="54"/>
        <v>63.4</v>
      </c>
      <c r="BK75" s="81">
        <f t="shared" si="54"/>
        <v>63.4</v>
      </c>
      <c r="BL75" s="81">
        <f t="shared" si="54"/>
        <v>65</v>
      </c>
      <c r="BM75" s="81">
        <f t="shared" si="54"/>
        <v>75.8</v>
      </c>
      <c r="BN75" s="81">
        <f t="shared" si="54"/>
        <v>76.3</v>
      </c>
      <c r="BO75" s="81">
        <f t="shared" si="54"/>
        <v>0</v>
      </c>
      <c r="BP75" s="81">
        <f t="shared" si="54"/>
        <v>0</v>
      </c>
      <c r="BQ75" s="81">
        <f t="shared" si="54"/>
        <v>57.8</v>
      </c>
      <c r="BR75" s="81">
        <f t="shared" si="54"/>
        <v>16.3</v>
      </c>
      <c r="BS75" s="81">
        <f t="shared" si="54"/>
        <v>34.1</v>
      </c>
      <c r="BT75" s="81">
        <f t="shared" si="54"/>
        <v>25.6</v>
      </c>
      <c r="BU75" s="81">
        <f t="shared" si="54"/>
        <v>36.6</v>
      </c>
      <c r="BV75" s="81">
        <f t="shared" si="54"/>
        <v>32.4</v>
      </c>
      <c r="BW75" s="81">
        <f t="shared" si="54"/>
        <v>29</v>
      </c>
    </row>
    <row r="76" spans="1:75" ht="15.75" thickBot="1" x14ac:dyDescent="0.3">
      <c r="A76" s="86" t="s">
        <v>99</v>
      </c>
      <c r="B76" s="70">
        <f t="shared" ref="B76:C76" si="55">SUM(B63:B75)</f>
        <v>197.94</v>
      </c>
      <c r="C76" s="70">
        <f t="shared" si="55"/>
        <v>124.94000000000001</v>
      </c>
      <c r="D76" s="70">
        <f t="shared" ref="D76" si="56">SUM(D63:D75)</f>
        <v>115.94000000000001</v>
      </c>
      <c r="E76" s="70">
        <f t="shared" ref="E76:AG76" si="57">SUM(E63:E75)</f>
        <v>116.74000000000001</v>
      </c>
      <c r="F76" s="70">
        <f t="shared" si="57"/>
        <v>116.74000000000001</v>
      </c>
      <c r="G76" s="70">
        <f t="shared" si="57"/>
        <v>142.73999999999998</v>
      </c>
      <c r="H76" s="70">
        <f t="shared" si="57"/>
        <v>172.93999999999997</v>
      </c>
      <c r="I76" s="70">
        <f t="shared" si="57"/>
        <v>161.93999999999997</v>
      </c>
      <c r="J76" s="70">
        <f t="shared" si="57"/>
        <v>138.33999999999997</v>
      </c>
      <c r="K76" s="70">
        <f t="shared" si="57"/>
        <v>179.73999999999998</v>
      </c>
      <c r="L76" s="70">
        <f t="shared" si="57"/>
        <v>191.54</v>
      </c>
      <c r="M76" s="70">
        <f t="shared" si="57"/>
        <v>193.54</v>
      </c>
      <c r="N76" s="70">
        <f t="shared" si="57"/>
        <v>203.43999999999997</v>
      </c>
      <c r="O76" s="70">
        <f t="shared" si="57"/>
        <v>212.64</v>
      </c>
      <c r="P76" s="70">
        <f t="shared" ref="P76" si="58">SUM(P63:P75)</f>
        <v>227.33999999999997</v>
      </c>
      <c r="Q76" s="70">
        <f t="shared" si="57"/>
        <v>227.33999999999997</v>
      </c>
      <c r="R76" s="70">
        <f t="shared" si="57"/>
        <v>215.94</v>
      </c>
      <c r="S76" s="70">
        <f t="shared" ref="S76:T76" si="59">SUM(S63:S75)</f>
        <v>214.34</v>
      </c>
      <c r="T76" s="70">
        <f t="shared" si="59"/>
        <v>193.34</v>
      </c>
      <c r="U76" s="70">
        <f t="shared" si="57"/>
        <v>3.54</v>
      </c>
      <c r="V76" s="70"/>
      <c r="W76" s="70">
        <f t="shared" si="57"/>
        <v>3.54</v>
      </c>
      <c r="X76" s="70">
        <f t="shared" si="57"/>
        <v>129.13999999999999</v>
      </c>
      <c r="Y76" s="70">
        <f t="shared" ref="Y76:Z76" si="60">SUM(Y63:Y75)</f>
        <v>362.44000000000005</v>
      </c>
      <c r="Z76" s="70">
        <f t="shared" si="60"/>
        <v>363.24000000000007</v>
      </c>
      <c r="AA76" s="70">
        <f t="shared" ref="AA76" si="61">SUM(AA63:AA75)</f>
        <v>344.94000000000005</v>
      </c>
      <c r="AB76" s="70">
        <f t="shared" si="57"/>
        <v>281.34000000000003</v>
      </c>
      <c r="AC76" s="70">
        <f t="shared" si="57"/>
        <v>257.14</v>
      </c>
      <c r="AD76" s="70">
        <f t="shared" si="57"/>
        <v>246.74</v>
      </c>
      <c r="AE76" s="70">
        <f t="shared" si="57"/>
        <v>146.44</v>
      </c>
      <c r="AF76" s="70">
        <f t="shared" si="57"/>
        <v>149.33999999999997</v>
      </c>
      <c r="AG76" s="71">
        <f t="shared" si="57"/>
        <v>489.91</v>
      </c>
      <c r="AH76" s="48">
        <f t="shared" si="10"/>
        <v>363.24000000000007</v>
      </c>
      <c r="AI76" s="49">
        <f t="shared" si="11"/>
        <v>3.54</v>
      </c>
      <c r="AK76" s="51"/>
      <c r="AZ76" s="81">
        <f t="shared" ref="AZ76:BW80" si="62">VALUE(AZ69)</f>
        <v>170</v>
      </c>
      <c r="BA76" s="81">
        <f t="shared" si="62"/>
        <v>52</v>
      </c>
      <c r="BB76" s="81">
        <f t="shared" si="62"/>
        <v>49.4</v>
      </c>
      <c r="BC76" s="81">
        <f t="shared" si="62"/>
        <v>52.5</v>
      </c>
      <c r="BD76" s="81">
        <f t="shared" si="62"/>
        <v>59.3</v>
      </c>
      <c r="BE76" s="81">
        <f t="shared" si="62"/>
        <v>73.400000000000006</v>
      </c>
      <c r="BF76" s="81">
        <f t="shared" si="62"/>
        <v>114.3</v>
      </c>
      <c r="BG76" s="81">
        <f t="shared" si="62"/>
        <v>122.6</v>
      </c>
      <c r="BH76" s="81">
        <f t="shared" si="62"/>
        <v>124</v>
      </c>
      <c r="BI76" s="81">
        <f t="shared" si="62"/>
        <v>124</v>
      </c>
      <c r="BJ76" s="81">
        <f t="shared" si="62"/>
        <v>123.9</v>
      </c>
      <c r="BK76" s="81">
        <f t="shared" si="62"/>
        <v>123.9</v>
      </c>
      <c r="BL76" s="81">
        <f t="shared" si="62"/>
        <v>116</v>
      </c>
      <c r="BM76" s="81">
        <f t="shared" si="62"/>
        <v>122.8</v>
      </c>
      <c r="BN76" s="81">
        <f t="shared" si="62"/>
        <v>119.5</v>
      </c>
      <c r="BO76" s="81">
        <f t="shared" si="62"/>
        <v>0</v>
      </c>
      <c r="BP76" s="81">
        <f t="shared" si="62"/>
        <v>0</v>
      </c>
      <c r="BQ76" s="81">
        <f t="shared" si="62"/>
        <v>115.3</v>
      </c>
      <c r="BR76" s="81">
        <f t="shared" si="62"/>
        <v>0</v>
      </c>
      <c r="BS76" s="81">
        <f t="shared" si="62"/>
        <v>0</v>
      </c>
      <c r="BT76" s="81">
        <f t="shared" si="62"/>
        <v>0</v>
      </c>
      <c r="BU76" s="81">
        <f t="shared" si="62"/>
        <v>20</v>
      </c>
      <c r="BV76" s="81">
        <f t="shared" si="62"/>
        <v>24.3</v>
      </c>
      <c r="BW76" s="81">
        <f t="shared" si="62"/>
        <v>0</v>
      </c>
    </row>
    <row r="77" spans="1:75" x14ac:dyDescent="0.25">
      <c r="A77" s="45" t="s">
        <v>100</v>
      </c>
      <c r="B77" s="46">
        <v>59.3</v>
      </c>
      <c r="C77" s="46">
        <v>59.3</v>
      </c>
      <c r="D77" s="46">
        <v>59.3</v>
      </c>
      <c r="E77" s="46">
        <v>59.8</v>
      </c>
      <c r="F77" s="46">
        <v>59.8</v>
      </c>
      <c r="G77" s="46">
        <v>59.8</v>
      </c>
      <c r="H77" s="46">
        <v>59.8</v>
      </c>
      <c r="I77" s="46">
        <v>59.8</v>
      </c>
      <c r="J77" s="46">
        <v>29.5</v>
      </c>
      <c r="K77" s="46">
        <v>39</v>
      </c>
      <c r="L77" s="46">
        <v>35</v>
      </c>
      <c r="M77" s="46">
        <v>58</v>
      </c>
      <c r="N77" s="46">
        <v>59.2</v>
      </c>
      <c r="O77" s="46">
        <v>59.2</v>
      </c>
      <c r="P77" s="46">
        <v>59.6</v>
      </c>
      <c r="Q77" s="46">
        <v>59.6</v>
      </c>
      <c r="R77" s="46">
        <v>59.6</v>
      </c>
      <c r="S77" s="46">
        <v>59.8</v>
      </c>
      <c r="T77" s="46">
        <v>59.9</v>
      </c>
      <c r="U77" s="46"/>
      <c r="V77" s="46"/>
      <c r="W77" s="46"/>
      <c r="X77" s="46">
        <v>0</v>
      </c>
      <c r="Y77" s="46">
        <v>59.5</v>
      </c>
      <c r="Z77" s="46">
        <v>0</v>
      </c>
      <c r="AA77" s="46">
        <v>59.9</v>
      </c>
      <c r="AB77" s="46">
        <v>60</v>
      </c>
      <c r="AC77" s="46">
        <v>59.9</v>
      </c>
      <c r="AD77" s="46">
        <v>59.9</v>
      </c>
      <c r="AE77" s="46">
        <v>60</v>
      </c>
      <c r="AF77" s="46">
        <v>59.9</v>
      </c>
      <c r="AG77" s="60">
        <v>60</v>
      </c>
      <c r="AH77" s="48">
        <f t="shared" si="10"/>
        <v>60</v>
      </c>
      <c r="AI77" s="49">
        <f t="shared" si="11"/>
        <v>0</v>
      </c>
      <c r="AK77" s="51"/>
      <c r="AZ77" s="81">
        <f t="shared" si="62"/>
        <v>0</v>
      </c>
      <c r="BA77" s="81">
        <f t="shared" si="62"/>
        <v>40</v>
      </c>
      <c r="BB77" s="81">
        <f t="shared" si="62"/>
        <v>53.7</v>
      </c>
      <c r="BC77" s="81">
        <f t="shared" si="62"/>
        <v>52.1</v>
      </c>
      <c r="BD77" s="81">
        <f t="shared" si="62"/>
        <v>66</v>
      </c>
      <c r="BE77" s="81">
        <f t="shared" si="62"/>
        <v>0</v>
      </c>
      <c r="BF77" s="81">
        <f t="shared" si="62"/>
        <v>438</v>
      </c>
      <c r="BG77" s="81">
        <f t="shared" si="62"/>
        <v>495</v>
      </c>
      <c r="BH77" s="81">
        <f t="shared" si="62"/>
        <v>475</v>
      </c>
      <c r="BI77" s="81">
        <f t="shared" si="62"/>
        <v>470</v>
      </c>
      <c r="BJ77" s="81">
        <f t="shared" si="62"/>
        <v>490</v>
      </c>
      <c r="BK77" s="81">
        <f t="shared" si="62"/>
        <v>490</v>
      </c>
      <c r="BL77" s="81">
        <f t="shared" si="62"/>
        <v>488</v>
      </c>
      <c r="BM77" s="81">
        <f t="shared" si="62"/>
        <v>493.3</v>
      </c>
      <c r="BN77" s="81">
        <f t="shared" si="62"/>
        <v>489.9</v>
      </c>
      <c r="BO77" s="81">
        <f t="shared" si="62"/>
        <v>0</v>
      </c>
      <c r="BP77" s="81">
        <f t="shared" si="62"/>
        <v>0</v>
      </c>
      <c r="BQ77" s="81">
        <f t="shared" si="62"/>
        <v>363.5</v>
      </c>
      <c r="BR77" s="81">
        <f t="shared" si="62"/>
        <v>68.7</v>
      </c>
      <c r="BS77" s="81">
        <f t="shared" si="62"/>
        <v>39</v>
      </c>
      <c r="BT77" s="81">
        <f t="shared" si="62"/>
        <v>32.200000000000003</v>
      </c>
      <c r="BU77" s="81">
        <f t="shared" si="62"/>
        <v>50.6</v>
      </c>
      <c r="BV77" s="81">
        <f t="shared" si="62"/>
        <v>47.2</v>
      </c>
      <c r="BW77" s="81">
        <f t="shared" si="62"/>
        <v>110</v>
      </c>
    </row>
    <row r="78" spans="1:75" x14ac:dyDescent="0.25">
      <c r="A78" s="64" t="s">
        <v>101</v>
      </c>
      <c r="B78" s="75">
        <v>27.7</v>
      </c>
      <c r="C78" s="75">
        <v>27.7</v>
      </c>
      <c r="D78" s="75">
        <v>27.7</v>
      </c>
      <c r="E78" s="75">
        <v>26.8</v>
      </c>
      <c r="F78" s="75">
        <v>26.8</v>
      </c>
      <c r="G78" s="75">
        <v>26.8</v>
      </c>
      <c r="H78" s="75">
        <v>26.8</v>
      </c>
      <c r="I78" s="75">
        <v>26.8</v>
      </c>
      <c r="J78" s="75">
        <v>15.8</v>
      </c>
      <c r="K78" s="75">
        <v>17.3</v>
      </c>
      <c r="L78" s="75">
        <v>9.8000000000000007</v>
      </c>
      <c r="M78" s="75">
        <v>13</v>
      </c>
      <c r="N78" s="75">
        <v>26.4</v>
      </c>
      <c r="O78" s="75">
        <v>26.4</v>
      </c>
      <c r="P78" s="75">
        <v>28.6</v>
      </c>
      <c r="Q78" s="75">
        <v>28.6</v>
      </c>
      <c r="R78" s="75">
        <v>28.6</v>
      </c>
      <c r="S78" s="75">
        <v>27.6</v>
      </c>
      <c r="T78" s="75">
        <v>27.6</v>
      </c>
      <c r="U78" s="75"/>
      <c r="V78" s="75"/>
      <c r="W78" s="75"/>
      <c r="X78" s="75">
        <v>0</v>
      </c>
      <c r="Y78" s="75">
        <v>27.3</v>
      </c>
      <c r="Z78" s="75">
        <v>0</v>
      </c>
      <c r="AA78" s="75">
        <v>27.1</v>
      </c>
      <c r="AB78" s="75">
        <v>27.9</v>
      </c>
      <c r="AC78" s="75">
        <v>27.9</v>
      </c>
      <c r="AD78" s="75">
        <v>27.9</v>
      </c>
      <c r="AE78" s="75">
        <v>27.9</v>
      </c>
      <c r="AF78" s="75">
        <v>27.8</v>
      </c>
      <c r="AG78" s="65">
        <v>32</v>
      </c>
      <c r="AH78" s="48">
        <f t="shared" si="10"/>
        <v>28.6</v>
      </c>
      <c r="AI78" s="49">
        <f t="shared" si="11"/>
        <v>0</v>
      </c>
      <c r="AK78" s="51"/>
      <c r="AZ78" s="81">
        <f t="shared" si="62"/>
        <v>35</v>
      </c>
      <c r="BA78" s="81">
        <f t="shared" si="62"/>
        <v>34</v>
      </c>
      <c r="BB78" s="81">
        <f t="shared" si="62"/>
        <v>38</v>
      </c>
      <c r="BC78" s="81">
        <f t="shared" si="62"/>
        <v>41.5</v>
      </c>
      <c r="BD78" s="81">
        <f t="shared" si="62"/>
        <v>42.7</v>
      </c>
      <c r="BE78" s="81">
        <f t="shared" si="62"/>
        <v>45.1</v>
      </c>
      <c r="BF78" s="81">
        <f t="shared" si="62"/>
        <v>49.2</v>
      </c>
      <c r="BG78" s="81">
        <f t="shared" si="62"/>
        <v>60.1</v>
      </c>
      <c r="BH78" s="81">
        <f t="shared" si="62"/>
        <v>56.8</v>
      </c>
      <c r="BI78" s="81">
        <f t="shared" si="62"/>
        <v>56</v>
      </c>
      <c r="BJ78" s="81">
        <f t="shared" si="62"/>
        <v>56</v>
      </c>
      <c r="BK78" s="81">
        <f t="shared" si="62"/>
        <v>56</v>
      </c>
      <c r="BL78" s="81">
        <f t="shared" si="62"/>
        <v>52</v>
      </c>
      <c r="BM78" s="81">
        <f t="shared" si="62"/>
        <v>52.2</v>
      </c>
      <c r="BN78" s="81">
        <f t="shared" si="62"/>
        <v>53.6</v>
      </c>
      <c r="BO78" s="81">
        <f t="shared" si="62"/>
        <v>0</v>
      </c>
      <c r="BP78" s="81">
        <f t="shared" si="62"/>
        <v>0</v>
      </c>
      <c r="BQ78" s="81">
        <f t="shared" si="62"/>
        <v>0</v>
      </c>
      <c r="BR78" s="81">
        <f t="shared" si="62"/>
        <v>0</v>
      </c>
      <c r="BS78" s="81">
        <f t="shared" si="62"/>
        <v>19</v>
      </c>
      <c r="BT78" s="81">
        <f t="shared" si="62"/>
        <v>19</v>
      </c>
      <c r="BU78" s="81">
        <f t="shared" si="62"/>
        <v>53.6</v>
      </c>
      <c r="BV78" s="81">
        <f t="shared" si="62"/>
        <v>48</v>
      </c>
      <c r="BW78" s="81">
        <f t="shared" si="62"/>
        <v>15</v>
      </c>
    </row>
    <row r="79" spans="1:75" ht="15.75" thickBot="1" x14ac:dyDescent="0.3">
      <c r="A79" s="83" t="s">
        <v>102</v>
      </c>
      <c r="B79" s="77">
        <v>10.1</v>
      </c>
      <c r="C79" s="77">
        <v>10.1</v>
      </c>
      <c r="D79" s="77">
        <v>10.1</v>
      </c>
      <c r="E79" s="77">
        <v>9.8000000000000007</v>
      </c>
      <c r="F79" s="77">
        <v>9.8000000000000007</v>
      </c>
      <c r="G79" s="77">
        <v>9.8000000000000007</v>
      </c>
      <c r="H79" s="77">
        <v>9.8000000000000007</v>
      </c>
      <c r="I79" s="77">
        <v>9.8000000000000007</v>
      </c>
      <c r="J79" s="77">
        <v>5.8</v>
      </c>
      <c r="K79" s="77">
        <v>6.33</v>
      </c>
      <c r="L79" s="77">
        <v>3.6</v>
      </c>
      <c r="M79" s="77">
        <v>4.7</v>
      </c>
      <c r="N79" s="77">
        <v>9.6</v>
      </c>
      <c r="O79" s="77">
        <v>9.6</v>
      </c>
      <c r="P79" s="77">
        <v>10.4</v>
      </c>
      <c r="Q79" s="77">
        <v>10.4</v>
      </c>
      <c r="R79" s="77">
        <v>10.4</v>
      </c>
      <c r="S79" s="77">
        <v>10</v>
      </c>
      <c r="T79" s="77">
        <v>10.1</v>
      </c>
      <c r="U79" s="77"/>
      <c r="V79" s="77"/>
      <c r="W79" s="77"/>
      <c r="X79" s="77">
        <v>0</v>
      </c>
      <c r="Y79" s="77">
        <v>10</v>
      </c>
      <c r="Z79" s="77">
        <v>0</v>
      </c>
      <c r="AA79" s="77">
        <v>9.9</v>
      </c>
      <c r="AB79" s="77">
        <v>11.8</v>
      </c>
      <c r="AC79" s="77">
        <v>10.199999999999999</v>
      </c>
      <c r="AD79" s="77">
        <v>10.199999999999999</v>
      </c>
      <c r="AE79" s="77">
        <v>10.199999999999999</v>
      </c>
      <c r="AF79" s="77">
        <v>10.1</v>
      </c>
      <c r="AG79" s="78">
        <v>14</v>
      </c>
      <c r="AH79" s="48">
        <f t="shared" si="10"/>
        <v>11.8</v>
      </c>
      <c r="AI79" s="49">
        <f t="shared" si="11"/>
        <v>0</v>
      </c>
      <c r="AK79" s="51"/>
      <c r="AZ79" s="81">
        <f t="shared" si="62"/>
        <v>80</v>
      </c>
      <c r="BA79" s="81">
        <f t="shared" si="62"/>
        <v>85</v>
      </c>
      <c r="BB79" s="81">
        <f t="shared" si="62"/>
        <v>86.4</v>
      </c>
      <c r="BC79" s="81">
        <f t="shared" si="62"/>
        <v>86.9</v>
      </c>
      <c r="BD79" s="81">
        <f t="shared" si="62"/>
        <v>89</v>
      </c>
      <c r="BE79" s="81">
        <f t="shared" si="62"/>
        <v>92</v>
      </c>
      <c r="BF79" s="81">
        <f t="shared" si="62"/>
        <v>102.3</v>
      </c>
      <c r="BG79" s="81">
        <f t="shared" si="62"/>
        <v>136</v>
      </c>
      <c r="BH79" s="81">
        <f t="shared" si="62"/>
        <v>113</v>
      </c>
      <c r="BI79" s="81">
        <f t="shared" si="62"/>
        <v>137</v>
      </c>
      <c r="BJ79" s="81">
        <f t="shared" si="62"/>
        <v>138.9</v>
      </c>
      <c r="BK79" s="81">
        <f t="shared" si="62"/>
        <v>138.9</v>
      </c>
      <c r="BL79" s="81">
        <f t="shared" si="62"/>
        <v>136</v>
      </c>
      <c r="BM79" s="81">
        <f t="shared" si="62"/>
        <v>120.2</v>
      </c>
      <c r="BN79" s="81">
        <f t="shared" si="62"/>
        <v>125.1</v>
      </c>
      <c r="BO79" s="81">
        <f t="shared" si="62"/>
        <v>0</v>
      </c>
      <c r="BP79" s="81">
        <f t="shared" si="62"/>
        <v>0</v>
      </c>
      <c r="BQ79" s="81">
        <f t="shared" si="62"/>
        <v>59.8</v>
      </c>
      <c r="BR79" s="81">
        <f t="shared" si="62"/>
        <v>0</v>
      </c>
      <c r="BS79" s="81">
        <f t="shared" si="62"/>
        <v>17</v>
      </c>
      <c r="BT79" s="81">
        <f t="shared" si="62"/>
        <v>63.5</v>
      </c>
      <c r="BU79" s="81">
        <f t="shared" si="62"/>
        <v>67.900000000000006</v>
      </c>
      <c r="BV79" s="81">
        <f t="shared" si="62"/>
        <v>122.5</v>
      </c>
      <c r="BW79" s="81">
        <f t="shared" si="62"/>
        <v>0</v>
      </c>
    </row>
    <row r="80" spans="1:75" ht="15.75" thickBot="1" x14ac:dyDescent="0.3">
      <c r="A80" s="86" t="s">
        <v>103</v>
      </c>
      <c r="B80" s="70">
        <f t="shared" ref="B80:C80" si="63">B77+B78+B79</f>
        <v>97.1</v>
      </c>
      <c r="C80" s="70">
        <f t="shared" si="63"/>
        <v>97.1</v>
      </c>
      <c r="D80" s="70">
        <f t="shared" ref="D80" si="64">D77+D78+D79</f>
        <v>97.1</v>
      </c>
      <c r="E80" s="70">
        <f t="shared" ref="E80:X80" si="65">E77+E78+E79</f>
        <v>96.399999999999991</v>
      </c>
      <c r="F80" s="70">
        <f t="shared" si="65"/>
        <v>96.399999999999991</v>
      </c>
      <c r="G80" s="70">
        <f t="shared" si="65"/>
        <v>96.399999999999991</v>
      </c>
      <c r="H80" s="70">
        <f t="shared" si="65"/>
        <v>96.399999999999991</v>
      </c>
      <c r="I80" s="70">
        <f t="shared" si="65"/>
        <v>96.399999999999991</v>
      </c>
      <c r="J80" s="70">
        <f t="shared" si="65"/>
        <v>51.099999999999994</v>
      </c>
      <c r="K80" s="70">
        <f t="shared" si="65"/>
        <v>62.629999999999995</v>
      </c>
      <c r="L80" s="70">
        <f t="shared" si="65"/>
        <v>48.4</v>
      </c>
      <c r="M80" s="70">
        <f t="shared" si="65"/>
        <v>75.7</v>
      </c>
      <c r="N80" s="70">
        <f t="shared" si="65"/>
        <v>95.199999999999989</v>
      </c>
      <c r="O80" s="70">
        <f t="shared" si="65"/>
        <v>95.199999999999989</v>
      </c>
      <c r="P80" s="70">
        <f t="shared" ref="P80" si="66">P77+P78+P79</f>
        <v>98.600000000000009</v>
      </c>
      <c r="Q80" s="70">
        <f t="shared" si="65"/>
        <v>98.600000000000009</v>
      </c>
      <c r="R80" s="70">
        <f t="shared" si="65"/>
        <v>98.600000000000009</v>
      </c>
      <c r="S80" s="70">
        <f t="shared" ref="S80:T80" si="67">S77+S78+S79</f>
        <v>97.4</v>
      </c>
      <c r="T80" s="70">
        <f t="shared" si="67"/>
        <v>97.6</v>
      </c>
      <c r="U80" s="70">
        <f t="shared" si="65"/>
        <v>0</v>
      </c>
      <c r="V80" s="70"/>
      <c r="W80" s="70">
        <f t="shared" si="65"/>
        <v>0</v>
      </c>
      <c r="X80" s="70">
        <f t="shared" si="65"/>
        <v>0</v>
      </c>
      <c r="Y80" s="70">
        <f t="shared" ref="Y80:Z80" si="68">Y77+Y78+Y79</f>
        <v>96.8</v>
      </c>
      <c r="Z80" s="70">
        <f t="shared" si="68"/>
        <v>0</v>
      </c>
      <c r="AA80" s="70">
        <f t="shared" ref="AA80:AF80" si="69">AA77+AA78+AA79</f>
        <v>96.9</v>
      </c>
      <c r="AB80" s="70">
        <f t="shared" si="69"/>
        <v>99.7</v>
      </c>
      <c r="AC80" s="70">
        <f t="shared" si="69"/>
        <v>98</v>
      </c>
      <c r="AD80" s="70">
        <f t="shared" si="69"/>
        <v>98</v>
      </c>
      <c r="AE80" s="70">
        <f t="shared" si="69"/>
        <v>98.100000000000009</v>
      </c>
      <c r="AF80" s="70">
        <f t="shared" si="69"/>
        <v>97.8</v>
      </c>
      <c r="AG80" s="71">
        <f>SUM(AG77:AG79)</f>
        <v>106</v>
      </c>
      <c r="AH80" s="48">
        <f t="shared" si="10"/>
        <v>99.7</v>
      </c>
      <c r="AI80" s="49">
        <f t="shared" si="11"/>
        <v>0</v>
      </c>
      <c r="AK80" s="51"/>
      <c r="AZ80" s="81">
        <f t="shared" si="62"/>
        <v>55</v>
      </c>
      <c r="BA80" s="81">
        <f t="shared" si="62"/>
        <v>55</v>
      </c>
      <c r="BB80" s="81">
        <f t="shared" si="62"/>
        <v>55.5</v>
      </c>
      <c r="BC80" s="81">
        <f t="shared" si="62"/>
        <v>55.5</v>
      </c>
      <c r="BD80" s="81">
        <f t="shared" si="62"/>
        <v>55.5</v>
      </c>
      <c r="BE80" s="81">
        <f t="shared" si="62"/>
        <v>55.5</v>
      </c>
      <c r="BF80" s="81">
        <f t="shared" si="62"/>
        <v>49.3</v>
      </c>
      <c r="BG80" s="81">
        <f t="shared" si="62"/>
        <v>55</v>
      </c>
      <c r="BH80" s="81">
        <f t="shared" si="62"/>
        <v>55.5</v>
      </c>
      <c r="BI80" s="81">
        <f t="shared" si="62"/>
        <v>55</v>
      </c>
      <c r="BJ80" s="81">
        <f t="shared" si="62"/>
        <v>55.5</v>
      </c>
      <c r="BK80" s="81">
        <f t="shared" si="62"/>
        <v>55.5</v>
      </c>
      <c r="BL80" s="81">
        <f t="shared" si="62"/>
        <v>55</v>
      </c>
      <c r="BM80" s="81">
        <f t="shared" si="62"/>
        <v>55.5</v>
      </c>
      <c r="BN80" s="81">
        <f t="shared" si="62"/>
        <v>55.5</v>
      </c>
      <c r="BO80" s="81">
        <f t="shared" si="62"/>
        <v>0</v>
      </c>
      <c r="BP80" s="81">
        <f t="shared" si="62"/>
        <v>0</v>
      </c>
      <c r="BQ80" s="81">
        <f t="shared" si="62"/>
        <v>45.5</v>
      </c>
      <c r="BR80" s="81">
        <f t="shared" si="62"/>
        <v>44</v>
      </c>
      <c r="BS80" s="81">
        <f t="shared" si="62"/>
        <v>42</v>
      </c>
      <c r="BT80" s="81">
        <f t="shared" si="62"/>
        <v>42</v>
      </c>
      <c r="BU80" s="81">
        <f t="shared" si="62"/>
        <v>42</v>
      </c>
      <c r="BV80" s="81">
        <f t="shared" si="62"/>
        <v>43.7</v>
      </c>
      <c r="BW80" s="81">
        <f t="shared" si="62"/>
        <v>55</v>
      </c>
    </row>
    <row r="81" spans="1:64" x14ac:dyDescent="0.25">
      <c r="A81" s="45" t="s">
        <v>104</v>
      </c>
      <c r="B81" s="46">
        <v>29</v>
      </c>
      <c r="C81" s="46">
        <v>29</v>
      </c>
      <c r="D81" s="46">
        <v>30</v>
      </c>
      <c r="E81" s="46">
        <v>31.1</v>
      </c>
      <c r="F81" s="46">
        <v>31.2</v>
      </c>
      <c r="G81" s="46">
        <v>32</v>
      </c>
      <c r="H81" s="46">
        <v>34.700000000000003</v>
      </c>
      <c r="I81" s="46">
        <v>35.299999999999997</v>
      </c>
      <c r="J81" s="46">
        <v>39.799999999999997</v>
      </c>
      <c r="K81" s="46">
        <v>42.6</v>
      </c>
      <c r="L81" s="46">
        <v>64.3</v>
      </c>
      <c r="M81" s="46">
        <v>69.2</v>
      </c>
      <c r="N81" s="46">
        <v>71.400000000000006</v>
      </c>
      <c r="O81" s="46">
        <v>70.7</v>
      </c>
      <c r="P81" s="46">
        <v>63.4</v>
      </c>
      <c r="Q81" s="46">
        <v>63.4</v>
      </c>
      <c r="R81" s="46">
        <v>65</v>
      </c>
      <c r="S81" s="46">
        <v>75.8</v>
      </c>
      <c r="T81" s="46">
        <v>76.3</v>
      </c>
      <c r="U81" s="46"/>
      <c r="V81" s="46"/>
      <c r="W81" s="46"/>
      <c r="X81" s="46">
        <v>57.8</v>
      </c>
      <c r="Y81" s="46">
        <v>9.3000000000000007</v>
      </c>
      <c r="Z81" s="46">
        <v>16.3</v>
      </c>
      <c r="AA81" s="46">
        <v>13.4</v>
      </c>
      <c r="AB81" s="46">
        <v>34.1</v>
      </c>
      <c r="AC81" s="46">
        <v>34.4</v>
      </c>
      <c r="AD81" s="46">
        <v>25.6</v>
      </c>
      <c r="AE81" s="46">
        <v>36.6</v>
      </c>
      <c r="AF81" s="46">
        <v>32.4</v>
      </c>
      <c r="AG81" s="60"/>
      <c r="AH81" s="48">
        <f t="shared" si="10"/>
        <v>76.3</v>
      </c>
      <c r="AI81" s="49">
        <f t="shared" si="11"/>
        <v>9.3000000000000007</v>
      </c>
      <c r="AK81" s="51"/>
      <c r="AY81" s="81"/>
    </row>
    <row r="82" spans="1:64" x14ac:dyDescent="0.25">
      <c r="A82" s="64" t="s">
        <v>105</v>
      </c>
      <c r="B82" s="75"/>
      <c r="C82" s="75">
        <v>170</v>
      </c>
      <c r="D82" s="75">
        <v>52</v>
      </c>
      <c r="E82" s="75">
        <v>49.4</v>
      </c>
      <c r="F82" s="75">
        <v>52.5</v>
      </c>
      <c r="G82" s="75">
        <v>59.3</v>
      </c>
      <c r="H82" s="75">
        <v>73.5</v>
      </c>
      <c r="I82" s="75">
        <v>73.400000000000006</v>
      </c>
      <c r="J82" s="75">
        <v>0</v>
      </c>
      <c r="K82" s="75">
        <v>114.3</v>
      </c>
      <c r="L82" s="75">
        <v>128</v>
      </c>
      <c r="M82" s="75">
        <v>122.6</v>
      </c>
      <c r="N82" s="75">
        <v>124</v>
      </c>
      <c r="O82" s="75">
        <v>124</v>
      </c>
      <c r="P82" s="75">
        <v>123.9</v>
      </c>
      <c r="Q82" s="75">
        <v>123.9</v>
      </c>
      <c r="R82" s="75">
        <v>116</v>
      </c>
      <c r="S82" s="75">
        <v>122.8</v>
      </c>
      <c r="T82" s="75">
        <v>119.5</v>
      </c>
      <c r="U82" s="75"/>
      <c r="V82" s="75"/>
      <c r="W82" s="75"/>
      <c r="X82" s="75">
        <v>115.3</v>
      </c>
      <c r="Y82" s="75">
        <v>0</v>
      </c>
      <c r="Z82" s="75">
        <v>0</v>
      </c>
      <c r="AA82" s="75">
        <v>0</v>
      </c>
      <c r="AB82" s="75">
        <v>0</v>
      </c>
      <c r="AC82" s="75">
        <v>0</v>
      </c>
      <c r="AD82" s="75">
        <v>0</v>
      </c>
      <c r="AE82" s="75">
        <v>20</v>
      </c>
      <c r="AF82" s="75">
        <v>24.3</v>
      </c>
      <c r="AG82" s="65"/>
      <c r="AH82" s="48">
        <f t="shared" ref="AH82:AH125" si="70">MAX(B82:AF82)</f>
        <v>170</v>
      </c>
      <c r="AI82" s="49">
        <f t="shared" ref="AI82:AI125" si="71">MIN(B82:AF82)</f>
        <v>0</v>
      </c>
      <c r="AK82" s="51"/>
      <c r="AY82" s="81"/>
      <c r="BF82" s="81"/>
      <c r="BG82" s="81"/>
      <c r="BH82" s="81"/>
      <c r="BI82" s="81"/>
      <c r="BJ82" s="81"/>
      <c r="BK82" s="81"/>
    </row>
    <row r="83" spans="1:64" x14ac:dyDescent="0.25">
      <c r="A83" s="64" t="s">
        <v>106</v>
      </c>
      <c r="B83" s="75">
        <v>110</v>
      </c>
      <c r="C83" s="75">
        <v>0</v>
      </c>
      <c r="D83" s="75">
        <v>40</v>
      </c>
      <c r="E83" s="75">
        <v>53.7</v>
      </c>
      <c r="F83" s="75">
        <v>52.1</v>
      </c>
      <c r="G83" s="75">
        <v>66</v>
      </c>
      <c r="H83" s="75">
        <v>57</v>
      </c>
      <c r="I83" s="75"/>
      <c r="J83" s="75">
        <v>471</v>
      </c>
      <c r="K83" s="75">
        <v>438</v>
      </c>
      <c r="L83" s="75">
        <v>463</v>
      </c>
      <c r="M83" s="75">
        <v>495</v>
      </c>
      <c r="N83" s="75">
        <v>475</v>
      </c>
      <c r="O83" s="75">
        <v>470</v>
      </c>
      <c r="P83" s="75">
        <v>490</v>
      </c>
      <c r="Q83" s="75">
        <v>490</v>
      </c>
      <c r="R83" s="75">
        <v>488</v>
      </c>
      <c r="S83" s="75">
        <v>493.3</v>
      </c>
      <c r="T83" s="75">
        <v>489.9</v>
      </c>
      <c r="U83" s="75"/>
      <c r="V83" s="75"/>
      <c r="W83" s="75"/>
      <c r="X83" s="75">
        <v>363.5</v>
      </c>
      <c r="Y83" s="75">
        <v>-14</v>
      </c>
      <c r="Z83" s="75">
        <v>68.7</v>
      </c>
      <c r="AA83" s="75">
        <v>50.4</v>
      </c>
      <c r="AB83" s="75">
        <v>39</v>
      </c>
      <c r="AC83" s="75">
        <v>38.9</v>
      </c>
      <c r="AD83" s="75">
        <v>32.200000000000003</v>
      </c>
      <c r="AE83" s="75">
        <v>50.6</v>
      </c>
      <c r="AF83" s="75">
        <v>47.2</v>
      </c>
      <c r="AG83" s="87"/>
      <c r="AH83" s="48">
        <f t="shared" si="70"/>
        <v>495</v>
      </c>
      <c r="AI83" s="49">
        <f t="shared" si="71"/>
        <v>-14</v>
      </c>
      <c r="AK83" s="51"/>
      <c r="AY83" s="81"/>
      <c r="BF83" s="80"/>
      <c r="BG83" s="80"/>
      <c r="BH83" s="80"/>
      <c r="BI83" s="80"/>
      <c r="BJ83" s="80"/>
      <c r="BK83" s="81"/>
    </row>
    <row r="84" spans="1:64" x14ac:dyDescent="0.25">
      <c r="A84" s="64" t="s">
        <v>107</v>
      </c>
      <c r="B84" s="75">
        <v>15</v>
      </c>
      <c r="C84" s="75">
        <v>35</v>
      </c>
      <c r="D84" s="75">
        <v>34</v>
      </c>
      <c r="E84" s="88">
        <v>38</v>
      </c>
      <c r="F84" s="88">
        <v>41.5</v>
      </c>
      <c r="G84" s="88">
        <v>42.7</v>
      </c>
      <c r="H84" s="88">
        <v>45</v>
      </c>
      <c r="I84" s="88">
        <v>45.1</v>
      </c>
      <c r="J84" s="88">
        <v>47.4</v>
      </c>
      <c r="K84" s="88">
        <v>49.2</v>
      </c>
      <c r="L84" s="88">
        <v>43.3</v>
      </c>
      <c r="M84" s="88">
        <v>60.1</v>
      </c>
      <c r="N84" s="88">
        <v>56.8</v>
      </c>
      <c r="O84" s="88">
        <v>56</v>
      </c>
      <c r="P84" s="88">
        <v>56</v>
      </c>
      <c r="Q84" s="88">
        <v>56</v>
      </c>
      <c r="R84" s="88">
        <v>52</v>
      </c>
      <c r="S84" s="88">
        <v>52.2</v>
      </c>
      <c r="T84" s="88">
        <v>53.6</v>
      </c>
      <c r="U84" s="88"/>
      <c r="V84" s="88"/>
      <c r="W84" s="88"/>
      <c r="X84" s="88">
        <v>0</v>
      </c>
      <c r="Y84" s="88">
        <v>0</v>
      </c>
      <c r="Z84" s="88">
        <v>0</v>
      </c>
      <c r="AA84" s="88">
        <v>0</v>
      </c>
      <c r="AB84" s="88">
        <v>19</v>
      </c>
      <c r="AC84" s="88">
        <v>22.2</v>
      </c>
      <c r="AD84" s="88">
        <v>19</v>
      </c>
      <c r="AE84" s="88">
        <v>53.6</v>
      </c>
      <c r="AF84" s="88">
        <v>48</v>
      </c>
      <c r="AG84" s="87"/>
      <c r="AH84" s="48">
        <f t="shared" si="70"/>
        <v>60.1</v>
      </c>
      <c r="AI84" s="49">
        <f t="shared" si="71"/>
        <v>0</v>
      </c>
      <c r="AK84" s="51"/>
      <c r="AY84" s="81"/>
      <c r="BF84" s="80"/>
      <c r="BG84" s="81">
        <f t="array" ref="BG84:BL107">TRANSPOSE(AZ68:BW73)</f>
        <v>29</v>
      </c>
      <c r="BH84" s="81">
        <v>170</v>
      </c>
      <c r="BI84" s="81">
        <v>0</v>
      </c>
      <c r="BJ84" s="81">
        <v>35</v>
      </c>
      <c r="BK84" s="81">
        <v>80</v>
      </c>
      <c r="BL84" s="81">
        <v>55</v>
      </c>
    </row>
    <row r="85" spans="1:64" x14ac:dyDescent="0.25">
      <c r="A85" s="64" t="s">
        <v>108</v>
      </c>
      <c r="B85" s="46"/>
      <c r="C85" s="46">
        <v>80</v>
      </c>
      <c r="D85" s="46">
        <v>85</v>
      </c>
      <c r="E85" s="46">
        <v>86.4</v>
      </c>
      <c r="F85" s="46">
        <v>86.9</v>
      </c>
      <c r="G85" s="46">
        <v>89</v>
      </c>
      <c r="H85" s="46">
        <v>91.4</v>
      </c>
      <c r="I85" s="46">
        <v>92</v>
      </c>
      <c r="J85" s="46">
        <v>90.4</v>
      </c>
      <c r="K85" s="46">
        <v>102.3</v>
      </c>
      <c r="L85" s="46">
        <v>108.2</v>
      </c>
      <c r="M85" s="46">
        <v>136</v>
      </c>
      <c r="N85" s="46">
        <v>113</v>
      </c>
      <c r="O85" s="46">
        <v>137</v>
      </c>
      <c r="P85" s="46">
        <v>138.9</v>
      </c>
      <c r="Q85" s="46">
        <v>138.9</v>
      </c>
      <c r="R85" s="46">
        <v>136</v>
      </c>
      <c r="S85" s="46">
        <v>120.2</v>
      </c>
      <c r="T85" s="46">
        <v>125.1</v>
      </c>
      <c r="U85" s="46"/>
      <c r="V85" s="46"/>
      <c r="W85" s="46"/>
      <c r="X85" s="46">
        <v>59.8</v>
      </c>
      <c r="Y85" s="46">
        <v>0</v>
      </c>
      <c r="Z85" s="46">
        <v>0</v>
      </c>
      <c r="AA85" s="46">
        <v>0</v>
      </c>
      <c r="AB85" s="46">
        <v>17</v>
      </c>
      <c r="AC85" s="46">
        <v>13.5</v>
      </c>
      <c r="AD85" s="46">
        <v>63.5</v>
      </c>
      <c r="AE85" s="46">
        <v>67.900000000000006</v>
      </c>
      <c r="AF85" s="46">
        <v>122.5</v>
      </c>
      <c r="AG85" s="87"/>
      <c r="AH85" s="48">
        <f t="shared" si="70"/>
        <v>138.9</v>
      </c>
      <c r="AI85" s="49">
        <f t="shared" si="71"/>
        <v>0</v>
      </c>
      <c r="AK85" s="51"/>
      <c r="AY85" s="81"/>
      <c r="BF85" s="80"/>
      <c r="BG85" s="81">
        <v>30</v>
      </c>
      <c r="BH85" s="81">
        <v>52</v>
      </c>
      <c r="BI85" s="81">
        <v>40</v>
      </c>
      <c r="BJ85" s="81">
        <v>34</v>
      </c>
      <c r="BK85" s="81">
        <v>85</v>
      </c>
      <c r="BL85" s="81">
        <v>55</v>
      </c>
    </row>
    <row r="86" spans="1:64" x14ac:dyDescent="0.25">
      <c r="A86" s="64" t="s">
        <v>109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7"/>
      <c r="AH86" s="48">
        <f t="shared" si="70"/>
        <v>0</v>
      </c>
      <c r="AI86" s="49">
        <f t="shared" si="71"/>
        <v>0</v>
      </c>
      <c r="AK86" s="51"/>
      <c r="AY86" s="81"/>
      <c r="BF86" s="80"/>
      <c r="BG86" s="81">
        <v>31.1</v>
      </c>
      <c r="BH86" s="81">
        <v>49.4</v>
      </c>
      <c r="BI86" s="81">
        <v>53.7</v>
      </c>
      <c r="BJ86" s="81">
        <v>38</v>
      </c>
      <c r="BK86" s="81">
        <v>86.4</v>
      </c>
      <c r="BL86" s="81">
        <v>55.5</v>
      </c>
    </row>
    <row r="87" spans="1:64" ht="15.75" thickBot="1" x14ac:dyDescent="0.3">
      <c r="A87" s="64" t="s">
        <v>110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7"/>
      <c r="AH87" s="48">
        <f t="shared" si="70"/>
        <v>0</v>
      </c>
      <c r="AI87" s="49">
        <f t="shared" si="71"/>
        <v>0</v>
      </c>
      <c r="AK87" s="51"/>
      <c r="AL87" s="90" t="s">
        <v>111</v>
      </c>
      <c r="AM87" s="90"/>
      <c r="AY87" s="81"/>
      <c r="BF87" s="81"/>
      <c r="BG87" s="81">
        <v>31.2</v>
      </c>
      <c r="BH87" s="81">
        <v>52.5</v>
      </c>
      <c r="BI87" s="81">
        <v>52.1</v>
      </c>
      <c r="BJ87" s="81">
        <v>41.5</v>
      </c>
      <c r="BK87" s="81">
        <v>86.9</v>
      </c>
      <c r="BL87" s="81">
        <v>55.5</v>
      </c>
    </row>
    <row r="88" spans="1:64" x14ac:dyDescent="0.25">
      <c r="A88" s="64" t="s">
        <v>112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7"/>
      <c r="AH88" s="48">
        <f t="shared" si="70"/>
        <v>0</v>
      </c>
      <c r="AI88" s="49">
        <f t="shared" si="71"/>
        <v>0</v>
      </c>
      <c r="AK88" s="91"/>
      <c r="AL88" s="92"/>
      <c r="AM88" s="92"/>
      <c r="AN88" s="93"/>
      <c r="AY88" s="81"/>
      <c r="BF88" s="81"/>
      <c r="BG88" s="81">
        <v>32</v>
      </c>
      <c r="BH88" s="81">
        <v>59.3</v>
      </c>
      <c r="BI88" s="81">
        <v>66</v>
      </c>
      <c r="BJ88" s="81">
        <v>42.7</v>
      </c>
      <c r="BK88" s="81">
        <v>89</v>
      </c>
      <c r="BL88" s="81">
        <v>55.5</v>
      </c>
    </row>
    <row r="89" spans="1:64" x14ac:dyDescent="0.25">
      <c r="A89" s="64" t="s">
        <v>113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7"/>
      <c r="AH89" s="48">
        <f t="shared" si="70"/>
        <v>0</v>
      </c>
      <c r="AI89" s="49">
        <f t="shared" si="71"/>
        <v>0</v>
      </c>
      <c r="AK89" s="94" t="s">
        <v>114</v>
      </c>
      <c r="AL89" s="75"/>
      <c r="AM89" s="88"/>
      <c r="AN89" s="95"/>
      <c r="AY89" s="81"/>
      <c r="BF89" s="81"/>
      <c r="BG89" s="81">
        <v>35.299999999999997</v>
      </c>
      <c r="BH89" s="81">
        <v>73.400000000000006</v>
      </c>
      <c r="BI89" s="81">
        <v>0</v>
      </c>
      <c r="BJ89" s="81">
        <v>45.1</v>
      </c>
      <c r="BK89" s="81">
        <v>92</v>
      </c>
      <c r="BL89" s="81">
        <v>55.5</v>
      </c>
    </row>
    <row r="90" spans="1:64" x14ac:dyDescent="0.25">
      <c r="A90" s="96" t="s">
        <v>115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97"/>
      <c r="AH90" s="48">
        <f t="shared" si="70"/>
        <v>0</v>
      </c>
      <c r="AI90" s="49">
        <f t="shared" si="71"/>
        <v>0</v>
      </c>
      <c r="AK90" s="94" t="s">
        <v>116</v>
      </c>
      <c r="AL90" s="88"/>
      <c r="AM90" s="88"/>
      <c r="AN90" s="95"/>
      <c r="AY90" s="81"/>
      <c r="BF90" s="81"/>
      <c r="BG90" s="81">
        <v>42.6</v>
      </c>
      <c r="BH90" s="81">
        <v>114.3</v>
      </c>
      <c r="BI90" s="81">
        <v>438</v>
      </c>
      <c r="BJ90" s="81">
        <v>49.2</v>
      </c>
      <c r="BK90" s="81">
        <v>102.3</v>
      </c>
      <c r="BL90" s="81">
        <v>49.3</v>
      </c>
    </row>
    <row r="91" spans="1:64" ht="15.75" thickBot="1" x14ac:dyDescent="0.3">
      <c r="A91" s="96" t="s">
        <v>117</v>
      </c>
      <c r="B91" s="89">
        <v>55</v>
      </c>
      <c r="C91" s="89">
        <v>55</v>
      </c>
      <c r="D91" s="89">
        <v>55</v>
      </c>
      <c r="E91" s="89">
        <v>55.5</v>
      </c>
      <c r="F91" s="89">
        <v>55.5</v>
      </c>
      <c r="G91" s="89">
        <v>55.5</v>
      </c>
      <c r="H91" s="89">
        <v>55.5</v>
      </c>
      <c r="I91" s="89">
        <v>55.5</v>
      </c>
      <c r="J91" s="89">
        <v>42</v>
      </c>
      <c r="K91" s="89">
        <v>49.3</v>
      </c>
      <c r="L91" s="89">
        <v>57</v>
      </c>
      <c r="M91" s="89">
        <v>55</v>
      </c>
      <c r="N91" s="89">
        <v>55.5</v>
      </c>
      <c r="O91" s="89">
        <v>55</v>
      </c>
      <c r="P91" s="89">
        <v>55.5</v>
      </c>
      <c r="Q91" s="89">
        <v>55.5</v>
      </c>
      <c r="R91" s="89">
        <v>55</v>
      </c>
      <c r="S91" s="89">
        <v>55.5</v>
      </c>
      <c r="T91" s="89">
        <v>55.5</v>
      </c>
      <c r="U91" s="89"/>
      <c r="V91" s="89"/>
      <c r="W91" s="89"/>
      <c r="X91" s="89">
        <v>45.5</v>
      </c>
      <c r="Y91" s="89">
        <v>42.9</v>
      </c>
      <c r="Z91" s="89">
        <v>44</v>
      </c>
      <c r="AA91" s="89">
        <v>55.5</v>
      </c>
      <c r="AB91" s="89">
        <v>42</v>
      </c>
      <c r="AC91" s="89">
        <v>42</v>
      </c>
      <c r="AD91" s="89">
        <v>42</v>
      </c>
      <c r="AE91" s="89">
        <v>42</v>
      </c>
      <c r="AF91" s="89">
        <v>43.7</v>
      </c>
      <c r="AG91" s="97"/>
      <c r="AH91" s="48">
        <f t="shared" si="70"/>
        <v>57</v>
      </c>
      <c r="AI91" s="49">
        <f t="shared" si="71"/>
        <v>42</v>
      </c>
      <c r="AK91" s="98"/>
      <c r="AL91" s="46"/>
      <c r="AM91" s="46"/>
      <c r="AN91" s="99"/>
      <c r="AY91" s="81"/>
      <c r="BF91" s="81"/>
      <c r="BG91" s="81">
        <v>69.2</v>
      </c>
      <c r="BH91" s="81">
        <v>122.6</v>
      </c>
      <c r="BI91" s="81">
        <v>495</v>
      </c>
      <c r="BJ91" s="81">
        <v>60.1</v>
      </c>
      <c r="BK91" s="81">
        <v>136</v>
      </c>
      <c r="BL91" s="81">
        <v>55</v>
      </c>
    </row>
    <row r="92" spans="1:64" ht="15.75" thickBot="1" x14ac:dyDescent="0.3">
      <c r="A92" s="86" t="s">
        <v>118</v>
      </c>
      <c r="B92" s="70">
        <f t="shared" ref="B92:C92" si="72">SUMIF(B81:B91,"&gt;0")</f>
        <v>209</v>
      </c>
      <c r="C92" s="70">
        <f t="shared" si="72"/>
        <v>369</v>
      </c>
      <c r="D92" s="70">
        <f t="shared" ref="D92" si="73">SUMIF(D81:D91,"&gt;0")</f>
        <v>296</v>
      </c>
      <c r="E92" s="70">
        <f t="shared" ref="E92:AF92" si="74">SUMIF(E81:E91,"&gt;0")</f>
        <v>314.10000000000002</v>
      </c>
      <c r="F92" s="70">
        <f t="shared" si="74"/>
        <v>319.70000000000005</v>
      </c>
      <c r="G92" s="70">
        <f t="shared" si="74"/>
        <v>344.5</v>
      </c>
      <c r="H92" s="70">
        <f t="shared" si="74"/>
        <v>357.1</v>
      </c>
      <c r="I92" s="70">
        <f t="shared" si="74"/>
        <v>301.3</v>
      </c>
      <c r="J92" s="70">
        <f t="shared" si="74"/>
        <v>690.6</v>
      </c>
      <c r="K92" s="70">
        <f t="shared" si="74"/>
        <v>795.69999999999993</v>
      </c>
      <c r="L92" s="70">
        <f t="shared" si="74"/>
        <v>863.8</v>
      </c>
      <c r="M92" s="70">
        <f t="shared" si="74"/>
        <v>937.9</v>
      </c>
      <c r="N92" s="70">
        <f t="shared" si="74"/>
        <v>895.69999999999993</v>
      </c>
      <c r="O92" s="70">
        <f t="shared" si="74"/>
        <v>912.7</v>
      </c>
      <c r="P92" s="70">
        <f t="shared" ref="P92" si="75">SUMIF(P81:P91,"&gt;0")</f>
        <v>927.69999999999993</v>
      </c>
      <c r="Q92" s="70">
        <f t="shared" si="74"/>
        <v>927.69999999999993</v>
      </c>
      <c r="R92" s="70">
        <f t="shared" si="74"/>
        <v>912</v>
      </c>
      <c r="S92" s="70">
        <f t="shared" ref="S92:T92" si="76">SUMIF(S81:S91,"&gt;0")</f>
        <v>919.80000000000007</v>
      </c>
      <c r="T92" s="70">
        <f t="shared" si="76"/>
        <v>919.90000000000009</v>
      </c>
      <c r="U92" s="70">
        <f t="shared" si="74"/>
        <v>0</v>
      </c>
      <c r="V92" s="70"/>
      <c r="W92" s="70">
        <f t="shared" si="74"/>
        <v>0</v>
      </c>
      <c r="X92" s="70">
        <f t="shared" si="74"/>
        <v>641.9</v>
      </c>
      <c r="Y92" s="70">
        <f t="shared" ref="Y92:Z92" si="77">SUMIF(Y81:Y91,"&gt;0")</f>
        <v>52.2</v>
      </c>
      <c r="Z92" s="70">
        <f t="shared" si="77"/>
        <v>129</v>
      </c>
      <c r="AA92" s="70">
        <f t="shared" ref="AA92" si="78">SUMIF(AA81:AA91,"&gt;0")</f>
        <v>119.3</v>
      </c>
      <c r="AB92" s="70">
        <f t="shared" si="74"/>
        <v>151.1</v>
      </c>
      <c r="AC92" s="70">
        <f t="shared" si="74"/>
        <v>151</v>
      </c>
      <c r="AD92" s="70">
        <f t="shared" si="74"/>
        <v>182.3</v>
      </c>
      <c r="AE92" s="70">
        <f t="shared" si="74"/>
        <v>270.70000000000005</v>
      </c>
      <c r="AF92" s="70">
        <f t="shared" si="74"/>
        <v>318.09999999999997</v>
      </c>
      <c r="AG92" s="100">
        <f>SUM(AG81:AG91)</f>
        <v>0</v>
      </c>
      <c r="AH92" s="48">
        <f t="shared" si="70"/>
        <v>937.9</v>
      </c>
      <c r="AI92" s="49">
        <f t="shared" si="71"/>
        <v>0</v>
      </c>
      <c r="AK92" s="98"/>
      <c r="AL92" s="89"/>
      <c r="AM92" s="101"/>
      <c r="AN92" s="202"/>
      <c r="AY92" s="81"/>
      <c r="BF92" s="81"/>
      <c r="BG92" s="81">
        <v>71.400000000000006</v>
      </c>
      <c r="BH92" s="81">
        <v>124</v>
      </c>
      <c r="BI92" s="81">
        <v>475</v>
      </c>
      <c r="BJ92" s="81">
        <v>56.8</v>
      </c>
      <c r="BK92" s="81">
        <v>113</v>
      </c>
      <c r="BL92" s="81">
        <v>55.5</v>
      </c>
    </row>
    <row r="93" spans="1:64" x14ac:dyDescent="0.25">
      <c r="A93" s="45" t="s">
        <v>119</v>
      </c>
      <c r="B93" s="88">
        <v>172.8</v>
      </c>
      <c r="C93" s="88">
        <v>176.5</v>
      </c>
      <c r="D93" s="88">
        <v>176.3</v>
      </c>
      <c r="E93" s="88">
        <v>149.30000000000001</v>
      </c>
      <c r="F93" s="88">
        <v>147.19999999999999</v>
      </c>
      <c r="G93" s="88">
        <v>179.5</v>
      </c>
      <c r="H93" s="88">
        <v>215.6</v>
      </c>
      <c r="I93" s="88">
        <v>223.3</v>
      </c>
      <c r="J93" s="88">
        <v>704.4</v>
      </c>
      <c r="K93" s="88">
        <v>826.9</v>
      </c>
      <c r="L93" s="88">
        <v>917.5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/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70"/>
        <v>917.5</v>
      </c>
      <c r="AI93" s="49">
        <f t="shared" si="71"/>
        <v>0</v>
      </c>
      <c r="AK93" s="98"/>
      <c r="AL93" s="89"/>
      <c r="AM93" s="89"/>
      <c r="AN93" s="203"/>
      <c r="BF93" s="81"/>
      <c r="BG93" s="81">
        <v>70.7</v>
      </c>
      <c r="BH93" s="81">
        <v>124</v>
      </c>
      <c r="BI93" s="81">
        <v>470</v>
      </c>
      <c r="BJ93" s="81">
        <v>56</v>
      </c>
      <c r="BK93" s="81">
        <v>137</v>
      </c>
      <c r="BL93" s="81">
        <v>55</v>
      </c>
    </row>
    <row r="94" spans="1:64" ht="15.75" thickBot="1" x14ac:dyDescent="0.3">
      <c r="A94" s="64" t="s">
        <v>120</v>
      </c>
      <c r="B94" s="89">
        <f>B92-B93</f>
        <v>36.199999999999989</v>
      </c>
      <c r="C94" s="89">
        <f t="shared" ref="C94:L94" si="79">C92-C93</f>
        <v>192.5</v>
      </c>
      <c r="D94" s="89">
        <f t="shared" si="79"/>
        <v>119.69999999999999</v>
      </c>
      <c r="E94" s="89">
        <f t="shared" si="79"/>
        <v>164.8</v>
      </c>
      <c r="F94" s="89">
        <f t="shared" si="79"/>
        <v>172.50000000000006</v>
      </c>
      <c r="G94" s="89">
        <f t="shared" si="79"/>
        <v>165</v>
      </c>
      <c r="H94" s="89">
        <f t="shared" si="79"/>
        <v>141.50000000000003</v>
      </c>
      <c r="I94" s="89">
        <f t="shared" si="79"/>
        <v>78</v>
      </c>
      <c r="J94" s="89">
        <f t="shared" si="79"/>
        <v>-13.799999999999955</v>
      </c>
      <c r="K94" s="89">
        <f t="shared" si="79"/>
        <v>-31.200000000000045</v>
      </c>
      <c r="L94" s="89">
        <f t="shared" si="79"/>
        <v>-53.700000000000045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/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70"/>
        <v>192.5</v>
      </c>
      <c r="AI94" s="49">
        <f t="shared" si="71"/>
        <v>-53.700000000000045</v>
      </c>
      <c r="AK94" s="103"/>
      <c r="AL94" s="104"/>
      <c r="AM94" s="104"/>
      <c r="AN94" s="105"/>
      <c r="BF94" s="81"/>
      <c r="BG94" s="81">
        <v>63.4</v>
      </c>
      <c r="BH94" s="81">
        <v>123.9</v>
      </c>
      <c r="BI94" s="81">
        <v>490</v>
      </c>
      <c r="BJ94" s="81">
        <v>56</v>
      </c>
      <c r="BK94" s="81">
        <v>138.9</v>
      </c>
      <c r="BL94" s="81">
        <v>55.5</v>
      </c>
    </row>
    <row r="95" spans="1:64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/>
      <c r="W95" s="106">
        <v>0</v>
      </c>
      <c r="X95" s="106">
        <v>0</v>
      </c>
      <c r="Y95" s="106">
        <v>0</v>
      </c>
      <c r="Z95" s="106">
        <v>0</v>
      </c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70"/>
        <v>0</v>
      </c>
      <c r="AI95" s="49">
        <f t="shared" si="71"/>
        <v>0</v>
      </c>
      <c r="BF95" s="81"/>
      <c r="BG95" s="81">
        <v>63.4</v>
      </c>
      <c r="BH95" s="81">
        <v>123.9</v>
      </c>
      <c r="BI95" s="81">
        <v>490</v>
      </c>
      <c r="BJ95" s="81">
        <v>56</v>
      </c>
      <c r="BK95" s="81">
        <v>138.9</v>
      </c>
      <c r="BL95" s="81">
        <v>55.5</v>
      </c>
    </row>
    <row r="96" spans="1:64" ht="15.75" thickBot="1" x14ac:dyDescent="0.3">
      <c r="A96" s="86" t="s">
        <v>122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100">
        <f>SUM(AG93:AG95)</f>
        <v>55.4</v>
      </c>
      <c r="AH96" s="48">
        <f t="shared" si="70"/>
        <v>0</v>
      </c>
      <c r="AI96" s="49">
        <f t="shared" si="71"/>
        <v>0</v>
      </c>
      <c r="BF96" s="81"/>
      <c r="BG96" s="81">
        <v>65</v>
      </c>
      <c r="BH96" s="81">
        <v>116</v>
      </c>
      <c r="BI96" s="81">
        <v>488</v>
      </c>
      <c r="BJ96" s="81">
        <v>52</v>
      </c>
      <c r="BK96" s="81">
        <v>136</v>
      </c>
      <c r="BL96" s="81">
        <v>55</v>
      </c>
    </row>
    <row r="97" spans="1:64" ht="15.75" thickBot="1" x14ac:dyDescent="0.3">
      <c r="A97" s="86" t="s">
        <v>123</v>
      </c>
      <c r="B97" s="107">
        <f t="shared" ref="B97:C97" si="80">B58+B62+B80+B76+B92+B96</f>
        <v>1051.3399999999999</v>
      </c>
      <c r="C97" s="107">
        <f t="shared" si="80"/>
        <v>1068.3400000000001</v>
      </c>
      <c r="D97" s="107">
        <f t="shared" ref="D97" si="81">D58+D62+D80+D76+D92+D96</f>
        <v>1062.3400000000001</v>
      </c>
      <c r="E97" s="107">
        <f t="shared" ref="E97:AG97" si="82">E58+E62+E80+E76+E92+E96</f>
        <v>1054.74</v>
      </c>
      <c r="F97" s="107">
        <f t="shared" si="82"/>
        <v>1060.3400000000001</v>
      </c>
      <c r="G97" s="107">
        <f t="shared" si="82"/>
        <v>1111.1399999999999</v>
      </c>
      <c r="H97" s="107">
        <f t="shared" si="82"/>
        <v>1179.7399999999998</v>
      </c>
      <c r="I97" s="107">
        <f t="shared" si="82"/>
        <v>1187.9399999999998</v>
      </c>
      <c r="J97" s="107">
        <f t="shared" si="82"/>
        <v>1372.3400000000001</v>
      </c>
      <c r="K97" s="107">
        <f t="shared" si="82"/>
        <v>1515.37</v>
      </c>
      <c r="L97" s="107">
        <f t="shared" si="82"/>
        <v>1581.04</v>
      </c>
      <c r="M97" s="107">
        <f t="shared" si="82"/>
        <v>1703.34</v>
      </c>
      <c r="N97" s="107">
        <f t="shared" si="82"/>
        <v>1690.54</v>
      </c>
      <c r="O97" s="107">
        <f t="shared" si="82"/>
        <v>1716.74</v>
      </c>
      <c r="P97" s="107">
        <f t="shared" ref="P97" si="83">P58+P62+P80+P76+P92+P96</f>
        <v>1742.6399999999999</v>
      </c>
      <c r="Q97" s="107">
        <f t="shared" si="82"/>
        <v>1742.6399999999999</v>
      </c>
      <c r="R97" s="107">
        <f t="shared" si="82"/>
        <v>1715.54</v>
      </c>
      <c r="S97" s="107">
        <f t="shared" ref="S97:T97" si="84">S58+S62+S80+S76+S92+S96</f>
        <v>1720.54</v>
      </c>
      <c r="T97" s="107">
        <f t="shared" si="84"/>
        <v>1699.8400000000001</v>
      </c>
      <c r="U97" s="107">
        <f t="shared" si="82"/>
        <v>153.54</v>
      </c>
      <c r="V97" s="107"/>
      <c r="W97" s="107">
        <f t="shared" si="82"/>
        <v>153.54</v>
      </c>
      <c r="X97" s="107">
        <f t="shared" si="82"/>
        <v>1260.04</v>
      </c>
      <c r="Y97" s="107">
        <f t="shared" ref="Y97:Z97" si="85">Y58+Y62+Y80+Y76+Y92+Y96</f>
        <v>1254.44</v>
      </c>
      <c r="Z97" s="107">
        <f t="shared" si="85"/>
        <v>1292.24</v>
      </c>
      <c r="AA97" s="107">
        <f t="shared" ref="AA97" si="86">AA58+AA62+AA80+AA76+AA92+AA96</f>
        <v>1281.1400000000001</v>
      </c>
      <c r="AB97" s="107">
        <f t="shared" si="82"/>
        <v>1218.8399999999999</v>
      </c>
      <c r="AC97" s="107">
        <f t="shared" si="82"/>
        <v>1168.04</v>
      </c>
      <c r="AD97" s="107">
        <f t="shared" si="82"/>
        <v>1142.04</v>
      </c>
      <c r="AE97" s="107">
        <f t="shared" si="82"/>
        <v>1021.1400000000001</v>
      </c>
      <c r="AF97" s="107">
        <f t="shared" si="82"/>
        <v>1070.9399999999998</v>
      </c>
      <c r="AG97" s="71">
        <f t="shared" si="82"/>
        <v>2231.81</v>
      </c>
      <c r="AH97" s="48">
        <f t="shared" si="70"/>
        <v>1742.6399999999999</v>
      </c>
      <c r="AI97" s="49">
        <f t="shared" si="71"/>
        <v>153.54</v>
      </c>
      <c r="BF97" s="81"/>
      <c r="BG97" s="81">
        <v>75.8</v>
      </c>
      <c r="BH97" s="81">
        <v>122.8</v>
      </c>
      <c r="BI97" s="81">
        <v>493.3</v>
      </c>
      <c r="BJ97" s="81">
        <v>52.2</v>
      </c>
      <c r="BK97" s="81">
        <v>120.2</v>
      </c>
      <c r="BL97" s="81">
        <v>55.5</v>
      </c>
    </row>
    <row r="98" spans="1:64" ht="15.75" thickBot="1" x14ac:dyDescent="0.3">
      <c r="A98" s="108" t="s">
        <v>124</v>
      </c>
      <c r="B98" s="109">
        <v>400</v>
      </c>
      <c r="C98" s="109">
        <v>300</v>
      </c>
      <c r="D98" s="109">
        <v>300</v>
      </c>
      <c r="E98" s="109">
        <v>300</v>
      </c>
      <c r="F98" s="109">
        <v>300</v>
      </c>
      <c r="G98" s="109">
        <v>300</v>
      </c>
      <c r="H98" s="109">
        <v>300</v>
      </c>
      <c r="I98" s="109">
        <v>300</v>
      </c>
      <c r="J98" s="109">
        <v>150</v>
      </c>
      <c r="K98" s="109">
        <v>100</v>
      </c>
      <c r="L98" s="109">
        <v>100</v>
      </c>
      <c r="M98" s="109">
        <v>100</v>
      </c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>
        <v>320</v>
      </c>
      <c r="Z98" s="109">
        <v>320</v>
      </c>
      <c r="AA98" s="109">
        <v>180</v>
      </c>
      <c r="AB98" s="109">
        <v>180</v>
      </c>
      <c r="AC98" s="109">
        <v>200</v>
      </c>
      <c r="AD98" s="109">
        <v>180</v>
      </c>
      <c r="AE98" s="109">
        <v>200</v>
      </c>
      <c r="AF98" s="109">
        <v>200</v>
      </c>
      <c r="AG98" s="100"/>
      <c r="AH98" s="48">
        <f t="shared" si="70"/>
        <v>400</v>
      </c>
      <c r="AI98" s="49">
        <f t="shared" si="71"/>
        <v>100</v>
      </c>
      <c r="BF98" s="81"/>
      <c r="BG98" s="81">
        <v>76.3</v>
      </c>
      <c r="BH98" s="81">
        <v>119.5</v>
      </c>
      <c r="BI98" s="81">
        <v>489.9</v>
      </c>
      <c r="BJ98" s="81">
        <v>53.6</v>
      </c>
      <c r="BK98" s="81">
        <v>125.1</v>
      </c>
      <c r="BL98" s="81">
        <v>55.5</v>
      </c>
    </row>
    <row r="99" spans="1:64" ht="15.75" thickBot="1" x14ac:dyDescent="0.3">
      <c r="A99" s="86" t="s">
        <v>125</v>
      </c>
      <c r="B99" s="107">
        <f t="shared" ref="B99:C99" si="87">B97+B98</f>
        <v>1451.34</v>
      </c>
      <c r="C99" s="107">
        <f t="shared" si="87"/>
        <v>1368.3400000000001</v>
      </c>
      <c r="D99" s="107">
        <f t="shared" ref="D99" si="88">D97+D98</f>
        <v>1362.3400000000001</v>
      </c>
      <c r="E99" s="107">
        <f t="shared" ref="E99:AF99" si="89">E97+E98</f>
        <v>1354.74</v>
      </c>
      <c r="F99" s="107">
        <f t="shared" si="89"/>
        <v>1360.3400000000001</v>
      </c>
      <c r="G99" s="107">
        <f t="shared" si="89"/>
        <v>1411.1399999999999</v>
      </c>
      <c r="H99" s="107">
        <f t="shared" si="89"/>
        <v>1479.7399999999998</v>
      </c>
      <c r="I99" s="107">
        <f t="shared" si="89"/>
        <v>1487.9399999999998</v>
      </c>
      <c r="J99" s="107">
        <f t="shared" si="89"/>
        <v>1522.3400000000001</v>
      </c>
      <c r="K99" s="107">
        <f t="shared" si="89"/>
        <v>1615.37</v>
      </c>
      <c r="L99" s="107">
        <f t="shared" si="89"/>
        <v>1681.04</v>
      </c>
      <c r="M99" s="107">
        <f t="shared" si="89"/>
        <v>1803.34</v>
      </c>
      <c r="N99" s="107">
        <f t="shared" si="89"/>
        <v>1690.54</v>
      </c>
      <c r="O99" s="107">
        <f t="shared" si="89"/>
        <v>1716.74</v>
      </c>
      <c r="P99" s="107">
        <f t="shared" ref="P99" si="90">P97+P98</f>
        <v>1742.6399999999999</v>
      </c>
      <c r="Q99" s="107">
        <f t="shared" si="89"/>
        <v>1742.6399999999999</v>
      </c>
      <c r="R99" s="107">
        <f t="shared" si="89"/>
        <v>1715.54</v>
      </c>
      <c r="S99" s="107">
        <f t="shared" ref="S99:T99" si="91">S97+S98</f>
        <v>1720.54</v>
      </c>
      <c r="T99" s="107">
        <f t="shared" si="91"/>
        <v>1699.8400000000001</v>
      </c>
      <c r="U99" s="107">
        <f t="shared" si="89"/>
        <v>153.54</v>
      </c>
      <c r="V99" s="107"/>
      <c r="W99" s="107">
        <f t="shared" si="89"/>
        <v>153.54</v>
      </c>
      <c r="X99" s="107">
        <f t="shared" si="89"/>
        <v>1260.04</v>
      </c>
      <c r="Y99" s="107">
        <f t="shared" ref="Y99:Z99" si="92">Y97+Y98</f>
        <v>1574.44</v>
      </c>
      <c r="Z99" s="107">
        <f t="shared" si="92"/>
        <v>1612.24</v>
      </c>
      <c r="AA99" s="107">
        <f t="shared" ref="AA99" si="93">AA97+AA98</f>
        <v>1461.14</v>
      </c>
      <c r="AB99" s="107">
        <f t="shared" si="89"/>
        <v>1398.84</v>
      </c>
      <c r="AC99" s="107">
        <f t="shared" si="89"/>
        <v>1368.04</v>
      </c>
      <c r="AD99" s="107">
        <f t="shared" si="89"/>
        <v>1322.04</v>
      </c>
      <c r="AE99" s="107">
        <f t="shared" si="89"/>
        <v>1221.1400000000001</v>
      </c>
      <c r="AF99" s="107">
        <f t="shared" si="89"/>
        <v>1270.9399999999998</v>
      </c>
      <c r="AG99" s="100">
        <f>AG96+AG92+AG80+AG76+AG58+AG98</f>
        <v>1693.71</v>
      </c>
      <c r="AH99" s="48">
        <f t="shared" si="70"/>
        <v>1803.34</v>
      </c>
      <c r="AI99" s="49">
        <f t="shared" si="71"/>
        <v>153.54</v>
      </c>
      <c r="BF99" s="81"/>
      <c r="BG99" s="81">
        <v>0</v>
      </c>
      <c r="BH99" s="81">
        <v>0</v>
      </c>
      <c r="BI99" s="81">
        <v>0</v>
      </c>
      <c r="BJ99" s="81">
        <v>0</v>
      </c>
      <c r="BK99" s="81">
        <v>0</v>
      </c>
      <c r="BL99" s="81">
        <v>0</v>
      </c>
    </row>
    <row r="100" spans="1:64" ht="15.75" thickBot="1" x14ac:dyDescent="0.3">
      <c r="A100" s="86" t="s">
        <v>126</v>
      </c>
      <c r="B100" s="107">
        <f t="shared" ref="B100:C100" si="94">B99-(B107)</f>
        <v>1451.34</v>
      </c>
      <c r="C100" s="107">
        <f t="shared" si="94"/>
        <v>1368.3400000000001</v>
      </c>
      <c r="D100" s="107">
        <f t="shared" ref="D100" si="95">D99-(D107)</f>
        <v>1362.3400000000001</v>
      </c>
      <c r="E100" s="107">
        <f t="shared" ref="E100:M100" si="96">E99-(E107)</f>
        <v>1354.74</v>
      </c>
      <c r="F100" s="107">
        <f t="shared" si="96"/>
        <v>1360.3400000000001</v>
      </c>
      <c r="G100" s="107">
        <f t="shared" si="96"/>
        <v>1411.1399999999999</v>
      </c>
      <c r="H100" s="107">
        <f t="shared" si="96"/>
        <v>1479.7399999999998</v>
      </c>
      <c r="I100" s="107">
        <f t="shared" si="96"/>
        <v>1487.9399999999998</v>
      </c>
      <c r="J100" s="107">
        <f t="shared" si="96"/>
        <v>1522.3400000000001</v>
      </c>
      <c r="K100" s="107">
        <f t="shared" si="96"/>
        <v>1615.37</v>
      </c>
      <c r="L100" s="107">
        <f t="shared" si="96"/>
        <v>1681.04</v>
      </c>
      <c r="M100" s="107">
        <f t="shared" si="96"/>
        <v>1803.34</v>
      </c>
      <c r="N100" s="107">
        <f>N99-(N107)</f>
        <v>1690.54</v>
      </c>
      <c r="O100" s="107">
        <f t="shared" ref="O100:AF100" si="97">O99-(O107)</f>
        <v>1716.74</v>
      </c>
      <c r="P100" s="107">
        <f t="shared" ref="P100" si="98">P99-(P107)</f>
        <v>1742.6399999999999</v>
      </c>
      <c r="Q100" s="107">
        <f t="shared" si="97"/>
        <v>1742.6399999999999</v>
      </c>
      <c r="R100" s="107">
        <f t="shared" si="97"/>
        <v>1715.54</v>
      </c>
      <c r="S100" s="107">
        <f t="shared" ref="S100:T100" si="99">S99-(S107)</f>
        <v>1720.54</v>
      </c>
      <c r="T100" s="107">
        <f t="shared" si="99"/>
        <v>1699.8400000000001</v>
      </c>
      <c r="U100" s="107">
        <f t="shared" si="97"/>
        <v>153.54</v>
      </c>
      <c r="V100" s="107"/>
      <c r="W100" s="107">
        <f t="shared" si="97"/>
        <v>153.54</v>
      </c>
      <c r="X100" s="107">
        <f t="shared" si="97"/>
        <v>1260.04</v>
      </c>
      <c r="Y100" s="107">
        <f t="shared" ref="Y100:Z100" si="100">Y99-(Y107)</f>
        <v>1560.44</v>
      </c>
      <c r="Z100" s="107">
        <f t="shared" si="100"/>
        <v>1612.24</v>
      </c>
      <c r="AA100" s="107">
        <f t="shared" ref="AA100" si="101">AA99-(AA107)</f>
        <v>1461.14</v>
      </c>
      <c r="AB100" s="107">
        <f t="shared" si="97"/>
        <v>1398.84</v>
      </c>
      <c r="AC100" s="107">
        <f t="shared" si="97"/>
        <v>1368.04</v>
      </c>
      <c r="AD100" s="107">
        <f t="shared" si="97"/>
        <v>1322.04</v>
      </c>
      <c r="AE100" s="107">
        <f t="shared" si="97"/>
        <v>1221.1400000000001</v>
      </c>
      <c r="AF100" s="107">
        <f t="shared" si="97"/>
        <v>1270.9399999999998</v>
      </c>
      <c r="AG100" s="100"/>
      <c r="AH100" s="48">
        <f t="shared" si="70"/>
        <v>1803.34</v>
      </c>
      <c r="AI100" s="49">
        <f t="shared" si="71"/>
        <v>153.54</v>
      </c>
      <c r="BF100" s="81"/>
      <c r="BG100" s="81">
        <v>0</v>
      </c>
      <c r="BH100" s="81">
        <v>0</v>
      </c>
      <c r="BI100" s="81">
        <v>0</v>
      </c>
      <c r="BJ100" s="81">
        <v>0</v>
      </c>
      <c r="BK100" s="81">
        <v>0</v>
      </c>
      <c r="BL100" s="81">
        <v>0</v>
      </c>
    </row>
    <row r="101" spans="1:64" x14ac:dyDescent="0.25">
      <c r="A101" s="45" t="s">
        <v>107</v>
      </c>
      <c r="B101" s="88">
        <f t="shared" ref="B101:C101" si="102">IF(B84&lt;0,B84*-1,0)</f>
        <v>0</v>
      </c>
      <c r="C101" s="88">
        <f t="shared" si="102"/>
        <v>0</v>
      </c>
      <c r="D101" s="88">
        <f t="shared" ref="D101" si="103">IF(D84&lt;0,D84*-1,0)</f>
        <v>0</v>
      </c>
      <c r="E101" s="88">
        <f t="shared" ref="E101:AF101" si="104">IF(E84&lt;0,E84*-1,0)</f>
        <v>0</v>
      </c>
      <c r="F101" s="88">
        <f t="shared" si="104"/>
        <v>0</v>
      </c>
      <c r="G101" s="88">
        <f t="shared" si="104"/>
        <v>0</v>
      </c>
      <c r="H101" s="88">
        <f t="shared" si="104"/>
        <v>0</v>
      </c>
      <c r="I101" s="88">
        <f t="shared" si="104"/>
        <v>0</v>
      </c>
      <c r="J101" s="88">
        <f t="shared" si="104"/>
        <v>0</v>
      </c>
      <c r="K101" s="88">
        <f t="shared" si="104"/>
        <v>0</v>
      </c>
      <c r="L101" s="88">
        <f t="shared" si="104"/>
        <v>0</v>
      </c>
      <c r="M101" s="88">
        <f t="shared" si="104"/>
        <v>0</v>
      </c>
      <c r="N101" s="88">
        <f t="shared" si="104"/>
        <v>0</v>
      </c>
      <c r="O101" s="88">
        <f t="shared" si="104"/>
        <v>0</v>
      </c>
      <c r="P101" s="88">
        <f t="shared" ref="P101" si="105">IF(P84&lt;0,P84*-1,0)</f>
        <v>0</v>
      </c>
      <c r="Q101" s="88">
        <f t="shared" si="104"/>
        <v>0</v>
      </c>
      <c r="R101" s="88">
        <f t="shared" si="104"/>
        <v>0</v>
      </c>
      <c r="S101" s="88">
        <f t="shared" ref="S101:T101" si="106">IF(S84&lt;0,S84*-1,0)</f>
        <v>0</v>
      </c>
      <c r="T101" s="88">
        <f t="shared" si="106"/>
        <v>0</v>
      </c>
      <c r="U101" s="88">
        <f t="shared" si="104"/>
        <v>0</v>
      </c>
      <c r="V101" s="88"/>
      <c r="W101" s="88">
        <f t="shared" si="104"/>
        <v>0</v>
      </c>
      <c r="X101" s="88">
        <f t="shared" si="104"/>
        <v>0</v>
      </c>
      <c r="Y101" s="88">
        <f t="shared" ref="Y101:Z101" si="107">IF(Y84&lt;0,Y84*-1,0)</f>
        <v>0</v>
      </c>
      <c r="Z101" s="88">
        <f t="shared" si="107"/>
        <v>0</v>
      </c>
      <c r="AA101" s="88">
        <f t="shared" ref="AA101" si="108">IF(AA84&lt;0,AA84*-1,0)</f>
        <v>0</v>
      </c>
      <c r="AB101" s="88">
        <f t="shared" si="104"/>
        <v>0</v>
      </c>
      <c r="AC101" s="88">
        <f t="shared" si="104"/>
        <v>0</v>
      </c>
      <c r="AD101" s="88">
        <f t="shared" si="104"/>
        <v>0</v>
      </c>
      <c r="AE101" s="88">
        <f t="shared" si="104"/>
        <v>0</v>
      </c>
      <c r="AF101" s="88">
        <f t="shared" si="104"/>
        <v>0</v>
      </c>
      <c r="AG101" s="60"/>
      <c r="AH101" s="48">
        <f t="shared" si="70"/>
        <v>0</v>
      </c>
      <c r="AI101" s="49">
        <f t="shared" si="71"/>
        <v>0</v>
      </c>
      <c r="BF101" s="80"/>
      <c r="BG101" s="81">
        <v>57.8</v>
      </c>
      <c r="BH101" s="81">
        <v>115.3</v>
      </c>
      <c r="BI101" s="81">
        <v>363.5</v>
      </c>
      <c r="BJ101" s="81">
        <v>0</v>
      </c>
      <c r="BK101" s="81">
        <v>59.8</v>
      </c>
      <c r="BL101" s="81">
        <v>45.5</v>
      </c>
    </row>
    <row r="102" spans="1:64" x14ac:dyDescent="0.25">
      <c r="A102" s="64" t="s">
        <v>105</v>
      </c>
      <c r="B102" s="88">
        <f t="shared" ref="B102:C102" si="109">IF(B82&lt;0,B82*-1,0)</f>
        <v>0</v>
      </c>
      <c r="C102" s="88">
        <f t="shared" si="109"/>
        <v>0</v>
      </c>
      <c r="D102" s="88">
        <f t="shared" ref="D102" si="110">IF(D82&lt;0,D82*-1,0)</f>
        <v>0</v>
      </c>
      <c r="E102" s="88">
        <f t="shared" ref="E102:AF102" si="111">IF(E82&lt;0,E82*-1,0)</f>
        <v>0</v>
      </c>
      <c r="F102" s="88">
        <f t="shared" si="111"/>
        <v>0</v>
      </c>
      <c r="G102" s="88">
        <f t="shared" si="111"/>
        <v>0</v>
      </c>
      <c r="H102" s="88">
        <f t="shared" si="111"/>
        <v>0</v>
      </c>
      <c r="I102" s="88">
        <f t="shared" si="111"/>
        <v>0</v>
      </c>
      <c r="J102" s="88">
        <f t="shared" si="111"/>
        <v>0</v>
      </c>
      <c r="K102" s="88">
        <f t="shared" si="111"/>
        <v>0</v>
      </c>
      <c r="L102" s="88">
        <f t="shared" si="111"/>
        <v>0</v>
      </c>
      <c r="M102" s="88">
        <f t="shared" si="111"/>
        <v>0</v>
      </c>
      <c r="N102" s="88">
        <f t="shared" si="111"/>
        <v>0</v>
      </c>
      <c r="O102" s="88">
        <f t="shared" si="111"/>
        <v>0</v>
      </c>
      <c r="P102" s="88">
        <f t="shared" ref="P102" si="112">IF(P82&lt;0,P82*-1,0)</f>
        <v>0</v>
      </c>
      <c r="Q102" s="88">
        <f t="shared" si="111"/>
        <v>0</v>
      </c>
      <c r="R102" s="88">
        <f t="shared" si="111"/>
        <v>0</v>
      </c>
      <c r="S102" s="88">
        <f t="shared" ref="S102:T102" si="113">IF(S82&lt;0,S82*-1,0)</f>
        <v>0</v>
      </c>
      <c r="T102" s="88">
        <f t="shared" si="113"/>
        <v>0</v>
      </c>
      <c r="U102" s="88">
        <f t="shared" si="111"/>
        <v>0</v>
      </c>
      <c r="V102" s="88"/>
      <c r="W102" s="88">
        <f t="shared" si="111"/>
        <v>0</v>
      </c>
      <c r="X102" s="88">
        <f t="shared" si="111"/>
        <v>0</v>
      </c>
      <c r="Y102" s="88">
        <f t="shared" ref="Y102:Z102" si="114">IF(Y82&lt;0,Y82*-1,0)</f>
        <v>0</v>
      </c>
      <c r="Z102" s="88">
        <f t="shared" si="114"/>
        <v>0</v>
      </c>
      <c r="AA102" s="88">
        <f t="shared" ref="AA102" si="115">IF(AA82&lt;0,AA82*-1,0)</f>
        <v>0</v>
      </c>
      <c r="AB102" s="88">
        <f t="shared" si="111"/>
        <v>0</v>
      </c>
      <c r="AC102" s="88">
        <f t="shared" si="111"/>
        <v>0</v>
      </c>
      <c r="AD102" s="88">
        <f t="shared" si="111"/>
        <v>0</v>
      </c>
      <c r="AE102" s="88">
        <f t="shared" si="111"/>
        <v>0</v>
      </c>
      <c r="AF102" s="88">
        <f t="shared" si="111"/>
        <v>0</v>
      </c>
      <c r="AG102" s="65"/>
      <c r="AH102" s="48">
        <f t="shared" si="70"/>
        <v>0</v>
      </c>
      <c r="AI102" s="49">
        <f t="shared" si="71"/>
        <v>0</v>
      </c>
      <c r="BF102" s="80"/>
      <c r="BG102" s="81">
        <v>16.3</v>
      </c>
      <c r="BH102" s="81">
        <v>0</v>
      </c>
      <c r="BI102" s="81">
        <v>68.7</v>
      </c>
      <c r="BJ102" s="81">
        <v>0</v>
      </c>
      <c r="BK102" s="81">
        <v>0</v>
      </c>
      <c r="BL102" s="81">
        <v>44</v>
      </c>
    </row>
    <row r="103" spans="1:64" x14ac:dyDescent="0.25">
      <c r="A103" s="96" t="s">
        <v>127</v>
      </c>
      <c r="B103" s="88">
        <f t="shared" ref="B103:C103" si="116">IF(B85&lt;0,B85*-1,0)</f>
        <v>0</v>
      </c>
      <c r="C103" s="88">
        <f t="shared" si="116"/>
        <v>0</v>
      </c>
      <c r="D103" s="88">
        <f t="shared" ref="D103" si="117">IF(D85&lt;0,D85*-1,0)</f>
        <v>0</v>
      </c>
      <c r="E103" s="88">
        <f t="shared" ref="E103:AF103" si="118">IF(E85&lt;0,E85*-1,0)</f>
        <v>0</v>
      </c>
      <c r="F103" s="88">
        <f t="shared" si="118"/>
        <v>0</v>
      </c>
      <c r="G103" s="88">
        <f t="shared" si="118"/>
        <v>0</v>
      </c>
      <c r="H103" s="88">
        <f t="shared" si="118"/>
        <v>0</v>
      </c>
      <c r="I103" s="88">
        <f t="shared" si="118"/>
        <v>0</v>
      </c>
      <c r="J103" s="88">
        <f t="shared" si="118"/>
        <v>0</v>
      </c>
      <c r="K103" s="88">
        <f t="shared" si="118"/>
        <v>0</v>
      </c>
      <c r="L103" s="88">
        <f t="shared" si="118"/>
        <v>0</v>
      </c>
      <c r="M103" s="88">
        <f t="shared" si="118"/>
        <v>0</v>
      </c>
      <c r="N103" s="88">
        <f t="shared" si="118"/>
        <v>0</v>
      </c>
      <c r="O103" s="88">
        <f t="shared" si="118"/>
        <v>0</v>
      </c>
      <c r="P103" s="88">
        <f t="shared" ref="P103" si="119">IF(P85&lt;0,P85*-1,0)</f>
        <v>0</v>
      </c>
      <c r="Q103" s="88">
        <f t="shared" si="118"/>
        <v>0</v>
      </c>
      <c r="R103" s="88">
        <f t="shared" si="118"/>
        <v>0</v>
      </c>
      <c r="S103" s="88">
        <f t="shared" ref="S103:T103" si="120">IF(S85&lt;0,S85*-1,0)</f>
        <v>0</v>
      </c>
      <c r="T103" s="88">
        <f t="shared" si="120"/>
        <v>0</v>
      </c>
      <c r="U103" s="88">
        <f t="shared" si="118"/>
        <v>0</v>
      </c>
      <c r="V103" s="88"/>
      <c r="W103" s="88">
        <f t="shared" si="118"/>
        <v>0</v>
      </c>
      <c r="X103" s="88">
        <f t="shared" si="118"/>
        <v>0</v>
      </c>
      <c r="Y103" s="88">
        <f t="shared" ref="Y103:Z103" si="121">IF(Y85&lt;0,Y85*-1,0)</f>
        <v>0</v>
      </c>
      <c r="Z103" s="88">
        <f t="shared" si="121"/>
        <v>0</v>
      </c>
      <c r="AA103" s="88">
        <f t="shared" ref="AA103" si="122">IF(AA85&lt;0,AA85*-1,0)</f>
        <v>0</v>
      </c>
      <c r="AB103" s="88">
        <f t="shared" si="118"/>
        <v>0</v>
      </c>
      <c r="AC103" s="88">
        <f t="shared" si="118"/>
        <v>0</v>
      </c>
      <c r="AD103" s="88">
        <f t="shared" si="118"/>
        <v>0</v>
      </c>
      <c r="AE103" s="88">
        <f t="shared" si="118"/>
        <v>0</v>
      </c>
      <c r="AF103" s="88">
        <f t="shared" si="118"/>
        <v>0</v>
      </c>
      <c r="AG103" s="110"/>
      <c r="AH103" s="48">
        <f t="shared" si="70"/>
        <v>0</v>
      </c>
      <c r="AI103" s="49">
        <f t="shared" si="71"/>
        <v>0</v>
      </c>
      <c r="BF103" s="80"/>
      <c r="BG103" s="81">
        <v>34.1</v>
      </c>
      <c r="BH103" s="81">
        <v>0</v>
      </c>
      <c r="BI103" s="81">
        <v>39</v>
      </c>
      <c r="BJ103" s="81">
        <v>19</v>
      </c>
      <c r="BK103" s="81">
        <v>17</v>
      </c>
      <c r="BL103" s="81">
        <v>42</v>
      </c>
    </row>
    <row r="104" spans="1:64" x14ac:dyDescent="0.25">
      <c r="A104" s="96" t="s">
        <v>128</v>
      </c>
      <c r="B104" s="88">
        <f t="shared" ref="B104:C104" si="123">IF(B83&lt;0,B83*-1,0)</f>
        <v>0</v>
      </c>
      <c r="C104" s="88">
        <f t="shared" si="123"/>
        <v>0</v>
      </c>
      <c r="D104" s="88">
        <f t="shared" ref="D104" si="124">IF(D83&lt;0,D83*-1,0)</f>
        <v>0</v>
      </c>
      <c r="E104" s="88">
        <f t="shared" ref="E104:AF104" si="125">IF(E83&lt;0,E83*-1,0)</f>
        <v>0</v>
      </c>
      <c r="F104" s="88">
        <f t="shared" si="125"/>
        <v>0</v>
      </c>
      <c r="G104" s="88">
        <f t="shared" si="125"/>
        <v>0</v>
      </c>
      <c r="H104" s="88">
        <f t="shared" si="125"/>
        <v>0</v>
      </c>
      <c r="I104" s="88">
        <f t="shared" si="125"/>
        <v>0</v>
      </c>
      <c r="J104" s="88">
        <f t="shared" si="125"/>
        <v>0</v>
      </c>
      <c r="K104" s="88">
        <f t="shared" si="125"/>
        <v>0</v>
      </c>
      <c r="L104" s="88">
        <f t="shared" si="125"/>
        <v>0</v>
      </c>
      <c r="M104" s="88">
        <f t="shared" si="125"/>
        <v>0</v>
      </c>
      <c r="N104" s="88">
        <f t="shared" si="125"/>
        <v>0</v>
      </c>
      <c r="O104" s="88">
        <f t="shared" si="125"/>
        <v>0</v>
      </c>
      <c r="P104" s="88">
        <f t="shared" ref="P104" si="126">IF(P83&lt;0,P83*-1,0)</f>
        <v>0</v>
      </c>
      <c r="Q104" s="88">
        <f t="shared" si="125"/>
        <v>0</v>
      </c>
      <c r="R104" s="88">
        <f t="shared" si="125"/>
        <v>0</v>
      </c>
      <c r="S104" s="88">
        <f t="shared" ref="S104:T104" si="127">IF(S83&lt;0,S83*-1,0)</f>
        <v>0</v>
      </c>
      <c r="T104" s="88">
        <f t="shared" si="127"/>
        <v>0</v>
      </c>
      <c r="U104" s="88">
        <f t="shared" si="125"/>
        <v>0</v>
      </c>
      <c r="V104" s="88"/>
      <c r="W104" s="88">
        <f t="shared" si="125"/>
        <v>0</v>
      </c>
      <c r="X104" s="88">
        <f t="shared" si="125"/>
        <v>0</v>
      </c>
      <c r="Y104" s="88">
        <f t="shared" ref="Y104:Z104" si="128">IF(Y83&lt;0,Y83*-1,0)</f>
        <v>14</v>
      </c>
      <c r="Z104" s="88">
        <f t="shared" si="128"/>
        <v>0</v>
      </c>
      <c r="AA104" s="88">
        <f t="shared" ref="AA104" si="129">IF(AA83&lt;0,AA83*-1,0)</f>
        <v>0</v>
      </c>
      <c r="AB104" s="88">
        <f t="shared" si="125"/>
        <v>0</v>
      </c>
      <c r="AC104" s="88">
        <f t="shared" si="125"/>
        <v>0</v>
      </c>
      <c r="AD104" s="88">
        <f t="shared" si="125"/>
        <v>0</v>
      </c>
      <c r="AE104" s="88">
        <f t="shared" si="125"/>
        <v>0</v>
      </c>
      <c r="AF104" s="88">
        <f t="shared" si="125"/>
        <v>0</v>
      </c>
      <c r="AG104" s="110"/>
      <c r="AH104" s="48">
        <f t="shared" si="70"/>
        <v>14</v>
      </c>
      <c r="AI104" s="49">
        <f t="shared" si="71"/>
        <v>0</v>
      </c>
      <c r="BF104" s="80"/>
      <c r="BG104" s="81">
        <v>25.6</v>
      </c>
      <c r="BH104" s="81">
        <v>0</v>
      </c>
      <c r="BI104" s="81">
        <v>32.200000000000003</v>
      </c>
      <c r="BJ104" s="81">
        <v>19</v>
      </c>
      <c r="BK104" s="81">
        <v>63.5</v>
      </c>
      <c r="BL104" s="81">
        <v>42</v>
      </c>
    </row>
    <row r="105" spans="1:64" x14ac:dyDescent="0.25">
      <c r="A105" s="96" t="s">
        <v>104</v>
      </c>
      <c r="B105" s="88">
        <f t="shared" ref="B105:C105" si="130">IF(B81&lt;0,B81*-1,0)</f>
        <v>0</v>
      </c>
      <c r="C105" s="88">
        <f t="shared" si="130"/>
        <v>0</v>
      </c>
      <c r="D105" s="88">
        <f t="shared" ref="D105" si="131">IF(D81&lt;0,D81*-1,0)</f>
        <v>0</v>
      </c>
      <c r="E105" s="88">
        <f t="shared" ref="E105:AF105" si="132">IF(E81&lt;0,E81*-1,0)</f>
        <v>0</v>
      </c>
      <c r="F105" s="88">
        <f t="shared" si="132"/>
        <v>0</v>
      </c>
      <c r="G105" s="88">
        <f t="shared" si="132"/>
        <v>0</v>
      </c>
      <c r="H105" s="88">
        <f t="shared" si="132"/>
        <v>0</v>
      </c>
      <c r="I105" s="88">
        <f t="shared" si="132"/>
        <v>0</v>
      </c>
      <c r="J105" s="88">
        <f t="shared" si="132"/>
        <v>0</v>
      </c>
      <c r="K105" s="88">
        <f t="shared" si="132"/>
        <v>0</v>
      </c>
      <c r="L105" s="88">
        <f t="shared" si="132"/>
        <v>0</v>
      </c>
      <c r="M105" s="88">
        <f t="shared" si="132"/>
        <v>0</v>
      </c>
      <c r="N105" s="88">
        <f t="shared" si="132"/>
        <v>0</v>
      </c>
      <c r="O105" s="88">
        <f t="shared" si="132"/>
        <v>0</v>
      </c>
      <c r="P105" s="88">
        <f t="shared" ref="P105" si="133">IF(P81&lt;0,P81*-1,0)</f>
        <v>0</v>
      </c>
      <c r="Q105" s="88">
        <f t="shared" si="132"/>
        <v>0</v>
      </c>
      <c r="R105" s="88">
        <f t="shared" si="132"/>
        <v>0</v>
      </c>
      <c r="S105" s="88">
        <f t="shared" ref="S105:T105" si="134">IF(S81&lt;0,S81*-1,0)</f>
        <v>0</v>
      </c>
      <c r="T105" s="88">
        <f t="shared" si="134"/>
        <v>0</v>
      </c>
      <c r="U105" s="88">
        <f t="shared" si="132"/>
        <v>0</v>
      </c>
      <c r="V105" s="88"/>
      <c r="W105" s="88">
        <f t="shared" si="132"/>
        <v>0</v>
      </c>
      <c r="X105" s="88">
        <f t="shared" si="132"/>
        <v>0</v>
      </c>
      <c r="Y105" s="88">
        <f t="shared" ref="Y105:Z105" si="135">IF(Y81&lt;0,Y81*-1,0)</f>
        <v>0</v>
      </c>
      <c r="Z105" s="88">
        <f t="shared" si="135"/>
        <v>0</v>
      </c>
      <c r="AA105" s="88">
        <f t="shared" ref="AA105" si="136">IF(AA81&lt;0,AA81*-1,0)</f>
        <v>0</v>
      </c>
      <c r="AB105" s="88">
        <f t="shared" si="132"/>
        <v>0</v>
      </c>
      <c r="AC105" s="88">
        <f t="shared" si="132"/>
        <v>0</v>
      </c>
      <c r="AD105" s="88">
        <f t="shared" si="132"/>
        <v>0</v>
      </c>
      <c r="AE105" s="88">
        <f t="shared" si="132"/>
        <v>0</v>
      </c>
      <c r="AF105" s="88">
        <f t="shared" si="132"/>
        <v>0</v>
      </c>
      <c r="AG105" s="110"/>
      <c r="AH105" s="48">
        <f t="shared" si="70"/>
        <v>0</v>
      </c>
      <c r="AI105" s="49">
        <f t="shared" si="71"/>
        <v>0</v>
      </c>
      <c r="BF105" s="80"/>
      <c r="BG105" s="81">
        <v>36.6</v>
      </c>
      <c r="BH105" s="81">
        <v>20</v>
      </c>
      <c r="BI105" s="81">
        <v>50.6</v>
      </c>
      <c r="BJ105" s="81">
        <v>53.6</v>
      </c>
      <c r="BK105" s="81">
        <v>67.900000000000006</v>
      </c>
      <c r="BL105" s="81">
        <v>42</v>
      </c>
    </row>
    <row r="106" spans="1:64" ht="15.75" thickBot="1" x14ac:dyDescent="0.3">
      <c r="A106" s="96" t="s">
        <v>129</v>
      </c>
      <c r="B106" s="106">
        <v>0</v>
      </c>
      <c r="C106" s="106">
        <v>0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0</v>
      </c>
      <c r="S106" s="106">
        <v>0</v>
      </c>
      <c r="T106" s="106">
        <v>0</v>
      </c>
      <c r="U106" s="106">
        <v>0</v>
      </c>
      <c r="V106" s="106"/>
      <c r="W106" s="106">
        <v>0</v>
      </c>
      <c r="X106" s="106">
        <v>0</v>
      </c>
      <c r="Y106" s="106">
        <v>0</v>
      </c>
      <c r="Z106" s="106">
        <v>0</v>
      </c>
      <c r="AA106" s="106">
        <v>0</v>
      </c>
      <c r="AB106" s="106">
        <v>0</v>
      </c>
      <c r="AC106" s="106">
        <v>0</v>
      </c>
      <c r="AD106" s="106">
        <v>0</v>
      </c>
      <c r="AE106" s="106">
        <v>0</v>
      </c>
      <c r="AF106" s="106">
        <v>0</v>
      </c>
      <c r="AG106" s="97"/>
      <c r="AH106" s="48">
        <f t="shared" si="70"/>
        <v>0</v>
      </c>
      <c r="AI106" s="49">
        <f t="shared" si="71"/>
        <v>0</v>
      </c>
      <c r="BG106" s="81">
        <v>32.4</v>
      </c>
      <c r="BH106" s="81">
        <v>24.3</v>
      </c>
      <c r="BI106" s="81">
        <v>47.2</v>
      </c>
      <c r="BJ106" s="81">
        <v>48</v>
      </c>
      <c r="BK106" s="81">
        <v>122.5</v>
      </c>
      <c r="BL106" s="81">
        <v>43.7</v>
      </c>
    </row>
    <row r="107" spans="1:64" ht="15.75" thickBot="1" x14ac:dyDescent="0.3">
      <c r="A107" s="111" t="s">
        <v>130</v>
      </c>
      <c r="B107" s="70">
        <v>0</v>
      </c>
      <c r="C107" s="70">
        <v>0</v>
      </c>
      <c r="D107" s="70">
        <v>0</v>
      </c>
      <c r="E107" s="70">
        <f t="shared" ref="E107:AF107" si="137">SUM(E101:E106)</f>
        <v>0</v>
      </c>
      <c r="F107" s="70">
        <f t="shared" si="137"/>
        <v>0</v>
      </c>
      <c r="G107" s="70">
        <f t="shared" si="137"/>
        <v>0</v>
      </c>
      <c r="H107" s="70">
        <f t="shared" si="137"/>
        <v>0</v>
      </c>
      <c r="I107" s="70">
        <f t="shared" si="137"/>
        <v>0</v>
      </c>
      <c r="J107" s="70">
        <f t="shared" si="137"/>
        <v>0</v>
      </c>
      <c r="K107" s="70">
        <f t="shared" si="137"/>
        <v>0</v>
      </c>
      <c r="L107" s="70">
        <f t="shared" si="137"/>
        <v>0</v>
      </c>
      <c r="M107" s="70">
        <f t="shared" si="137"/>
        <v>0</v>
      </c>
      <c r="N107" s="70">
        <f t="shared" si="137"/>
        <v>0</v>
      </c>
      <c r="O107" s="70">
        <f t="shared" si="137"/>
        <v>0</v>
      </c>
      <c r="P107" s="70">
        <f t="shared" ref="P107" si="138">SUM(P101:P106)</f>
        <v>0</v>
      </c>
      <c r="Q107" s="70">
        <f t="shared" si="137"/>
        <v>0</v>
      </c>
      <c r="R107" s="70">
        <f t="shared" si="137"/>
        <v>0</v>
      </c>
      <c r="S107" s="70">
        <f t="shared" ref="S107:T107" si="139">SUM(S101:S106)</f>
        <v>0</v>
      </c>
      <c r="T107" s="70">
        <f t="shared" si="139"/>
        <v>0</v>
      </c>
      <c r="U107" s="70">
        <f t="shared" si="137"/>
        <v>0</v>
      </c>
      <c r="V107" s="70"/>
      <c r="W107" s="70">
        <f t="shared" si="137"/>
        <v>0</v>
      </c>
      <c r="X107" s="70">
        <f t="shared" si="137"/>
        <v>0</v>
      </c>
      <c r="Y107" s="70">
        <f t="shared" ref="Y107:Z107" si="140">SUM(Y101:Y106)</f>
        <v>14</v>
      </c>
      <c r="Z107" s="70">
        <f t="shared" si="140"/>
        <v>0</v>
      </c>
      <c r="AA107" s="70">
        <f t="shared" ref="AA107" si="141">SUM(AA101:AA106)</f>
        <v>0</v>
      </c>
      <c r="AB107" s="70">
        <f t="shared" si="137"/>
        <v>0</v>
      </c>
      <c r="AC107" s="70">
        <f t="shared" si="137"/>
        <v>0</v>
      </c>
      <c r="AD107" s="70">
        <f t="shared" si="137"/>
        <v>0</v>
      </c>
      <c r="AE107" s="70">
        <f t="shared" si="137"/>
        <v>0</v>
      </c>
      <c r="AF107" s="70">
        <f t="shared" si="137"/>
        <v>0</v>
      </c>
      <c r="AG107" s="100"/>
      <c r="AH107" s="48">
        <f t="shared" si="70"/>
        <v>14</v>
      </c>
      <c r="AI107" s="49">
        <f t="shared" si="71"/>
        <v>0</v>
      </c>
      <c r="AK107" s="51"/>
      <c r="BG107" s="81">
        <v>29</v>
      </c>
      <c r="BH107" s="81">
        <v>0</v>
      </c>
      <c r="BI107" s="81">
        <v>110</v>
      </c>
      <c r="BJ107" s="81">
        <v>15</v>
      </c>
      <c r="BK107" s="81">
        <v>0</v>
      </c>
      <c r="BL107" s="81">
        <v>55</v>
      </c>
    </row>
    <row r="108" spans="1:64" ht="15.75" thickBot="1" x14ac:dyDescent="0.3">
      <c r="A108" s="86" t="s">
        <v>131</v>
      </c>
      <c r="B108" s="70">
        <f t="shared" ref="B108:C108" si="142">B92-B107</f>
        <v>209</v>
      </c>
      <c r="C108" s="70">
        <f t="shared" si="142"/>
        <v>369</v>
      </c>
      <c r="D108" s="70">
        <f t="shared" ref="D108" si="143">D92-D107</f>
        <v>296</v>
      </c>
      <c r="E108" s="70">
        <f t="shared" ref="E108:AF108" si="144">E92-E107</f>
        <v>314.10000000000002</v>
      </c>
      <c r="F108" s="70">
        <f t="shared" si="144"/>
        <v>319.70000000000005</v>
      </c>
      <c r="G108" s="70">
        <f t="shared" si="144"/>
        <v>344.5</v>
      </c>
      <c r="H108" s="70">
        <f t="shared" si="144"/>
        <v>357.1</v>
      </c>
      <c r="I108" s="70">
        <f t="shared" si="144"/>
        <v>301.3</v>
      </c>
      <c r="J108" s="70">
        <f t="shared" si="144"/>
        <v>690.6</v>
      </c>
      <c r="K108" s="70">
        <f t="shared" si="144"/>
        <v>795.69999999999993</v>
      </c>
      <c r="L108" s="70">
        <f t="shared" si="144"/>
        <v>863.8</v>
      </c>
      <c r="M108" s="70">
        <f t="shared" si="144"/>
        <v>937.9</v>
      </c>
      <c r="N108" s="70">
        <f t="shared" si="144"/>
        <v>895.69999999999993</v>
      </c>
      <c r="O108" s="70">
        <f t="shared" si="144"/>
        <v>912.7</v>
      </c>
      <c r="P108" s="70">
        <f t="shared" ref="P108" si="145">P92-P107</f>
        <v>927.69999999999993</v>
      </c>
      <c r="Q108" s="70">
        <f t="shared" si="144"/>
        <v>927.69999999999993</v>
      </c>
      <c r="R108" s="70">
        <f t="shared" si="144"/>
        <v>912</v>
      </c>
      <c r="S108" s="70">
        <f t="shared" ref="S108:T108" si="146">S92-S107</f>
        <v>919.80000000000007</v>
      </c>
      <c r="T108" s="70">
        <f t="shared" si="146"/>
        <v>919.90000000000009</v>
      </c>
      <c r="U108" s="70">
        <f t="shared" si="144"/>
        <v>0</v>
      </c>
      <c r="V108" s="70"/>
      <c r="W108" s="70">
        <f t="shared" si="144"/>
        <v>0</v>
      </c>
      <c r="X108" s="70">
        <f t="shared" si="144"/>
        <v>641.9</v>
      </c>
      <c r="Y108" s="70">
        <f t="shared" ref="Y108:Z108" si="147">Y92-Y107</f>
        <v>38.200000000000003</v>
      </c>
      <c r="Z108" s="70">
        <f t="shared" si="147"/>
        <v>129</v>
      </c>
      <c r="AA108" s="70">
        <f t="shared" ref="AA108" si="148">AA92-AA107</f>
        <v>119.3</v>
      </c>
      <c r="AB108" s="70">
        <f t="shared" si="144"/>
        <v>151.1</v>
      </c>
      <c r="AC108" s="70">
        <f t="shared" si="144"/>
        <v>151</v>
      </c>
      <c r="AD108" s="70">
        <f t="shared" si="144"/>
        <v>182.3</v>
      </c>
      <c r="AE108" s="70">
        <f t="shared" si="144"/>
        <v>270.70000000000005</v>
      </c>
      <c r="AF108" s="70">
        <f t="shared" si="144"/>
        <v>318.09999999999997</v>
      </c>
      <c r="AG108" s="100"/>
      <c r="AH108" s="48">
        <f t="shared" si="70"/>
        <v>937.9</v>
      </c>
      <c r="AI108" s="49">
        <f t="shared" si="71"/>
        <v>0</v>
      </c>
    </row>
    <row r="109" spans="1:64" x14ac:dyDescent="0.25">
      <c r="A109" s="112" t="s">
        <v>132</v>
      </c>
      <c r="B109" s="113">
        <v>49.99</v>
      </c>
      <c r="C109" s="113">
        <v>49.97</v>
      </c>
      <c r="D109" s="113">
        <v>49.97</v>
      </c>
      <c r="E109" s="113">
        <v>50.01</v>
      </c>
      <c r="F109" s="113">
        <v>50.000999999999998</v>
      </c>
      <c r="G109" s="113">
        <v>49.892000000000003</v>
      </c>
      <c r="H109" s="113">
        <v>49.965000000000003</v>
      </c>
      <c r="I109" s="113">
        <v>49.932000000000002</v>
      </c>
      <c r="J109" s="113">
        <v>49.941000000000003</v>
      </c>
      <c r="K109" s="113">
        <v>50.01</v>
      </c>
      <c r="L109" s="113">
        <v>50.01</v>
      </c>
      <c r="M109" s="113">
        <v>50.031999999999996</v>
      </c>
      <c r="N109" s="113">
        <v>49.972999999999999</v>
      </c>
      <c r="O109" s="113">
        <v>49.988</v>
      </c>
      <c r="P109" s="113">
        <v>49.97</v>
      </c>
      <c r="Q109" s="113">
        <v>49.97</v>
      </c>
      <c r="R109" s="113">
        <v>50</v>
      </c>
      <c r="S109" s="113">
        <v>50</v>
      </c>
      <c r="T109" s="113">
        <v>49.98</v>
      </c>
      <c r="U109" s="113"/>
      <c r="V109" s="113"/>
      <c r="W109" s="113"/>
      <c r="X109" s="113">
        <v>49.87</v>
      </c>
      <c r="Y109" s="113">
        <v>49.94</v>
      </c>
      <c r="Z109" s="113">
        <v>49.99</v>
      </c>
      <c r="AA109" s="113">
        <v>49.95</v>
      </c>
      <c r="AB109" s="113">
        <v>50</v>
      </c>
      <c r="AC109" s="113">
        <v>50.039000000000001</v>
      </c>
      <c r="AD109" s="113">
        <v>50.042999999999999</v>
      </c>
      <c r="AE109" s="113">
        <v>49.908000000000001</v>
      </c>
      <c r="AF109" s="113">
        <v>49.883000000000003</v>
      </c>
      <c r="AG109" s="114"/>
      <c r="AH109" s="48">
        <f t="shared" si="70"/>
        <v>50.042999999999999</v>
      </c>
      <c r="AI109" s="49">
        <f t="shared" si="71"/>
        <v>49.87</v>
      </c>
    </row>
    <row r="110" spans="1:64" x14ac:dyDescent="0.25">
      <c r="A110" s="115" t="s">
        <v>133</v>
      </c>
      <c r="B110" s="75">
        <v>132</v>
      </c>
      <c r="C110" s="75">
        <v>134</v>
      </c>
      <c r="D110" s="75">
        <v>134</v>
      </c>
      <c r="E110" s="75">
        <v>135.1</v>
      </c>
      <c r="F110" s="75">
        <v>135.5</v>
      </c>
      <c r="G110" s="75">
        <v>135</v>
      </c>
      <c r="H110" s="75">
        <v>134.30000000000001</v>
      </c>
      <c r="I110" s="75">
        <v>133.5</v>
      </c>
      <c r="J110" s="75">
        <v>125.9</v>
      </c>
      <c r="K110" s="75">
        <v>125.3</v>
      </c>
      <c r="L110" s="75">
        <v>125.3</v>
      </c>
      <c r="M110" s="75">
        <v>122.2</v>
      </c>
      <c r="N110" s="75">
        <v>122.4</v>
      </c>
      <c r="O110" s="75">
        <v>125.1</v>
      </c>
      <c r="P110" s="75">
        <v>124.6</v>
      </c>
      <c r="Q110" s="75">
        <v>124.6</v>
      </c>
      <c r="R110" s="75">
        <v>125.7</v>
      </c>
      <c r="S110" s="75">
        <v>125.7</v>
      </c>
      <c r="T110" s="75">
        <v>124.7</v>
      </c>
      <c r="U110" s="75"/>
      <c r="V110" s="75"/>
      <c r="W110" s="75"/>
      <c r="X110" s="75">
        <v>134.6</v>
      </c>
      <c r="Y110" s="75">
        <v>129.6</v>
      </c>
      <c r="Z110" s="75">
        <v>127.4</v>
      </c>
      <c r="AA110" s="75">
        <v>130.6</v>
      </c>
      <c r="AB110" s="75">
        <v>132.6</v>
      </c>
      <c r="AC110" s="75">
        <v>133.30000000000001</v>
      </c>
      <c r="AD110" s="75">
        <v>133.1</v>
      </c>
      <c r="AE110" s="75">
        <v>133.30000000000001</v>
      </c>
      <c r="AF110" s="75">
        <v>132.19999999999999</v>
      </c>
      <c r="AG110" s="116"/>
      <c r="AH110" s="48">
        <f t="shared" si="70"/>
        <v>135.5</v>
      </c>
      <c r="AI110" s="49">
        <f t="shared" si="71"/>
        <v>122.2</v>
      </c>
    </row>
    <row r="111" spans="1:64" x14ac:dyDescent="0.25">
      <c r="A111" s="115" t="s">
        <v>134</v>
      </c>
      <c r="B111" s="75">
        <v>135</v>
      </c>
      <c r="C111" s="75">
        <v>137</v>
      </c>
      <c r="D111" s="75">
        <v>137</v>
      </c>
      <c r="E111" s="75">
        <v>137.19999999999999</v>
      </c>
      <c r="F111" s="75">
        <v>137.5</v>
      </c>
      <c r="G111" s="75">
        <v>136.69999999999999</v>
      </c>
      <c r="H111" s="75">
        <v>136</v>
      </c>
      <c r="I111" s="75">
        <v>135</v>
      </c>
      <c r="J111" s="75">
        <v>127.7</v>
      </c>
      <c r="K111" s="75">
        <v>127.6</v>
      </c>
      <c r="L111" s="75">
        <v>127.6</v>
      </c>
      <c r="M111" s="75">
        <v>127.6</v>
      </c>
      <c r="N111" s="75">
        <v>126.3</v>
      </c>
      <c r="O111" s="75">
        <v>128</v>
      </c>
      <c r="P111" s="75">
        <v>127.9</v>
      </c>
      <c r="Q111" s="75">
        <v>127.9</v>
      </c>
      <c r="R111" s="75">
        <v>128.5</v>
      </c>
      <c r="S111" s="75">
        <v>128.5</v>
      </c>
      <c r="T111" s="75">
        <v>128.19999999999999</v>
      </c>
      <c r="U111" s="75"/>
      <c r="V111" s="75"/>
      <c r="W111" s="75"/>
      <c r="X111" s="75">
        <v>128.69999999999999</v>
      </c>
      <c r="Y111" s="75">
        <v>124.2</v>
      </c>
      <c r="Z111" s="75">
        <v>130.5</v>
      </c>
      <c r="AA111" s="75">
        <v>133.4</v>
      </c>
      <c r="AB111" s="75">
        <v>135</v>
      </c>
      <c r="AC111" s="75">
        <v>136.1</v>
      </c>
      <c r="AD111" s="75">
        <v>136</v>
      </c>
      <c r="AE111" s="75">
        <v>136</v>
      </c>
      <c r="AF111" s="75">
        <v>135.30000000000001</v>
      </c>
      <c r="AG111" s="116"/>
      <c r="AH111" s="48">
        <f t="shared" si="70"/>
        <v>137.5</v>
      </c>
      <c r="AI111" s="49">
        <f t="shared" si="71"/>
        <v>124.2</v>
      </c>
    </row>
    <row r="112" spans="1:64" x14ac:dyDescent="0.25">
      <c r="A112" s="115" t="s">
        <v>135</v>
      </c>
      <c r="B112" s="75">
        <v>132</v>
      </c>
      <c r="C112" s="75">
        <v>132</v>
      </c>
      <c r="D112" s="75">
        <v>132</v>
      </c>
      <c r="E112" s="75">
        <v>131.5</v>
      </c>
      <c r="F112" s="75">
        <v>132.9</v>
      </c>
      <c r="G112" s="75">
        <v>132.19999999999999</v>
      </c>
      <c r="H112" s="75">
        <v>132.5</v>
      </c>
      <c r="I112" s="75">
        <v>130.6</v>
      </c>
      <c r="J112" s="75">
        <v>123</v>
      </c>
      <c r="K112" s="75">
        <v>128.19999999999999</v>
      </c>
      <c r="L112" s="75">
        <v>128.19999999999999</v>
      </c>
      <c r="M112" s="75">
        <v>128.19999999999999</v>
      </c>
      <c r="N112" s="75">
        <v>127.2</v>
      </c>
      <c r="O112" s="75">
        <v>126</v>
      </c>
      <c r="P112" s="75">
        <v>126.1</v>
      </c>
      <c r="Q112" s="75">
        <v>126.1</v>
      </c>
      <c r="R112" s="75">
        <v>123</v>
      </c>
      <c r="S112" s="75">
        <v>123</v>
      </c>
      <c r="T112" s="75">
        <v>125.1</v>
      </c>
      <c r="U112" s="75"/>
      <c r="V112" s="75"/>
      <c r="W112" s="75"/>
      <c r="X112" s="75">
        <v>127.7</v>
      </c>
      <c r="Y112" s="75">
        <v>124.2</v>
      </c>
      <c r="Z112" s="75">
        <v>130.80000000000001</v>
      </c>
      <c r="AA112" s="75">
        <v>132.1</v>
      </c>
      <c r="AB112" s="75">
        <v>129</v>
      </c>
      <c r="AC112" s="75">
        <v>131.6</v>
      </c>
      <c r="AD112" s="75">
        <v>134.69999999999999</v>
      </c>
      <c r="AE112" s="75">
        <v>139.5</v>
      </c>
      <c r="AF112" s="75">
        <v>139.1</v>
      </c>
      <c r="AG112" s="116"/>
      <c r="AH112" s="48">
        <f t="shared" si="70"/>
        <v>139.5</v>
      </c>
      <c r="AI112" s="49">
        <f t="shared" si="71"/>
        <v>123</v>
      </c>
    </row>
    <row r="113" spans="1:35" x14ac:dyDescent="0.25">
      <c r="A113" s="117" t="s">
        <v>136</v>
      </c>
      <c r="B113" s="75">
        <v>132</v>
      </c>
      <c r="C113" s="75">
        <v>132</v>
      </c>
      <c r="D113" s="75">
        <v>132</v>
      </c>
      <c r="E113" s="75">
        <v>133.80000000000001</v>
      </c>
      <c r="F113" s="75">
        <v>133.69999999999999</v>
      </c>
      <c r="G113" s="75">
        <v>132.5</v>
      </c>
      <c r="H113" s="75">
        <v>133.1</v>
      </c>
      <c r="I113" s="75">
        <v>132.1</v>
      </c>
      <c r="J113" s="75">
        <v>123.3</v>
      </c>
      <c r="K113" s="75">
        <v>127.2</v>
      </c>
      <c r="L113" s="75">
        <v>127.2</v>
      </c>
      <c r="M113" s="75">
        <v>127.2</v>
      </c>
      <c r="N113" s="75">
        <v>126.5</v>
      </c>
      <c r="O113" s="75">
        <v>126</v>
      </c>
      <c r="P113" s="75">
        <v>126.2</v>
      </c>
      <c r="Q113" s="75">
        <v>126.2</v>
      </c>
      <c r="R113" s="75">
        <v>126</v>
      </c>
      <c r="S113" s="75">
        <v>126</v>
      </c>
      <c r="T113" s="75">
        <v>125.4</v>
      </c>
      <c r="U113" s="75"/>
      <c r="V113" s="75"/>
      <c r="W113" s="75"/>
      <c r="X113" s="75">
        <v>136.69999999999999</v>
      </c>
      <c r="Y113" s="75">
        <v>136.69999999999999</v>
      </c>
      <c r="Z113" s="75">
        <v>131</v>
      </c>
      <c r="AA113" s="75">
        <v>134.19999999999999</v>
      </c>
      <c r="AB113" s="75">
        <v>128.6</v>
      </c>
      <c r="AC113" s="75">
        <v>131.5</v>
      </c>
      <c r="AD113" s="75">
        <v>134.69999999999999</v>
      </c>
      <c r="AE113" s="75">
        <v>136</v>
      </c>
      <c r="AF113" s="75">
        <v>139.80000000000001</v>
      </c>
      <c r="AG113" s="116"/>
      <c r="AH113" s="48">
        <f t="shared" si="70"/>
        <v>139.80000000000001</v>
      </c>
      <c r="AI113" s="49">
        <f t="shared" si="71"/>
        <v>123.3</v>
      </c>
    </row>
    <row r="114" spans="1:35" x14ac:dyDescent="0.25">
      <c r="A114" s="117" t="s">
        <v>137</v>
      </c>
      <c r="B114" s="118">
        <v>136</v>
      </c>
      <c r="C114" s="118">
        <v>136</v>
      </c>
      <c r="D114" s="118">
        <v>136</v>
      </c>
      <c r="E114" s="118">
        <v>138.19999999999999</v>
      </c>
      <c r="F114" s="118">
        <v>138.1</v>
      </c>
      <c r="G114" s="118">
        <v>137.19999999999999</v>
      </c>
      <c r="H114" s="118">
        <v>136.5</v>
      </c>
      <c r="I114" s="118">
        <v>135</v>
      </c>
      <c r="J114" s="118">
        <v>127.2</v>
      </c>
      <c r="K114" s="118">
        <v>130.9</v>
      </c>
      <c r="L114" s="118">
        <v>130.9</v>
      </c>
      <c r="M114" s="118">
        <v>130.9</v>
      </c>
      <c r="N114" s="118">
        <v>129</v>
      </c>
      <c r="O114" s="118">
        <v>135</v>
      </c>
      <c r="P114" s="118">
        <v>132.1</v>
      </c>
      <c r="Q114" s="118">
        <v>132.1</v>
      </c>
      <c r="R114" s="118">
        <v>135.1</v>
      </c>
      <c r="S114" s="118">
        <v>135.1</v>
      </c>
      <c r="T114" s="118">
        <v>133.9</v>
      </c>
      <c r="U114" s="118"/>
      <c r="V114" s="118"/>
      <c r="W114" s="118"/>
      <c r="X114" s="118">
        <v>136.69999999999999</v>
      </c>
      <c r="Y114" s="118">
        <v>136.69999999999999</v>
      </c>
      <c r="Z114" s="118">
        <v>134</v>
      </c>
      <c r="AA114" s="118">
        <v>136.4</v>
      </c>
      <c r="AB114" s="118">
        <v>136</v>
      </c>
      <c r="AC114" s="118">
        <v>136.30000000000001</v>
      </c>
      <c r="AD114" s="118">
        <v>134</v>
      </c>
      <c r="AE114" s="118">
        <v>132.9</v>
      </c>
      <c r="AF114" s="118">
        <v>130</v>
      </c>
      <c r="AG114" s="119"/>
      <c r="AH114" s="48">
        <f t="shared" si="70"/>
        <v>138.19999999999999</v>
      </c>
      <c r="AI114" s="49">
        <f t="shared" si="71"/>
        <v>127.2</v>
      </c>
    </row>
    <row r="115" spans="1:35" x14ac:dyDescent="0.25">
      <c r="A115" s="115" t="s">
        <v>138</v>
      </c>
      <c r="B115" s="75">
        <v>137</v>
      </c>
      <c r="C115" s="75">
        <v>137</v>
      </c>
      <c r="D115" s="75">
        <v>137</v>
      </c>
      <c r="E115" s="75">
        <v>135.19999999999999</v>
      </c>
      <c r="F115" s="75">
        <v>135.30000000000001</v>
      </c>
      <c r="G115" s="75">
        <v>134.6</v>
      </c>
      <c r="H115" s="75">
        <v>132.80000000000001</v>
      </c>
      <c r="I115" s="75">
        <v>130.80000000000001</v>
      </c>
      <c r="J115" s="75">
        <v>126.8</v>
      </c>
      <c r="K115" s="75">
        <v>132.6</v>
      </c>
      <c r="L115" s="75">
        <v>132.6</v>
      </c>
      <c r="M115" s="75">
        <v>132.6</v>
      </c>
      <c r="N115" s="75">
        <v>125</v>
      </c>
      <c r="O115" s="75">
        <v>129</v>
      </c>
      <c r="P115" s="75">
        <v>130.19999999999999</v>
      </c>
      <c r="Q115" s="75">
        <v>130.19999999999999</v>
      </c>
      <c r="R115" s="75">
        <v>132.6</v>
      </c>
      <c r="S115" s="75">
        <v>132.6</v>
      </c>
      <c r="T115" s="75">
        <v>127</v>
      </c>
      <c r="U115" s="75"/>
      <c r="V115" s="75"/>
      <c r="W115" s="75"/>
      <c r="X115" s="75">
        <v>130.9</v>
      </c>
      <c r="Y115" s="75">
        <v>130.9</v>
      </c>
      <c r="Z115" s="75">
        <v>132.4</v>
      </c>
      <c r="AA115" s="75">
        <v>133.9</v>
      </c>
      <c r="AB115" s="75">
        <v>134</v>
      </c>
      <c r="AC115" s="75">
        <v>134.9</v>
      </c>
      <c r="AD115" s="75">
        <v>128.5</v>
      </c>
      <c r="AE115" s="75">
        <v>133.19999999999999</v>
      </c>
      <c r="AF115" s="75">
        <v>134.1</v>
      </c>
      <c r="AG115" s="116"/>
      <c r="AH115" s="48">
        <f t="shared" si="70"/>
        <v>137</v>
      </c>
      <c r="AI115" s="49">
        <f t="shared" si="71"/>
        <v>125</v>
      </c>
    </row>
    <row r="116" spans="1:35" ht="15.75" thickBot="1" x14ac:dyDescent="0.3">
      <c r="A116" s="115" t="s">
        <v>139</v>
      </c>
      <c r="B116" s="104">
        <v>67.900000000000006</v>
      </c>
      <c r="C116" s="104">
        <v>67.900000000000006</v>
      </c>
      <c r="D116" s="104">
        <v>67.900000000000006</v>
      </c>
      <c r="E116" s="104">
        <v>68.7</v>
      </c>
      <c r="F116" s="104">
        <v>68.8</v>
      </c>
      <c r="G116" s="104">
        <v>68.5</v>
      </c>
      <c r="H116" s="104">
        <v>68.099999999999994</v>
      </c>
      <c r="I116" s="104">
        <v>67.599999999999994</v>
      </c>
      <c r="J116" s="104">
        <v>64.3</v>
      </c>
      <c r="K116" s="104">
        <v>64.599999999999994</v>
      </c>
      <c r="L116" s="104">
        <v>64.599999999999994</v>
      </c>
      <c r="M116" s="104">
        <v>64.599999999999994</v>
      </c>
      <c r="N116" s="104">
        <v>63.9</v>
      </c>
      <c r="O116" s="104">
        <v>64.599999999999994</v>
      </c>
      <c r="P116" s="104">
        <v>64.400000000000006</v>
      </c>
      <c r="Q116" s="104">
        <v>64.400000000000006</v>
      </c>
      <c r="R116" s="104">
        <v>64.8</v>
      </c>
      <c r="S116" s="104">
        <v>64.8</v>
      </c>
      <c r="T116" s="104">
        <v>64.8</v>
      </c>
      <c r="U116" s="104"/>
      <c r="V116" s="104"/>
      <c r="W116" s="104"/>
      <c r="X116" s="104">
        <v>67.3</v>
      </c>
      <c r="Y116" s="104">
        <v>67.3</v>
      </c>
      <c r="Z116" s="104">
        <v>65.3</v>
      </c>
      <c r="AA116" s="104">
        <v>66.8</v>
      </c>
      <c r="AB116" s="104">
        <v>67.5</v>
      </c>
      <c r="AC116" s="104">
        <v>67.900000000000006</v>
      </c>
      <c r="AD116" s="104">
        <v>68</v>
      </c>
      <c r="AE116" s="104">
        <v>68.099999999999994</v>
      </c>
      <c r="AF116" s="104">
        <v>67.8</v>
      </c>
      <c r="AG116" s="120"/>
      <c r="AH116" s="48">
        <f t="shared" si="70"/>
        <v>68.8</v>
      </c>
      <c r="AI116" s="49">
        <f t="shared" si="71"/>
        <v>63.9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70"/>
        <v>0</v>
      </c>
      <c r="AI117" s="49">
        <f t="shared" si="71"/>
        <v>0</v>
      </c>
    </row>
    <row r="118" spans="1:35" ht="15.75" thickBot="1" x14ac:dyDescent="0.3">
      <c r="A118" s="122" t="s">
        <v>141</v>
      </c>
      <c r="B118" s="123">
        <f t="shared" ref="B118:C118" si="149">SUM(B22,B28,B31:B32,B66,B68:B69,B71,B73,B119:B123,B155,B161,B167,B176,B178,B190,B197,B200:B201,B208,B210,B212,B216:B218,B220:B222,B227,B233:B234,B236:B238,B246,B251)</f>
        <v>100.94</v>
      </c>
      <c r="C118" s="123">
        <f t="shared" si="149"/>
        <v>100.94</v>
      </c>
      <c r="D118" s="123">
        <f t="shared" ref="D118" si="150">SUM(D22,D28,D31:D32,D66,D68:D69,D71,D73,D119:D123,D155,D161,D167,D176,D178,D190,D197,D200:D201,D208,D210,D212,D216:D218,D220:D222,D227,D233:D234,D236:D238,D246,D251)</f>
        <v>92.94</v>
      </c>
      <c r="E118" s="123">
        <f t="shared" ref="E118:O118" si="151">SUM(E22,E28,E31:E32,E66,E68:E69,E71,E73,E119:E123,E155,E161,E167,E176,E178,E190,E197,E200:E201,E208,E210,E212,E216:E218,E220:E222,E227,E233:E234,E236:E238,E246,E251)</f>
        <v>118.13999999999999</v>
      </c>
      <c r="F118" s="123">
        <f t="shared" si="151"/>
        <v>122.74</v>
      </c>
      <c r="G118" s="123">
        <f t="shared" si="151"/>
        <v>149.13999999999999</v>
      </c>
      <c r="H118" s="123">
        <f t="shared" si="151"/>
        <v>182.34</v>
      </c>
      <c r="I118" s="123">
        <f t="shared" si="151"/>
        <v>202.04000000000002</v>
      </c>
      <c r="J118" s="123">
        <f t="shared" si="151"/>
        <v>250.44</v>
      </c>
      <c r="K118" s="123">
        <f t="shared" si="151"/>
        <v>269.83999999999997</v>
      </c>
      <c r="L118" s="123">
        <f t="shared" si="151"/>
        <v>271.33999999999997</v>
      </c>
      <c r="M118" s="123">
        <f t="shared" si="151"/>
        <v>318.14</v>
      </c>
      <c r="N118" s="123">
        <f t="shared" si="151"/>
        <v>316.14000000000004</v>
      </c>
      <c r="O118" s="123">
        <f t="shared" si="151"/>
        <v>275.33999999999997</v>
      </c>
      <c r="P118" s="123">
        <f t="shared" ref="P118" si="152">SUM(P22,P28,P31:P32,P66,P68:P69,P71,P73,P119:P123,P155,P161,P167,P176,P178,P190,P197,P200:P201,P208,P210,P212,P216:P218,P220:P222,P227,P233:P234,P236:P238,P246,P251)</f>
        <v>301.83999999999997</v>
      </c>
      <c r="Q118" s="123">
        <f t="shared" ref="Q118:AF118" si="153">SUM(Q22,Q28,Q31:Q32,Q66,Q68:Q69,Q71,Q73,Q119:Q123,Q155,Q161,Q167,Q176,Q178,Q190,Q197,Q200:Q201,Q208,Q210,Q212,Q216:Q218,Q220:Q222,Q227,Q233:Q234,Q236:Q238,Q246,Q251)</f>
        <v>301.83999999999997</v>
      </c>
      <c r="R118" s="123">
        <f t="shared" si="153"/>
        <v>289.94</v>
      </c>
      <c r="S118" s="123">
        <f t="shared" ref="S118:T118" si="154">SUM(S22,S28,S31:S32,S66,S68:S69,S71,S73,S119:S123,S155,S161,S167,S176,S178,S190,S197,S200:S201,S208,S210,S212,S216:S218,S220:S222,S227,S233:S234,S236:S238,S246,S251)</f>
        <v>288.74</v>
      </c>
      <c r="T118" s="123">
        <f t="shared" si="154"/>
        <v>296.04000000000002</v>
      </c>
      <c r="U118" s="123">
        <f t="shared" si="153"/>
        <v>0.94</v>
      </c>
      <c r="V118" s="123"/>
      <c r="W118" s="123">
        <f t="shared" si="153"/>
        <v>0.94</v>
      </c>
      <c r="X118" s="123">
        <f t="shared" si="153"/>
        <v>291.83999999999997</v>
      </c>
      <c r="Y118" s="123">
        <f t="shared" ref="Y118:Z118" si="155">SUM(Y22,Y28,Y31:Y32,Y66,Y68:Y69,Y71,Y73,Y119:Y123,Y155,Y161,Y167,Y176,Y178,Y190,Y197,Y200:Y201,Y208,Y210,Y212,Y216:Y218,Y220:Y222,Y227,Y233:Y234,Y236:Y238,Y246,Y251)</f>
        <v>313.94</v>
      </c>
      <c r="Z118" s="123">
        <f t="shared" si="155"/>
        <v>338.14000000000004</v>
      </c>
      <c r="AA118" s="123">
        <f t="shared" ref="AA118" si="156">SUM(AA22,AA28,AA31:AA32,AA66,AA68:AA69,AA71,AA73,AA119:AA123,AA155,AA161,AA167,AA176,AA178,AA190,AA197,AA200:AA201,AA208,AA210,AA212,AA216:AA218,AA220:AA222,AA227,AA233:AA234,AA236:AA238,AA246,AA251)</f>
        <v>311.44</v>
      </c>
      <c r="AB118" s="123">
        <f t="shared" si="153"/>
        <v>241.44000000000003</v>
      </c>
      <c r="AC118" s="123">
        <f t="shared" si="153"/>
        <v>209.74</v>
      </c>
      <c r="AD118" s="123">
        <f t="shared" si="153"/>
        <v>178.44</v>
      </c>
      <c r="AE118" s="123">
        <f t="shared" si="153"/>
        <v>127.83999999999997</v>
      </c>
      <c r="AF118" s="123">
        <f t="shared" si="153"/>
        <v>101.64000000000001</v>
      </c>
      <c r="AG118" s="124"/>
      <c r="AH118" s="48">
        <f t="shared" si="70"/>
        <v>338.14000000000004</v>
      </c>
      <c r="AI118" s="49">
        <f t="shared" si="71"/>
        <v>0.94</v>
      </c>
    </row>
    <row r="119" spans="1:35" x14ac:dyDescent="0.25">
      <c r="A119" s="125" t="s">
        <v>142</v>
      </c>
      <c r="B119" s="126">
        <v>20</v>
      </c>
      <c r="C119" s="126">
        <v>20</v>
      </c>
      <c r="D119" s="126">
        <v>6</v>
      </c>
      <c r="E119" s="126">
        <v>5.0999999999999996</v>
      </c>
      <c r="F119" s="126">
        <v>5.4</v>
      </c>
      <c r="G119" s="126">
        <v>8.1</v>
      </c>
      <c r="H119" s="126">
        <v>15</v>
      </c>
      <c r="I119" s="126">
        <v>12.2</v>
      </c>
      <c r="J119" s="126">
        <v>-8.3000000000000007</v>
      </c>
      <c r="K119" s="126">
        <v>-3.6</v>
      </c>
      <c r="L119" s="126">
        <v>-3.6</v>
      </c>
      <c r="M119" s="126">
        <v>4.8</v>
      </c>
      <c r="N119" s="126">
        <v>5.5</v>
      </c>
      <c r="O119" s="126">
        <v>5.7</v>
      </c>
      <c r="P119" s="126">
        <v>-0.7</v>
      </c>
      <c r="Q119" s="126">
        <v>-0.7</v>
      </c>
      <c r="R119" s="126">
        <v>-2.1</v>
      </c>
      <c r="S119" s="126">
        <v>-0.2</v>
      </c>
      <c r="T119" s="126">
        <v>-1.6</v>
      </c>
      <c r="U119" s="126"/>
      <c r="V119" s="126"/>
      <c r="W119" s="126"/>
      <c r="X119" s="126">
        <v>11.9</v>
      </c>
      <c r="Y119" s="126">
        <v>54.4</v>
      </c>
      <c r="Z119" s="126">
        <v>48.9</v>
      </c>
      <c r="AA119" s="126">
        <v>32.1</v>
      </c>
      <c r="AB119" s="126">
        <v>22.1</v>
      </c>
      <c r="AC119" s="126">
        <v>19</v>
      </c>
      <c r="AD119" s="126">
        <v>18.399999999999999</v>
      </c>
      <c r="AE119" s="126">
        <v>-6.9</v>
      </c>
      <c r="AF119" s="126">
        <v>-13.8</v>
      </c>
      <c r="AG119" s="127">
        <v>75</v>
      </c>
      <c r="AH119" s="48">
        <f t="shared" si="70"/>
        <v>54.4</v>
      </c>
      <c r="AI119" s="49">
        <f t="shared" si="71"/>
        <v>-13.8</v>
      </c>
    </row>
    <row r="120" spans="1:35" x14ac:dyDescent="0.25">
      <c r="A120" s="128" t="s">
        <v>143</v>
      </c>
      <c r="B120" s="129">
        <v>33</v>
      </c>
      <c r="C120" s="129">
        <v>33</v>
      </c>
      <c r="D120" s="129">
        <v>12</v>
      </c>
      <c r="E120" s="129">
        <v>10.5</v>
      </c>
      <c r="F120" s="129">
        <v>10.6</v>
      </c>
      <c r="G120" s="129">
        <v>16.3</v>
      </c>
      <c r="H120" s="129">
        <v>24.6</v>
      </c>
      <c r="I120" s="129">
        <v>20.6</v>
      </c>
      <c r="J120" s="129">
        <v>-8.5</v>
      </c>
      <c r="K120" s="129">
        <v>-1.6</v>
      </c>
      <c r="L120" s="129">
        <v>-1.6</v>
      </c>
      <c r="M120" s="129">
        <v>0.7</v>
      </c>
      <c r="N120" s="129">
        <v>1.5</v>
      </c>
      <c r="O120" s="129">
        <v>1</v>
      </c>
      <c r="P120" s="129">
        <v>-6.5</v>
      </c>
      <c r="Q120" s="129">
        <v>-6.5</v>
      </c>
      <c r="R120" s="129">
        <v>-6.9</v>
      </c>
      <c r="S120" s="129">
        <v>-4.8</v>
      </c>
      <c r="T120" s="129">
        <v>-7.5</v>
      </c>
      <c r="U120" s="129"/>
      <c r="V120" s="129"/>
      <c r="W120" s="129"/>
      <c r="X120" s="129">
        <v>19.899999999999999</v>
      </c>
      <c r="Y120" s="129">
        <v>79</v>
      </c>
      <c r="Z120" s="129">
        <v>70.7</v>
      </c>
      <c r="AA120" s="129">
        <v>49.2</v>
      </c>
      <c r="AB120" s="129">
        <v>36.6</v>
      </c>
      <c r="AC120" s="129">
        <v>33.6</v>
      </c>
      <c r="AD120" s="129">
        <v>33.799999999999997</v>
      </c>
      <c r="AE120" s="129">
        <v>-3.2</v>
      </c>
      <c r="AF120" s="129">
        <v>-12</v>
      </c>
      <c r="AG120" s="127">
        <v>240</v>
      </c>
      <c r="AH120" s="48">
        <f t="shared" si="70"/>
        <v>79</v>
      </c>
      <c r="AI120" s="49">
        <f t="shared" si="71"/>
        <v>-12</v>
      </c>
    </row>
    <row r="121" spans="1:35" x14ac:dyDescent="0.25">
      <c r="A121" s="128" t="s">
        <v>144</v>
      </c>
      <c r="B121" s="129">
        <v>-69</v>
      </c>
      <c r="C121" s="129">
        <v>-69</v>
      </c>
      <c r="D121" s="129">
        <v>-42</v>
      </c>
      <c r="E121" s="129">
        <v>-10</v>
      </c>
      <c r="F121" s="129">
        <v>-8</v>
      </c>
      <c r="G121" s="129">
        <v>-1</v>
      </c>
      <c r="H121" s="129">
        <v>7</v>
      </c>
      <c r="I121" s="129">
        <v>12.3</v>
      </c>
      <c r="J121" s="129">
        <v>37</v>
      </c>
      <c r="K121" s="129">
        <v>40</v>
      </c>
      <c r="L121" s="129">
        <v>40</v>
      </c>
      <c r="M121" s="129">
        <f>28+23</f>
        <v>51</v>
      </c>
      <c r="N121" s="129">
        <f>28+22.6</f>
        <v>50.6</v>
      </c>
      <c r="O121" s="129">
        <v>18</v>
      </c>
      <c r="P121" s="129">
        <f>23.1+16.3</f>
        <v>39.400000000000006</v>
      </c>
      <c r="Q121" s="129">
        <f t="shared" ref="Q121" si="157">23.1+16.3</f>
        <v>39.400000000000006</v>
      </c>
      <c r="R121" s="129">
        <v>34</v>
      </c>
      <c r="S121" s="129">
        <v>36</v>
      </c>
      <c r="T121" s="129">
        <v>45</v>
      </c>
      <c r="U121" s="129"/>
      <c r="V121" s="129"/>
      <c r="W121" s="129"/>
      <c r="X121" s="129">
        <v>19</v>
      </c>
      <c r="Y121" s="129">
        <v>-70</v>
      </c>
      <c r="Z121" s="129">
        <v>-26</v>
      </c>
      <c r="AA121" s="129">
        <v>-30</v>
      </c>
      <c r="AB121" s="129">
        <v>-51</v>
      </c>
      <c r="AC121" s="129">
        <v>-60</v>
      </c>
      <c r="AD121" s="129">
        <v>-69</v>
      </c>
      <c r="AE121" s="129">
        <v>-32</v>
      </c>
      <c r="AF121" s="129">
        <v>-29.9</v>
      </c>
      <c r="AG121" s="127">
        <v>240</v>
      </c>
      <c r="AH121" s="48">
        <f t="shared" si="70"/>
        <v>51</v>
      </c>
      <c r="AI121" s="49">
        <f t="shared" si="71"/>
        <v>-70</v>
      </c>
    </row>
    <row r="122" spans="1:35" ht="15.75" thickBot="1" x14ac:dyDescent="0.3">
      <c r="A122" s="128" t="s">
        <v>145</v>
      </c>
      <c r="B122" s="129">
        <v>29</v>
      </c>
      <c r="C122" s="129">
        <v>29</v>
      </c>
      <c r="D122" s="129">
        <v>31</v>
      </c>
      <c r="E122" s="129">
        <v>32</v>
      </c>
      <c r="F122" s="129">
        <v>32.200000000000003</v>
      </c>
      <c r="G122" s="129">
        <v>33.799999999999997</v>
      </c>
      <c r="H122" s="129">
        <v>35.4</v>
      </c>
      <c r="I122" s="129">
        <v>36</v>
      </c>
      <c r="J122" s="129">
        <v>18</v>
      </c>
      <c r="K122" s="129">
        <v>20.8</v>
      </c>
      <c r="L122" s="129">
        <v>20.8</v>
      </c>
      <c r="M122" s="129">
        <v>34</v>
      </c>
      <c r="N122" s="129">
        <v>35.9</v>
      </c>
      <c r="O122" s="129">
        <v>28</v>
      </c>
      <c r="P122" s="129">
        <v>31.8</v>
      </c>
      <c r="Q122" s="129">
        <v>31.8</v>
      </c>
      <c r="R122" s="129">
        <v>31</v>
      </c>
      <c r="S122" s="129">
        <v>32.700000000000003</v>
      </c>
      <c r="T122" s="129">
        <v>31.4</v>
      </c>
      <c r="U122" s="129"/>
      <c r="V122" s="129"/>
      <c r="W122" s="129"/>
      <c r="X122" s="129">
        <v>10.1</v>
      </c>
      <c r="Y122" s="129">
        <v>31.9</v>
      </c>
      <c r="Z122" s="129">
        <v>9.8000000000000007</v>
      </c>
      <c r="AA122" s="129">
        <v>39</v>
      </c>
      <c r="AB122" s="129">
        <v>40.700000000000003</v>
      </c>
      <c r="AC122" s="129">
        <v>37.5</v>
      </c>
      <c r="AD122" s="129">
        <v>33.9</v>
      </c>
      <c r="AE122" s="129">
        <v>36.9</v>
      </c>
      <c r="AF122" s="129">
        <v>36</v>
      </c>
      <c r="AG122" s="127">
        <v>60</v>
      </c>
      <c r="AH122" s="48">
        <f t="shared" si="70"/>
        <v>40.700000000000003</v>
      </c>
      <c r="AI122" s="49">
        <f t="shared" si="71"/>
        <v>9.8000000000000007</v>
      </c>
    </row>
    <row r="123" spans="1:35" x14ac:dyDescent="0.25">
      <c r="A123" s="125" t="s">
        <v>146</v>
      </c>
      <c r="B123" s="130">
        <v>8</v>
      </c>
      <c r="C123" s="130">
        <v>8</v>
      </c>
      <c r="D123" s="130">
        <v>6</v>
      </c>
      <c r="E123" s="130">
        <v>0.6</v>
      </c>
      <c r="F123" s="130">
        <v>2.6</v>
      </c>
      <c r="G123" s="130">
        <v>12</v>
      </c>
      <c r="H123" s="130">
        <v>20.399999999999999</v>
      </c>
      <c r="I123" s="130">
        <v>41</v>
      </c>
      <c r="J123" s="130">
        <v>134</v>
      </c>
      <c r="K123" s="130">
        <v>135.1</v>
      </c>
      <c r="L123" s="130">
        <v>135.1</v>
      </c>
      <c r="M123" s="130">
        <v>147</v>
      </c>
      <c r="N123" s="130">
        <v>142</v>
      </c>
      <c r="O123" s="130">
        <v>142</v>
      </c>
      <c r="P123" s="130">
        <v>138.9</v>
      </c>
      <c r="Q123" s="130">
        <v>138.9</v>
      </c>
      <c r="R123" s="130">
        <v>135</v>
      </c>
      <c r="S123" s="130">
        <v>131.19999999999999</v>
      </c>
      <c r="T123" s="130">
        <v>137.69999999999999</v>
      </c>
      <c r="U123" s="130"/>
      <c r="V123" s="130"/>
      <c r="W123" s="130"/>
      <c r="X123" s="130">
        <v>146</v>
      </c>
      <c r="Y123" s="130">
        <v>134.69999999999999</v>
      </c>
      <c r="Z123" s="130">
        <v>150.80000000000001</v>
      </c>
      <c r="AA123" s="130">
        <v>137.19999999999999</v>
      </c>
      <c r="AB123" s="130">
        <v>110.9</v>
      </c>
      <c r="AC123" s="130">
        <v>97.3</v>
      </c>
      <c r="AD123" s="130">
        <v>77.900000000000006</v>
      </c>
      <c r="AE123" s="130">
        <v>47.6</v>
      </c>
      <c r="AF123" s="130">
        <v>32.9</v>
      </c>
      <c r="AG123" s="131">
        <v>120</v>
      </c>
      <c r="AH123" s="48">
        <f t="shared" si="70"/>
        <v>150.80000000000001</v>
      </c>
      <c r="AI123" s="49">
        <f t="shared" si="71"/>
        <v>0.6</v>
      </c>
    </row>
    <row r="124" spans="1:35" x14ac:dyDescent="0.25">
      <c r="A124" s="128" t="s">
        <v>147</v>
      </c>
      <c r="B124" s="130">
        <v>23</v>
      </c>
      <c r="C124" s="130">
        <v>23</v>
      </c>
      <c r="D124" s="130">
        <v>22</v>
      </c>
      <c r="E124" s="130">
        <v>20</v>
      </c>
      <c r="F124" s="130">
        <v>20.5</v>
      </c>
      <c r="G124" s="130">
        <v>25</v>
      </c>
      <c r="H124" s="130">
        <v>29</v>
      </c>
      <c r="I124" s="130">
        <v>39</v>
      </c>
      <c r="J124" s="130">
        <v>85</v>
      </c>
      <c r="K124" s="130">
        <v>86</v>
      </c>
      <c r="L124" s="130">
        <v>86</v>
      </c>
      <c r="M124" s="130">
        <v>90</v>
      </c>
      <c r="N124" s="130">
        <v>88.9</v>
      </c>
      <c r="O124" s="130">
        <v>88</v>
      </c>
      <c r="P124" s="130">
        <v>88.1</v>
      </c>
      <c r="Q124" s="130">
        <v>88.1</v>
      </c>
      <c r="R124" s="130">
        <v>83</v>
      </c>
      <c r="S124" s="130">
        <v>78.599999999999994</v>
      </c>
      <c r="T124" s="130">
        <v>81.3</v>
      </c>
      <c r="U124" s="130"/>
      <c r="V124" s="130"/>
      <c r="W124" s="130"/>
      <c r="X124" s="130">
        <v>87.1</v>
      </c>
      <c r="Y124" s="130">
        <v>81.099999999999994</v>
      </c>
      <c r="Z124" s="130">
        <v>88</v>
      </c>
      <c r="AA124" s="130">
        <v>82.3</v>
      </c>
      <c r="AB124" s="130">
        <v>76.2</v>
      </c>
      <c r="AC124" s="130">
        <v>69.7</v>
      </c>
      <c r="AD124" s="130">
        <v>59.8</v>
      </c>
      <c r="AE124" s="130">
        <v>44.8</v>
      </c>
      <c r="AF124" s="130">
        <v>37.200000000000003</v>
      </c>
      <c r="AG124" s="131"/>
      <c r="AH124" s="48">
        <f t="shared" si="70"/>
        <v>90</v>
      </c>
      <c r="AI124" s="49">
        <f t="shared" si="71"/>
        <v>20</v>
      </c>
    </row>
    <row r="125" spans="1:35" x14ac:dyDescent="0.25">
      <c r="A125" s="128" t="s">
        <v>148</v>
      </c>
      <c r="B125" s="130">
        <v>-26</v>
      </c>
      <c r="C125" s="130">
        <v>-26</v>
      </c>
      <c r="D125" s="130">
        <v>-15</v>
      </c>
      <c r="E125" s="130">
        <v>-18</v>
      </c>
      <c r="F125" s="130">
        <v>-19.2</v>
      </c>
      <c r="G125" s="130">
        <v>-28</v>
      </c>
      <c r="H125" s="130">
        <v>-39</v>
      </c>
      <c r="I125" s="130">
        <v>-32</v>
      </c>
      <c r="J125" s="130">
        <v>21</v>
      </c>
      <c r="K125" s="130">
        <v>11</v>
      </c>
      <c r="L125" s="130">
        <v>11</v>
      </c>
      <c r="M125" s="130">
        <v>2.6</v>
      </c>
      <c r="N125" s="130">
        <v>-1.1000000000000001</v>
      </c>
      <c r="O125" s="130">
        <v>13</v>
      </c>
      <c r="P125" s="130">
        <v>23</v>
      </c>
      <c r="Q125" s="130">
        <v>23</v>
      </c>
      <c r="R125" s="130">
        <v>22</v>
      </c>
      <c r="S125" s="130">
        <v>15.5</v>
      </c>
      <c r="T125" s="130">
        <v>21.1</v>
      </c>
      <c r="U125" s="130"/>
      <c r="V125" s="130"/>
      <c r="W125" s="130"/>
      <c r="X125" s="130">
        <v>0.1</v>
      </c>
      <c r="Y125" s="130">
        <v>-13.5</v>
      </c>
      <c r="Z125" s="130">
        <v>-18.3</v>
      </c>
      <c r="AA125" s="130">
        <v>-9.6</v>
      </c>
      <c r="AB125" s="130">
        <v>-6.2</v>
      </c>
      <c r="AC125" s="130">
        <v>-5.6</v>
      </c>
      <c r="AD125" s="130">
        <v>-4.2</v>
      </c>
      <c r="AE125" s="130">
        <v>0.5</v>
      </c>
      <c r="AF125" s="130">
        <v>1.3</v>
      </c>
      <c r="AG125" s="131"/>
      <c r="AH125" s="48">
        <f t="shared" si="70"/>
        <v>23</v>
      </c>
      <c r="AI125" s="49">
        <f t="shared" si="71"/>
        <v>-39</v>
      </c>
    </row>
    <row r="126" spans="1:35" ht="15.75" thickBot="1" x14ac:dyDescent="0.3">
      <c r="A126" s="128" t="s">
        <v>149</v>
      </c>
      <c r="B126" s="130">
        <v>15</v>
      </c>
      <c r="C126" s="130">
        <v>15</v>
      </c>
      <c r="D126" s="130">
        <v>6</v>
      </c>
      <c r="E126" s="130">
        <v>4.3</v>
      </c>
      <c r="F126" s="130">
        <v>5</v>
      </c>
      <c r="G126" s="130">
        <v>10</v>
      </c>
      <c r="H126" s="130">
        <v>11</v>
      </c>
      <c r="I126" s="130">
        <v>19.2</v>
      </c>
      <c r="J126" s="130">
        <v>93</v>
      </c>
      <c r="K126" s="130">
        <v>95.6</v>
      </c>
      <c r="L126" s="130">
        <v>95.6</v>
      </c>
      <c r="M126" s="130">
        <v>106</v>
      </c>
      <c r="N126" s="130">
        <v>97.6</v>
      </c>
      <c r="O126" s="130">
        <v>105</v>
      </c>
      <c r="P126" s="130">
        <v>105</v>
      </c>
      <c r="Q126" s="130">
        <v>105</v>
      </c>
      <c r="R126" s="130">
        <v>103</v>
      </c>
      <c r="S126" s="130">
        <v>94.1</v>
      </c>
      <c r="T126" s="130">
        <v>97.3</v>
      </c>
      <c r="U126" s="130"/>
      <c r="V126" s="130"/>
      <c r="W126" s="130"/>
      <c r="X126" s="130">
        <v>59.4</v>
      </c>
      <c r="Y126" s="130">
        <v>43.1</v>
      </c>
      <c r="Z126" s="130">
        <v>37.799999999999997</v>
      </c>
      <c r="AA126" s="130">
        <v>19</v>
      </c>
      <c r="AB126" s="130">
        <v>-20</v>
      </c>
      <c r="AC126" s="130">
        <v>-19.8</v>
      </c>
      <c r="AD126" s="130">
        <v>-8.6999999999999993</v>
      </c>
      <c r="AE126" s="130">
        <v>31.4</v>
      </c>
      <c r="AF126" s="130">
        <v>37.5</v>
      </c>
      <c r="AG126" s="127"/>
      <c r="AH126" s="48">
        <f>MAX(B126:AF126)</f>
        <v>106</v>
      </c>
      <c r="AI126" s="49">
        <f>MIN(B126:AF126)</f>
        <v>-20</v>
      </c>
    </row>
    <row r="127" spans="1:35" x14ac:dyDescent="0.25">
      <c r="A127" s="125" t="s">
        <v>305</v>
      </c>
      <c r="B127" s="130">
        <v>-60</v>
      </c>
      <c r="C127" s="130">
        <v>-60</v>
      </c>
      <c r="D127" s="130">
        <v>-64</v>
      </c>
      <c r="E127" s="130">
        <v>-54.2</v>
      </c>
      <c r="F127" s="130">
        <v>-52.6</v>
      </c>
      <c r="G127" s="130">
        <v>-47</v>
      </c>
      <c r="H127" s="130">
        <v>-55.4</v>
      </c>
      <c r="I127" s="130">
        <v>-82</v>
      </c>
      <c r="J127" s="130">
        <v>26.1</v>
      </c>
      <c r="K127" s="130">
        <v>40</v>
      </c>
      <c r="L127" s="130">
        <v>40</v>
      </c>
      <c r="M127" s="130">
        <v>46</v>
      </c>
      <c r="N127" s="130">
        <v>44</v>
      </c>
      <c r="O127" s="130">
        <v>43</v>
      </c>
      <c r="P127" s="130">
        <v>42.8</v>
      </c>
      <c r="Q127" s="130">
        <v>42.8</v>
      </c>
      <c r="R127" s="130">
        <v>41</v>
      </c>
      <c r="S127" s="130">
        <v>39.9</v>
      </c>
      <c r="T127" s="130">
        <v>43.3</v>
      </c>
      <c r="U127" s="130"/>
      <c r="V127" s="130"/>
      <c r="W127" s="130"/>
      <c r="X127" s="130">
        <v>41.6</v>
      </c>
      <c r="Y127" s="130">
        <v>-105.5</v>
      </c>
      <c r="Z127" s="130">
        <v>-110.1</v>
      </c>
      <c r="AA127" s="130">
        <v>-75.599999999999994</v>
      </c>
      <c r="AB127" s="130">
        <v>-57.2</v>
      </c>
      <c r="AC127" s="130">
        <v>-64.5</v>
      </c>
      <c r="AD127" s="130">
        <v>-13.9</v>
      </c>
      <c r="AE127" s="130">
        <v>-11.4</v>
      </c>
      <c r="AF127" s="130">
        <v>-19.3</v>
      </c>
      <c r="AG127" s="127"/>
      <c r="AH127" s="48">
        <f>MAX(B127:AF127)</f>
        <v>46</v>
      </c>
      <c r="AI127" s="49">
        <f>MIN(B127:AF127)</f>
        <v>-110.1</v>
      </c>
    </row>
    <row r="128" spans="1:35" x14ac:dyDescent="0.25">
      <c r="A128" s="128" t="s">
        <v>151</v>
      </c>
      <c r="B128" s="118">
        <v>-39</v>
      </c>
      <c r="C128" s="118">
        <v>-39</v>
      </c>
      <c r="D128" s="118">
        <v>-32</v>
      </c>
      <c r="E128" s="118">
        <v>-29.4</v>
      </c>
      <c r="F128" s="118">
        <v>-30.4</v>
      </c>
      <c r="G128" s="118">
        <v>-35</v>
      </c>
      <c r="H128" s="118">
        <v>-40</v>
      </c>
      <c r="I128" s="118">
        <v>-45</v>
      </c>
      <c r="J128" s="118">
        <v>-52.5</v>
      </c>
      <c r="K128" s="118">
        <v>-51</v>
      </c>
      <c r="L128" s="118">
        <v>-51</v>
      </c>
      <c r="M128" s="118">
        <v>-55</v>
      </c>
      <c r="N128" s="118">
        <v>-56</v>
      </c>
      <c r="O128" s="118">
        <v>-51</v>
      </c>
      <c r="P128" s="118">
        <v>-52.9</v>
      </c>
      <c r="Q128" s="118">
        <v>-52.9</v>
      </c>
      <c r="R128" s="118">
        <v>-50</v>
      </c>
      <c r="S128" s="118">
        <v>-54.2</v>
      </c>
      <c r="T128" s="118">
        <v>-53.6</v>
      </c>
      <c r="U128" s="118"/>
      <c r="V128" s="118"/>
      <c r="W128" s="118"/>
      <c r="X128" s="118">
        <v>-63.4</v>
      </c>
      <c r="Y128" s="118">
        <v>-63.4</v>
      </c>
      <c r="Z128" s="118">
        <v>-32.299999999999997</v>
      </c>
      <c r="AA128" s="118">
        <v>-27</v>
      </c>
      <c r="AB128" s="118">
        <v>-51.4</v>
      </c>
      <c r="AC128" s="118">
        <v>-55.4</v>
      </c>
      <c r="AD128" s="118">
        <v>-46.2</v>
      </c>
      <c r="AE128" s="118">
        <v>-13.3</v>
      </c>
      <c r="AF128" s="118">
        <v>16.100000000000001</v>
      </c>
      <c r="AG128" s="127"/>
      <c r="AH128" s="48">
        <f>MAX(B128:AF128)</f>
        <v>16.100000000000001</v>
      </c>
      <c r="AI128" s="49">
        <f>MIN(B128:AF128)</f>
        <v>-63.4</v>
      </c>
    </row>
    <row r="129" spans="1:37" x14ac:dyDescent="0.25">
      <c r="A129" s="128" t="s">
        <v>306</v>
      </c>
      <c r="B129" s="118">
        <v>80</v>
      </c>
      <c r="C129" s="118">
        <v>80</v>
      </c>
      <c r="D129" s="118">
        <v>50</v>
      </c>
      <c r="E129" s="118">
        <v>47</v>
      </c>
      <c r="F129" s="118">
        <v>47.4</v>
      </c>
      <c r="G129" s="118">
        <v>43.3</v>
      </c>
      <c r="H129" s="118">
        <v>42.1</v>
      </c>
      <c r="I129" s="118">
        <v>44</v>
      </c>
      <c r="J129" s="118">
        <v>119</v>
      </c>
      <c r="K129" s="118">
        <v>69</v>
      </c>
      <c r="L129" s="118">
        <v>69</v>
      </c>
      <c r="M129" s="118">
        <v>73</v>
      </c>
      <c r="N129" s="118">
        <v>69</v>
      </c>
      <c r="O129" s="118">
        <v>77</v>
      </c>
      <c r="P129" s="118">
        <v>81.400000000000006</v>
      </c>
      <c r="Q129" s="118">
        <v>81.400000000000006</v>
      </c>
      <c r="R129" s="118">
        <v>85</v>
      </c>
      <c r="S129" s="118">
        <v>82.3</v>
      </c>
      <c r="T129" s="118">
        <v>82.1</v>
      </c>
      <c r="U129" s="118"/>
      <c r="V129" s="118"/>
      <c r="W129" s="118"/>
      <c r="X129" s="118">
        <v>55.3</v>
      </c>
      <c r="Y129" s="118">
        <v>97.8</v>
      </c>
      <c r="Z129" s="118">
        <v>78.2</v>
      </c>
      <c r="AA129" s="118">
        <v>66.900000000000006</v>
      </c>
      <c r="AB129" s="118">
        <v>74.8</v>
      </c>
      <c r="AC129" s="118">
        <v>77.5</v>
      </c>
      <c r="AD129" s="118">
        <v>55</v>
      </c>
      <c r="AE129" s="118">
        <v>10.3</v>
      </c>
      <c r="AF129" s="118">
        <v>-17.8</v>
      </c>
      <c r="AG129" s="127"/>
      <c r="AH129" s="48">
        <f>MAX(B129:AF129)</f>
        <v>119</v>
      </c>
      <c r="AI129" s="49">
        <f>MIN(B129:AF129)</f>
        <v>-17.8</v>
      </c>
    </row>
    <row r="130" spans="1:37" ht="15.75" thickBot="1" x14ac:dyDescent="0.3">
      <c r="A130" s="128" t="s">
        <v>153</v>
      </c>
      <c r="B130" s="118">
        <v>94</v>
      </c>
      <c r="C130" s="118">
        <v>94</v>
      </c>
      <c r="D130" s="118">
        <v>63</v>
      </c>
      <c r="E130" s="118">
        <v>60</v>
      </c>
      <c r="F130" s="118">
        <v>58.6</v>
      </c>
      <c r="G130" s="118">
        <v>58</v>
      </c>
      <c r="H130" s="118">
        <v>54.5</v>
      </c>
      <c r="I130" s="118">
        <v>57</v>
      </c>
      <c r="J130" s="118">
        <v>121</v>
      </c>
      <c r="K130" s="118">
        <v>77</v>
      </c>
      <c r="L130" s="118">
        <v>77</v>
      </c>
      <c r="M130" s="118">
        <v>80</v>
      </c>
      <c r="N130" s="118">
        <v>81.5</v>
      </c>
      <c r="O130" s="118">
        <v>81</v>
      </c>
      <c r="P130" s="118">
        <v>85</v>
      </c>
      <c r="Q130" s="118">
        <v>85</v>
      </c>
      <c r="R130" s="118">
        <v>85</v>
      </c>
      <c r="S130" s="118">
        <v>87</v>
      </c>
      <c r="T130" s="118">
        <v>85.5</v>
      </c>
      <c r="U130" s="118"/>
      <c r="V130" s="118"/>
      <c r="W130" s="118"/>
      <c r="X130" s="118">
        <v>67.900000000000006</v>
      </c>
      <c r="Y130" s="118">
        <v>105.2</v>
      </c>
      <c r="Z130" s="118">
        <v>98</v>
      </c>
      <c r="AA130" s="118">
        <v>83.6</v>
      </c>
      <c r="AB130" s="118">
        <v>96.2</v>
      </c>
      <c r="AC130" s="118">
        <v>97.9</v>
      </c>
      <c r="AD130" s="118">
        <v>65</v>
      </c>
      <c r="AE130" s="118">
        <v>1.1000000000000001</v>
      </c>
      <c r="AF130" s="118">
        <v>3.7</v>
      </c>
      <c r="AG130" s="127"/>
      <c r="AH130" s="48">
        <f>MAX(B130:AF130)</f>
        <v>121</v>
      </c>
      <c r="AI130" s="49">
        <f>MIN(B130:AF130)</f>
        <v>1.1000000000000001</v>
      </c>
    </row>
    <row r="131" spans="1:37" x14ac:dyDescent="0.25">
      <c r="A131" s="132" t="s">
        <v>154</v>
      </c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4"/>
      <c r="AG131" s="44"/>
      <c r="AH131" s="48"/>
      <c r="AI131" s="49"/>
    </row>
    <row r="132" spans="1:37" x14ac:dyDescent="0.25">
      <c r="A132" s="135" t="s">
        <v>155</v>
      </c>
      <c r="B132" s="136">
        <v>1982.72</v>
      </c>
      <c r="C132" s="136">
        <v>1982.89</v>
      </c>
      <c r="D132" s="136">
        <v>1982.98</v>
      </c>
      <c r="E132" s="136">
        <v>1983</v>
      </c>
      <c r="F132" s="136">
        <v>1983.1</v>
      </c>
      <c r="G132" s="136">
        <v>1983.15</v>
      </c>
      <c r="H132" s="136"/>
      <c r="I132" s="136">
        <v>1983.11</v>
      </c>
      <c r="J132" s="136"/>
      <c r="K132" s="136">
        <v>1983.15</v>
      </c>
      <c r="L132" s="136"/>
      <c r="M132" s="136">
        <v>1983.38</v>
      </c>
      <c r="N132" s="136">
        <v>1983.63</v>
      </c>
      <c r="O132" s="136">
        <v>1983.85</v>
      </c>
      <c r="P132" s="136">
        <v>1984.05</v>
      </c>
      <c r="Q132" s="136">
        <v>1984.26</v>
      </c>
      <c r="R132" s="136">
        <v>1984.42</v>
      </c>
      <c r="S132" s="136">
        <v>1984.6</v>
      </c>
      <c r="T132" s="136">
        <v>1984.8</v>
      </c>
      <c r="U132" s="136">
        <v>1984.95</v>
      </c>
      <c r="V132" s="136">
        <v>1985.12</v>
      </c>
      <c r="W132" s="136"/>
      <c r="X132" s="136">
        <v>1985.32</v>
      </c>
      <c r="Y132" s="136"/>
      <c r="Z132" s="136">
        <v>1985</v>
      </c>
      <c r="AA132" s="136"/>
      <c r="AB132" s="136">
        <v>1984.5</v>
      </c>
      <c r="AC132" s="136"/>
      <c r="AD132" s="136">
        <v>1984.25</v>
      </c>
      <c r="AE132" s="136">
        <v>1984.32</v>
      </c>
      <c r="AF132" s="137">
        <v>1984.52</v>
      </c>
      <c r="AG132" s="138"/>
      <c r="AH132" s="48"/>
      <c r="AI132" s="49"/>
    </row>
    <row r="133" spans="1:37" x14ac:dyDescent="0.25">
      <c r="A133" s="135" t="s">
        <v>156</v>
      </c>
      <c r="B133" s="139">
        <v>519.58000000000004</v>
      </c>
      <c r="C133" s="139">
        <v>519.72</v>
      </c>
      <c r="D133" s="139">
        <v>519.9</v>
      </c>
      <c r="E133" s="139">
        <v>520.04</v>
      </c>
      <c r="F133" s="139">
        <v>520.20000000000005</v>
      </c>
      <c r="G133" s="139">
        <v>520.38</v>
      </c>
      <c r="H133" s="139"/>
      <c r="I133" s="139">
        <v>520.53</v>
      </c>
      <c r="J133" s="139"/>
      <c r="K133" s="139">
        <v>520.69000000000005</v>
      </c>
      <c r="L133" s="139"/>
      <c r="M133" s="139">
        <v>520.83000000000004</v>
      </c>
      <c r="N133" s="139">
        <v>821</v>
      </c>
      <c r="O133" s="139">
        <v>521.20000000000005</v>
      </c>
      <c r="P133" s="139">
        <v>521.28</v>
      </c>
      <c r="Q133" s="139">
        <v>521.33000000000004</v>
      </c>
      <c r="R133" s="139">
        <v>521.32000000000005</v>
      </c>
      <c r="S133" s="139">
        <v>521.25</v>
      </c>
      <c r="T133" s="139">
        <v>521.17999999999995</v>
      </c>
      <c r="U133" s="139"/>
      <c r="V133" s="139">
        <v>521.48</v>
      </c>
      <c r="W133" s="139"/>
      <c r="X133" s="139">
        <v>521.53</v>
      </c>
      <c r="Y133" s="139"/>
      <c r="Z133" s="139">
        <v>521.28</v>
      </c>
      <c r="AA133" s="139"/>
      <c r="AB133" s="139">
        <v>520.72</v>
      </c>
      <c r="AC133" s="139"/>
      <c r="AD133" s="139">
        <v>520.4</v>
      </c>
      <c r="AE133" s="139">
        <v>520.35</v>
      </c>
      <c r="AF133" s="140">
        <v>520.5</v>
      </c>
      <c r="AG133" s="138"/>
      <c r="AH133" s="48"/>
      <c r="AI133" s="49"/>
    </row>
    <row r="134" spans="1:37" x14ac:dyDescent="0.25">
      <c r="A134" s="135" t="s">
        <v>158</v>
      </c>
      <c r="B134" s="139">
        <v>621.46</v>
      </c>
      <c r="C134" s="139">
        <v>621.46</v>
      </c>
      <c r="D134" s="139">
        <v>622.62</v>
      </c>
      <c r="E134" s="139">
        <v>623.08000000000004</v>
      </c>
      <c r="F134" s="139">
        <v>623.53</v>
      </c>
      <c r="G134" s="139">
        <v>623.75</v>
      </c>
      <c r="H134" s="139"/>
      <c r="I134" s="139">
        <v>623.70000000000005</v>
      </c>
      <c r="J134" s="139"/>
      <c r="K134" s="139">
        <v>623.63</v>
      </c>
      <c r="L134" s="139"/>
      <c r="M134" s="139">
        <v>623.38</v>
      </c>
      <c r="N134" s="139">
        <v>623.05999999999995</v>
      </c>
      <c r="O134" s="139">
        <v>622.71</v>
      </c>
      <c r="P134" s="139">
        <v>622.16999999999996</v>
      </c>
      <c r="Q134" s="139">
        <v>621.5</v>
      </c>
      <c r="R134" s="139">
        <v>621.94000000000005</v>
      </c>
      <c r="S134" s="139">
        <v>622</v>
      </c>
      <c r="T134" s="139">
        <v>622.29</v>
      </c>
      <c r="U134" s="139"/>
      <c r="V134" s="139">
        <v>623.17999999999995</v>
      </c>
      <c r="W134" s="139"/>
      <c r="X134" s="139">
        <v>623.55999999999995</v>
      </c>
      <c r="Y134" s="139"/>
      <c r="Z134" s="139">
        <v>623.16999999999996</v>
      </c>
      <c r="AA134" s="139"/>
      <c r="AB134" s="139">
        <v>622.75</v>
      </c>
      <c r="AC134" s="139"/>
      <c r="AD134" s="139">
        <v>622.54999999999995</v>
      </c>
      <c r="AE134" s="139">
        <v>622.65</v>
      </c>
      <c r="AF134" s="140">
        <v>622.75</v>
      </c>
      <c r="AG134" s="138"/>
      <c r="AH134" s="48"/>
      <c r="AI134" s="49"/>
    </row>
    <row r="135" spans="1:37" x14ac:dyDescent="0.25">
      <c r="A135" s="135" t="s">
        <v>159</v>
      </c>
      <c r="B135" s="139">
        <v>334.48</v>
      </c>
      <c r="C135" s="139">
        <v>334.57</v>
      </c>
      <c r="D135" s="139">
        <v>334.98</v>
      </c>
      <c r="E135" s="139">
        <v>335.28</v>
      </c>
      <c r="F135" s="139">
        <v>335.39</v>
      </c>
      <c r="G135" s="139">
        <v>335.56</v>
      </c>
      <c r="H135" s="139"/>
      <c r="I135" s="139">
        <v>335.66</v>
      </c>
      <c r="J135" s="139"/>
      <c r="K135" s="139">
        <v>335.75</v>
      </c>
      <c r="L135" s="139"/>
      <c r="M135" s="139">
        <v>335.66</v>
      </c>
      <c r="N135" s="139">
        <v>335.41</v>
      </c>
      <c r="O135" s="139">
        <v>335.09</v>
      </c>
      <c r="P135" s="139">
        <v>334.78</v>
      </c>
      <c r="Q135" s="139">
        <v>334.5</v>
      </c>
      <c r="R135" s="139">
        <v>334.46</v>
      </c>
      <c r="S135" s="139">
        <v>334.76</v>
      </c>
      <c r="T135" s="139">
        <v>335.1</v>
      </c>
      <c r="U135" s="139"/>
      <c r="V135" s="139">
        <v>335.76</v>
      </c>
      <c r="W135" s="139"/>
      <c r="X135" s="139">
        <v>336.3</v>
      </c>
      <c r="Y135" s="139"/>
      <c r="Z135" s="139">
        <v>335.83</v>
      </c>
      <c r="AA135" s="139"/>
      <c r="AB135" s="139">
        <v>335.46</v>
      </c>
      <c r="AC135" s="139"/>
      <c r="AD135" s="139">
        <v>335.23</v>
      </c>
      <c r="AE135" s="139">
        <v>335.15</v>
      </c>
      <c r="AF135" s="140">
        <v>335.15</v>
      </c>
      <c r="AG135" s="138"/>
      <c r="AH135" s="48"/>
      <c r="AI135" s="49"/>
    </row>
    <row r="136" spans="1:37" x14ac:dyDescent="0.25">
      <c r="A136" s="135" t="s">
        <v>160</v>
      </c>
      <c r="B136" s="139">
        <v>882.8</v>
      </c>
      <c r="C136" s="139">
        <v>882.7</v>
      </c>
      <c r="D136" s="139">
        <v>883.1</v>
      </c>
      <c r="E136" s="139">
        <v>884</v>
      </c>
      <c r="F136" s="139">
        <v>884.6</v>
      </c>
      <c r="G136" s="139">
        <v>885.2</v>
      </c>
      <c r="H136" s="139"/>
      <c r="I136" s="139">
        <v>885.8</v>
      </c>
      <c r="J136" s="139"/>
      <c r="K136" s="139">
        <v>886.3</v>
      </c>
      <c r="L136" s="139"/>
      <c r="M136" s="139">
        <v>886.3</v>
      </c>
      <c r="N136" s="139">
        <v>886.2</v>
      </c>
      <c r="O136" s="139">
        <v>886.1</v>
      </c>
      <c r="P136" s="139">
        <v>886</v>
      </c>
      <c r="Q136" s="139">
        <v>885.9</v>
      </c>
      <c r="R136" s="139">
        <v>885.8</v>
      </c>
      <c r="S136" s="139">
        <v>885.6</v>
      </c>
      <c r="T136" s="139">
        <v>885.3</v>
      </c>
      <c r="U136" s="139">
        <v>884.9</v>
      </c>
      <c r="V136" s="139">
        <v>884.4</v>
      </c>
      <c r="W136" s="139"/>
      <c r="X136" s="139">
        <v>884</v>
      </c>
      <c r="Y136" s="139"/>
      <c r="Z136" s="139">
        <v>883</v>
      </c>
      <c r="AA136" s="139"/>
      <c r="AB136" s="139">
        <v>881.8</v>
      </c>
      <c r="AC136" s="139"/>
      <c r="AD136" s="139">
        <v>882</v>
      </c>
      <c r="AE136" s="139">
        <v>882.9</v>
      </c>
      <c r="AF136" s="140">
        <v>883.7</v>
      </c>
      <c r="AG136" s="138"/>
      <c r="AH136" s="48"/>
      <c r="AI136" s="49"/>
    </row>
    <row r="137" spans="1:37" ht="15.75" thickBot="1" x14ac:dyDescent="0.3">
      <c r="A137" s="135" t="s">
        <v>161</v>
      </c>
      <c r="B137" s="141">
        <v>1515.82</v>
      </c>
      <c r="C137" s="141"/>
      <c r="D137" s="141">
        <v>1515.76</v>
      </c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>
        <v>1515.39</v>
      </c>
      <c r="AC137" s="141"/>
      <c r="AD137" s="141"/>
      <c r="AE137" s="141"/>
      <c r="AF137" s="142"/>
      <c r="AG137" s="138"/>
      <c r="AH137" s="48"/>
      <c r="AI137" s="49"/>
    </row>
    <row r="138" spans="1:37" ht="15.75" thickBot="1" x14ac:dyDescent="0.3">
      <c r="A138" s="143" t="s">
        <v>162</v>
      </c>
      <c r="B138" s="144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158">SUM(B139:B243)</f>
        <v>0</v>
      </c>
      <c r="C244" s="160">
        <f t="shared" si="158"/>
        <v>0</v>
      </c>
      <c r="D244" s="160">
        <f t="shared" si="158"/>
        <v>0</v>
      </c>
      <c r="E244" s="160">
        <f t="shared" si="158"/>
        <v>0</v>
      </c>
      <c r="F244" s="160">
        <f t="shared" si="158"/>
        <v>0</v>
      </c>
      <c r="G244" s="160">
        <f t="shared" si="158"/>
        <v>0</v>
      </c>
      <c r="H244" s="160">
        <f t="shared" si="158"/>
        <v>0</v>
      </c>
      <c r="I244" s="160">
        <f t="shared" si="158"/>
        <v>0</v>
      </c>
      <c r="J244" s="160">
        <f t="shared" si="158"/>
        <v>0</v>
      </c>
      <c r="K244" s="160">
        <f t="shared" si="158"/>
        <v>0</v>
      </c>
      <c r="L244" s="160">
        <f t="shared" si="158"/>
        <v>0</v>
      </c>
      <c r="M244" s="160">
        <f t="shared" si="158"/>
        <v>0</v>
      </c>
      <c r="N244" s="160">
        <f t="shared" si="158"/>
        <v>0</v>
      </c>
      <c r="O244" s="160">
        <f t="shared" si="158"/>
        <v>0</v>
      </c>
      <c r="P244" s="160">
        <f t="shared" si="158"/>
        <v>0</v>
      </c>
      <c r="Q244" s="160">
        <f t="shared" si="158"/>
        <v>0</v>
      </c>
      <c r="R244" s="160">
        <f t="shared" si="158"/>
        <v>0</v>
      </c>
      <c r="S244" s="160">
        <f t="shared" si="158"/>
        <v>0</v>
      </c>
      <c r="T244" s="160">
        <f t="shared" si="158"/>
        <v>0</v>
      </c>
      <c r="U244" s="160">
        <f t="shared" si="158"/>
        <v>0</v>
      </c>
      <c r="V244" s="160">
        <f t="shared" si="158"/>
        <v>0</v>
      </c>
      <c r="W244" s="160">
        <f t="shared" si="158"/>
        <v>0</v>
      </c>
      <c r="X244" s="160">
        <f t="shared" si="158"/>
        <v>0</v>
      </c>
      <c r="Y244" s="160">
        <f t="shared" si="158"/>
        <v>0</v>
      </c>
      <c r="Z244" s="160">
        <f t="shared" si="158"/>
        <v>0</v>
      </c>
      <c r="AA244" s="160">
        <f t="shared" si="158"/>
        <v>0</v>
      </c>
      <c r="AB244" s="160">
        <f t="shared" si="158"/>
        <v>0</v>
      </c>
      <c r="AC244" s="160">
        <f t="shared" si="158"/>
        <v>0</v>
      </c>
      <c r="AD244" s="160">
        <f t="shared" si="158"/>
        <v>0</v>
      </c>
      <c r="AE244" s="160">
        <f t="shared" si="158"/>
        <v>0</v>
      </c>
      <c r="AF244" s="161">
        <f t="shared" si="158"/>
        <v>0</v>
      </c>
      <c r="AG244" s="162">
        <f t="shared" si="158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159">AF246</f>
        <v>0.3</v>
      </c>
      <c r="C246" s="165">
        <v>0.3</v>
      </c>
      <c r="D246" s="165">
        <f t="shared" ref="D246:S251" si="160">C246</f>
        <v>0.3</v>
      </c>
      <c r="E246" s="165">
        <f t="shared" si="160"/>
        <v>0.3</v>
      </c>
      <c r="F246" s="165">
        <f t="shared" si="160"/>
        <v>0.3</v>
      </c>
      <c r="G246" s="165">
        <f t="shared" si="160"/>
        <v>0.3</v>
      </c>
      <c r="H246" s="165">
        <f t="shared" si="160"/>
        <v>0.3</v>
      </c>
      <c r="I246" s="165">
        <f t="shared" si="160"/>
        <v>0.3</v>
      </c>
      <c r="J246" s="165">
        <f t="shared" si="160"/>
        <v>0.3</v>
      </c>
      <c r="K246" s="165">
        <f t="shared" si="160"/>
        <v>0.3</v>
      </c>
      <c r="L246" s="165">
        <f t="shared" si="160"/>
        <v>0.3</v>
      </c>
      <c r="M246" s="165">
        <f t="shared" si="160"/>
        <v>0.3</v>
      </c>
      <c r="N246" s="165">
        <f t="shared" si="160"/>
        <v>0.3</v>
      </c>
      <c r="O246" s="165">
        <f t="shared" si="160"/>
        <v>0.3</v>
      </c>
      <c r="P246" s="165">
        <f t="shared" si="160"/>
        <v>0.3</v>
      </c>
      <c r="Q246" s="165">
        <f t="shared" si="160"/>
        <v>0.3</v>
      </c>
      <c r="R246" s="165">
        <f t="shared" si="160"/>
        <v>0.3</v>
      </c>
      <c r="S246" s="165">
        <f t="shared" si="160"/>
        <v>0.3</v>
      </c>
      <c r="T246" s="165">
        <f t="shared" ref="T246:AF251" si="161">S246</f>
        <v>0.3</v>
      </c>
      <c r="U246" s="165">
        <f t="shared" si="161"/>
        <v>0.3</v>
      </c>
      <c r="V246" s="165">
        <f t="shared" si="161"/>
        <v>0.3</v>
      </c>
      <c r="W246" s="165">
        <f t="shared" si="161"/>
        <v>0.3</v>
      </c>
      <c r="X246" s="165">
        <f t="shared" si="161"/>
        <v>0.3</v>
      </c>
      <c r="Y246" s="165">
        <f t="shared" si="161"/>
        <v>0.3</v>
      </c>
      <c r="Z246" s="165">
        <f t="shared" si="161"/>
        <v>0.3</v>
      </c>
      <c r="AA246" s="165">
        <f t="shared" si="161"/>
        <v>0.3</v>
      </c>
      <c r="AB246" s="165">
        <f t="shared" si="161"/>
        <v>0.3</v>
      </c>
      <c r="AC246" s="165">
        <f t="shared" si="161"/>
        <v>0.3</v>
      </c>
      <c r="AD246" s="165">
        <f t="shared" si="161"/>
        <v>0.3</v>
      </c>
      <c r="AE246" s="165">
        <f t="shared" si="161"/>
        <v>0.3</v>
      </c>
      <c r="AF246" s="165">
        <f t="shared" si="161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159"/>
        <v>0.4</v>
      </c>
      <c r="C247" s="151">
        <v>0.4</v>
      </c>
      <c r="D247" s="151">
        <f t="shared" si="160"/>
        <v>0.4</v>
      </c>
      <c r="E247" s="151">
        <f t="shared" si="160"/>
        <v>0.4</v>
      </c>
      <c r="F247" s="151">
        <f t="shared" si="160"/>
        <v>0.4</v>
      </c>
      <c r="G247" s="151">
        <f t="shared" si="160"/>
        <v>0.4</v>
      </c>
      <c r="H247" s="151">
        <f t="shared" si="160"/>
        <v>0.4</v>
      </c>
      <c r="I247" s="151">
        <f t="shared" si="160"/>
        <v>0.4</v>
      </c>
      <c r="J247" s="151">
        <f t="shared" si="160"/>
        <v>0.4</v>
      </c>
      <c r="K247" s="151">
        <f t="shared" si="160"/>
        <v>0.4</v>
      </c>
      <c r="L247" s="151">
        <f t="shared" si="160"/>
        <v>0.4</v>
      </c>
      <c r="M247" s="151">
        <f t="shared" si="160"/>
        <v>0.4</v>
      </c>
      <c r="N247" s="151">
        <f t="shared" si="160"/>
        <v>0.4</v>
      </c>
      <c r="O247" s="151">
        <f t="shared" si="160"/>
        <v>0.4</v>
      </c>
      <c r="P247" s="151">
        <f t="shared" si="160"/>
        <v>0.4</v>
      </c>
      <c r="Q247" s="151">
        <f t="shared" si="160"/>
        <v>0.4</v>
      </c>
      <c r="R247" s="151">
        <f t="shared" si="160"/>
        <v>0.4</v>
      </c>
      <c r="S247" s="151">
        <f t="shared" si="160"/>
        <v>0.4</v>
      </c>
      <c r="T247" s="151">
        <f t="shared" si="161"/>
        <v>0.4</v>
      </c>
      <c r="U247" s="151">
        <f t="shared" si="161"/>
        <v>0.4</v>
      </c>
      <c r="V247" s="151">
        <f t="shared" si="161"/>
        <v>0.4</v>
      </c>
      <c r="W247" s="151">
        <f t="shared" si="161"/>
        <v>0.4</v>
      </c>
      <c r="X247" s="151">
        <f t="shared" si="161"/>
        <v>0.4</v>
      </c>
      <c r="Y247" s="151">
        <f t="shared" si="161"/>
        <v>0.4</v>
      </c>
      <c r="Z247" s="151">
        <f t="shared" si="161"/>
        <v>0.4</v>
      </c>
      <c r="AA247" s="151">
        <f t="shared" si="161"/>
        <v>0.4</v>
      </c>
      <c r="AB247" s="151">
        <f t="shared" si="161"/>
        <v>0.4</v>
      </c>
      <c r="AC247" s="151">
        <f t="shared" si="161"/>
        <v>0.4</v>
      </c>
      <c r="AD247" s="151">
        <f t="shared" si="161"/>
        <v>0.4</v>
      </c>
      <c r="AE247" s="151">
        <f t="shared" si="161"/>
        <v>0.4</v>
      </c>
      <c r="AF247" s="151">
        <f t="shared" si="161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159"/>
        <v>1.5</v>
      </c>
      <c r="C248" s="151">
        <v>1.5</v>
      </c>
      <c r="D248" s="151">
        <f t="shared" si="160"/>
        <v>1.5</v>
      </c>
      <c r="E248" s="151">
        <f t="shared" si="160"/>
        <v>1.5</v>
      </c>
      <c r="F248" s="151">
        <f t="shared" si="160"/>
        <v>1.5</v>
      </c>
      <c r="G248" s="151">
        <f t="shared" si="160"/>
        <v>1.5</v>
      </c>
      <c r="H248" s="151">
        <f t="shared" si="160"/>
        <v>1.5</v>
      </c>
      <c r="I248" s="151">
        <f t="shared" si="160"/>
        <v>1.5</v>
      </c>
      <c r="J248" s="151">
        <f t="shared" si="160"/>
        <v>1.5</v>
      </c>
      <c r="K248" s="151">
        <f t="shared" si="160"/>
        <v>1.5</v>
      </c>
      <c r="L248" s="151">
        <f t="shared" si="160"/>
        <v>1.5</v>
      </c>
      <c r="M248" s="151">
        <f t="shared" si="160"/>
        <v>1.5</v>
      </c>
      <c r="N248" s="151">
        <f t="shared" si="160"/>
        <v>1.5</v>
      </c>
      <c r="O248" s="151">
        <f t="shared" si="160"/>
        <v>1.5</v>
      </c>
      <c r="P248" s="151">
        <f t="shared" si="160"/>
        <v>1.5</v>
      </c>
      <c r="Q248" s="151">
        <f t="shared" si="160"/>
        <v>1.5</v>
      </c>
      <c r="R248" s="151">
        <f t="shared" si="160"/>
        <v>1.5</v>
      </c>
      <c r="S248" s="151">
        <f t="shared" si="160"/>
        <v>1.5</v>
      </c>
      <c r="T248" s="151">
        <f t="shared" si="161"/>
        <v>1.5</v>
      </c>
      <c r="U248" s="151">
        <f t="shared" si="161"/>
        <v>1.5</v>
      </c>
      <c r="V248" s="151">
        <f t="shared" si="161"/>
        <v>1.5</v>
      </c>
      <c r="W248" s="151">
        <f t="shared" si="161"/>
        <v>1.5</v>
      </c>
      <c r="X248" s="151">
        <f t="shared" si="161"/>
        <v>1.5</v>
      </c>
      <c r="Y248" s="151">
        <f t="shared" si="161"/>
        <v>1.5</v>
      </c>
      <c r="Z248" s="151">
        <f t="shared" si="161"/>
        <v>1.5</v>
      </c>
      <c r="AA248" s="151">
        <f t="shared" si="161"/>
        <v>1.5</v>
      </c>
      <c r="AB248" s="151">
        <f t="shared" si="161"/>
        <v>1.5</v>
      </c>
      <c r="AC248" s="151">
        <f t="shared" si="161"/>
        <v>1.5</v>
      </c>
      <c r="AD248" s="151">
        <f t="shared" si="161"/>
        <v>1.5</v>
      </c>
      <c r="AE248" s="151">
        <f t="shared" si="161"/>
        <v>1.5</v>
      </c>
      <c r="AF248" s="151">
        <f t="shared" si="161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159"/>
        <v>0.3</v>
      </c>
      <c r="C249" s="151">
        <v>0.3</v>
      </c>
      <c r="D249" s="151">
        <f t="shared" si="160"/>
        <v>0.3</v>
      </c>
      <c r="E249" s="151">
        <f t="shared" si="160"/>
        <v>0.3</v>
      </c>
      <c r="F249" s="151">
        <f t="shared" si="160"/>
        <v>0.3</v>
      </c>
      <c r="G249" s="151">
        <f t="shared" si="160"/>
        <v>0.3</v>
      </c>
      <c r="H249" s="151">
        <f t="shared" si="160"/>
        <v>0.3</v>
      </c>
      <c r="I249" s="151">
        <f t="shared" si="160"/>
        <v>0.3</v>
      </c>
      <c r="J249" s="151">
        <f t="shared" si="160"/>
        <v>0.3</v>
      </c>
      <c r="K249" s="151">
        <f t="shared" si="160"/>
        <v>0.3</v>
      </c>
      <c r="L249" s="151">
        <f t="shared" si="160"/>
        <v>0.3</v>
      </c>
      <c r="M249" s="151">
        <f t="shared" si="160"/>
        <v>0.3</v>
      </c>
      <c r="N249" s="151">
        <f t="shared" si="160"/>
        <v>0.3</v>
      </c>
      <c r="O249" s="151">
        <f t="shared" si="160"/>
        <v>0.3</v>
      </c>
      <c r="P249" s="151">
        <f t="shared" si="160"/>
        <v>0.3</v>
      </c>
      <c r="Q249" s="151">
        <f t="shared" si="160"/>
        <v>0.3</v>
      </c>
      <c r="R249" s="151">
        <f t="shared" si="160"/>
        <v>0.3</v>
      </c>
      <c r="S249" s="151">
        <f t="shared" si="160"/>
        <v>0.3</v>
      </c>
      <c r="T249" s="151">
        <f t="shared" si="161"/>
        <v>0.3</v>
      </c>
      <c r="U249" s="151">
        <f t="shared" si="161"/>
        <v>0.3</v>
      </c>
      <c r="V249" s="151">
        <f t="shared" si="161"/>
        <v>0.3</v>
      </c>
      <c r="W249" s="151">
        <f t="shared" si="161"/>
        <v>0.3</v>
      </c>
      <c r="X249" s="151">
        <f t="shared" si="161"/>
        <v>0.3</v>
      </c>
      <c r="Y249" s="151">
        <f t="shared" si="161"/>
        <v>0.3</v>
      </c>
      <c r="Z249" s="151">
        <f t="shared" si="161"/>
        <v>0.3</v>
      </c>
      <c r="AA249" s="151">
        <f t="shared" si="161"/>
        <v>0.3</v>
      </c>
      <c r="AB249" s="151">
        <f t="shared" si="161"/>
        <v>0.3</v>
      </c>
      <c r="AC249" s="151">
        <f t="shared" si="161"/>
        <v>0.3</v>
      </c>
      <c r="AD249" s="151">
        <f t="shared" si="161"/>
        <v>0.3</v>
      </c>
      <c r="AE249" s="151">
        <f t="shared" si="161"/>
        <v>0.3</v>
      </c>
      <c r="AF249" s="151">
        <f t="shared" si="161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159"/>
        <v>0.4</v>
      </c>
      <c r="C250" s="151">
        <v>0.4</v>
      </c>
      <c r="D250" s="151">
        <f t="shared" si="160"/>
        <v>0.4</v>
      </c>
      <c r="E250" s="151">
        <f t="shared" si="160"/>
        <v>0.4</v>
      </c>
      <c r="F250" s="151">
        <f t="shared" si="160"/>
        <v>0.4</v>
      </c>
      <c r="G250" s="151">
        <f t="shared" si="160"/>
        <v>0.4</v>
      </c>
      <c r="H250" s="151">
        <f t="shared" si="160"/>
        <v>0.4</v>
      </c>
      <c r="I250" s="151">
        <f t="shared" si="160"/>
        <v>0.4</v>
      </c>
      <c r="J250" s="151">
        <f t="shared" si="160"/>
        <v>0.4</v>
      </c>
      <c r="K250" s="151">
        <f t="shared" si="160"/>
        <v>0.4</v>
      </c>
      <c r="L250" s="151">
        <f t="shared" si="160"/>
        <v>0.4</v>
      </c>
      <c r="M250" s="151">
        <f t="shared" si="160"/>
        <v>0.4</v>
      </c>
      <c r="N250" s="151">
        <f t="shared" si="160"/>
        <v>0.4</v>
      </c>
      <c r="O250" s="151">
        <f t="shared" si="160"/>
        <v>0.4</v>
      </c>
      <c r="P250" s="151">
        <f t="shared" si="160"/>
        <v>0.4</v>
      </c>
      <c r="Q250" s="151">
        <f t="shared" si="160"/>
        <v>0.4</v>
      </c>
      <c r="R250" s="151">
        <f t="shared" si="160"/>
        <v>0.4</v>
      </c>
      <c r="S250" s="151">
        <f t="shared" si="160"/>
        <v>0.4</v>
      </c>
      <c r="T250" s="151">
        <f t="shared" si="161"/>
        <v>0.4</v>
      </c>
      <c r="U250" s="151">
        <f t="shared" si="161"/>
        <v>0.4</v>
      </c>
      <c r="V250" s="151">
        <f t="shared" si="161"/>
        <v>0.4</v>
      </c>
      <c r="W250" s="151">
        <f t="shared" si="161"/>
        <v>0.4</v>
      </c>
      <c r="X250" s="151">
        <f t="shared" si="161"/>
        <v>0.4</v>
      </c>
      <c r="Y250" s="151">
        <f t="shared" si="161"/>
        <v>0.4</v>
      </c>
      <c r="Z250" s="151">
        <f t="shared" si="161"/>
        <v>0.4</v>
      </c>
      <c r="AA250" s="151">
        <f t="shared" si="161"/>
        <v>0.4</v>
      </c>
      <c r="AB250" s="151">
        <f t="shared" si="161"/>
        <v>0.4</v>
      </c>
      <c r="AC250" s="151">
        <f t="shared" si="161"/>
        <v>0.4</v>
      </c>
      <c r="AD250" s="151">
        <f t="shared" si="161"/>
        <v>0.4</v>
      </c>
      <c r="AE250" s="151">
        <f t="shared" si="161"/>
        <v>0.4</v>
      </c>
      <c r="AF250" s="151">
        <f t="shared" si="161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159"/>
        <v>0.64</v>
      </c>
      <c r="C251" s="156">
        <v>0.64</v>
      </c>
      <c r="D251" s="156">
        <f t="shared" si="160"/>
        <v>0.64</v>
      </c>
      <c r="E251" s="156">
        <f t="shared" si="160"/>
        <v>0.64</v>
      </c>
      <c r="F251" s="156">
        <f t="shared" si="160"/>
        <v>0.64</v>
      </c>
      <c r="G251" s="156">
        <f t="shared" si="160"/>
        <v>0.64</v>
      </c>
      <c r="H251" s="156">
        <f t="shared" si="160"/>
        <v>0.64</v>
      </c>
      <c r="I251" s="156">
        <f t="shared" si="160"/>
        <v>0.64</v>
      </c>
      <c r="J251" s="156">
        <f t="shared" si="160"/>
        <v>0.64</v>
      </c>
      <c r="K251" s="156">
        <f t="shared" si="160"/>
        <v>0.64</v>
      </c>
      <c r="L251" s="156">
        <f t="shared" si="160"/>
        <v>0.64</v>
      </c>
      <c r="M251" s="156">
        <f t="shared" si="160"/>
        <v>0.64</v>
      </c>
      <c r="N251" s="156">
        <f t="shared" si="160"/>
        <v>0.64</v>
      </c>
      <c r="O251" s="156">
        <f t="shared" si="160"/>
        <v>0.64</v>
      </c>
      <c r="P251" s="156">
        <f t="shared" si="160"/>
        <v>0.64</v>
      </c>
      <c r="Q251" s="156">
        <f t="shared" si="160"/>
        <v>0.64</v>
      </c>
      <c r="R251" s="156">
        <f t="shared" si="160"/>
        <v>0.64</v>
      </c>
      <c r="S251" s="156">
        <f t="shared" si="160"/>
        <v>0.64</v>
      </c>
      <c r="T251" s="156">
        <f t="shared" si="161"/>
        <v>0.64</v>
      </c>
      <c r="U251" s="156">
        <f t="shared" si="161"/>
        <v>0.64</v>
      </c>
      <c r="V251" s="156">
        <f t="shared" si="161"/>
        <v>0.64</v>
      </c>
      <c r="W251" s="156">
        <f t="shared" si="161"/>
        <v>0.64</v>
      </c>
      <c r="X251" s="156">
        <f t="shared" si="161"/>
        <v>0.64</v>
      </c>
      <c r="Y251" s="156">
        <f t="shared" si="161"/>
        <v>0.64</v>
      </c>
      <c r="Z251" s="156">
        <f t="shared" si="161"/>
        <v>0.64</v>
      </c>
      <c r="AA251" s="156">
        <f t="shared" si="161"/>
        <v>0.64</v>
      </c>
      <c r="AB251" s="156">
        <f t="shared" si="161"/>
        <v>0.64</v>
      </c>
      <c r="AC251" s="156">
        <f t="shared" si="161"/>
        <v>0.64</v>
      </c>
      <c r="AD251" s="156">
        <f t="shared" si="161"/>
        <v>0.64</v>
      </c>
      <c r="AE251" s="156">
        <f t="shared" si="161"/>
        <v>0.64</v>
      </c>
      <c r="AF251" s="156">
        <f t="shared" si="161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162">SUM(B246:B251)</f>
        <v>3.54</v>
      </c>
      <c r="C252" s="160">
        <f t="shared" si="162"/>
        <v>3.54</v>
      </c>
      <c r="D252" s="160">
        <f t="shared" si="162"/>
        <v>3.54</v>
      </c>
      <c r="E252" s="160">
        <f t="shared" si="162"/>
        <v>3.54</v>
      </c>
      <c r="F252" s="160">
        <f t="shared" si="162"/>
        <v>3.54</v>
      </c>
      <c r="G252" s="160">
        <f t="shared" si="162"/>
        <v>3.54</v>
      </c>
      <c r="H252" s="160">
        <f t="shared" si="162"/>
        <v>3.54</v>
      </c>
      <c r="I252" s="160">
        <f t="shared" si="162"/>
        <v>3.54</v>
      </c>
      <c r="J252" s="160">
        <f t="shared" si="162"/>
        <v>3.54</v>
      </c>
      <c r="K252" s="160">
        <f t="shared" si="162"/>
        <v>3.54</v>
      </c>
      <c r="L252" s="160">
        <f t="shared" si="162"/>
        <v>3.54</v>
      </c>
      <c r="M252" s="160">
        <f t="shared" si="162"/>
        <v>3.54</v>
      </c>
      <c r="N252" s="160">
        <f t="shared" si="162"/>
        <v>3.54</v>
      </c>
      <c r="O252" s="160">
        <f t="shared" si="162"/>
        <v>3.54</v>
      </c>
      <c r="P252" s="160">
        <f t="shared" si="162"/>
        <v>3.54</v>
      </c>
      <c r="Q252" s="160">
        <f t="shared" si="162"/>
        <v>3.54</v>
      </c>
      <c r="R252" s="160">
        <f t="shared" si="162"/>
        <v>3.54</v>
      </c>
      <c r="S252" s="160">
        <f t="shared" si="162"/>
        <v>3.54</v>
      </c>
      <c r="T252" s="160">
        <f t="shared" si="162"/>
        <v>3.54</v>
      </c>
      <c r="U252" s="160">
        <f t="shared" si="162"/>
        <v>3.54</v>
      </c>
      <c r="V252" s="160">
        <f t="shared" si="162"/>
        <v>3.54</v>
      </c>
      <c r="W252" s="160">
        <f t="shared" si="162"/>
        <v>3.54</v>
      </c>
      <c r="X252" s="160">
        <f t="shared" si="162"/>
        <v>3.54</v>
      </c>
      <c r="Y252" s="160">
        <f t="shared" si="162"/>
        <v>3.54</v>
      </c>
      <c r="Z252" s="160">
        <f t="shared" si="162"/>
        <v>3.54</v>
      </c>
      <c r="AA252" s="160">
        <f t="shared" si="162"/>
        <v>3.54</v>
      </c>
      <c r="AB252" s="160">
        <f t="shared" si="162"/>
        <v>3.54</v>
      </c>
      <c r="AC252" s="160">
        <f t="shared" si="162"/>
        <v>3.54</v>
      </c>
      <c r="AD252" s="160">
        <f t="shared" si="162"/>
        <v>3.54</v>
      </c>
      <c r="AE252" s="160">
        <f t="shared" si="162"/>
        <v>3.54</v>
      </c>
      <c r="AF252" s="160">
        <f t="shared" si="162"/>
        <v>3.54</v>
      </c>
      <c r="AG252" s="170">
        <f t="shared" si="162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1803.34</v>
      </c>
      <c r="C256" s="173">
        <f>INDEX(G9:N9,1,MATCH(MAX(G99:N99),G99:N99,0))</f>
        <v>0.33333333333333331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2080/10/29)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261" priority="89">
      <formula>$AH11=0</formula>
    </cfRule>
  </conditionalFormatting>
  <conditionalFormatting sqref="A132:A253">
    <cfRule type="expression" dxfId="260" priority="90">
      <formula>$AH132=0</formula>
    </cfRule>
  </conditionalFormatting>
  <conditionalFormatting sqref="B8">
    <cfRule type="expression" dxfId="259" priority="147">
      <formula>C$9&gt;=20/24</formula>
    </cfRule>
    <cfRule type="expression" dxfId="258" priority="146">
      <formula>C$9&lt;8/24</formula>
    </cfRule>
    <cfRule type="expression" dxfId="257" priority="145">
      <formula>AND(C$9&gt;=8/24,C$9&lt;14/24)</formula>
    </cfRule>
    <cfRule type="expression" dxfId="256" priority="144">
      <formula>AND(C$9&gt;=14/24,C$9&lt;20/24)</formula>
    </cfRule>
  </conditionalFormatting>
  <conditionalFormatting sqref="B53:Y57">
    <cfRule type="expression" dxfId="255" priority="53">
      <formula>B$9&lt;8/24</formula>
    </cfRule>
  </conditionalFormatting>
  <conditionalFormatting sqref="B9:AF10 U11:W25 B11:T52 X20:X25 Y20:Y52 U26:X52 B59:T61 B62:D74 E63:M74 U63:AF74 N68:T74 E69:O74 B77:AF99 B101:AF117 P119:P136 B119:O137 Q119:AF137 B244:AF244 B246:B252">
    <cfRule type="expression" dxfId="254" priority="42">
      <formula>AND(B$9&gt;=14/24,B$9&lt;20/24)</formula>
    </cfRule>
    <cfRule type="expression" dxfId="253" priority="43">
      <formula>AND(B$9&gt;=8/24,B$9&lt;14/24)</formula>
    </cfRule>
    <cfRule type="expression" dxfId="252" priority="44">
      <formula>B$9&lt;8/24</formula>
    </cfRule>
  </conditionalFormatting>
  <conditionalFormatting sqref="D246:AF252">
    <cfRule type="expression" dxfId="251" priority="132">
      <formula>D$9&lt;8/24</formula>
    </cfRule>
    <cfRule type="expression" dxfId="250" priority="131">
      <formula>AND(D$9&gt;=8/24,D$9&lt;14/24)</formula>
    </cfRule>
    <cfRule type="expression" dxfId="249" priority="129">
      <formula>D$9&gt;=20/24</formula>
    </cfRule>
    <cfRule type="expression" dxfId="248" priority="130">
      <formula>AND(D$9&gt;=14/24,D$9&lt;20/24)</formula>
    </cfRule>
  </conditionalFormatting>
  <conditionalFormatting sqref="E59:F60 G59:O61 P59:AA62 B61:F61 AB59:AF61 E62:O62 AB62:AG62">
    <cfRule type="expression" dxfId="247" priority="67">
      <formula>B$9&gt;=20/24</formula>
    </cfRule>
  </conditionalFormatting>
  <conditionalFormatting sqref="E59:F60 G59:O61 AB59:AF61 P59:AA62 B61:F61 E62:O62 AB62:AG62">
    <cfRule type="expression" dxfId="246" priority="68">
      <formula>AND(B$9&gt;=14/24,B$9&lt;20/24)</formula>
    </cfRule>
    <cfRule type="expression" dxfId="245" priority="69">
      <formula>AND(B$9&gt;=8/24,B$9&lt;14/24)</formula>
    </cfRule>
    <cfRule type="expression" dxfId="244" priority="70">
      <formula>B$9&lt;8/24</formula>
    </cfRule>
  </conditionalFormatting>
  <conditionalFormatting sqref="E63:M67 B66:D66">
    <cfRule type="expression" dxfId="243" priority="55">
      <formula>AND(B$9&gt;=14/24,B$9&lt;20/24)</formula>
    </cfRule>
    <cfRule type="expression" dxfId="242" priority="57">
      <formula>B$9&lt;8/24</formula>
    </cfRule>
    <cfRule type="expression" dxfId="241" priority="56">
      <formula>AND(B$9&gt;=8/24,B$9&lt;14/24)</formula>
    </cfRule>
    <cfRule type="expression" dxfId="240" priority="54">
      <formula>B$9&gt;=20/24</formula>
    </cfRule>
  </conditionalFormatting>
  <conditionalFormatting sqref="E11:O58 B11:D60 P11:T80 Y20:Y80 U26:X80 U11:W25 X20:X25 AB58:AF61 Z58:AA80 E59:F60 G59:O61 B61:F61 AB62:AG62 B62:O80 AB63:AF80 AG80">
    <cfRule type="expression" dxfId="239" priority="40">
      <formula>B11&gt;$AG11</formula>
    </cfRule>
  </conditionalFormatting>
  <conditionalFormatting sqref="E68:T68">
    <cfRule type="expression" dxfId="238" priority="49">
      <formula>E$9&gt;=20/24</formula>
    </cfRule>
    <cfRule type="expression" dxfId="237" priority="50">
      <formula>AND(E$9&gt;=14/24,E$9&lt;20/24)</formula>
    </cfRule>
    <cfRule type="expression" dxfId="236" priority="51">
      <formula>AND(E$9&gt;=8/24,E$9&lt;14/24)</formula>
    </cfRule>
    <cfRule type="expression" dxfId="235" priority="52">
      <formula>E$9&lt;8/24</formula>
    </cfRule>
  </conditionalFormatting>
  <conditionalFormatting sqref="F63:M65">
    <cfRule type="expression" dxfId="234" priority="81">
      <formula>F$9&gt;=20/24</formula>
    </cfRule>
    <cfRule type="expression" dxfId="233" priority="82">
      <formula>AND(F$9&gt;=14/24,F$9&lt;20/24)</formula>
    </cfRule>
    <cfRule type="expression" dxfId="232" priority="83">
      <formula>AND(F$9&gt;=8/24,F$9&lt;14/24)</formula>
    </cfRule>
    <cfRule type="expression" dxfId="231" priority="84">
      <formula>F$9&lt;8/24</formula>
    </cfRule>
  </conditionalFormatting>
  <conditionalFormatting sqref="L68:V68">
    <cfRule type="expression" dxfId="230" priority="79">
      <formula>AND(L$9&gt;=8/24,L$9&lt;14/24)</formula>
    </cfRule>
    <cfRule type="expression" dxfId="229" priority="77">
      <formula>L$9&gt;=20/24</formula>
    </cfRule>
    <cfRule type="expression" dxfId="228" priority="78">
      <formula>AND(L$9&gt;=14/24,L$9&lt;20/24)</formula>
    </cfRule>
    <cfRule type="expression" dxfId="227" priority="80">
      <formula>L$9&lt;8/24</formula>
    </cfRule>
  </conditionalFormatting>
  <conditionalFormatting sqref="M8 S8 AB8">
    <cfRule type="expression" dxfId="226" priority="138">
      <formula>N$9&lt;8/24</formula>
    </cfRule>
    <cfRule type="expression" dxfId="225" priority="137">
      <formula>AND(N$9&gt;=8/24,N$9&lt;14/24)</formula>
    </cfRule>
    <cfRule type="expression" dxfId="224" priority="136">
      <formula>AND(N$9&gt;=14/24,N$9&lt;20/24)</formula>
    </cfRule>
  </conditionalFormatting>
  <conditionalFormatting sqref="M63:V67">
    <cfRule type="expression" dxfId="223" priority="85">
      <formula>M$9&gt;=20/24</formula>
    </cfRule>
    <cfRule type="expression" dxfId="222" priority="86">
      <formula>AND(M$9&gt;=14/24,M$9&lt;20/24)</formula>
    </cfRule>
    <cfRule type="expression" dxfId="221" priority="87">
      <formula>AND(M$9&gt;=8/24,M$9&lt;14/24)</formula>
    </cfRule>
    <cfRule type="expression" dxfId="220" priority="88">
      <formula>M$9&lt;8/24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19" priority="135">
      <formula>N$9&gt;=20/24</formula>
    </cfRule>
  </conditionalFormatting>
  <conditionalFormatting sqref="S8">
    <cfRule type="expression" dxfId="218" priority="124">
      <formula>AND(U$9&gt;=8/24,U$9&lt;14/24)</formula>
    </cfRule>
    <cfRule type="expression" dxfId="217" priority="122">
      <formula>U$9&gt;=20/24</formula>
    </cfRule>
    <cfRule type="expression" dxfId="216" priority="123">
      <formula>AND(U$9&gt;=14/24,U$9&lt;20/24)</formula>
    </cfRule>
    <cfRule type="expression" dxfId="215" priority="125">
      <formula>U$9&lt;8/24</formula>
    </cfRule>
  </conditionalFormatting>
  <conditionalFormatting sqref="U11:W25 B11:T52 X20:X25 Y20:Y52 U26:X52 B59:T61 B62:D74 E63:M74 U63:AF74 N68:T74 E69:O74 B77:AF99 B9:AF10 B101:AF117 P119:P136 B119:O137 Q119:AF137 B244:AF244 B246:B252">
    <cfRule type="expression" dxfId="214" priority="41">
      <formula>B$9&gt;=20/24</formula>
    </cfRule>
  </conditionalFormatting>
  <conditionalFormatting sqref="U55:Y57">
    <cfRule type="expression" dxfId="213" priority="48">
      <formula>AND(U$9&gt;=8/24,U$9&lt;14/24)</formula>
    </cfRule>
    <cfRule type="expression" dxfId="212" priority="46">
      <formula>U$9&gt;=20/24</formula>
    </cfRule>
    <cfRule type="expression" dxfId="211" priority="47">
      <formula>AND(U$9&gt;=14/24,U$9&lt;20/24)</formula>
    </cfRule>
  </conditionalFormatting>
  <conditionalFormatting sqref="U53:AF54 B53:T57">
    <cfRule type="expression" dxfId="210" priority="38">
      <formula>AND(B$9&gt;=14/24,B$9&lt;20/24)</formula>
    </cfRule>
    <cfRule type="expression" dxfId="209" priority="37">
      <formula>B$9&gt;=20/24</formula>
    </cfRule>
    <cfRule type="expression" dxfId="208" priority="39">
      <formula>AND(B$9&gt;=8/24,B$9&lt;14/24)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X11:AB19 AC11:AF52 Z20:AB52">
    <cfRule type="expression" dxfId="207" priority="62">
      <formula>X$9&lt;8/24</formula>
    </cfRule>
    <cfRule type="expression" dxfId="206" priority="61">
      <formula>AND(X$9&gt;=8/24,X$9&lt;14/24)</formula>
    </cfRule>
    <cfRule type="expression" dxfId="205" priority="60">
      <formula>AND(X$9&gt;=14/24,X$9&lt;20/24)</formula>
    </cfRule>
    <cfRule type="expression" dxfId="204" priority="58">
      <formula>X11&gt;$AG11</formula>
    </cfRule>
    <cfRule type="expression" dxfId="203" priority="59">
      <formula>X$9&gt;=20/24</formula>
    </cfRule>
  </conditionalFormatting>
  <conditionalFormatting sqref="Z53:AF55">
    <cfRule type="expression" dxfId="202" priority="76">
      <formula>Z53&gt;$AG53</formula>
    </cfRule>
  </conditionalFormatting>
  <conditionalFormatting sqref="Z53:AF57">
    <cfRule type="expression" dxfId="201" priority="75">
      <formula>Z$9&lt;8/24</formula>
    </cfRule>
  </conditionalFormatting>
  <conditionalFormatting sqref="Z55:AF57">
    <cfRule type="expression" dxfId="200" priority="66">
      <formula>AND(Z$9&gt;=8/24,Z$9&lt;14/24)</formula>
    </cfRule>
    <cfRule type="expression" dxfId="199" priority="65">
      <formula>AND(Z$9&gt;=14/24,Z$9&lt;20/24)</formula>
    </cfRule>
    <cfRule type="expression" dxfId="198" priority="64">
      <formula>Z$9&gt;=20/24</formula>
    </cfRule>
  </conditionalFormatting>
  <conditionalFormatting sqref="Z56:AF57">
    <cfRule type="expression" dxfId="197" priority="63">
      <formula>Z56&gt;$AG56</formula>
    </cfRule>
  </conditionalFormatting>
  <conditionalFormatting sqref="AB8">
    <cfRule type="expression" dxfId="196" priority="121">
      <formula>AD$9&lt;8/24</formula>
    </cfRule>
    <cfRule type="expression" dxfId="195" priority="120">
      <formula>AND(AD$9&gt;=8/24,AD$9&lt;14/24)</formula>
    </cfRule>
    <cfRule type="expression" dxfId="194" priority="119">
      <formula>AND(AD$9&gt;=14/24,AD$9&lt;20/24)</formula>
    </cfRule>
    <cfRule type="expression" dxfId="193" priority="118">
      <formula>AD$9&gt;=20/24</formula>
    </cfRule>
  </conditionalFormatting>
  <conditionalFormatting sqref="AG58">
    <cfRule type="expression" dxfId="192" priority="113">
      <formula>AG58&gt;$AG58</formula>
    </cfRule>
  </conditionalFormatting>
  <conditionalFormatting sqref="AG75:AG76">
    <cfRule type="expression" dxfId="191" priority="91">
      <formula>AG75&gt;$AG75</formula>
    </cfRule>
  </conditionalFormatting>
  <conditionalFormatting sqref="AG80">
    <cfRule type="expression" dxfId="190" priority="93">
      <formula>AND(AG$9&gt;=14/24,AG$9&lt;20/24)</formula>
    </cfRule>
    <cfRule type="expression" dxfId="189" priority="95">
      <formula>AG$9&lt;8/24</formula>
    </cfRule>
    <cfRule type="expression" dxfId="188" priority="92">
      <formula>AG$9&gt;=20/24</formula>
    </cfRule>
    <cfRule type="expression" dxfId="187" priority="94">
      <formula>AND(AG$9&gt;=8/24,AG$9&lt;14/24)</formula>
    </cfRule>
  </conditionalFormatting>
  <conditionalFormatting sqref="AG97">
    <cfRule type="expression" dxfId="186" priority="117">
      <formula>AG$9&lt;8/24</formula>
    </cfRule>
    <cfRule type="expression" dxfId="185" priority="116">
      <formula>AND(AG$9&gt;=8/24,AG$9&lt;14/24)</formula>
    </cfRule>
    <cfRule type="expression" dxfId="184" priority="115">
      <formula>AND(AG$9&gt;=14/24,AG$9&lt;20/24)</formula>
    </cfRule>
    <cfRule type="expression" dxfId="183" priority="114">
      <formula>AG$9&gt;=20/24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82" priority="140">
      <formula>AND(AJ$9&gt;=14/24,AJ$9&lt;20/24)</formula>
    </cfRule>
    <cfRule type="expression" dxfId="181" priority="139">
      <formula>AJ$9&gt;=20/24</formula>
    </cfRule>
    <cfRule type="expression" dxfId="180" priority="141">
      <formula>AND(AJ$9&gt;=8/24,AJ$9&lt;14/24)</formula>
    </cfRule>
    <cfRule type="expression" dxfId="179" priority="142">
      <formula>AJ$9&lt;8/24</formula>
    </cfRule>
  </conditionalFormatting>
  <conditionalFormatting sqref="AL88:AN88 AL94:AN94">
    <cfRule type="expression" dxfId="178" priority="106">
      <formula>AL$9&gt;=20/24</formula>
    </cfRule>
    <cfRule type="expression" dxfId="177" priority="107">
      <formula>AND(AL$9&gt;=14/24,AL$9&lt;20/24)</formula>
    </cfRule>
    <cfRule type="expression" dxfId="176" priority="108">
      <formula>AND(AL$9&gt;=8/24,AL$9&lt;14/24)</formula>
    </cfRule>
    <cfRule type="expression" dxfId="175" priority="109">
      <formula>AL$9&lt;8/24</formula>
    </cfRule>
  </conditionalFormatting>
  <conditionalFormatting sqref="AM15:AM21 AN16:AR21">
    <cfRule type="expression" dxfId="174" priority="15">
      <formula>AND(AX$9&gt;=8/24,AX$9&lt;14/24)</formula>
    </cfRule>
    <cfRule type="expression" dxfId="173" priority="16">
      <formula>AX$9&lt;8/24</formula>
    </cfRule>
    <cfRule type="expression" dxfId="172" priority="14">
      <formula>AND(AX$9&gt;=14/24,AX$9&lt;20/24)</formula>
    </cfRule>
    <cfRule type="expression" dxfId="171" priority="13">
      <formula>AX$9&gt;=20/24</formula>
    </cfRule>
  </conditionalFormatting>
  <conditionalFormatting sqref="AN89:AN92">
    <cfRule type="expression" dxfId="170" priority="102">
      <formula>AN$9&gt;=20/24</formula>
    </cfRule>
    <cfRule type="expression" dxfId="169" priority="103">
      <formula>AND(AN$9&gt;=14/24,AN$9&lt;20/24)</formula>
    </cfRule>
    <cfRule type="expression" dxfId="168" priority="104">
      <formula>AND(AN$9&gt;=8/24,AN$9&lt;14/24)</formula>
    </cfRule>
    <cfRule type="expression" dxfId="167" priority="105">
      <formula>AN$9&lt;8/24</formula>
    </cfRule>
  </conditionalFormatting>
  <conditionalFormatting sqref="AN15:AR15">
    <cfRule type="expression" dxfId="166" priority="3">
      <formula>AND(U$9&gt;=8/24,U$9&lt;14/24)</formula>
    </cfRule>
    <cfRule type="expression" dxfId="165" priority="2">
      <formula>AND(U$9&gt;=14/24,U$9&lt;20/24)</formula>
    </cfRule>
    <cfRule type="expression" dxfId="164" priority="1">
      <formula>U$9&gt;=20/24</formula>
    </cfRule>
    <cfRule type="expression" dxfId="163" priority="4">
      <formula>U$9&lt;8/24</formula>
    </cfRule>
  </conditionalFormatting>
  <conditionalFormatting sqref="AS15">
    <cfRule type="expression" dxfId="162" priority="9">
      <formula>AA$9&gt;=20/24</formula>
    </cfRule>
    <cfRule type="expression" dxfId="161" priority="10">
      <formula>AND(AA$9&gt;=14/24,AA$9&lt;20/24)</formula>
    </cfRule>
    <cfRule type="expression" dxfId="160" priority="11">
      <formula>AND(AA$9&gt;=8/24,AA$9&lt;14/24)</formula>
    </cfRule>
    <cfRule type="expression" dxfId="159" priority="12">
      <formula>AA$9&lt;8/24</formula>
    </cfRule>
  </conditionalFormatting>
  <conditionalFormatting sqref="AS16:AS21">
    <cfRule type="expression" dxfId="158" priority="18">
      <formula>AND(BE$9&gt;=14/24,BE$9&lt;20/24)</formula>
    </cfRule>
    <cfRule type="expression" dxfId="157" priority="20">
      <formula>BE$9&lt;8/24</formula>
    </cfRule>
    <cfRule type="expression" dxfId="156" priority="19">
      <formula>AND(BE$9&gt;=8/24,BE$9&lt;14/24)</formula>
    </cfRule>
    <cfRule type="expression" dxfId="155" priority="17">
      <formula>BE$9&gt;=20/24</formula>
    </cfRule>
  </conditionalFormatting>
  <conditionalFormatting sqref="AT15 AX15:BJ15">
    <cfRule type="expression" dxfId="154" priority="24">
      <formula>AC$9&lt;8/24</formula>
    </cfRule>
    <cfRule type="expression" dxfId="153" priority="22">
      <formula>AND(AC$9&gt;=14/24,AC$9&lt;20/24)</formula>
    </cfRule>
    <cfRule type="expression" dxfId="152" priority="21">
      <formula>AC$9&gt;=20/24</formula>
    </cfRule>
    <cfRule type="expression" dxfId="151" priority="23">
      <formula>AND(AC$9&gt;=8/24,AC$9&lt;14/24)</formula>
    </cfRule>
  </conditionalFormatting>
  <conditionalFormatting sqref="AT16:AT21">
    <cfRule type="expression" dxfId="150" priority="28">
      <formula>BG$9&lt;8/24</formula>
    </cfRule>
    <cfRule type="expression" dxfId="149" priority="27">
      <formula>AND(BG$9&gt;=8/24,BG$9&lt;14/24)</formula>
    </cfRule>
    <cfRule type="expression" dxfId="148" priority="26">
      <formula>AND(BG$9&gt;=14/24,BG$9&lt;20/24)</formula>
    </cfRule>
    <cfRule type="expression" dxfId="147" priority="25">
      <formula>BG$9&gt;=20/24</formula>
    </cfRule>
  </conditionalFormatting>
  <conditionalFormatting sqref="AU15:AV15">
    <cfRule type="expression" dxfId="146" priority="30">
      <formula>AND(AE$9&gt;=14/24,AE$9&lt;20/24)</formula>
    </cfRule>
    <cfRule type="expression" dxfId="145" priority="29">
      <formula>AE$9&gt;=20/24</formula>
    </cfRule>
    <cfRule type="expression" dxfId="144" priority="32">
      <formula>AE$9&lt;8/24</formula>
    </cfRule>
    <cfRule type="expression" dxfId="143" priority="31">
      <formula>AND(AE$9&gt;=8/24,AE$9&lt;14/24)</formula>
    </cfRule>
  </conditionalFormatting>
  <conditionalFormatting sqref="AU16:BJ21">
    <cfRule type="expression" dxfId="142" priority="35">
      <formula>AND(BI$9&gt;=8/24,BI$9&lt;14/24)</formula>
    </cfRule>
    <cfRule type="expression" dxfId="141" priority="36">
      <formula>BI$9&lt;8/24</formula>
    </cfRule>
    <cfRule type="expression" dxfId="140" priority="34">
      <formula>AND(BI$9&gt;=14/24,BI$9&lt;20/24)</formula>
    </cfRule>
    <cfRule type="expression" dxfId="139" priority="33">
      <formula>BI$9&gt;=20/24</formula>
    </cfRule>
  </conditionalFormatting>
  <conditionalFormatting sqref="AW15">
    <cfRule type="expression" dxfId="138" priority="8">
      <formula>B$9&lt;8/24</formula>
    </cfRule>
    <cfRule type="expression" dxfId="137" priority="7">
      <formula>AND(B$9&gt;=8/24,B$9&lt;14/24)</formula>
    </cfRule>
    <cfRule type="expression" dxfId="136" priority="6">
      <formula>AND(B$9&gt;=14/24,B$9&lt;20/24)</formula>
    </cfRule>
    <cfRule type="expression" dxfId="135" priority="5">
      <formula>B$9&gt;=20/24</formula>
    </cfRule>
  </conditionalFormatting>
  <pageMargins left="0.7" right="0.7" top="0.75" bottom="0.75" header="0.3" footer="0.3"/>
  <drawing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DD55A-673B-436C-9618-B372B49407E3}">
  <dimension ref="A1:CJ294"/>
  <sheetViews>
    <sheetView zoomScale="106" workbookViewId="0">
      <pane xSplit="1" ySplit="10" topLeftCell="J127" activePane="bottomRight" state="frozen"/>
      <selection activeCell="Z63" sqref="Z63"/>
      <selection pane="topRight" activeCell="Z63" sqref="Z63"/>
      <selection pane="bottomLeft" activeCell="Z63" sqref="Z63"/>
      <selection pane="bottomRight" activeCell="N137" sqref="N13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 t="s">
        <v>1</v>
      </c>
      <c r="AH1" s="220"/>
      <c r="AI1" s="220"/>
      <c r="AL1" s="2"/>
    </row>
    <row r="2" spans="1:88" ht="20.25" hidden="1" x14ac:dyDescent="0.25">
      <c r="A2" s="3"/>
      <c r="B2" s="221" t="s">
        <v>2</v>
      </c>
      <c r="C2" s="4"/>
      <c r="D2" s="223" t="s">
        <v>3</v>
      </c>
      <c r="E2" s="4"/>
      <c r="F2" s="223" t="s">
        <v>4</v>
      </c>
      <c r="G2" s="4"/>
      <c r="H2" s="223" t="s">
        <v>5</v>
      </c>
      <c r="I2" s="5"/>
      <c r="J2" s="22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22"/>
      <c r="C3" s="16"/>
      <c r="D3" s="224"/>
      <c r="E3" s="16"/>
      <c r="F3" s="224"/>
      <c r="G3" s="16"/>
      <c r="H3" s="224"/>
      <c r="I3" s="17"/>
      <c r="J3" s="22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14" t="str">
        <f ca="1">"2080/"&amp;"10/"&amp;INT(MID(CELL("filename",D6),FIND("]",CELL("filename",D6))+1,200))</f>
        <v>2080/10/30</v>
      </c>
      <c r="C4" s="214"/>
      <c r="D4" s="214"/>
      <c r="E4" s="215" t="str">
        <f ca="1">"2080/"&amp;"10/"&amp;INT(MID(CELL("filename",G6),FIND("]",CELL("filename",G6))+1,200))</f>
        <v>2080/10/30</v>
      </c>
      <c r="F4" s="215"/>
      <c r="G4" s="215"/>
      <c r="H4" s="215" t="str">
        <f ca="1">TEXT(E4,"dddd")</f>
        <v>Wednesday</v>
      </c>
      <c r="I4" s="215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274.89999999999998</v>
      </c>
      <c r="C5" s="30">
        <f t="shared" ref="C5:AE5" si="0">D92</f>
        <v>342.90000000000003</v>
      </c>
      <c r="D5" s="30">
        <f t="shared" si="0"/>
        <v>401.8</v>
      </c>
      <c r="E5" s="30">
        <f t="shared" si="0"/>
        <v>375.6</v>
      </c>
      <c r="F5" s="30">
        <f t="shared" si="0"/>
        <v>397.8</v>
      </c>
      <c r="G5" s="30">
        <f t="shared" si="0"/>
        <v>411.5</v>
      </c>
      <c r="H5" s="30">
        <f t="shared" si="0"/>
        <v>434</v>
      </c>
      <c r="I5" s="30">
        <f t="shared" si="0"/>
        <v>728.6</v>
      </c>
      <c r="J5" s="30">
        <f t="shared" si="0"/>
        <v>785.1</v>
      </c>
      <c r="K5" s="30">
        <f t="shared" si="0"/>
        <v>797.8</v>
      </c>
      <c r="L5" s="30">
        <f t="shared" si="0"/>
        <v>819.59999999999991</v>
      </c>
      <c r="M5" s="30">
        <f t="shared" si="0"/>
        <v>813.4</v>
      </c>
      <c r="N5" s="30">
        <f t="shared" si="0"/>
        <v>814.5</v>
      </c>
      <c r="O5" s="30">
        <f t="shared" si="0"/>
        <v>801.9</v>
      </c>
      <c r="P5" s="30">
        <f t="shared" si="0"/>
        <v>820.59999999999991</v>
      </c>
      <c r="Q5" s="30">
        <f t="shared" si="0"/>
        <v>837.19999999999993</v>
      </c>
      <c r="R5" s="30">
        <f t="shared" si="0"/>
        <v>837.3</v>
      </c>
      <c r="S5" s="30">
        <f t="shared" si="0"/>
        <v>809.8</v>
      </c>
      <c r="T5" s="30">
        <f t="shared" si="0"/>
        <v>789.09999999999991</v>
      </c>
      <c r="U5" s="30">
        <f t="shared" si="0"/>
        <v>752.16000000000008</v>
      </c>
      <c r="V5" s="30">
        <f t="shared" si="0"/>
        <v>743.74</v>
      </c>
      <c r="W5" s="30">
        <f t="shared" si="0"/>
        <v>578.69999999999993</v>
      </c>
      <c r="X5" s="30">
        <f t="shared" si="0"/>
        <v>152.9</v>
      </c>
      <c r="Y5" s="30">
        <f t="shared" si="0"/>
        <v>123.3</v>
      </c>
      <c r="Z5" s="30">
        <f t="shared" si="0"/>
        <v>68.900000000000006</v>
      </c>
      <c r="AA5" s="30">
        <f t="shared" si="0"/>
        <v>132</v>
      </c>
      <c r="AB5" s="30">
        <f t="shared" si="0"/>
        <v>130.30000000000001</v>
      </c>
      <c r="AC5" s="30">
        <f t="shared" si="0"/>
        <v>173.39999999999998</v>
      </c>
      <c r="AD5" s="30">
        <f t="shared" si="0"/>
        <v>148.5</v>
      </c>
      <c r="AE5" s="30">
        <f t="shared" si="0"/>
        <v>203</v>
      </c>
      <c r="AF5" s="30">
        <f>B92</f>
        <v>288.39999999999998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1669MW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Load=1225</v>
      </c>
      <c r="B7" s="35">
        <f>B100</f>
        <v>1237.54</v>
      </c>
      <c r="C7" s="35">
        <f t="shared" ref="C7:AF7" si="1">C100</f>
        <v>1226.8399999999997</v>
      </c>
      <c r="D7" s="35">
        <f t="shared" si="1"/>
        <v>1224.94</v>
      </c>
      <c r="E7" s="35">
        <f t="shared" si="1"/>
        <v>1256.24</v>
      </c>
      <c r="F7" s="35">
        <f t="shared" si="1"/>
        <v>1257.04</v>
      </c>
      <c r="G7" s="35">
        <f t="shared" si="1"/>
        <v>1332.04</v>
      </c>
      <c r="H7" s="35">
        <f t="shared" si="1"/>
        <v>1434.74</v>
      </c>
      <c r="I7" s="35">
        <f t="shared" si="1"/>
        <v>1475.4399999999998</v>
      </c>
      <c r="J7" s="35">
        <f t="shared" si="1"/>
        <v>1538.24</v>
      </c>
      <c r="K7" s="35">
        <f t="shared" si="1"/>
        <v>1576.6399999999999</v>
      </c>
      <c r="L7" s="35">
        <f t="shared" si="1"/>
        <v>1599.04</v>
      </c>
      <c r="M7" s="35">
        <f t="shared" si="1"/>
        <v>1669.44</v>
      </c>
      <c r="N7" s="35">
        <f t="shared" si="1"/>
        <v>1640.6399999999999</v>
      </c>
      <c r="O7" s="35">
        <f t="shared" si="1"/>
        <v>1659.1399999999999</v>
      </c>
      <c r="P7" s="35">
        <f t="shared" si="1"/>
        <v>1652.3400000000001</v>
      </c>
      <c r="Q7" s="35">
        <f t="shared" si="1"/>
        <v>1682.84</v>
      </c>
      <c r="R7" s="35">
        <f t="shared" si="1"/>
        <v>1621.04</v>
      </c>
      <c r="S7" s="35">
        <f t="shared" si="1"/>
        <v>1684.64</v>
      </c>
      <c r="T7" s="35">
        <f t="shared" si="1"/>
        <v>1718.7399999999998</v>
      </c>
      <c r="U7" s="35">
        <f t="shared" si="1"/>
        <v>1711.2399999999998</v>
      </c>
      <c r="V7" s="35">
        <f t="shared" si="1"/>
        <v>1645.3000000000002</v>
      </c>
      <c r="W7" s="35">
        <f t="shared" si="1"/>
        <v>1632.3799999999999</v>
      </c>
      <c r="X7" s="35">
        <f t="shared" si="1"/>
        <v>1437.94</v>
      </c>
      <c r="Y7" s="35">
        <f t="shared" si="1"/>
        <v>1871.7400000000002</v>
      </c>
      <c r="Z7" s="35">
        <f t="shared" si="1"/>
        <v>1901.64</v>
      </c>
      <c r="AA7" s="35">
        <f t="shared" si="1"/>
        <v>1819.2400000000002</v>
      </c>
      <c r="AB7" s="35">
        <f t="shared" si="1"/>
        <v>1707.24</v>
      </c>
      <c r="AC7" s="35">
        <f t="shared" si="1"/>
        <v>1676.4399999999998</v>
      </c>
      <c r="AD7" s="35">
        <f t="shared" si="1"/>
        <v>1610.1399999999999</v>
      </c>
      <c r="AE7" s="35">
        <f t="shared" si="1"/>
        <v>1461.1399999999999</v>
      </c>
      <c r="AF7" s="35">
        <f t="shared" si="1"/>
        <v>1335.6399999999999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16" t="s">
        <v>14</v>
      </c>
      <c r="C8" s="217"/>
      <c r="D8" s="217"/>
      <c r="E8" s="217"/>
      <c r="F8" s="217"/>
      <c r="G8" s="217"/>
      <c r="H8" s="217"/>
      <c r="I8" s="217"/>
      <c r="J8" s="217"/>
      <c r="K8" s="217"/>
      <c r="L8" s="218"/>
      <c r="M8" s="207" t="s">
        <v>15</v>
      </c>
      <c r="N8" s="208"/>
      <c r="O8" s="208"/>
      <c r="P8" s="208"/>
      <c r="Q8" s="208"/>
      <c r="R8" s="209"/>
      <c r="S8" s="207" t="s">
        <v>16</v>
      </c>
      <c r="T8" s="208"/>
      <c r="U8" s="208"/>
      <c r="V8" s="208"/>
      <c r="W8" s="208"/>
      <c r="X8" s="208"/>
      <c r="Y8" s="208"/>
      <c r="Z8" s="208"/>
      <c r="AA8" s="209"/>
      <c r="AB8" s="207" t="s">
        <v>17</v>
      </c>
      <c r="AC8" s="208"/>
      <c r="AD8" s="208"/>
      <c r="AE8" s="208"/>
      <c r="AF8" s="20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1901.64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198">
        <v>0.58333333333333304</v>
      </c>
      <c r="T9" s="198">
        <v>0.625</v>
      </c>
      <c r="U9" s="198">
        <v>0.66666666666666696</v>
      </c>
      <c r="V9" s="198">
        <v>0.70833333333333304</v>
      </c>
      <c r="W9" s="198">
        <v>0.72916666666666663</v>
      </c>
      <c r="X9" s="198">
        <v>0.75</v>
      </c>
      <c r="Y9" s="198">
        <v>0.77083333333333337</v>
      </c>
      <c r="Z9" s="198">
        <v>0.79166666666666663</v>
      </c>
      <c r="AA9" s="198">
        <v>0.8125</v>
      </c>
      <c r="AB9" s="198">
        <v>0.83333333333333337</v>
      </c>
      <c r="AC9" s="198">
        <v>0.85416666666666663</v>
      </c>
      <c r="AD9" s="198">
        <v>0.875</v>
      </c>
      <c r="AE9" s="198">
        <v>0.91666666666666696</v>
      </c>
      <c r="AF9" s="198">
        <v>0.95833333333333304</v>
      </c>
      <c r="AG9" s="200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1901.64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206"/>
      <c r="N10" s="206"/>
      <c r="O10" s="206"/>
      <c r="P10" s="206"/>
      <c r="Q10" s="206"/>
      <c r="R10" s="206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201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30.4</v>
      </c>
      <c r="C11" s="46">
        <v>30.4</v>
      </c>
      <c r="D11" s="46">
        <v>30.4</v>
      </c>
      <c r="E11" s="46">
        <v>28.5</v>
      </c>
      <c r="F11" s="46">
        <v>28.5</v>
      </c>
      <c r="G11" s="46">
        <v>28.5</v>
      </c>
      <c r="H11" s="46">
        <v>28.5</v>
      </c>
      <c r="I11" s="46">
        <v>28.5</v>
      </c>
      <c r="J11" s="46">
        <v>28.5</v>
      </c>
      <c r="K11" s="46">
        <v>28.5</v>
      </c>
      <c r="L11" s="46">
        <v>28.5</v>
      </c>
      <c r="M11" s="46">
        <v>26.8</v>
      </c>
      <c r="N11" s="46">
        <v>23.7</v>
      </c>
      <c r="O11" s="46">
        <v>25.2</v>
      </c>
      <c r="P11" s="46">
        <v>21.6</v>
      </c>
      <c r="Q11" s="46">
        <v>27.3</v>
      </c>
      <c r="R11" s="46">
        <v>25.2</v>
      </c>
      <c r="S11" s="46">
        <v>25.2</v>
      </c>
      <c r="T11" s="46">
        <v>25.2</v>
      </c>
      <c r="U11" s="46">
        <v>25.2</v>
      </c>
      <c r="V11" s="46">
        <v>25.2</v>
      </c>
      <c r="W11" s="46">
        <v>25.2</v>
      </c>
      <c r="X11" s="46">
        <v>25.2</v>
      </c>
      <c r="Y11" s="46">
        <v>25.2</v>
      </c>
      <c r="Z11" s="46">
        <v>25.2</v>
      </c>
      <c r="AA11" s="46">
        <v>25.2</v>
      </c>
      <c r="AB11" s="46">
        <v>25.2</v>
      </c>
      <c r="AC11" s="46">
        <v>25.2</v>
      </c>
      <c r="AD11" s="46">
        <v>25.2</v>
      </c>
      <c r="AE11" s="46">
        <v>25.2</v>
      </c>
      <c r="AF11" s="46">
        <v>25.2</v>
      </c>
      <c r="AG11" s="47">
        <v>86</v>
      </c>
      <c r="AH11" s="48">
        <f t="shared" ref="AH11:AH16" si="2">MAX(B11:AF11)</f>
        <v>30.4</v>
      </c>
      <c r="AI11" s="49">
        <f t="shared" ref="AI11:AI16" si="3">MIN(B11:AF11)</f>
        <v>21.6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10</v>
      </c>
      <c r="C12" s="46">
        <v>10</v>
      </c>
      <c r="D12" s="46">
        <v>10</v>
      </c>
      <c r="E12" s="46">
        <v>10</v>
      </c>
      <c r="F12" s="46">
        <v>10</v>
      </c>
      <c r="G12" s="46">
        <v>10</v>
      </c>
      <c r="H12" s="46">
        <v>10</v>
      </c>
      <c r="I12" s="46">
        <v>10</v>
      </c>
      <c r="J12" s="46">
        <v>10</v>
      </c>
      <c r="K12" s="46">
        <v>10</v>
      </c>
      <c r="L12" s="46">
        <v>10</v>
      </c>
      <c r="M12" s="46">
        <v>10</v>
      </c>
      <c r="N12" s="46">
        <v>10</v>
      </c>
      <c r="O12" s="46">
        <v>10</v>
      </c>
      <c r="P12" s="46">
        <v>10</v>
      </c>
      <c r="Q12" s="46">
        <v>10</v>
      </c>
      <c r="R12" s="46">
        <v>10</v>
      </c>
      <c r="S12" s="46">
        <v>10</v>
      </c>
      <c r="T12" s="46">
        <v>10</v>
      </c>
      <c r="U12" s="46">
        <v>10</v>
      </c>
      <c r="V12" s="46">
        <v>10</v>
      </c>
      <c r="W12" s="46">
        <v>10</v>
      </c>
      <c r="X12" s="46">
        <v>10</v>
      </c>
      <c r="Y12" s="46">
        <v>10</v>
      </c>
      <c r="Z12" s="46">
        <v>10</v>
      </c>
      <c r="AA12" s="46">
        <v>10</v>
      </c>
      <c r="AB12" s="46">
        <v>10</v>
      </c>
      <c r="AC12" s="46">
        <v>10</v>
      </c>
      <c r="AD12" s="46">
        <v>10</v>
      </c>
      <c r="AE12" s="46">
        <v>10</v>
      </c>
      <c r="AF12" s="46">
        <v>10</v>
      </c>
      <c r="AG12" s="50">
        <v>54</v>
      </c>
      <c r="AH12" s="48">
        <f t="shared" si="2"/>
        <v>10</v>
      </c>
      <c r="AI12" s="49">
        <f t="shared" si="3"/>
        <v>10</v>
      </c>
      <c r="AK12" s="51"/>
      <c r="AL12" s="52" t="str">
        <f ca="1">MID(CELL("filename",C7),FIND("]",CELL("filename",C7))+1,600)</f>
        <v>30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12</v>
      </c>
      <c r="C13" s="46">
        <v>12</v>
      </c>
      <c r="D13" s="46">
        <v>12</v>
      </c>
      <c r="E13" s="46">
        <v>12</v>
      </c>
      <c r="F13" s="46">
        <v>12</v>
      </c>
      <c r="G13" s="46">
        <v>12</v>
      </c>
      <c r="H13" s="46">
        <v>12</v>
      </c>
      <c r="I13" s="46">
        <v>12</v>
      </c>
      <c r="J13" s="46">
        <v>12</v>
      </c>
      <c r="K13" s="46">
        <v>12</v>
      </c>
      <c r="L13" s="46">
        <v>12</v>
      </c>
      <c r="M13" s="46">
        <v>12</v>
      </c>
      <c r="N13" s="46">
        <v>12</v>
      </c>
      <c r="O13" s="46">
        <v>12</v>
      </c>
      <c r="P13" s="46">
        <v>12</v>
      </c>
      <c r="Q13" s="46">
        <v>12</v>
      </c>
      <c r="R13" s="46">
        <v>12</v>
      </c>
      <c r="S13" s="46">
        <v>12</v>
      </c>
      <c r="T13" s="46">
        <v>12</v>
      </c>
      <c r="U13" s="46">
        <v>12</v>
      </c>
      <c r="V13" s="46">
        <v>12</v>
      </c>
      <c r="W13" s="46">
        <v>12</v>
      </c>
      <c r="X13" s="46">
        <v>12</v>
      </c>
      <c r="Y13" s="46">
        <v>12</v>
      </c>
      <c r="Z13" s="46">
        <v>12</v>
      </c>
      <c r="AA13" s="46">
        <v>12</v>
      </c>
      <c r="AB13" s="46">
        <v>12</v>
      </c>
      <c r="AC13" s="46">
        <v>12</v>
      </c>
      <c r="AD13" s="46">
        <v>12</v>
      </c>
      <c r="AE13" s="46">
        <v>12</v>
      </c>
      <c r="AF13" s="46">
        <v>12</v>
      </c>
      <c r="AG13" s="50">
        <v>54</v>
      </c>
      <c r="AH13" s="48">
        <f t="shared" si="2"/>
        <v>12</v>
      </c>
      <c r="AI13" s="49">
        <f t="shared" si="3"/>
        <v>12</v>
      </c>
      <c r="AK13" s="51"/>
      <c r="AL13" s="52" t="str">
        <f ca="1">"Daily Load Curve(Excluding of Export) of Nepal ("&amp;A4&amp;" "&amp;B4&amp;")"</f>
        <v>Daily Load Curve(Excluding of Export) of Nepal (Nepali Date: 2080/10/30)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12.2</v>
      </c>
      <c r="C14" s="46">
        <v>12.2</v>
      </c>
      <c r="D14" s="46">
        <v>12.2</v>
      </c>
      <c r="E14" s="46">
        <v>12.2</v>
      </c>
      <c r="F14" s="46">
        <v>12.2</v>
      </c>
      <c r="G14" s="46">
        <v>12.2</v>
      </c>
      <c r="H14" s="46">
        <v>12.2</v>
      </c>
      <c r="I14" s="46">
        <v>12.2</v>
      </c>
      <c r="J14" s="46">
        <v>12.2</v>
      </c>
      <c r="K14" s="46">
        <v>12.2</v>
      </c>
      <c r="L14" s="46">
        <v>12.2</v>
      </c>
      <c r="M14" s="46">
        <v>12.2</v>
      </c>
      <c r="N14" s="46">
        <v>12.2</v>
      </c>
      <c r="O14" s="46">
        <v>12.2</v>
      </c>
      <c r="P14" s="46">
        <v>12.2</v>
      </c>
      <c r="Q14" s="46">
        <v>12.2</v>
      </c>
      <c r="R14" s="46">
        <v>12.2</v>
      </c>
      <c r="S14" s="46">
        <v>12.2</v>
      </c>
      <c r="T14" s="46">
        <v>12.2</v>
      </c>
      <c r="U14" s="46">
        <v>12.2</v>
      </c>
      <c r="V14" s="46">
        <v>12.2</v>
      </c>
      <c r="W14" s="46">
        <v>12.2</v>
      </c>
      <c r="X14" s="46">
        <v>12.2</v>
      </c>
      <c r="Y14" s="46">
        <v>12.2</v>
      </c>
      <c r="Z14" s="46">
        <v>12.2</v>
      </c>
      <c r="AA14" s="46">
        <v>12.2</v>
      </c>
      <c r="AB14" s="46">
        <v>12.2</v>
      </c>
      <c r="AC14" s="46">
        <v>12.2</v>
      </c>
      <c r="AD14" s="46">
        <v>12.2</v>
      </c>
      <c r="AE14" s="46">
        <v>12.2</v>
      </c>
      <c r="AF14" s="46">
        <v>12.2</v>
      </c>
      <c r="AG14" s="47">
        <v>52.4</v>
      </c>
      <c r="AH14" s="48">
        <f t="shared" si="2"/>
        <v>12.2</v>
      </c>
      <c r="AI14" s="49">
        <f t="shared" si="3"/>
        <v>12.2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31.9</v>
      </c>
      <c r="C15" s="46">
        <v>31.9</v>
      </c>
      <c r="D15" s="46">
        <v>31.9</v>
      </c>
      <c r="E15" s="46">
        <v>31.9</v>
      </c>
      <c r="F15" s="46">
        <v>31.9</v>
      </c>
      <c r="G15" s="46">
        <v>31.9</v>
      </c>
      <c r="H15" s="46">
        <v>31.9</v>
      </c>
      <c r="I15" s="46">
        <v>31.9</v>
      </c>
      <c r="J15" s="46">
        <v>31.9</v>
      </c>
      <c r="K15" s="46">
        <v>31.9</v>
      </c>
      <c r="L15" s="46">
        <v>31.9</v>
      </c>
      <c r="M15" s="46">
        <v>31.9</v>
      </c>
      <c r="N15" s="46">
        <v>31.9</v>
      </c>
      <c r="O15" s="46">
        <v>31.9</v>
      </c>
      <c r="P15" s="46">
        <v>31.9</v>
      </c>
      <c r="Q15" s="46">
        <v>31.9</v>
      </c>
      <c r="R15" s="46">
        <v>31.9</v>
      </c>
      <c r="S15" s="46">
        <v>31.9</v>
      </c>
      <c r="T15" s="46">
        <v>31.9</v>
      </c>
      <c r="U15" s="46">
        <v>31.9</v>
      </c>
      <c r="V15" s="46">
        <v>31.9</v>
      </c>
      <c r="W15" s="46">
        <v>31.9</v>
      </c>
      <c r="X15" s="46">
        <v>31.9</v>
      </c>
      <c r="Y15" s="46">
        <v>31.9</v>
      </c>
      <c r="Z15" s="53">
        <v>31.9</v>
      </c>
      <c r="AA15" s="53">
        <v>31.9</v>
      </c>
      <c r="AB15" s="53">
        <v>31.9</v>
      </c>
      <c r="AC15" s="53">
        <v>31.9</v>
      </c>
      <c r="AD15" s="53">
        <v>31.9</v>
      </c>
      <c r="AE15" s="53">
        <v>31.9</v>
      </c>
      <c r="AF15" s="53">
        <v>31.9</v>
      </c>
      <c r="AG15" s="50">
        <v>50</v>
      </c>
      <c r="AH15" s="48">
        <f t="shared" si="2"/>
        <v>31.9</v>
      </c>
      <c r="AI15" s="49">
        <f t="shared" si="3"/>
        <v>31.9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15</v>
      </c>
      <c r="C16" s="46">
        <v>15</v>
      </c>
      <c r="D16" s="46">
        <v>15</v>
      </c>
      <c r="E16" s="46">
        <v>15</v>
      </c>
      <c r="F16" s="46">
        <v>15</v>
      </c>
      <c r="G16" s="46">
        <v>15</v>
      </c>
      <c r="H16" s="46">
        <v>15</v>
      </c>
      <c r="I16" s="46">
        <v>15</v>
      </c>
      <c r="J16" s="46">
        <v>15</v>
      </c>
      <c r="K16" s="46">
        <v>15</v>
      </c>
      <c r="L16" s="46">
        <v>15</v>
      </c>
      <c r="M16" s="46">
        <v>15</v>
      </c>
      <c r="N16" s="46">
        <v>15</v>
      </c>
      <c r="O16" s="46">
        <v>15</v>
      </c>
      <c r="P16" s="46">
        <v>15</v>
      </c>
      <c r="Q16" s="46">
        <v>15</v>
      </c>
      <c r="R16" s="46">
        <v>15</v>
      </c>
      <c r="S16" s="46">
        <v>15</v>
      </c>
      <c r="T16" s="46">
        <v>15</v>
      </c>
      <c r="U16" s="46">
        <v>15</v>
      </c>
      <c r="V16" s="46">
        <v>15</v>
      </c>
      <c r="W16" s="46">
        <v>15</v>
      </c>
      <c r="X16" s="46">
        <v>15</v>
      </c>
      <c r="Y16" s="46">
        <v>15</v>
      </c>
      <c r="Z16" s="46">
        <v>15</v>
      </c>
      <c r="AA16" s="46">
        <v>15</v>
      </c>
      <c r="AB16" s="46">
        <v>15</v>
      </c>
      <c r="AC16" s="46">
        <v>15</v>
      </c>
      <c r="AD16" s="46">
        <v>15</v>
      </c>
      <c r="AE16" s="46">
        <v>15</v>
      </c>
      <c r="AF16" s="46">
        <v>15</v>
      </c>
      <c r="AG16" s="50">
        <v>45</v>
      </c>
      <c r="AH16" s="48">
        <f t="shared" si="2"/>
        <v>15</v>
      </c>
      <c r="AI16" s="49">
        <f t="shared" si="3"/>
        <v>15</v>
      </c>
      <c r="AK16" s="51"/>
      <c r="AL16" s="54" t="s">
        <v>7</v>
      </c>
      <c r="AM16" s="59">
        <f>B58</f>
        <v>472.09999999999997</v>
      </c>
      <c r="AN16" s="59">
        <f t="shared" ref="AN16:AR16" si="4">C58</f>
        <v>472.09999999999997</v>
      </c>
      <c r="AO16" s="59">
        <f t="shared" si="4"/>
        <v>472.09999999999997</v>
      </c>
      <c r="AP16" s="59">
        <f t="shared" si="4"/>
        <v>470.2</v>
      </c>
      <c r="AQ16" s="59">
        <f t="shared" si="4"/>
        <v>470.2</v>
      </c>
      <c r="AR16" s="59">
        <f t="shared" si="4"/>
        <v>470.2</v>
      </c>
      <c r="AS16" s="59">
        <f>I58</f>
        <v>470.2</v>
      </c>
      <c r="AT16" s="59">
        <f>K58</f>
        <v>470.2</v>
      </c>
      <c r="AU16" s="59">
        <f t="shared" ref="AU16:BD16" si="5">M58</f>
        <v>468.5</v>
      </c>
      <c r="AV16" s="59">
        <f t="shared" si="5"/>
        <v>465.4</v>
      </c>
      <c r="AW16" s="59">
        <f t="shared" si="5"/>
        <v>466.9</v>
      </c>
      <c r="AX16" s="59">
        <f t="shared" si="5"/>
        <v>463.29999999999995</v>
      </c>
      <c r="AY16" s="59">
        <f t="shared" si="5"/>
        <v>469</v>
      </c>
      <c r="AZ16" s="59">
        <f t="shared" si="5"/>
        <v>466.9</v>
      </c>
      <c r="BA16" s="59">
        <f t="shared" si="5"/>
        <v>466.9</v>
      </c>
      <c r="BB16" s="59">
        <f t="shared" si="5"/>
        <v>466.9</v>
      </c>
      <c r="BC16" s="59">
        <f t="shared" si="5"/>
        <v>466.9</v>
      </c>
      <c r="BD16" s="59">
        <f t="shared" si="5"/>
        <v>466.9</v>
      </c>
      <c r="BE16" s="197">
        <f>X58</f>
        <v>466.9</v>
      </c>
      <c r="BF16" s="197">
        <f>Z58</f>
        <v>486.5</v>
      </c>
      <c r="BG16" s="197">
        <f>AB58</f>
        <v>466.9</v>
      </c>
      <c r="BH16" s="197">
        <f>AD58</f>
        <v>466.9</v>
      </c>
      <c r="BI16" s="197">
        <f t="shared" ref="BI16:BJ16" si="6">AE58</f>
        <v>466.9</v>
      </c>
      <c r="BJ16" s="197">
        <f t="shared" si="6"/>
        <v>466.9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12</v>
      </c>
      <c r="C17" s="46">
        <v>12</v>
      </c>
      <c r="D17" s="46">
        <v>12</v>
      </c>
      <c r="E17" s="46">
        <v>12</v>
      </c>
      <c r="F17" s="46">
        <v>12</v>
      </c>
      <c r="G17" s="46">
        <v>12</v>
      </c>
      <c r="H17" s="46">
        <v>12</v>
      </c>
      <c r="I17" s="46">
        <v>12</v>
      </c>
      <c r="J17" s="46">
        <v>12</v>
      </c>
      <c r="K17" s="46">
        <v>12</v>
      </c>
      <c r="L17" s="46">
        <v>12</v>
      </c>
      <c r="M17" s="46">
        <v>12</v>
      </c>
      <c r="N17" s="46">
        <v>12</v>
      </c>
      <c r="O17" s="46">
        <v>12</v>
      </c>
      <c r="P17" s="46">
        <v>12</v>
      </c>
      <c r="Q17" s="46">
        <v>12</v>
      </c>
      <c r="R17" s="46">
        <v>12</v>
      </c>
      <c r="S17" s="46">
        <v>12</v>
      </c>
      <c r="T17" s="46">
        <v>12</v>
      </c>
      <c r="U17" s="46">
        <v>12</v>
      </c>
      <c r="V17" s="46">
        <v>12</v>
      </c>
      <c r="W17" s="46">
        <v>12</v>
      </c>
      <c r="X17" s="46">
        <v>12</v>
      </c>
      <c r="Y17" s="46">
        <v>12</v>
      </c>
      <c r="Z17" s="46">
        <v>12</v>
      </c>
      <c r="AA17" s="46">
        <v>12</v>
      </c>
      <c r="AB17" s="46">
        <v>12</v>
      </c>
      <c r="AC17" s="46">
        <v>12</v>
      </c>
      <c r="AD17" s="46">
        <v>12</v>
      </c>
      <c r="AE17" s="46">
        <v>12</v>
      </c>
      <c r="AF17" s="46">
        <v>12</v>
      </c>
      <c r="AG17" s="50">
        <v>44</v>
      </c>
      <c r="AH17" s="48">
        <f>MAX(B17:AG17)</f>
        <v>44</v>
      </c>
      <c r="AI17" s="49">
        <f>MIN(B17:AG17)</f>
        <v>12</v>
      </c>
      <c r="AK17" s="51"/>
      <c r="AL17" s="54" t="s">
        <v>27</v>
      </c>
      <c r="AM17" s="59">
        <f>B62</f>
        <v>32.099999999999994</v>
      </c>
      <c r="AN17" s="59">
        <f t="shared" ref="AN17:AR17" si="7">C62</f>
        <v>33.599999999999994</v>
      </c>
      <c r="AO17" s="59">
        <f t="shared" si="7"/>
        <v>38.6</v>
      </c>
      <c r="AP17" s="59">
        <f t="shared" si="7"/>
        <v>38.6</v>
      </c>
      <c r="AQ17" s="59">
        <f t="shared" si="7"/>
        <v>38.6</v>
      </c>
      <c r="AR17" s="59">
        <f t="shared" si="7"/>
        <v>88.6</v>
      </c>
      <c r="AS17" s="59">
        <f>I62</f>
        <v>191.39999999999998</v>
      </c>
      <c r="AT17" s="59">
        <f>K62</f>
        <v>38.200000000000003</v>
      </c>
      <c r="AU17" s="59">
        <f t="shared" ref="AU17:BD17" si="8">M62</f>
        <v>38.1</v>
      </c>
      <c r="AV17" s="59">
        <f t="shared" si="8"/>
        <v>38.1</v>
      </c>
      <c r="AW17" s="59">
        <f t="shared" si="8"/>
        <v>38.1</v>
      </c>
      <c r="AX17" s="59">
        <f t="shared" si="8"/>
        <v>38.1</v>
      </c>
      <c r="AY17" s="59">
        <f t="shared" si="8"/>
        <v>38.1</v>
      </c>
      <c r="AZ17" s="59">
        <f t="shared" si="8"/>
        <v>38.1</v>
      </c>
      <c r="BA17" s="59">
        <f t="shared" si="8"/>
        <v>107.7</v>
      </c>
      <c r="BB17" s="59">
        <f t="shared" si="8"/>
        <v>107.8</v>
      </c>
      <c r="BC17" s="59">
        <f t="shared" si="8"/>
        <v>106.39999999999999</v>
      </c>
      <c r="BD17" s="59">
        <f t="shared" si="8"/>
        <v>95.399999999999991</v>
      </c>
      <c r="BE17" s="197">
        <f>X62</f>
        <v>85.399999999999991</v>
      </c>
      <c r="BF17" s="197">
        <f>Z62</f>
        <v>450.40000000000003</v>
      </c>
      <c r="BG17" s="197">
        <f>AB62</f>
        <v>390.40000000000003</v>
      </c>
      <c r="BH17" s="197">
        <f>AD62</f>
        <v>360.40000000000003</v>
      </c>
      <c r="BI17" s="197">
        <f t="shared" ref="BI17:BJ17" si="9">AE62</f>
        <v>360.40000000000003</v>
      </c>
      <c r="BJ17" s="197">
        <f t="shared" si="9"/>
        <v>130.4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7.5</v>
      </c>
      <c r="C18" s="46">
        <v>7.5</v>
      </c>
      <c r="D18" s="46">
        <v>7.5</v>
      </c>
      <c r="E18" s="46">
        <v>7.5</v>
      </c>
      <c r="F18" s="46">
        <v>7.5</v>
      </c>
      <c r="G18" s="46">
        <v>7.5</v>
      </c>
      <c r="H18" s="46">
        <v>7.5</v>
      </c>
      <c r="I18" s="46">
        <v>7.5</v>
      </c>
      <c r="J18" s="46">
        <v>7.5</v>
      </c>
      <c r="K18" s="46">
        <v>7.5</v>
      </c>
      <c r="L18" s="46">
        <v>7.5</v>
      </c>
      <c r="M18" s="46">
        <v>7.5</v>
      </c>
      <c r="N18" s="46">
        <v>7.5</v>
      </c>
      <c r="O18" s="46">
        <v>7.5</v>
      </c>
      <c r="P18" s="46">
        <v>7.5</v>
      </c>
      <c r="Q18" s="46">
        <v>7.5</v>
      </c>
      <c r="R18" s="46">
        <v>7.5</v>
      </c>
      <c r="S18" s="46">
        <v>7.5</v>
      </c>
      <c r="T18" s="46">
        <v>7.5</v>
      </c>
      <c r="U18" s="46">
        <v>7.5</v>
      </c>
      <c r="V18" s="46">
        <v>7.5</v>
      </c>
      <c r="W18" s="46">
        <v>7.5</v>
      </c>
      <c r="X18" s="46">
        <v>7.5</v>
      </c>
      <c r="Y18" s="46">
        <v>7.5</v>
      </c>
      <c r="Z18" s="46">
        <v>7.5</v>
      </c>
      <c r="AA18" s="46">
        <v>7.5</v>
      </c>
      <c r="AB18" s="46">
        <v>7.5</v>
      </c>
      <c r="AC18" s="46">
        <v>7.5</v>
      </c>
      <c r="AD18" s="46">
        <v>7.5</v>
      </c>
      <c r="AE18" s="46">
        <v>7.5</v>
      </c>
      <c r="AF18" s="46">
        <v>7.5</v>
      </c>
      <c r="AG18" s="50">
        <v>42</v>
      </c>
      <c r="AH18" s="48">
        <f t="shared" ref="AH18:AH81" si="10">MAX(B18:AF18)</f>
        <v>7.5</v>
      </c>
      <c r="AI18" s="49">
        <f t="shared" ref="AI18:AI81" si="11">MIN(B18:AF18)</f>
        <v>7.5</v>
      </c>
      <c r="AK18" s="51"/>
      <c r="AL18" s="54" t="s">
        <v>29</v>
      </c>
      <c r="AM18" s="59">
        <f>B76</f>
        <v>148.84</v>
      </c>
      <c r="AN18" s="59">
        <f t="shared" ref="AN18:AR18" si="12">C76</f>
        <v>148.94</v>
      </c>
      <c r="AO18" s="59">
        <f t="shared" si="12"/>
        <v>73.84</v>
      </c>
      <c r="AP18" s="59">
        <f t="shared" si="12"/>
        <v>73.84</v>
      </c>
      <c r="AQ18" s="59">
        <f t="shared" si="12"/>
        <v>73.84</v>
      </c>
      <c r="AR18" s="59">
        <f t="shared" si="12"/>
        <v>76.64</v>
      </c>
      <c r="AS18" s="59">
        <f>I76</f>
        <v>159.54</v>
      </c>
      <c r="AT18" s="59">
        <f>K76</f>
        <v>233.04</v>
      </c>
      <c r="AU18" s="59">
        <f t="shared" ref="AU18:BD18" si="13">M76</f>
        <v>283.74</v>
      </c>
      <c r="AV18" s="59">
        <f t="shared" si="13"/>
        <v>264.94000000000011</v>
      </c>
      <c r="AW18" s="59">
        <f t="shared" si="13"/>
        <v>248.74000000000004</v>
      </c>
      <c r="AX18" s="59">
        <f t="shared" si="13"/>
        <v>249.84000000000003</v>
      </c>
      <c r="AY18" s="59">
        <f t="shared" si="13"/>
        <v>248.14000000000004</v>
      </c>
      <c r="AZ18" s="59">
        <f t="shared" si="13"/>
        <v>188.94000000000003</v>
      </c>
      <c r="BA18" s="59">
        <f t="shared" si="13"/>
        <v>192.54000000000002</v>
      </c>
      <c r="BB18" s="59">
        <f t="shared" si="13"/>
        <v>214.94</v>
      </c>
      <c r="BC18" s="59">
        <f t="shared" si="13"/>
        <v>203.84</v>
      </c>
      <c r="BD18" s="59">
        <f t="shared" si="13"/>
        <v>201.64000000000001</v>
      </c>
      <c r="BE18" s="197">
        <f>X76</f>
        <v>224.24000000000004</v>
      </c>
      <c r="BF18" s="197">
        <f>Z76</f>
        <v>365.94000000000005</v>
      </c>
      <c r="BG18" s="197">
        <f>AB76</f>
        <v>322.44000000000005</v>
      </c>
      <c r="BH18" s="197">
        <f>AD76</f>
        <v>263.94000000000005</v>
      </c>
      <c r="BI18" s="197">
        <f t="shared" ref="BI18:BJ18" si="14">AE76</f>
        <v>189.84</v>
      </c>
      <c r="BJ18" s="197">
        <f t="shared" si="14"/>
        <v>189.84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13</v>
      </c>
      <c r="C19" s="46">
        <v>13</v>
      </c>
      <c r="D19" s="46">
        <v>13</v>
      </c>
      <c r="E19" s="46">
        <v>13</v>
      </c>
      <c r="F19" s="46">
        <v>13</v>
      </c>
      <c r="G19" s="46">
        <v>13</v>
      </c>
      <c r="H19" s="46">
        <v>13</v>
      </c>
      <c r="I19" s="46">
        <v>13</v>
      </c>
      <c r="J19" s="46">
        <v>13</v>
      </c>
      <c r="K19" s="46">
        <v>13</v>
      </c>
      <c r="L19" s="46">
        <v>13</v>
      </c>
      <c r="M19" s="46">
        <v>13</v>
      </c>
      <c r="N19" s="46">
        <v>13</v>
      </c>
      <c r="O19" s="46">
        <v>13</v>
      </c>
      <c r="P19" s="46">
        <v>13</v>
      </c>
      <c r="Q19" s="46">
        <v>13</v>
      </c>
      <c r="R19" s="46">
        <v>13</v>
      </c>
      <c r="S19" s="46">
        <v>13</v>
      </c>
      <c r="T19" s="46">
        <v>13</v>
      </c>
      <c r="U19" s="46">
        <v>13</v>
      </c>
      <c r="V19" s="46">
        <v>13</v>
      </c>
      <c r="W19" s="46">
        <v>13</v>
      </c>
      <c r="X19" s="46">
        <v>13</v>
      </c>
      <c r="Y19" s="46">
        <v>13</v>
      </c>
      <c r="Z19" s="46">
        <v>13</v>
      </c>
      <c r="AA19" s="46">
        <v>13</v>
      </c>
      <c r="AB19" s="46">
        <v>13</v>
      </c>
      <c r="AC19" s="46">
        <v>13</v>
      </c>
      <c r="AD19" s="46">
        <v>13</v>
      </c>
      <c r="AE19" s="46">
        <v>13</v>
      </c>
      <c r="AF19" s="46">
        <v>13</v>
      </c>
      <c r="AG19" s="50">
        <v>38.46</v>
      </c>
      <c r="AH19" s="48">
        <f t="shared" si="10"/>
        <v>13</v>
      </c>
      <c r="AI19" s="49">
        <f t="shared" si="11"/>
        <v>13</v>
      </c>
      <c r="AK19" s="51"/>
      <c r="AL19" s="54" t="s">
        <v>31</v>
      </c>
      <c r="AM19" s="59">
        <f>B92</f>
        <v>288.39999999999998</v>
      </c>
      <c r="AN19" s="59">
        <f t="shared" ref="AN19:AR19" si="15">C92</f>
        <v>274.89999999999998</v>
      </c>
      <c r="AO19" s="59">
        <f t="shared" si="15"/>
        <v>342.90000000000003</v>
      </c>
      <c r="AP19" s="59">
        <f t="shared" si="15"/>
        <v>401.8</v>
      </c>
      <c r="AQ19" s="59">
        <f t="shared" si="15"/>
        <v>375.6</v>
      </c>
      <c r="AR19" s="59">
        <f t="shared" si="15"/>
        <v>397.8</v>
      </c>
      <c r="AS19" s="59">
        <f>I92</f>
        <v>434</v>
      </c>
      <c r="AT19" s="59">
        <f>K92</f>
        <v>785.1</v>
      </c>
      <c r="AU19" s="59">
        <f t="shared" ref="AU19:BD19" si="16">M92</f>
        <v>819.59999999999991</v>
      </c>
      <c r="AV19" s="59">
        <f t="shared" si="16"/>
        <v>813.4</v>
      </c>
      <c r="AW19" s="59">
        <f t="shared" si="16"/>
        <v>814.5</v>
      </c>
      <c r="AX19" s="59">
        <f t="shared" si="16"/>
        <v>801.9</v>
      </c>
      <c r="AY19" s="59">
        <f t="shared" si="16"/>
        <v>820.59999999999991</v>
      </c>
      <c r="AZ19" s="59">
        <f t="shared" si="16"/>
        <v>837.19999999999993</v>
      </c>
      <c r="BA19" s="59">
        <f t="shared" si="16"/>
        <v>837.3</v>
      </c>
      <c r="BB19" s="59">
        <f t="shared" si="16"/>
        <v>809.8</v>
      </c>
      <c r="BC19" s="59">
        <f t="shared" si="16"/>
        <v>789.09999999999991</v>
      </c>
      <c r="BD19" s="59">
        <f t="shared" si="16"/>
        <v>752.16000000000008</v>
      </c>
      <c r="BE19" s="197">
        <f>X92</f>
        <v>578.69999999999993</v>
      </c>
      <c r="BF19" s="197">
        <f>Z92</f>
        <v>123.3</v>
      </c>
      <c r="BG19" s="197">
        <f>AB92</f>
        <v>132</v>
      </c>
      <c r="BH19" s="197">
        <f>AD92</f>
        <v>173.39999999999998</v>
      </c>
      <c r="BI19" s="197">
        <f t="shared" ref="BI19:BJ19" si="17">AE92</f>
        <v>148.5</v>
      </c>
      <c r="BJ19" s="197">
        <f t="shared" si="17"/>
        <v>203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11.8</v>
      </c>
      <c r="C20" s="46">
        <v>11.8</v>
      </c>
      <c r="D20" s="46">
        <v>11.8</v>
      </c>
      <c r="E20" s="46">
        <v>11.8</v>
      </c>
      <c r="F20" s="46">
        <v>11.8</v>
      </c>
      <c r="G20" s="46">
        <v>11.8</v>
      </c>
      <c r="H20" s="46">
        <v>11.8</v>
      </c>
      <c r="I20" s="46">
        <v>11.8</v>
      </c>
      <c r="J20" s="46">
        <v>11.8</v>
      </c>
      <c r="K20" s="46">
        <v>11.8</v>
      </c>
      <c r="L20" s="46">
        <v>11.8</v>
      </c>
      <c r="M20" s="46">
        <v>11.8</v>
      </c>
      <c r="N20" s="46">
        <v>11.8</v>
      </c>
      <c r="O20" s="46">
        <v>11.8</v>
      </c>
      <c r="P20" s="46">
        <v>11.8</v>
      </c>
      <c r="Q20" s="46">
        <v>11.8</v>
      </c>
      <c r="R20" s="46">
        <v>11.8</v>
      </c>
      <c r="S20" s="46">
        <v>11.8</v>
      </c>
      <c r="T20" s="46">
        <v>11.8</v>
      </c>
      <c r="U20" s="46">
        <v>11.8</v>
      </c>
      <c r="V20" s="46">
        <v>11.8</v>
      </c>
      <c r="W20" s="46">
        <v>11.8</v>
      </c>
      <c r="X20" s="46">
        <v>11.8</v>
      </c>
      <c r="Y20" s="46">
        <v>11.8</v>
      </c>
      <c r="Z20" s="46">
        <v>11.8</v>
      </c>
      <c r="AA20" s="46">
        <v>11.8</v>
      </c>
      <c r="AB20" s="46">
        <v>11.8</v>
      </c>
      <c r="AC20" s="46">
        <v>11.8</v>
      </c>
      <c r="AD20" s="46">
        <v>11.8</v>
      </c>
      <c r="AE20" s="46">
        <v>11.8</v>
      </c>
      <c r="AF20" s="46">
        <v>11.8</v>
      </c>
      <c r="AG20" s="50">
        <v>38.46</v>
      </c>
      <c r="AH20" s="48">
        <f t="shared" si="10"/>
        <v>11.8</v>
      </c>
      <c r="AI20" s="49">
        <f t="shared" si="11"/>
        <v>11.8</v>
      </c>
      <c r="AK20" s="51"/>
      <c r="AL20" s="54" t="s">
        <v>33</v>
      </c>
      <c r="AM20" s="59">
        <f>B80</f>
        <v>96.100000000000009</v>
      </c>
      <c r="AN20" s="59">
        <f t="shared" ref="AN20:AR20" si="18">C80</f>
        <v>97.3</v>
      </c>
      <c r="AO20" s="59">
        <f t="shared" si="18"/>
        <v>97.5</v>
      </c>
      <c r="AP20" s="59">
        <f t="shared" si="18"/>
        <v>71.8</v>
      </c>
      <c r="AQ20" s="59">
        <f t="shared" si="18"/>
        <v>98.8</v>
      </c>
      <c r="AR20" s="59">
        <f t="shared" si="18"/>
        <v>98.8</v>
      </c>
      <c r="AS20" s="59">
        <f>I80</f>
        <v>70.3</v>
      </c>
      <c r="AT20" s="59">
        <f>K80</f>
        <v>20.099999999999998</v>
      </c>
      <c r="AU20" s="59">
        <f t="shared" ref="AU20:BD20" si="19">M80</f>
        <v>49.5</v>
      </c>
      <c r="AV20" s="59">
        <f t="shared" si="19"/>
        <v>38.799999999999997</v>
      </c>
      <c r="AW20" s="59">
        <f t="shared" si="19"/>
        <v>70.900000000000006</v>
      </c>
      <c r="AX20" s="59">
        <f t="shared" si="19"/>
        <v>79.2</v>
      </c>
      <c r="AY20" s="59">
        <f t="shared" si="19"/>
        <v>97</v>
      </c>
      <c r="AZ20" s="59">
        <f t="shared" si="19"/>
        <v>69.899999999999991</v>
      </c>
      <c r="BA20" s="59">
        <f t="shared" si="19"/>
        <v>60.2</v>
      </c>
      <c r="BB20" s="59">
        <f t="shared" si="19"/>
        <v>69.3</v>
      </c>
      <c r="BC20" s="59">
        <f t="shared" si="19"/>
        <v>95</v>
      </c>
      <c r="BD20" s="59">
        <f t="shared" si="19"/>
        <v>79.199999999999989</v>
      </c>
      <c r="BE20" s="197">
        <f>X80</f>
        <v>32.700000000000003</v>
      </c>
      <c r="BF20" s="197">
        <f>Z80</f>
        <v>95.5</v>
      </c>
      <c r="BG20" s="197">
        <f>AB80</f>
        <v>95.5</v>
      </c>
      <c r="BH20" s="197">
        <f>AD80</f>
        <v>95.5</v>
      </c>
      <c r="BI20" s="197">
        <f t="shared" ref="BI20:BJ20" si="20">AE80</f>
        <v>95.5</v>
      </c>
      <c r="BJ20" s="197">
        <f t="shared" si="20"/>
        <v>95.5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11</v>
      </c>
      <c r="C21" s="46">
        <v>11</v>
      </c>
      <c r="D21" s="46">
        <v>11</v>
      </c>
      <c r="E21" s="46">
        <v>11</v>
      </c>
      <c r="F21" s="46">
        <v>11</v>
      </c>
      <c r="G21" s="46">
        <v>11</v>
      </c>
      <c r="H21" s="46">
        <v>11</v>
      </c>
      <c r="I21" s="46">
        <v>11</v>
      </c>
      <c r="J21" s="46">
        <v>11</v>
      </c>
      <c r="K21" s="46">
        <v>11</v>
      </c>
      <c r="L21" s="46">
        <v>11</v>
      </c>
      <c r="M21" s="46">
        <v>11</v>
      </c>
      <c r="N21" s="46">
        <v>11</v>
      </c>
      <c r="O21" s="46">
        <v>11</v>
      </c>
      <c r="P21" s="46">
        <v>11</v>
      </c>
      <c r="Q21" s="46">
        <v>11</v>
      </c>
      <c r="R21" s="46">
        <v>11</v>
      </c>
      <c r="S21" s="46">
        <v>11</v>
      </c>
      <c r="T21" s="46">
        <v>11</v>
      </c>
      <c r="U21" s="46">
        <v>11</v>
      </c>
      <c r="V21" s="46">
        <v>11</v>
      </c>
      <c r="W21" s="46">
        <v>11</v>
      </c>
      <c r="X21" s="46">
        <v>11</v>
      </c>
      <c r="Y21" s="46">
        <v>11</v>
      </c>
      <c r="Z21" s="46">
        <v>11</v>
      </c>
      <c r="AA21" s="46">
        <v>11</v>
      </c>
      <c r="AB21" s="46">
        <v>11</v>
      </c>
      <c r="AC21" s="46">
        <v>11</v>
      </c>
      <c r="AD21" s="46">
        <v>11</v>
      </c>
      <c r="AE21" s="46">
        <v>11</v>
      </c>
      <c r="AF21" s="46">
        <v>11</v>
      </c>
      <c r="AG21" s="50">
        <v>36</v>
      </c>
      <c r="AH21" s="48">
        <f t="shared" si="10"/>
        <v>11</v>
      </c>
      <c r="AI21" s="49">
        <f t="shared" si="11"/>
        <v>11</v>
      </c>
      <c r="AK21" s="51"/>
      <c r="AL21" s="54" t="s">
        <v>35</v>
      </c>
      <c r="AM21" s="59">
        <f>B98</f>
        <v>200</v>
      </c>
      <c r="AN21" s="59">
        <f t="shared" ref="AN21:AR21" si="21">C98</f>
        <v>200</v>
      </c>
      <c r="AO21" s="59">
        <f t="shared" si="21"/>
        <v>200</v>
      </c>
      <c r="AP21" s="59">
        <f t="shared" si="21"/>
        <v>200</v>
      </c>
      <c r="AQ21" s="59">
        <f t="shared" si="21"/>
        <v>200</v>
      </c>
      <c r="AR21" s="59">
        <f t="shared" si="21"/>
        <v>200</v>
      </c>
      <c r="AS21" s="59">
        <f>I98</f>
        <v>150</v>
      </c>
      <c r="AT21" s="59">
        <f>K98</f>
        <v>30</v>
      </c>
      <c r="AU21" s="59">
        <f t="shared" ref="AU21:BD21" si="22">M98</f>
        <v>10</v>
      </c>
      <c r="AV21" s="59">
        <f t="shared" si="22"/>
        <v>20</v>
      </c>
      <c r="AW21" s="59">
        <f t="shared" si="22"/>
        <v>20</v>
      </c>
      <c r="AX21" s="59">
        <f t="shared" si="22"/>
        <v>20</v>
      </c>
      <c r="AY21" s="59">
        <f t="shared" si="22"/>
        <v>10</v>
      </c>
      <c r="AZ21" s="59">
        <f t="shared" si="22"/>
        <v>20</v>
      </c>
      <c r="BA21" s="59">
        <f t="shared" si="22"/>
        <v>20</v>
      </c>
      <c r="BB21" s="59">
        <f t="shared" si="22"/>
        <v>50</v>
      </c>
      <c r="BC21" s="59">
        <f t="shared" si="22"/>
        <v>50</v>
      </c>
      <c r="BD21" s="59">
        <f t="shared" si="22"/>
        <v>50</v>
      </c>
      <c r="BE21" s="197">
        <f>X98</f>
        <v>50</v>
      </c>
      <c r="BF21" s="197">
        <f>Z98</f>
        <v>380</v>
      </c>
      <c r="BG21" s="197">
        <f>AB98</f>
        <v>300</v>
      </c>
      <c r="BH21" s="197">
        <f>AD98</f>
        <v>250</v>
      </c>
      <c r="BI21" s="197">
        <f t="shared" ref="BI21:BJ21" si="23">AE98</f>
        <v>200</v>
      </c>
      <c r="BJ21" s="197">
        <f t="shared" si="23"/>
        <v>250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6.7</v>
      </c>
      <c r="C22" s="46">
        <v>6.7</v>
      </c>
      <c r="D22" s="46">
        <v>6.7</v>
      </c>
      <c r="E22" s="46">
        <v>6.7</v>
      </c>
      <c r="F22" s="46">
        <v>6.7</v>
      </c>
      <c r="G22" s="46">
        <v>6.7</v>
      </c>
      <c r="H22" s="46">
        <v>6.7</v>
      </c>
      <c r="I22" s="46">
        <v>6.7</v>
      </c>
      <c r="J22" s="46">
        <v>6.7</v>
      </c>
      <c r="K22" s="46">
        <v>6.7</v>
      </c>
      <c r="L22" s="46">
        <v>6.7</v>
      </c>
      <c r="M22" s="46">
        <v>6.7</v>
      </c>
      <c r="N22" s="46">
        <v>6.7</v>
      </c>
      <c r="O22" s="46">
        <v>6.7</v>
      </c>
      <c r="P22" s="46">
        <v>6.7</v>
      </c>
      <c r="Q22" s="46">
        <v>6.7</v>
      </c>
      <c r="R22" s="46">
        <v>6.7</v>
      </c>
      <c r="S22" s="46">
        <v>6.7</v>
      </c>
      <c r="T22" s="46">
        <v>6.7</v>
      </c>
      <c r="U22" s="46">
        <v>6.7</v>
      </c>
      <c r="V22" s="46">
        <v>6.7</v>
      </c>
      <c r="W22" s="46">
        <v>6.7</v>
      </c>
      <c r="X22" s="46">
        <v>6.7</v>
      </c>
      <c r="Y22" s="46">
        <v>6.7</v>
      </c>
      <c r="Z22" s="46">
        <v>6.7</v>
      </c>
      <c r="AA22" s="46">
        <v>6.7</v>
      </c>
      <c r="AB22" s="46">
        <v>6.7</v>
      </c>
      <c r="AC22" s="46">
        <v>6.7</v>
      </c>
      <c r="AD22" s="46">
        <v>6.7</v>
      </c>
      <c r="AE22" s="46">
        <v>6.7</v>
      </c>
      <c r="AF22" s="46">
        <v>6.7</v>
      </c>
      <c r="AG22" s="60">
        <v>30</v>
      </c>
      <c r="AH22" s="48">
        <f t="shared" si="10"/>
        <v>6.7</v>
      </c>
      <c r="AI22" s="49">
        <f t="shared" si="11"/>
        <v>6.7</v>
      </c>
      <c r="AK22" s="51"/>
      <c r="AL22" s="61" t="s">
        <v>37</v>
      </c>
      <c r="AM22" s="62">
        <f>SUM(AM16:AM21)</f>
        <v>1237.54</v>
      </c>
      <c r="AN22" s="62">
        <f t="shared" ref="AN22:BJ22" si="24">SUM(AN16:AN21)</f>
        <v>1226.8399999999999</v>
      </c>
      <c r="AO22" s="62">
        <f t="shared" si="24"/>
        <v>1224.94</v>
      </c>
      <c r="AP22" s="62">
        <f t="shared" si="24"/>
        <v>1256.24</v>
      </c>
      <c r="AQ22" s="62">
        <f t="shared" si="24"/>
        <v>1257.04</v>
      </c>
      <c r="AR22" s="62">
        <f t="shared" si="24"/>
        <v>1332.04</v>
      </c>
      <c r="AS22" s="62">
        <f t="shared" si="24"/>
        <v>1475.4399999999998</v>
      </c>
      <c r="AT22" s="62">
        <f t="shared" si="24"/>
        <v>1576.6399999999999</v>
      </c>
      <c r="AU22" s="62">
        <f t="shared" si="24"/>
        <v>1669.44</v>
      </c>
      <c r="AV22" s="62">
        <f t="shared" si="24"/>
        <v>1640.64</v>
      </c>
      <c r="AW22" s="62">
        <f t="shared" si="24"/>
        <v>1659.14</v>
      </c>
      <c r="AX22" s="62">
        <f t="shared" si="24"/>
        <v>1652.34</v>
      </c>
      <c r="AY22" s="62">
        <f t="shared" si="24"/>
        <v>1682.84</v>
      </c>
      <c r="AZ22" s="62">
        <f t="shared" si="24"/>
        <v>1621.04</v>
      </c>
      <c r="BA22" s="62">
        <f t="shared" si="24"/>
        <v>1684.64</v>
      </c>
      <c r="BB22" s="62">
        <f t="shared" si="24"/>
        <v>1718.7399999999998</v>
      </c>
      <c r="BC22" s="62">
        <f t="shared" si="24"/>
        <v>1711.2399999999998</v>
      </c>
      <c r="BD22" s="62">
        <f t="shared" si="24"/>
        <v>1645.3</v>
      </c>
      <c r="BE22" s="62">
        <f t="shared" si="24"/>
        <v>1437.9399999999998</v>
      </c>
      <c r="BF22" s="62">
        <f t="shared" si="24"/>
        <v>1901.64</v>
      </c>
      <c r="BG22" s="62">
        <f t="shared" si="24"/>
        <v>1707.24</v>
      </c>
      <c r="BH22" s="62">
        <f t="shared" si="24"/>
        <v>1610.1399999999999</v>
      </c>
      <c r="BI22" s="62">
        <f t="shared" si="24"/>
        <v>1461.1399999999999</v>
      </c>
      <c r="BJ22" s="62">
        <f t="shared" si="24"/>
        <v>1335.6399999999999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4.5</v>
      </c>
      <c r="C23" s="46">
        <v>4.5</v>
      </c>
      <c r="D23" s="46">
        <v>4.5</v>
      </c>
      <c r="E23" s="46">
        <v>4.5</v>
      </c>
      <c r="F23" s="46">
        <v>4.5</v>
      </c>
      <c r="G23" s="46">
        <v>4.5</v>
      </c>
      <c r="H23" s="46">
        <v>4.5</v>
      </c>
      <c r="I23" s="46">
        <v>4.5</v>
      </c>
      <c r="J23" s="46">
        <v>4.5</v>
      </c>
      <c r="K23" s="46">
        <v>4.5</v>
      </c>
      <c r="L23" s="46">
        <v>4.5</v>
      </c>
      <c r="M23" s="46">
        <v>4.5</v>
      </c>
      <c r="N23" s="46">
        <v>4.5</v>
      </c>
      <c r="O23" s="46">
        <v>4.5</v>
      </c>
      <c r="P23" s="46">
        <v>4.5</v>
      </c>
      <c r="Q23" s="46">
        <v>4.5</v>
      </c>
      <c r="R23" s="46">
        <v>4.5</v>
      </c>
      <c r="S23" s="46">
        <v>4.5</v>
      </c>
      <c r="T23" s="46">
        <v>4.5</v>
      </c>
      <c r="U23" s="46">
        <v>4.5</v>
      </c>
      <c r="V23" s="46">
        <v>4.5</v>
      </c>
      <c r="W23" s="46">
        <v>4.5</v>
      </c>
      <c r="X23" s="46">
        <v>4.5</v>
      </c>
      <c r="Y23" s="46">
        <v>4.5</v>
      </c>
      <c r="Z23" s="46">
        <v>4.5</v>
      </c>
      <c r="AA23" s="46">
        <v>4.5</v>
      </c>
      <c r="AB23" s="46">
        <v>4.5</v>
      </c>
      <c r="AC23" s="46">
        <v>4.5</v>
      </c>
      <c r="AD23" s="46">
        <v>4.5</v>
      </c>
      <c r="AE23" s="46">
        <v>4.5</v>
      </c>
      <c r="AF23" s="46">
        <v>4.5</v>
      </c>
      <c r="AG23" s="50">
        <v>24.2</v>
      </c>
      <c r="AH23" s="48">
        <f t="shared" si="10"/>
        <v>4.5</v>
      </c>
      <c r="AI23" s="49">
        <f t="shared" si="11"/>
        <v>4.5</v>
      </c>
      <c r="AK23" s="51"/>
      <c r="AL23" s="61" t="s">
        <v>39</v>
      </c>
      <c r="AM23" s="62">
        <f>B107*-1</f>
        <v>0</v>
      </c>
      <c r="AN23" s="62">
        <f t="shared" ref="AN23:AR23" si="25">C107*-1</f>
        <v>0</v>
      </c>
      <c r="AO23" s="62">
        <f t="shared" si="25"/>
        <v>0</v>
      </c>
      <c r="AP23" s="62">
        <f t="shared" si="25"/>
        <v>0</v>
      </c>
      <c r="AQ23" s="62">
        <f t="shared" si="25"/>
        <v>0</v>
      </c>
      <c r="AR23" s="62">
        <f t="shared" si="25"/>
        <v>0</v>
      </c>
      <c r="AS23" s="62">
        <f>I107*-1</f>
        <v>0</v>
      </c>
      <c r="AT23" s="62">
        <f>K107*-1</f>
        <v>0</v>
      </c>
      <c r="AU23" s="62">
        <f t="shared" ref="AU23:BD23" si="26">M107*-1</f>
        <v>0</v>
      </c>
      <c r="AV23" s="62">
        <f t="shared" si="26"/>
        <v>0</v>
      </c>
      <c r="AW23" s="62">
        <f t="shared" si="26"/>
        <v>0</v>
      </c>
      <c r="AX23" s="62">
        <f t="shared" si="26"/>
        <v>0</v>
      </c>
      <c r="AY23" s="62">
        <f t="shared" si="26"/>
        <v>0</v>
      </c>
      <c r="AZ23" s="62">
        <f t="shared" si="26"/>
        <v>0</v>
      </c>
      <c r="BA23" s="62">
        <f t="shared" si="26"/>
        <v>0</v>
      </c>
      <c r="BB23" s="62">
        <f t="shared" si="26"/>
        <v>0</v>
      </c>
      <c r="BC23" s="62">
        <f t="shared" si="26"/>
        <v>0</v>
      </c>
      <c r="BD23" s="62">
        <f t="shared" si="26"/>
        <v>0</v>
      </c>
      <c r="BE23" s="62">
        <f>X107*-1</f>
        <v>0</v>
      </c>
      <c r="BF23" s="62">
        <f>Z107*-1</f>
        <v>0</v>
      </c>
      <c r="BG23" s="62">
        <f>AB107*-1</f>
        <v>0</v>
      </c>
      <c r="BH23" s="62">
        <f>AD107*-1</f>
        <v>0</v>
      </c>
      <c r="BI23" s="62">
        <f t="shared" ref="BI23:BJ23" si="27">AE107*-1</f>
        <v>0</v>
      </c>
      <c r="BJ23" s="62">
        <f t="shared" si="27"/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5.6</v>
      </c>
      <c r="C24" s="46">
        <v>5.6</v>
      </c>
      <c r="D24" s="46">
        <v>5.6</v>
      </c>
      <c r="E24" s="46">
        <v>5.6</v>
      </c>
      <c r="F24" s="46">
        <v>5.6</v>
      </c>
      <c r="G24" s="46">
        <v>5.6</v>
      </c>
      <c r="H24" s="46">
        <v>5.6</v>
      </c>
      <c r="I24" s="46">
        <v>5.6</v>
      </c>
      <c r="J24" s="46">
        <v>5.6</v>
      </c>
      <c r="K24" s="46">
        <v>5.6</v>
      </c>
      <c r="L24" s="46">
        <v>5.6</v>
      </c>
      <c r="M24" s="46">
        <v>5.6</v>
      </c>
      <c r="N24" s="46">
        <v>5.6</v>
      </c>
      <c r="O24" s="46">
        <v>5.6</v>
      </c>
      <c r="P24" s="46">
        <v>5.6</v>
      </c>
      <c r="Q24" s="46">
        <v>5.6</v>
      </c>
      <c r="R24" s="46">
        <v>5.6</v>
      </c>
      <c r="S24" s="46">
        <v>5.6</v>
      </c>
      <c r="T24" s="46">
        <v>5.6</v>
      </c>
      <c r="U24" s="46">
        <v>5.6</v>
      </c>
      <c r="V24" s="46">
        <v>5.6</v>
      </c>
      <c r="W24" s="46">
        <v>5.6</v>
      </c>
      <c r="X24" s="46">
        <v>5.6</v>
      </c>
      <c r="Y24" s="46">
        <v>5.6</v>
      </c>
      <c r="Z24" s="46">
        <v>5.6</v>
      </c>
      <c r="AA24" s="46">
        <v>5.6</v>
      </c>
      <c r="AB24" s="46">
        <v>5.6</v>
      </c>
      <c r="AC24" s="46">
        <v>5.6</v>
      </c>
      <c r="AD24" s="46">
        <v>5.6</v>
      </c>
      <c r="AE24" s="46">
        <v>5.6</v>
      </c>
      <c r="AF24" s="46">
        <v>5.6</v>
      </c>
      <c r="AG24" s="50">
        <v>28</v>
      </c>
      <c r="AH24" s="48">
        <f t="shared" si="10"/>
        <v>5.6</v>
      </c>
      <c r="AI24" s="49">
        <f t="shared" si="11"/>
        <v>5.6</v>
      </c>
      <c r="AK24" s="51"/>
      <c r="AL24" s="61" t="s">
        <v>41</v>
      </c>
      <c r="AM24" s="62">
        <f>AM22+AM23</f>
        <v>1237.54</v>
      </c>
      <c r="AN24" s="62">
        <f t="shared" ref="AN24:BJ24" si="28">AN22+AN23</f>
        <v>1226.8399999999999</v>
      </c>
      <c r="AO24" s="62">
        <f t="shared" si="28"/>
        <v>1224.94</v>
      </c>
      <c r="AP24" s="62">
        <f t="shared" si="28"/>
        <v>1256.24</v>
      </c>
      <c r="AQ24" s="62">
        <f t="shared" si="28"/>
        <v>1257.04</v>
      </c>
      <c r="AR24" s="62">
        <f t="shared" si="28"/>
        <v>1332.04</v>
      </c>
      <c r="AS24" s="62">
        <f t="shared" si="28"/>
        <v>1475.4399999999998</v>
      </c>
      <c r="AT24" s="62">
        <f t="shared" si="28"/>
        <v>1576.6399999999999</v>
      </c>
      <c r="AU24" s="62">
        <f t="shared" si="28"/>
        <v>1669.44</v>
      </c>
      <c r="AV24" s="62">
        <f t="shared" si="28"/>
        <v>1640.64</v>
      </c>
      <c r="AW24" s="62">
        <f t="shared" si="28"/>
        <v>1659.14</v>
      </c>
      <c r="AX24" s="62">
        <f t="shared" si="28"/>
        <v>1652.34</v>
      </c>
      <c r="AY24" s="62">
        <f t="shared" si="28"/>
        <v>1682.84</v>
      </c>
      <c r="AZ24" s="62">
        <f t="shared" si="28"/>
        <v>1621.04</v>
      </c>
      <c r="BA24" s="62">
        <f t="shared" si="28"/>
        <v>1684.64</v>
      </c>
      <c r="BB24" s="62">
        <f t="shared" si="28"/>
        <v>1718.7399999999998</v>
      </c>
      <c r="BC24" s="62">
        <f t="shared" si="28"/>
        <v>1711.2399999999998</v>
      </c>
      <c r="BD24" s="62">
        <f t="shared" si="28"/>
        <v>1645.3</v>
      </c>
      <c r="BE24" s="62">
        <f t="shared" si="28"/>
        <v>1437.9399999999998</v>
      </c>
      <c r="BF24" s="62">
        <f t="shared" si="28"/>
        <v>1901.64</v>
      </c>
      <c r="BG24" s="62">
        <f t="shared" si="28"/>
        <v>1707.24</v>
      </c>
      <c r="BH24" s="62">
        <f t="shared" si="28"/>
        <v>1610.1399999999999</v>
      </c>
      <c r="BI24" s="62">
        <f t="shared" si="28"/>
        <v>1461.1399999999999</v>
      </c>
      <c r="BJ24" s="62">
        <f t="shared" si="28"/>
        <v>1335.6399999999999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5.3</v>
      </c>
      <c r="C25" s="46">
        <v>5.3</v>
      </c>
      <c r="D25" s="46">
        <v>5.3</v>
      </c>
      <c r="E25" s="46">
        <v>5.3</v>
      </c>
      <c r="F25" s="46">
        <v>5.3</v>
      </c>
      <c r="G25" s="46">
        <v>5.3</v>
      </c>
      <c r="H25" s="46">
        <v>5.3</v>
      </c>
      <c r="I25" s="46">
        <v>5.3</v>
      </c>
      <c r="J25" s="46">
        <v>5.3</v>
      </c>
      <c r="K25" s="46">
        <v>5.3</v>
      </c>
      <c r="L25" s="46">
        <v>5.3</v>
      </c>
      <c r="M25" s="46">
        <v>5.3</v>
      </c>
      <c r="N25" s="46">
        <v>5.3</v>
      </c>
      <c r="O25" s="46">
        <v>5.3</v>
      </c>
      <c r="P25" s="46">
        <v>5.3</v>
      </c>
      <c r="Q25" s="46">
        <v>5.3</v>
      </c>
      <c r="R25" s="46">
        <v>5.3</v>
      </c>
      <c r="S25" s="46">
        <v>5.3</v>
      </c>
      <c r="T25" s="46">
        <v>5.3</v>
      </c>
      <c r="U25" s="46">
        <v>5.3</v>
      </c>
      <c r="V25" s="46">
        <v>5.3</v>
      </c>
      <c r="W25" s="46">
        <v>5.3</v>
      </c>
      <c r="X25" s="46">
        <v>5.3</v>
      </c>
      <c r="Y25" s="46">
        <v>5.3</v>
      </c>
      <c r="Z25" s="46">
        <v>5.3</v>
      </c>
      <c r="AA25" s="46">
        <v>5.3</v>
      </c>
      <c r="AB25" s="46">
        <v>5.3</v>
      </c>
      <c r="AC25" s="46">
        <v>5.3</v>
      </c>
      <c r="AD25" s="46">
        <v>5.3</v>
      </c>
      <c r="AE25" s="46">
        <v>5.3</v>
      </c>
      <c r="AF25" s="46">
        <v>5.3</v>
      </c>
      <c r="AG25" s="60">
        <v>30</v>
      </c>
      <c r="AH25" s="48">
        <f t="shared" si="10"/>
        <v>5.3</v>
      </c>
      <c r="AI25" s="49">
        <f t="shared" si="11"/>
        <v>5.3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8.4</v>
      </c>
      <c r="C26" s="46">
        <v>8.4</v>
      </c>
      <c r="D26" s="46">
        <v>8.4</v>
      </c>
      <c r="E26" s="46">
        <v>8.4</v>
      </c>
      <c r="F26" s="46">
        <v>8.4</v>
      </c>
      <c r="G26" s="46">
        <v>8.4</v>
      </c>
      <c r="H26" s="46">
        <v>8.4</v>
      </c>
      <c r="I26" s="46">
        <v>8.4</v>
      </c>
      <c r="J26" s="46">
        <v>8.4</v>
      </c>
      <c r="K26" s="46">
        <v>8.4</v>
      </c>
      <c r="L26" s="46">
        <v>8.4</v>
      </c>
      <c r="M26" s="46">
        <v>8.4</v>
      </c>
      <c r="N26" s="46">
        <v>8.4</v>
      </c>
      <c r="O26" s="46">
        <v>8.4</v>
      </c>
      <c r="P26" s="46">
        <v>8.4</v>
      </c>
      <c r="Q26" s="46">
        <v>8.4</v>
      </c>
      <c r="R26" s="46">
        <v>8.4</v>
      </c>
      <c r="S26" s="46">
        <v>8.4</v>
      </c>
      <c r="T26" s="46">
        <v>8.4</v>
      </c>
      <c r="U26" s="46">
        <v>8.4</v>
      </c>
      <c r="V26" s="46">
        <v>8.4</v>
      </c>
      <c r="W26" s="46">
        <v>8.4</v>
      </c>
      <c r="X26" s="46">
        <v>8.4</v>
      </c>
      <c r="Y26" s="46">
        <v>8.4</v>
      </c>
      <c r="Z26" s="46">
        <v>8.4</v>
      </c>
      <c r="AA26" s="46">
        <v>8.4</v>
      </c>
      <c r="AB26" s="46">
        <v>8.4</v>
      </c>
      <c r="AC26" s="46">
        <v>8.4</v>
      </c>
      <c r="AD26" s="46">
        <v>8.4</v>
      </c>
      <c r="AE26" s="46">
        <v>8.4</v>
      </c>
      <c r="AF26" s="46">
        <v>8.4</v>
      </c>
      <c r="AG26" s="50">
        <v>25</v>
      </c>
      <c r="AH26" s="48">
        <f t="shared" si="10"/>
        <v>8.4</v>
      </c>
      <c r="AI26" s="49">
        <f t="shared" si="11"/>
        <v>8.4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5</v>
      </c>
      <c r="C27" s="46">
        <v>5</v>
      </c>
      <c r="D27" s="46">
        <v>5</v>
      </c>
      <c r="E27" s="46">
        <v>5</v>
      </c>
      <c r="F27" s="46">
        <v>5</v>
      </c>
      <c r="G27" s="46">
        <v>5</v>
      </c>
      <c r="H27" s="46">
        <v>5</v>
      </c>
      <c r="I27" s="46">
        <v>5</v>
      </c>
      <c r="J27" s="46">
        <v>5</v>
      </c>
      <c r="K27" s="46">
        <v>5</v>
      </c>
      <c r="L27" s="46">
        <v>5</v>
      </c>
      <c r="M27" s="46">
        <v>5</v>
      </c>
      <c r="N27" s="46">
        <v>5</v>
      </c>
      <c r="O27" s="46">
        <v>5</v>
      </c>
      <c r="P27" s="46">
        <v>5</v>
      </c>
      <c r="Q27" s="46">
        <v>5</v>
      </c>
      <c r="R27" s="46">
        <v>5</v>
      </c>
      <c r="S27" s="46">
        <v>5</v>
      </c>
      <c r="T27" s="46">
        <v>5</v>
      </c>
      <c r="U27" s="46">
        <v>5</v>
      </c>
      <c r="V27" s="46">
        <v>5</v>
      </c>
      <c r="W27" s="46">
        <v>5</v>
      </c>
      <c r="X27" s="46">
        <v>5</v>
      </c>
      <c r="Y27" s="46">
        <v>5</v>
      </c>
      <c r="Z27" s="46">
        <v>5</v>
      </c>
      <c r="AA27" s="46">
        <v>5</v>
      </c>
      <c r="AB27" s="46">
        <v>5</v>
      </c>
      <c r="AC27" s="46">
        <v>5</v>
      </c>
      <c r="AD27" s="46">
        <v>5</v>
      </c>
      <c r="AE27" s="46">
        <v>5</v>
      </c>
      <c r="AF27" s="46">
        <v>5</v>
      </c>
      <c r="AG27" s="50">
        <v>25</v>
      </c>
      <c r="AH27" s="48">
        <f t="shared" si="10"/>
        <v>5</v>
      </c>
      <c r="AI27" s="49">
        <f t="shared" si="11"/>
        <v>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6</v>
      </c>
      <c r="C28" s="46">
        <v>6</v>
      </c>
      <c r="D28" s="46">
        <v>6</v>
      </c>
      <c r="E28" s="46">
        <v>6</v>
      </c>
      <c r="F28" s="46">
        <v>6</v>
      </c>
      <c r="G28" s="46">
        <v>6</v>
      </c>
      <c r="H28" s="46">
        <v>6</v>
      </c>
      <c r="I28" s="46">
        <v>6</v>
      </c>
      <c r="J28" s="46">
        <v>6</v>
      </c>
      <c r="K28" s="46">
        <v>6</v>
      </c>
      <c r="L28" s="46">
        <v>6</v>
      </c>
      <c r="M28" s="46">
        <v>6</v>
      </c>
      <c r="N28" s="46">
        <v>6</v>
      </c>
      <c r="O28" s="46">
        <v>6</v>
      </c>
      <c r="P28" s="46">
        <v>6</v>
      </c>
      <c r="Q28" s="46">
        <v>6</v>
      </c>
      <c r="R28" s="46">
        <v>6</v>
      </c>
      <c r="S28" s="46">
        <v>6</v>
      </c>
      <c r="T28" s="46">
        <v>6</v>
      </c>
      <c r="U28" s="46">
        <v>6</v>
      </c>
      <c r="V28" s="46">
        <v>6</v>
      </c>
      <c r="W28" s="46">
        <v>6</v>
      </c>
      <c r="X28" s="46">
        <v>6</v>
      </c>
      <c r="Y28" s="46">
        <v>6</v>
      </c>
      <c r="Z28" s="46">
        <v>6</v>
      </c>
      <c r="AA28" s="46">
        <v>6</v>
      </c>
      <c r="AB28" s="46">
        <v>6</v>
      </c>
      <c r="AC28" s="46">
        <v>6</v>
      </c>
      <c r="AD28" s="46">
        <v>6</v>
      </c>
      <c r="AE28" s="46">
        <v>6</v>
      </c>
      <c r="AF28" s="46">
        <v>6</v>
      </c>
      <c r="AG28" s="50">
        <v>25</v>
      </c>
      <c r="AH28" s="48">
        <f t="shared" si="10"/>
        <v>6</v>
      </c>
      <c r="AI28" s="49">
        <f t="shared" si="11"/>
        <v>6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7.2</v>
      </c>
      <c r="C29" s="46">
        <v>7.2</v>
      </c>
      <c r="D29" s="46">
        <v>7.2</v>
      </c>
      <c r="E29" s="46">
        <v>7.2</v>
      </c>
      <c r="F29" s="46">
        <v>7.2</v>
      </c>
      <c r="G29" s="46">
        <v>7.2</v>
      </c>
      <c r="H29" s="46">
        <v>7.2</v>
      </c>
      <c r="I29" s="46">
        <v>7.2</v>
      </c>
      <c r="J29" s="46">
        <v>7.2</v>
      </c>
      <c r="K29" s="46">
        <v>7.2</v>
      </c>
      <c r="L29" s="46">
        <v>7.2</v>
      </c>
      <c r="M29" s="46">
        <v>7.2</v>
      </c>
      <c r="N29" s="46">
        <v>7.2</v>
      </c>
      <c r="O29" s="46">
        <v>7.2</v>
      </c>
      <c r="P29" s="46">
        <v>7.2</v>
      </c>
      <c r="Q29" s="46">
        <v>7.2</v>
      </c>
      <c r="R29" s="46">
        <v>7.2</v>
      </c>
      <c r="S29" s="46">
        <v>7.2</v>
      </c>
      <c r="T29" s="46">
        <v>7.2</v>
      </c>
      <c r="U29" s="46">
        <v>7.2</v>
      </c>
      <c r="V29" s="46">
        <v>7.2</v>
      </c>
      <c r="W29" s="46">
        <v>7.2</v>
      </c>
      <c r="X29" s="46">
        <v>7.2</v>
      </c>
      <c r="Y29" s="46">
        <v>7.2</v>
      </c>
      <c r="Z29" s="46">
        <v>7.2</v>
      </c>
      <c r="AA29" s="46">
        <v>7.2</v>
      </c>
      <c r="AB29" s="46">
        <v>7.2</v>
      </c>
      <c r="AC29" s="46">
        <v>7.2</v>
      </c>
      <c r="AD29" s="46">
        <v>7.2</v>
      </c>
      <c r="AE29" s="46">
        <v>7.2</v>
      </c>
      <c r="AF29" s="46">
        <v>7.2</v>
      </c>
      <c r="AG29" s="50">
        <v>25</v>
      </c>
      <c r="AH29" s="48">
        <f t="shared" si="10"/>
        <v>7.2</v>
      </c>
      <c r="AI29" s="49">
        <f t="shared" si="11"/>
        <v>7.2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6.5</v>
      </c>
      <c r="C30" s="46">
        <v>6.5</v>
      </c>
      <c r="D30" s="46">
        <v>6.5</v>
      </c>
      <c r="E30" s="46">
        <v>6.5</v>
      </c>
      <c r="F30" s="46">
        <v>6.5</v>
      </c>
      <c r="G30" s="46">
        <v>6.5</v>
      </c>
      <c r="H30" s="46">
        <v>6.5</v>
      </c>
      <c r="I30" s="46">
        <v>6.5</v>
      </c>
      <c r="J30" s="46">
        <v>6.5</v>
      </c>
      <c r="K30" s="46">
        <v>6.5</v>
      </c>
      <c r="L30" s="46">
        <v>6.5</v>
      </c>
      <c r="M30" s="46">
        <v>6.5</v>
      </c>
      <c r="N30" s="46">
        <v>6.5</v>
      </c>
      <c r="O30" s="46">
        <v>6.5</v>
      </c>
      <c r="P30" s="46">
        <v>6.5</v>
      </c>
      <c r="Q30" s="46">
        <v>6.5</v>
      </c>
      <c r="R30" s="46">
        <v>6.5</v>
      </c>
      <c r="S30" s="46">
        <v>6.5</v>
      </c>
      <c r="T30" s="46">
        <v>6.5</v>
      </c>
      <c r="U30" s="46">
        <v>6.5</v>
      </c>
      <c r="V30" s="46">
        <v>6.5</v>
      </c>
      <c r="W30" s="46">
        <v>6.5</v>
      </c>
      <c r="X30" s="46">
        <v>6.5</v>
      </c>
      <c r="Y30" s="46">
        <v>6.5</v>
      </c>
      <c r="Z30" s="46">
        <v>6.5</v>
      </c>
      <c r="AA30" s="46">
        <v>6.5</v>
      </c>
      <c r="AB30" s="46">
        <v>6.5</v>
      </c>
      <c r="AC30" s="46">
        <v>6.5</v>
      </c>
      <c r="AD30" s="46">
        <v>6.5</v>
      </c>
      <c r="AE30" s="46">
        <v>6.5</v>
      </c>
      <c r="AF30" s="46">
        <v>6.5</v>
      </c>
      <c r="AG30" s="50">
        <v>23.5</v>
      </c>
      <c r="AH30" s="48">
        <f t="shared" si="10"/>
        <v>6.5</v>
      </c>
      <c r="AI30" s="49">
        <f t="shared" si="11"/>
        <v>6.5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3</v>
      </c>
      <c r="C31" s="46">
        <v>3</v>
      </c>
      <c r="D31" s="46">
        <v>3</v>
      </c>
      <c r="E31" s="46">
        <v>3</v>
      </c>
      <c r="F31" s="46">
        <v>3</v>
      </c>
      <c r="G31" s="46">
        <v>3</v>
      </c>
      <c r="H31" s="46">
        <v>3</v>
      </c>
      <c r="I31" s="46">
        <v>3</v>
      </c>
      <c r="J31" s="46">
        <v>3</v>
      </c>
      <c r="K31" s="46">
        <v>3</v>
      </c>
      <c r="L31" s="46">
        <v>3</v>
      </c>
      <c r="M31" s="46">
        <v>3</v>
      </c>
      <c r="N31" s="46">
        <v>3</v>
      </c>
      <c r="O31" s="46">
        <v>3</v>
      </c>
      <c r="P31" s="46">
        <v>3</v>
      </c>
      <c r="Q31" s="46">
        <v>3</v>
      </c>
      <c r="R31" s="46">
        <v>3</v>
      </c>
      <c r="S31" s="46">
        <v>3</v>
      </c>
      <c r="T31" s="46">
        <v>3</v>
      </c>
      <c r="U31" s="46">
        <v>3</v>
      </c>
      <c r="V31" s="46">
        <v>3</v>
      </c>
      <c r="W31" s="46">
        <v>3</v>
      </c>
      <c r="X31" s="46">
        <v>3</v>
      </c>
      <c r="Y31" s="46">
        <v>3</v>
      </c>
      <c r="Z31" s="46">
        <v>3</v>
      </c>
      <c r="AA31" s="46">
        <v>3</v>
      </c>
      <c r="AB31" s="46">
        <v>3</v>
      </c>
      <c r="AC31" s="46">
        <v>3</v>
      </c>
      <c r="AD31" s="46">
        <v>3</v>
      </c>
      <c r="AE31" s="46">
        <v>3</v>
      </c>
      <c r="AF31" s="46">
        <v>3</v>
      </c>
      <c r="AG31" s="50">
        <v>22.2</v>
      </c>
      <c r="AH31" s="48">
        <f t="shared" si="10"/>
        <v>3</v>
      </c>
      <c r="AI31" s="49">
        <f t="shared" si="11"/>
        <v>3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5.5</v>
      </c>
      <c r="C32" s="46">
        <v>5.5</v>
      </c>
      <c r="D32" s="46">
        <v>5.5</v>
      </c>
      <c r="E32" s="46">
        <v>5.5</v>
      </c>
      <c r="F32" s="46">
        <v>5.5</v>
      </c>
      <c r="G32" s="46">
        <v>5.5</v>
      </c>
      <c r="H32" s="46">
        <v>5.5</v>
      </c>
      <c r="I32" s="46">
        <v>5.5</v>
      </c>
      <c r="J32" s="46">
        <v>5.5</v>
      </c>
      <c r="K32" s="46">
        <v>5.5</v>
      </c>
      <c r="L32" s="46">
        <v>5.5</v>
      </c>
      <c r="M32" s="46">
        <v>5.5</v>
      </c>
      <c r="N32" s="46">
        <v>5.5</v>
      </c>
      <c r="O32" s="46">
        <v>5.5</v>
      </c>
      <c r="P32" s="46">
        <v>5.5</v>
      </c>
      <c r="Q32" s="46">
        <v>5.5</v>
      </c>
      <c r="R32" s="46">
        <v>5.5</v>
      </c>
      <c r="S32" s="46">
        <v>5.5</v>
      </c>
      <c r="T32" s="46">
        <v>5.5</v>
      </c>
      <c r="U32" s="46">
        <v>5.5</v>
      </c>
      <c r="V32" s="46">
        <v>5.5</v>
      </c>
      <c r="W32" s="46">
        <v>5.5</v>
      </c>
      <c r="X32" s="46">
        <v>5.5</v>
      </c>
      <c r="Y32" s="46">
        <v>5.5</v>
      </c>
      <c r="Z32" s="46">
        <v>5.5</v>
      </c>
      <c r="AA32" s="46">
        <v>5.5</v>
      </c>
      <c r="AB32" s="46">
        <v>5.5</v>
      </c>
      <c r="AC32" s="46">
        <v>5.5</v>
      </c>
      <c r="AD32" s="46">
        <v>5.5</v>
      </c>
      <c r="AE32" s="46">
        <v>5.5</v>
      </c>
      <c r="AF32" s="46">
        <v>5.5</v>
      </c>
      <c r="AG32" s="50">
        <v>22.1</v>
      </c>
      <c r="AH32" s="48">
        <f t="shared" si="10"/>
        <v>5.5</v>
      </c>
      <c r="AI32" s="49">
        <f t="shared" si="11"/>
        <v>5.5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5</v>
      </c>
      <c r="C33" s="46">
        <v>5</v>
      </c>
      <c r="D33" s="46">
        <v>5</v>
      </c>
      <c r="E33" s="46">
        <v>5</v>
      </c>
      <c r="F33" s="46">
        <v>5</v>
      </c>
      <c r="G33" s="46">
        <v>5</v>
      </c>
      <c r="H33" s="46">
        <v>5</v>
      </c>
      <c r="I33" s="46">
        <v>5</v>
      </c>
      <c r="J33" s="46">
        <v>5</v>
      </c>
      <c r="K33" s="46">
        <v>5</v>
      </c>
      <c r="L33" s="46">
        <v>5</v>
      </c>
      <c r="M33" s="46">
        <v>5</v>
      </c>
      <c r="N33" s="46">
        <v>5</v>
      </c>
      <c r="O33" s="46">
        <v>5</v>
      </c>
      <c r="P33" s="46">
        <v>5</v>
      </c>
      <c r="Q33" s="46">
        <v>5</v>
      </c>
      <c r="R33" s="46">
        <v>5</v>
      </c>
      <c r="S33" s="46">
        <v>5</v>
      </c>
      <c r="T33" s="46">
        <v>5</v>
      </c>
      <c r="U33" s="46">
        <v>5</v>
      </c>
      <c r="V33" s="46">
        <v>5</v>
      </c>
      <c r="W33" s="46">
        <v>5</v>
      </c>
      <c r="X33" s="46">
        <v>5</v>
      </c>
      <c r="Y33" s="46">
        <v>5</v>
      </c>
      <c r="Z33" s="46">
        <v>5</v>
      </c>
      <c r="AA33" s="46">
        <v>5</v>
      </c>
      <c r="AB33" s="46">
        <v>5</v>
      </c>
      <c r="AC33" s="46">
        <v>5</v>
      </c>
      <c r="AD33" s="46">
        <v>5</v>
      </c>
      <c r="AE33" s="46">
        <v>5</v>
      </c>
      <c r="AF33" s="46">
        <v>5</v>
      </c>
      <c r="AG33" s="50">
        <v>22</v>
      </c>
      <c r="AH33" s="48">
        <f t="shared" si="10"/>
        <v>5</v>
      </c>
      <c r="AI33" s="49">
        <f t="shared" si="11"/>
        <v>5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4.2</v>
      </c>
      <c r="C34" s="46">
        <v>4.2</v>
      </c>
      <c r="D34" s="46">
        <v>4.2</v>
      </c>
      <c r="E34" s="46">
        <v>4.2</v>
      </c>
      <c r="F34" s="46">
        <v>4.2</v>
      </c>
      <c r="G34" s="46">
        <v>4.2</v>
      </c>
      <c r="H34" s="46">
        <v>4.2</v>
      </c>
      <c r="I34" s="46">
        <v>4.2</v>
      </c>
      <c r="J34" s="46">
        <v>4.2</v>
      </c>
      <c r="K34" s="46">
        <v>4.2</v>
      </c>
      <c r="L34" s="46">
        <v>4.2</v>
      </c>
      <c r="M34" s="46">
        <v>4.2</v>
      </c>
      <c r="N34" s="46">
        <v>4.2</v>
      </c>
      <c r="O34" s="46">
        <v>4.2</v>
      </c>
      <c r="P34" s="46">
        <v>4.2</v>
      </c>
      <c r="Q34" s="46">
        <v>4.2</v>
      </c>
      <c r="R34" s="46">
        <v>4.2</v>
      </c>
      <c r="S34" s="46">
        <v>4.2</v>
      </c>
      <c r="T34" s="46">
        <v>4.2</v>
      </c>
      <c r="U34" s="46">
        <v>4.2</v>
      </c>
      <c r="V34" s="46">
        <v>4.2</v>
      </c>
      <c r="W34" s="46">
        <v>4.2</v>
      </c>
      <c r="X34" s="46">
        <v>4.2</v>
      </c>
      <c r="Y34" s="46">
        <v>4.2</v>
      </c>
      <c r="Z34" s="46">
        <v>4.2</v>
      </c>
      <c r="AA34" s="46">
        <v>4.2</v>
      </c>
      <c r="AB34" s="46">
        <v>4.2</v>
      </c>
      <c r="AC34" s="46">
        <v>4.2</v>
      </c>
      <c r="AD34" s="46">
        <v>4.2</v>
      </c>
      <c r="AE34" s="46">
        <v>4.2</v>
      </c>
      <c r="AF34" s="46">
        <v>4.2</v>
      </c>
      <c r="AG34" s="50">
        <v>22</v>
      </c>
      <c r="AH34" s="48">
        <f t="shared" si="10"/>
        <v>4.2</v>
      </c>
      <c r="AI34" s="49">
        <f t="shared" si="11"/>
        <v>4.2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4</v>
      </c>
      <c r="C35" s="46">
        <v>4</v>
      </c>
      <c r="D35" s="46">
        <v>4</v>
      </c>
      <c r="E35" s="46">
        <v>4</v>
      </c>
      <c r="F35" s="46">
        <v>4</v>
      </c>
      <c r="G35" s="46">
        <v>4</v>
      </c>
      <c r="H35" s="46">
        <v>4</v>
      </c>
      <c r="I35" s="46">
        <v>4</v>
      </c>
      <c r="J35" s="46">
        <v>4</v>
      </c>
      <c r="K35" s="46">
        <v>4</v>
      </c>
      <c r="L35" s="46">
        <v>4</v>
      </c>
      <c r="M35" s="46">
        <v>4</v>
      </c>
      <c r="N35" s="46">
        <v>4</v>
      </c>
      <c r="O35" s="46">
        <v>4</v>
      </c>
      <c r="P35" s="46">
        <v>4</v>
      </c>
      <c r="Q35" s="46">
        <v>4</v>
      </c>
      <c r="R35" s="46">
        <v>4</v>
      </c>
      <c r="S35" s="46">
        <v>4</v>
      </c>
      <c r="T35" s="46">
        <v>4</v>
      </c>
      <c r="U35" s="46">
        <v>4</v>
      </c>
      <c r="V35" s="46">
        <v>4</v>
      </c>
      <c r="W35" s="46">
        <v>4</v>
      </c>
      <c r="X35" s="46">
        <v>4</v>
      </c>
      <c r="Y35" s="46">
        <v>4</v>
      </c>
      <c r="Z35" s="46">
        <v>4</v>
      </c>
      <c r="AA35" s="46">
        <v>4</v>
      </c>
      <c r="AB35" s="46">
        <v>4</v>
      </c>
      <c r="AC35" s="46">
        <v>4</v>
      </c>
      <c r="AD35" s="46">
        <v>4</v>
      </c>
      <c r="AE35" s="46">
        <v>4</v>
      </c>
      <c r="AF35" s="46">
        <v>4</v>
      </c>
      <c r="AG35" s="50">
        <v>20</v>
      </c>
      <c r="AH35" s="48">
        <f t="shared" si="10"/>
        <v>4</v>
      </c>
      <c r="AI35" s="49">
        <f t="shared" si="11"/>
        <v>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4</v>
      </c>
      <c r="C36" s="46">
        <v>4</v>
      </c>
      <c r="D36" s="46">
        <v>4</v>
      </c>
      <c r="E36" s="46">
        <v>4</v>
      </c>
      <c r="F36" s="46">
        <v>4</v>
      </c>
      <c r="G36" s="46">
        <v>4</v>
      </c>
      <c r="H36" s="46">
        <v>4</v>
      </c>
      <c r="I36" s="46">
        <v>4</v>
      </c>
      <c r="J36" s="46">
        <v>4</v>
      </c>
      <c r="K36" s="46">
        <v>4</v>
      </c>
      <c r="L36" s="46">
        <v>4</v>
      </c>
      <c r="M36" s="46">
        <v>4</v>
      </c>
      <c r="N36" s="46">
        <v>4</v>
      </c>
      <c r="O36" s="46">
        <v>4</v>
      </c>
      <c r="P36" s="46">
        <v>4</v>
      </c>
      <c r="Q36" s="46">
        <v>4</v>
      </c>
      <c r="R36" s="46">
        <v>4</v>
      </c>
      <c r="S36" s="46">
        <v>4</v>
      </c>
      <c r="T36" s="46">
        <v>4</v>
      </c>
      <c r="U36" s="46">
        <v>4</v>
      </c>
      <c r="V36" s="46">
        <v>4</v>
      </c>
      <c r="W36" s="46">
        <v>4</v>
      </c>
      <c r="X36" s="46">
        <v>4</v>
      </c>
      <c r="Y36" s="46">
        <v>4</v>
      </c>
      <c r="Z36" s="46">
        <v>4</v>
      </c>
      <c r="AA36" s="46">
        <v>4</v>
      </c>
      <c r="AB36" s="46">
        <v>4</v>
      </c>
      <c r="AC36" s="46">
        <v>4</v>
      </c>
      <c r="AD36" s="46">
        <v>4</v>
      </c>
      <c r="AE36" s="46">
        <v>4</v>
      </c>
      <c r="AF36" s="46">
        <v>4</v>
      </c>
      <c r="AG36" s="50">
        <v>20</v>
      </c>
      <c r="AH36" s="48">
        <f t="shared" si="10"/>
        <v>4</v>
      </c>
      <c r="AI36" s="49">
        <f t="shared" si="11"/>
        <v>4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5.7</v>
      </c>
      <c r="C37" s="46">
        <v>5.7</v>
      </c>
      <c r="D37" s="46">
        <v>5.7</v>
      </c>
      <c r="E37" s="46">
        <v>5.7</v>
      </c>
      <c r="F37" s="46">
        <v>5.7</v>
      </c>
      <c r="G37" s="46">
        <v>5.7</v>
      </c>
      <c r="H37" s="46">
        <v>5.7</v>
      </c>
      <c r="I37" s="46">
        <v>5.7</v>
      </c>
      <c r="J37" s="46">
        <v>5.7</v>
      </c>
      <c r="K37" s="46">
        <v>5.7</v>
      </c>
      <c r="L37" s="46">
        <v>5.7</v>
      </c>
      <c r="M37" s="46">
        <v>5.7</v>
      </c>
      <c r="N37" s="46">
        <v>5.7</v>
      </c>
      <c r="O37" s="46">
        <v>5.7</v>
      </c>
      <c r="P37" s="46">
        <v>5.7</v>
      </c>
      <c r="Q37" s="46">
        <v>5.7</v>
      </c>
      <c r="R37" s="46">
        <v>5.7</v>
      </c>
      <c r="S37" s="46">
        <v>5.7</v>
      </c>
      <c r="T37" s="46">
        <v>5.7</v>
      </c>
      <c r="U37" s="46">
        <v>5.7</v>
      </c>
      <c r="V37" s="46">
        <v>5.7</v>
      </c>
      <c r="W37" s="46">
        <v>5.7</v>
      </c>
      <c r="X37" s="46">
        <v>5.7</v>
      </c>
      <c r="Y37" s="46">
        <v>5.7</v>
      </c>
      <c r="Z37" s="46">
        <v>5.7</v>
      </c>
      <c r="AA37" s="46">
        <v>5.7</v>
      </c>
      <c r="AB37" s="46">
        <v>5.7</v>
      </c>
      <c r="AC37" s="46">
        <v>5.7</v>
      </c>
      <c r="AD37" s="46">
        <v>5.7</v>
      </c>
      <c r="AE37" s="46">
        <v>5.7</v>
      </c>
      <c r="AF37" s="46">
        <v>5.7</v>
      </c>
      <c r="AG37" s="50">
        <v>18</v>
      </c>
      <c r="AH37" s="48">
        <f t="shared" si="10"/>
        <v>5.7</v>
      </c>
      <c r="AI37" s="49">
        <f t="shared" si="11"/>
        <v>5.7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7.2</v>
      </c>
      <c r="C38" s="46">
        <v>7.2</v>
      </c>
      <c r="D38" s="46">
        <v>7.2</v>
      </c>
      <c r="E38" s="46">
        <v>7.2</v>
      </c>
      <c r="F38" s="46">
        <v>7.2</v>
      </c>
      <c r="G38" s="46">
        <v>7.2</v>
      </c>
      <c r="H38" s="46">
        <v>7.2</v>
      </c>
      <c r="I38" s="46">
        <v>7.2</v>
      </c>
      <c r="J38" s="46">
        <v>7.2</v>
      </c>
      <c r="K38" s="46">
        <v>7.2</v>
      </c>
      <c r="L38" s="46">
        <v>7.2</v>
      </c>
      <c r="M38" s="46">
        <v>7.2</v>
      </c>
      <c r="N38" s="46">
        <v>7.2</v>
      </c>
      <c r="O38" s="46">
        <v>7.2</v>
      </c>
      <c r="P38" s="46">
        <v>7.2</v>
      </c>
      <c r="Q38" s="46">
        <v>7.2</v>
      </c>
      <c r="R38" s="46">
        <v>7.2</v>
      </c>
      <c r="S38" s="46">
        <v>7.2</v>
      </c>
      <c r="T38" s="46">
        <v>7.2</v>
      </c>
      <c r="U38" s="46">
        <v>7.2</v>
      </c>
      <c r="V38" s="46">
        <v>7.2</v>
      </c>
      <c r="W38" s="46">
        <v>7.2</v>
      </c>
      <c r="X38" s="46">
        <v>7.2</v>
      </c>
      <c r="Y38" s="46">
        <v>7.2</v>
      </c>
      <c r="Z38" s="46">
        <v>7.2</v>
      </c>
      <c r="AA38" s="46">
        <v>7.2</v>
      </c>
      <c r="AB38" s="46">
        <v>7.2</v>
      </c>
      <c r="AC38" s="46">
        <v>7.2</v>
      </c>
      <c r="AD38" s="46">
        <v>7.2</v>
      </c>
      <c r="AE38" s="46">
        <v>7.2</v>
      </c>
      <c r="AF38" s="46">
        <v>7.2</v>
      </c>
      <c r="AG38" s="50">
        <v>14.9</v>
      </c>
      <c r="AH38" s="48">
        <f t="shared" si="10"/>
        <v>7.2</v>
      </c>
      <c r="AI38" s="49">
        <f t="shared" si="11"/>
        <v>7.2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10"/>
        <v>0</v>
      </c>
      <c r="AI39" s="49">
        <f t="shared" si="11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8</v>
      </c>
      <c r="C40" s="46">
        <v>8</v>
      </c>
      <c r="D40" s="46">
        <v>8</v>
      </c>
      <c r="E40" s="46">
        <v>8</v>
      </c>
      <c r="F40" s="46">
        <v>8</v>
      </c>
      <c r="G40" s="46">
        <v>8</v>
      </c>
      <c r="H40" s="46">
        <v>8</v>
      </c>
      <c r="I40" s="46">
        <v>8</v>
      </c>
      <c r="J40" s="46">
        <v>8</v>
      </c>
      <c r="K40" s="46">
        <v>8</v>
      </c>
      <c r="L40" s="46">
        <v>8</v>
      </c>
      <c r="M40" s="46">
        <v>8</v>
      </c>
      <c r="N40" s="46">
        <v>8</v>
      </c>
      <c r="O40" s="46">
        <v>8</v>
      </c>
      <c r="P40" s="46">
        <v>8</v>
      </c>
      <c r="Q40" s="46">
        <v>8</v>
      </c>
      <c r="R40" s="46">
        <v>8</v>
      </c>
      <c r="S40" s="46">
        <v>8</v>
      </c>
      <c r="T40" s="46">
        <v>8</v>
      </c>
      <c r="U40" s="46">
        <v>8</v>
      </c>
      <c r="V40" s="46">
        <v>8</v>
      </c>
      <c r="W40" s="46">
        <v>8</v>
      </c>
      <c r="X40" s="46">
        <v>8</v>
      </c>
      <c r="Y40" s="46">
        <v>8</v>
      </c>
      <c r="Z40" s="46">
        <v>8</v>
      </c>
      <c r="AA40" s="46">
        <v>8</v>
      </c>
      <c r="AB40" s="46">
        <v>8</v>
      </c>
      <c r="AC40" s="46">
        <v>8</v>
      </c>
      <c r="AD40" s="46">
        <v>8</v>
      </c>
      <c r="AE40" s="46">
        <v>8</v>
      </c>
      <c r="AF40" s="46">
        <v>8</v>
      </c>
      <c r="AG40" s="50">
        <v>14.9</v>
      </c>
      <c r="AH40" s="48">
        <f t="shared" si="10"/>
        <v>8</v>
      </c>
      <c r="AI40" s="49">
        <f t="shared" si="11"/>
        <v>8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10"/>
        <v>4</v>
      </c>
      <c r="AI41" s="49">
        <f t="shared" si="11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1.8</v>
      </c>
      <c r="C42" s="46">
        <v>1.8</v>
      </c>
      <c r="D42" s="46">
        <v>1.8</v>
      </c>
      <c r="E42" s="46">
        <v>1.8</v>
      </c>
      <c r="F42" s="46">
        <v>1.8</v>
      </c>
      <c r="G42" s="46">
        <v>1.8</v>
      </c>
      <c r="H42" s="46">
        <v>1.8</v>
      </c>
      <c r="I42" s="46">
        <v>1.8</v>
      </c>
      <c r="J42" s="46">
        <v>1.8</v>
      </c>
      <c r="K42" s="46">
        <v>1.8</v>
      </c>
      <c r="L42" s="46">
        <v>1.8</v>
      </c>
      <c r="M42" s="46">
        <v>1.8</v>
      </c>
      <c r="N42" s="46">
        <v>1.8</v>
      </c>
      <c r="O42" s="46">
        <v>1.8</v>
      </c>
      <c r="P42" s="46">
        <v>1.8</v>
      </c>
      <c r="Q42" s="46">
        <v>1.8</v>
      </c>
      <c r="R42" s="46">
        <v>1.8</v>
      </c>
      <c r="S42" s="46">
        <v>1.8</v>
      </c>
      <c r="T42" s="46">
        <v>1.8</v>
      </c>
      <c r="U42" s="46">
        <v>1.8</v>
      </c>
      <c r="V42" s="46">
        <v>1.8</v>
      </c>
      <c r="W42" s="46">
        <v>1.8</v>
      </c>
      <c r="X42" s="46">
        <v>1.8</v>
      </c>
      <c r="Y42" s="46">
        <v>1.8</v>
      </c>
      <c r="Z42" s="46">
        <v>1.8</v>
      </c>
      <c r="AA42" s="46">
        <v>1.8</v>
      </c>
      <c r="AB42" s="46">
        <v>1.8</v>
      </c>
      <c r="AC42" s="46">
        <v>1.8</v>
      </c>
      <c r="AD42" s="46">
        <v>1.8</v>
      </c>
      <c r="AE42" s="46">
        <v>1.8</v>
      </c>
      <c r="AF42" s="46">
        <v>1.8</v>
      </c>
      <c r="AG42" s="50">
        <v>13.6</v>
      </c>
      <c r="AH42" s="48">
        <f t="shared" si="10"/>
        <v>1.8</v>
      </c>
      <c r="AI42" s="49">
        <f t="shared" si="11"/>
        <v>1.8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3.8</v>
      </c>
      <c r="C43" s="46">
        <v>3.8</v>
      </c>
      <c r="D43" s="46">
        <v>3.8</v>
      </c>
      <c r="E43" s="46">
        <v>3.8</v>
      </c>
      <c r="F43" s="46">
        <v>3.8</v>
      </c>
      <c r="G43" s="46">
        <v>3.8</v>
      </c>
      <c r="H43" s="46">
        <v>3.8</v>
      </c>
      <c r="I43" s="46">
        <v>3.8</v>
      </c>
      <c r="J43" s="46">
        <v>3.8</v>
      </c>
      <c r="K43" s="46">
        <v>3.8</v>
      </c>
      <c r="L43" s="46">
        <v>3.8</v>
      </c>
      <c r="M43" s="46">
        <v>3.8</v>
      </c>
      <c r="N43" s="46">
        <v>3.8</v>
      </c>
      <c r="O43" s="46">
        <v>3.8</v>
      </c>
      <c r="P43" s="46">
        <v>3.8</v>
      </c>
      <c r="Q43" s="46">
        <v>3.8</v>
      </c>
      <c r="R43" s="46">
        <v>3.8</v>
      </c>
      <c r="S43" s="46">
        <v>3.8</v>
      </c>
      <c r="T43" s="46">
        <v>3.8</v>
      </c>
      <c r="U43" s="46">
        <v>3.8</v>
      </c>
      <c r="V43" s="46">
        <v>3.8</v>
      </c>
      <c r="W43" s="46">
        <v>3.8</v>
      </c>
      <c r="X43" s="46">
        <v>3.8</v>
      </c>
      <c r="Y43" s="46">
        <v>3.8</v>
      </c>
      <c r="Z43" s="46">
        <v>3.8</v>
      </c>
      <c r="AA43" s="46">
        <v>3.8</v>
      </c>
      <c r="AB43" s="46">
        <v>3.8</v>
      </c>
      <c r="AC43" s="46">
        <v>3.8</v>
      </c>
      <c r="AD43" s="46">
        <v>3.8</v>
      </c>
      <c r="AE43" s="46">
        <v>3.8</v>
      </c>
      <c r="AF43" s="46">
        <v>3.8</v>
      </c>
      <c r="AG43" s="50">
        <v>13</v>
      </c>
      <c r="AH43" s="48">
        <f t="shared" si="10"/>
        <v>3.8</v>
      </c>
      <c r="AI43" s="49">
        <f t="shared" si="11"/>
        <v>3.8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6.4</v>
      </c>
      <c r="C44" s="46">
        <v>6.4</v>
      </c>
      <c r="D44" s="46">
        <v>6.4</v>
      </c>
      <c r="E44" s="46">
        <v>6.4</v>
      </c>
      <c r="F44" s="46">
        <v>6.4</v>
      </c>
      <c r="G44" s="46">
        <v>6.4</v>
      </c>
      <c r="H44" s="46">
        <v>6.4</v>
      </c>
      <c r="I44" s="46">
        <v>6.4</v>
      </c>
      <c r="J44" s="46">
        <v>6.4</v>
      </c>
      <c r="K44" s="46">
        <v>6.4</v>
      </c>
      <c r="L44" s="46">
        <v>6.4</v>
      </c>
      <c r="M44" s="46">
        <v>6.4</v>
      </c>
      <c r="N44" s="46">
        <v>6.4</v>
      </c>
      <c r="O44" s="46">
        <v>6.4</v>
      </c>
      <c r="P44" s="46">
        <v>6.4</v>
      </c>
      <c r="Q44" s="46">
        <v>6.4</v>
      </c>
      <c r="R44" s="46">
        <v>6.4</v>
      </c>
      <c r="S44" s="46">
        <v>6.4</v>
      </c>
      <c r="T44" s="46">
        <v>6.4</v>
      </c>
      <c r="U44" s="46">
        <v>6.4</v>
      </c>
      <c r="V44" s="46">
        <v>6.4</v>
      </c>
      <c r="W44" s="46">
        <v>6.4</v>
      </c>
      <c r="X44" s="46">
        <v>6.4</v>
      </c>
      <c r="Y44" s="46">
        <v>6.4</v>
      </c>
      <c r="Z44" s="46">
        <v>6.4</v>
      </c>
      <c r="AA44" s="46">
        <v>6.4</v>
      </c>
      <c r="AB44" s="46">
        <v>6.4</v>
      </c>
      <c r="AC44" s="46">
        <v>6.4</v>
      </c>
      <c r="AD44" s="46">
        <v>6.4</v>
      </c>
      <c r="AE44" s="46">
        <v>6.4</v>
      </c>
      <c r="AF44" s="46">
        <v>6.4</v>
      </c>
      <c r="AG44" s="50">
        <v>12</v>
      </c>
      <c r="AH44" s="48">
        <f t="shared" si="10"/>
        <v>6.4</v>
      </c>
      <c r="AI44" s="49">
        <f t="shared" si="11"/>
        <v>6.4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9</v>
      </c>
      <c r="C45" s="46">
        <v>9</v>
      </c>
      <c r="D45" s="46">
        <v>9</v>
      </c>
      <c r="E45" s="46">
        <v>9</v>
      </c>
      <c r="F45" s="46">
        <v>9</v>
      </c>
      <c r="G45" s="46">
        <v>9</v>
      </c>
      <c r="H45" s="46">
        <v>9</v>
      </c>
      <c r="I45" s="46">
        <v>9</v>
      </c>
      <c r="J45" s="46">
        <v>9</v>
      </c>
      <c r="K45" s="46">
        <v>9</v>
      </c>
      <c r="L45" s="46">
        <v>9</v>
      </c>
      <c r="M45" s="46">
        <v>9</v>
      </c>
      <c r="N45" s="46">
        <v>9</v>
      </c>
      <c r="O45" s="46">
        <v>9</v>
      </c>
      <c r="P45" s="46">
        <v>9</v>
      </c>
      <c r="Q45" s="46">
        <v>9</v>
      </c>
      <c r="R45" s="46">
        <v>9</v>
      </c>
      <c r="S45" s="46">
        <v>9</v>
      </c>
      <c r="T45" s="46">
        <v>9</v>
      </c>
      <c r="U45" s="46">
        <v>9</v>
      </c>
      <c r="V45" s="46">
        <v>9</v>
      </c>
      <c r="W45" s="46">
        <v>9</v>
      </c>
      <c r="X45" s="46">
        <v>9</v>
      </c>
      <c r="Y45" s="46">
        <v>9</v>
      </c>
      <c r="Z45" s="46">
        <v>9</v>
      </c>
      <c r="AA45" s="46">
        <v>9</v>
      </c>
      <c r="AB45" s="46">
        <v>9</v>
      </c>
      <c r="AC45" s="46">
        <v>9</v>
      </c>
      <c r="AD45" s="46">
        <v>9</v>
      </c>
      <c r="AE45" s="46">
        <v>9</v>
      </c>
      <c r="AF45" s="46">
        <v>9</v>
      </c>
      <c r="AG45" s="50">
        <v>12</v>
      </c>
      <c r="AH45" s="48">
        <f t="shared" si="10"/>
        <v>9</v>
      </c>
      <c r="AI45" s="49">
        <f t="shared" si="11"/>
        <v>9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10"/>
        <v>3</v>
      </c>
      <c r="AI46" s="49">
        <f t="shared" si="11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3.5</v>
      </c>
      <c r="C47" s="46">
        <v>3.5</v>
      </c>
      <c r="D47" s="46">
        <v>3.5</v>
      </c>
      <c r="E47" s="46">
        <v>3.5</v>
      </c>
      <c r="F47" s="46">
        <v>3.5</v>
      </c>
      <c r="G47" s="46">
        <v>3.5</v>
      </c>
      <c r="H47" s="46">
        <v>3.5</v>
      </c>
      <c r="I47" s="46">
        <v>3.5</v>
      </c>
      <c r="J47" s="46">
        <v>3.5</v>
      </c>
      <c r="K47" s="46">
        <v>3.5</v>
      </c>
      <c r="L47" s="46">
        <v>3.5</v>
      </c>
      <c r="M47" s="46">
        <v>3.5</v>
      </c>
      <c r="N47" s="46">
        <v>3.5</v>
      </c>
      <c r="O47" s="46">
        <v>3.5</v>
      </c>
      <c r="P47" s="46">
        <v>3.5</v>
      </c>
      <c r="Q47" s="46">
        <v>3.5</v>
      </c>
      <c r="R47" s="46">
        <v>3.5</v>
      </c>
      <c r="S47" s="46">
        <v>3.5</v>
      </c>
      <c r="T47" s="46">
        <v>3.5</v>
      </c>
      <c r="U47" s="46">
        <v>3.5</v>
      </c>
      <c r="V47" s="46">
        <v>3.5</v>
      </c>
      <c r="W47" s="46">
        <v>3.5</v>
      </c>
      <c r="X47" s="46">
        <v>3.5</v>
      </c>
      <c r="Y47" s="46">
        <v>3.5</v>
      </c>
      <c r="Z47" s="46">
        <v>3.5</v>
      </c>
      <c r="AA47" s="46">
        <v>3.5</v>
      </c>
      <c r="AB47" s="46">
        <v>3.5</v>
      </c>
      <c r="AC47" s="46">
        <v>3.5</v>
      </c>
      <c r="AD47" s="46">
        <v>3.5</v>
      </c>
      <c r="AE47" s="46">
        <v>3.5</v>
      </c>
      <c r="AF47" s="46">
        <v>3.5</v>
      </c>
      <c r="AG47" s="63">
        <v>22</v>
      </c>
      <c r="AH47" s="48">
        <f t="shared" si="10"/>
        <v>3.5</v>
      </c>
      <c r="AI47" s="49">
        <f t="shared" si="11"/>
        <v>3.5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5</v>
      </c>
      <c r="C48" s="46">
        <v>5</v>
      </c>
      <c r="D48" s="46">
        <v>5</v>
      </c>
      <c r="E48" s="46">
        <v>5</v>
      </c>
      <c r="F48" s="46">
        <v>5</v>
      </c>
      <c r="G48" s="46">
        <v>5</v>
      </c>
      <c r="H48" s="46">
        <v>5</v>
      </c>
      <c r="I48" s="46">
        <v>5</v>
      </c>
      <c r="J48" s="46">
        <v>5</v>
      </c>
      <c r="K48" s="46">
        <v>5</v>
      </c>
      <c r="L48" s="46">
        <v>5</v>
      </c>
      <c r="M48" s="46">
        <v>5</v>
      </c>
      <c r="N48" s="46">
        <v>5</v>
      </c>
      <c r="O48" s="46">
        <v>5</v>
      </c>
      <c r="P48" s="46">
        <v>5</v>
      </c>
      <c r="Q48" s="46">
        <v>5</v>
      </c>
      <c r="R48" s="46">
        <v>5</v>
      </c>
      <c r="S48" s="46">
        <v>5</v>
      </c>
      <c r="T48" s="46">
        <v>5</v>
      </c>
      <c r="U48" s="46">
        <v>5</v>
      </c>
      <c r="V48" s="46">
        <v>5</v>
      </c>
      <c r="W48" s="46">
        <v>5</v>
      </c>
      <c r="X48" s="46">
        <v>5</v>
      </c>
      <c r="Y48" s="46">
        <v>5</v>
      </c>
      <c r="Z48" s="46">
        <v>5</v>
      </c>
      <c r="AA48" s="46">
        <v>5</v>
      </c>
      <c r="AB48" s="46">
        <v>5</v>
      </c>
      <c r="AC48" s="46">
        <v>5</v>
      </c>
      <c r="AD48" s="46">
        <v>5</v>
      </c>
      <c r="AE48" s="46">
        <v>5</v>
      </c>
      <c r="AF48" s="46">
        <v>5</v>
      </c>
      <c r="AG48" s="60">
        <v>11.88</v>
      </c>
      <c r="AH48" s="48">
        <f t="shared" si="10"/>
        <v>5</v>
      </c>
      <c r="AI48" s="49">
        <f t="shared" si="11"/>
        <v>5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4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5">
        <v>11</v>
      </c>
      <c r="AH49" s="48">
        <f t="shared" si="10"/>
        <v>3</v>
      </c>
      <c r="AI49" s="49">
        <f t="shared" si="11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4" t="s">
        <v>67</v>
      </c>
      <c r="B50" s="46">
        <v>2.5</v>
      </c>
      <c r="C50" s="46">
        <v>2.5</v>
      </c>
      <c r="D50" s="46">
        <v>2.5</v>
      </c>
      <c r="E50" s="46">
        <v>2.5</v>
      </c>
      <c r="F50" s="46">
        <v>2.5</v>
      </c>
      <c r="G50" s="46">
        <v>2.5</v>
      </c>
      <c r="H50" s="46">
        <v>2.5</v>
      </c>
      <c r="I50" s="46">
        <v>2.5</v>
      </c>
      <c r="J50" s="46">
        <v>2.5</v>
      </c>
      <c r="K50" s="46">
        <v>2.5</v>
      </c>
      <c r="L50" s="46">
        <v>2.5</v>
      </c>
      <c r="M50" s="46">
        <v>2.5</v>
      </c>
      <c r="N50" s="46">
        <v>2.5</v>
      </c>
      <c r="O50" s="46">
        <v>2.5</v>
      </c>
      <c r="P50" s="46">
        <v>2.5</v>
      </c>
      <c r="Q50" s="46">
        <v>2.5</v>
      </c>
      <c r="R50" s="46">
        <v>2.5</v>
      </c>
      <c r="S50" s="46">
        <v>2.5</v>
      </c>
      <c r="T50" s="46">
        <v>2.5</v>
      </c>
      <c r="U50" s="46">
        <v>2.5</v>
      </c>
      <c r="V50" s="46">
        <v>2.5</v>
      </c>
      <c r="W50" s="46">
        <v>2.5</v>
      </c>
      <c r="X50" s="46">
        <v>2.5</v>
      </c>
      <c r="Y50" s="46">
        <v>2.5</v>
      </c>
      <c r="Z50" s="46">
        <v>2.5</v>
      </c>
      <c r="AA50" s="46">
        <v>2.5</v>
      </c>
      <c r="AB50" s="46">
        <v>2.5</v>
      </c>
      <c r="AC50" s="46">
        <v>2.5</v>
      </c>
      <c r="AD50" s="46">
        <v>2.5</v>
      </c>
      <c r="AE50" s="46">
        <v>2.5</v>
      </c>
      <c r="AF50" s="46">
        <v>2.5</v>
      </c>
      <c r="AG50" s="65">
        <v>11</v>
      </c>
      <c r="AH50" s="48">
        <f t="shared" si="10"/>
        <v>2.5</v>
      </c>
      <c r="AI50" s="49">
        <f t="shared" si="11"/>
        <v>2.5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4" t="s">
        <v>68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65">
        <v>11</v>
      </c>
      <c r="AH51" s="48">
        <f t="shared" si="10"/>
        <v>3</v>
      </c>
      <c r="AI51" s="49">
        <f t="shared" si="11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4" t="s">
        <v>69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5">
        <v>10</v>
      </c>
      <c r="AH52" s="48">
        <f t="shared" si="10"/>
        <v>4</v>
      </c>
      <c r="AI52" s="49">
        <f t="shared" si="11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4" t="s">
        <v>70</v>
      </c>
      <c r="B53" s="46">
        <v>4.5</v>
      </c>
      <c r="C53" s="46">
        <v>4.5</v>
      </c>
      <c r="D53" s="46">
        <v>4.5</v>
      </c>
      <c r="E53" s="46">
        <v>4.5</v>
      </c>
      <c r="F53" s="46">
        <v>4.5</v>
      </c>
      <c r="G53" s="46">
        <v>4.5</v>
      </c>
      <c r="H53" s="46">
        <v>4.5</v>
      </c>
      <c r="I53" s="46">
        <v>4.5</v>
      </c>
      <c r="J53" s="46">
        <v>4.5</v>
      </c>
      <c r="K53" s="46">
        <v>4.5</v>
      </c>
      <c r="L53" s="46">
        <v>4.5</v>
      </c>
      <c r="M53" s="46">
        <v>4.5</v>
      </c>
      <c r="N53" s="46">
        <v>4.5</v>
      </c>
      <c r="O53" s="46">
        <v>4.5</v>
      </c>
      <c r="P53" s="46">
        <v>4.5</v>
      </c>
      <c r="Q53" s="46">
        <v>4.5</v>
      </c>
      <c r="R53" s="46">
        <v>4.5</v>
      </c>
      <c r="S53" s="46">
        <v>4.5</v>
      </c>
      <c r="T53" s="46">
        <v>4.5</v>
      </c>
      <c r="U53" s="46">
        <v>4.5</v>
      </c>
      <c r="V53" s="46">
        <v>4.5</v>
      </c>
      <c r="W53" s="46">
        <v>4.5</v>
      </c>
      <c r="X53" s="46">
        <v>4.5</v>
      </c>
      <c r="Y53" s="46">
        <v>4.5</v>
      </c>
      <c r="Z53" s="46">
        <v>4.5</v>
      </c>
      <c r="AA53" s="46">
        <v>4.5</v>
      </c>
      <c r="AB53" s="46">
        <v>4.5</v>
      </c>
      <c r="AC53" s="46">
        <v>4.5</v>
      </c>
      <c r="AD53" s="46">
        <v>4.5</v>
      </c>
      <c r="AE53" s="46">
        <v>4.5</v>
      </c>
      <c r="AF53" s="46">
        <v>4.5</v>
      </c>
      <c r="AG53" s="65">
        <v>10</v>
      </c>
      <c r="AH53" s="48">
        <f t="shared" si="10"/>
        <v>4.5</v>
      </c>
      <c r="AI53" s="49">
        <f t="shared" si="11"/>
        <v>4.5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4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5">
        <v>10</v>
      </c>
      <c r="AH54" s="48">
        <f t="shared" si="10"/>
        <v>0</v>
      </c>
      <c r="AI54" s="49">
        <f t="shared" si="11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4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5">
        <v>10</v>
      </c>
      <c r="AH55" s="48">
        <f t="shared" si="10"/>
        <v>0</v>
      </c>
      <c r="AI55" s="49">
        <f t="shared" si="11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6" t="s">
        <v>73</v>
      </c>
      <c r="B56" s="67">
        <v>150</v>
      </c>
      <c r="C56" s="67">
        <v>150</v>
      </c>
      <c r="D56" s="67">
        <v>150</v>
      </c>
      <c r="E56" s="67">
        <v>150</v>
      </c>
      <c r="F56" s="67">
        <v>150</v>
      </c>
      <c r="G56" s="67">
        <v>150</v>
      </c>
      <c r="H56" s="67">
        <v>150</v>
      </c>
      <c r="I56" s="67">
        <v>150</v>
      </c>
      <c r="J56" s="67">
        <v>150</v>
      </c>
      <c r="K56" s="67">
        <v>150</v>
      </c>
      <c r="L56" s="67">
        <v>150</v>
      </c>
      <c r="M56" s="67">
        <v>150</v>
      </c>
      <c r="N56" s="67">
        <v>150</v>
      </c>
      <c r="O56" s="67">
        <v>150</v>
      </c>
      <c r="P56" s="67">
        <v>150</v>
      </c>
      <c r="Q56" s="67">
        <v>150</v>
      </c>
      <c r="R56" s="67">
        <v>150</v>
      </c>
      <c r="S56" s="67">
        <v>150</v>
      </c>
      <c r="T56" s="67">
        <v>150</v>
      </c>
      <c r="U56" s="67">
        <v>150</v>
      </c>
      <c r="V56" s="67">
        <v>150</v>
      </c>
      <c r="W56" s="67">
        <v>150</v>
      </c>
      <c r="X56" s="67">
        <v>150</v>
      </c>
      <c r="Y56" s="67">
        <v>150</v>
      </c>
      <c r="Z56" s="67">
        <v>150</v>
      </c>
      <c r="AA56" s="67">
        <v>150</v>
      </c>
      <c r="AB56" s="67">
        <v>150</v>
      </c>
      <c r="AC56" s="67">
        <v>150</v>
      </c>
      <c r="AD56" s="67">
        <v>150</v>
      </c>
      <c r="AE56" s="67">
        <v>150</v>
      </c>
      <c r="AF56" s="67">
        <v>150</v>
      </c>
      <c r="AG56" s="65">
        <v>85</v>
      </c>
      <c r="AH56" s="48">
        <f t="shared" si="10"/>
        <v>150</v>
      </c>
      <c r="AI56" s="49">
        <f t="shared" si="11"/>
        <v>150</v>
      </c>
      <c r="AK56" s="51"/>
    </row>
    <row r="57" spans="1:88" ht="15.75" thickBot="1" x14ac:dyDescent="0.3">
      <c r="A57" s="68" t="s">
        <v>74</v>
      </c>
      <c r="B57" s="67">
        <v>28</v>
      </c>
      <c r="C57" s="67">
        <v>28</v>
      </c>
      <c r="D57" s="67">
        <v>31.8</v>
      </c>
      <c r="E57" s="67">
        <v>31.8</v>
      </c>
      <c r="F57" s="67">
        <v>31.8</v>
      </c>
      <c r="G57" s="67">
        <v>31.8</v>
      </c>
      <c r="H57" s="67">
        <v>31.8</v>
      </c>
      <c r="I57" s="67">
        <v>31.8</v>
      </c>
      <c r="J57" s="67">
        <v>31.8</v>
      </c>
      <c r="K57" s="67">
        <v>31.8</v>
      </c>
      <c r="L57" s="67">
        <v>29</v>
      </c>
      <c r="M57" s="53">
        <f>14.5+10.2</f>
        <v>24.7</v>
      </c>
      <c r="N57" s="53">
        <f>15.7+10.9</f>
        <v>26.6</v>
      </c>
      <c r="O57" s="53">
        <v>27.7</v>
      </c>
      <c r="P57" s="53">
        <f>17.8+11.5</f>
        <v>29.3</v>
      </c>
      <c r="Q57" s="53">
        <f>16.7+10.5</f>
        <v>27.2</v>
      </c>
      <c r="R57" s="53">
        <f>17.6+11</f>
        <v>28.6</v>
      </c>
      <c r="S57" s="53">
        <f>10.4+16.9</f>
        <v>27.299999999999997</v>
      </c>
      <c r="T57" s="53">
        <f>10.4+16.9</f>
        <v>27.299999999999997</v>
      </c>
      <c r="U57" s="53">
        <f>8.8+15.9</f>
        <v>24.700000000000003</v>
      </c>
      <c r="V57" s="53">
        <f>8.8+15.9</f>
        <v>24.700000000000003</v>
      </c>
      <c r="W57" s="53">
        <v>27.1</v>
      </c>
      <c r="X57" s="53">
        <v>27.1</v>
      </c>
      <c r="Y57" s="53">
        <v>23.1</v>
      </c>
      <c r="Z57" s="67">
        <v>19.600000000000001</v>
      </c>
      <c r="AA57" s="67">
        <v>19.600000000000001</v>
      </c>
      <c r="AB57" s="67">
        <v>19.600000000000001</v>
      </c>
      <c r="AC57" s="67">
        <v>19.600000000000001</v>
      </c>
      <c r="AD57" s="67">
        <v>19.600000000000001</v>
      </c>
      <c r="AE57" s="67">
        <v>19.600000000000001</v>
      </c>
      <c r="AF57" s="67">
        <v>19.600000000000001</v>
      </c>
      <c r="AG57" s="65">
        <v>240</v>
      </c>
      <c r="AH57" s="48">
        <f t="shared" si="10"/>
        <v>31.8</v>
      </c>
      <c r="AI57" s="49">
        <f t="shared" si="11"/>
        <v>19.600000000000001</v>
      </c>
      <c r="AK57" s="51"/>
    </row>
    <row r="58" spans="1:88" ht="15.75" thickBot="1" x14ac:dyDescent="0.3">
      <c r="A58" s="69" t="s">
        <v>75</v>
      </c>
      <c r="B58" s="70">
        <f t="shared" ref="B58:AF58" si="29">SUM(B11:B56)</f>
        <v>472.09999999999997</v>
      </c>
      <c r="C58" s="70">
        <f t="shared" si="29"/>
        <v>472.09999999999997</v>
      </c>
      <c r="D58" s="70">
        <f t="shared" si="29"/>
        <v>472.09999999999997</v>
      </c>
      <c r="E58" s="70">
        <f t="shared" si="29"/>
        <v>470.2</v>
      </c>
      <c r="F58" s="70">
        <f t="shared" si="29"/>
        <v>470.2</v>
      </c>
      <c r="G58" s="70">
        <f t="shared" si="29"/>
        <v>470.2</v>
      </c>
      <c r="H58" s="70">
        <f t="shared" si="29"/>
        <v>470.2</v>
      </c>
      <c r="I58" s="70">
        <f t="shared" si="29"/>
        <v>470.2</v>
      </c>
      <c r="J58" s="70">
        <f t="shared" si="29"/>
        <v>470.2</v>
      </c>
      <c r="K58" s="70">
        <f t="shared" si="29"/>
        <v>470.2</v>
      </c>
      <c r="L58" s="70">
        <f t="shared" si="29"/>
        <v>470.2</v>
      </c>
      <c r="M58" s="70">
        <f t="shared" si="29"/>
        <v>468.5</v>
      </c>
      <c r="N58" s="70">
        <f t="shared" si="29"/>
        <v>465.4</v>
      </c>
      <c r="O58" s="70">
        <f t="shared" si="29"/>
        <v>466.9</v>
      </c>
      <c r="P58" s="70">
        <f t="shared" si="29"/>
        <v>463.29999999999995</v>
      </c>
      <c r="Q58" s="70">
        <f t="shared" si="29"/>
        <v>469</v>
      </c>
      <c r="R58" s="70">
        <f t="shared" si="29"/>
        <v>466.9</v>
      </c>
      <c r="S58" s="70">
        <f t="shared" si="29"/>
        <v>466.9</v>
      </c>
      <c r="T58" s="70">
        <f t="shared" si="29"/>
        <v>466.9</v>
      </c>
      <c r="U58" s="70">
        <f t="shared" si="29"/>
        <v>466.9</v>
      </c>
      <c r="V58" s="70">
        <f t="shared" ref="V58:Y58" si="30">SUM(V11:V56)</f>
        <v>466.9</v>
      </c>
      <c r="W58" s="70">
        <f t="shared" si="30"/>
        <v>466.9</v>
      </c>
      <c r="X58" s="70">
        <f t="shared" si="30"/>
        <v>466.9</v>
      </c>
      <c r="Y58" s="70">
        <f t="shared" si="30"/>
        <v>466.9</v>
      </c>
      <c r="Z58" s="70">
        <f t="shared" ref="Z58:AA58" si="31">SUM(Z11:Z57)</f>
        <v>486.5</v>
      </c>
      <c r="AA58" s="70">
        <f t="shared" si="31"/>
        <v>486.5</v>
      </c>
      <c r="AB58" s="70">
        <f t="shared" si="29"/>
        <v>466.9</v>
      </c>
      <c r="AC58" s="70">
        <f t="shared" si="29"/>
        <v>466.9</v>
      </c>
      <c r="AD58" s="70">
        <f t="shared" si="29"/>
        <v>466.9</v>
      </c>
      <c r="AE58" s="70">
        <f t="shared" si="29"/>
        <v>466.9</v>
      </c>
      <c r="AF58" s="70">
        <f t="shared" si="29"/>
        <v>466.9</v>
      </c>
      <c r="AG58" s="71">
        <f>SUM(AG14:AG56)</f>
        <v>1042.4000000000001</v>
      </c>
      <c r="AH58" s="48">
        <f t="shared" si="10"/>
        <v>486.5</v>
      </c>
      <c r="AI58" s="49">
        <f t="shared" si="11"/>
        <v>463.29999999999995</v>
      </c>
      <c r="AK58" s="51"/>
    </row>
    <row r="59" spans="1:88" x14ac:dyDescent="0.25">
      <c r="A59" s="72" t="s">
        <v>76</v>
      </c>
      <c r="B59" s="46">
        <v>0</v>
      </c>
      <c r="C59" s="46">
        <v>0</v>
      </c>
      <c r="D59" s="46">
        <v>0</v>
      </c>
      <c r="E59" s="46">
        <v>0</v>
      </c>
      <c r="F59" s="46">
        <v>0</v>
      </c>
      <c r="G59" s="46">
        <v>50</v>
      </c>
      <c r="H59" s="46">
        <v>90.6</v>
      </c>
      <c r="I59" s="46">
        <v>152.69999999999999</v>
      </c>
      <c r="J59" s="46">
        <v>0</v>
      </c>
      <c r="K59" s="46">
        <v>0</v>
      </c>
      <c r="L59" s="46">
        <v>0</v>
      </c>
      <c r="M59" s="46">
        <v>0</v>
      </c>
      <c r="N59" s="46">
        <v>0</v>
      </c>
      <c r="O59" s="73">
        <v>0</v>
      </c>
      <c r="P59" s="73">
        <v>0</v>
      </c>
      <c r="Q59" s="73">
        <v>0</v>
      </c>
      <c r="R59" s="73">
        <v>0</v>
      </c>
      <c r="S59" s="73">
        <v>76</v>
      </c>
      <c r="T59" s="73">
        <v>76.400000000000006</v>
      </c>
      <c r="U59" s="73">
        <v>76</v>
      </c>
      <c r="V59" s="73">
        <v>65</v>
      </c>
      <c r="W59" s="73">
        <v>55</v>
      </c>
      <c r="X59" s="73">
        <v>55</v>
      </c>
      <c r="Y59" s="73">
        <v>456</v>
      </c>
      <c r="Z59" s="46">
        <v>420</v>
      </c>
      <c r="AA59" s="46">
        <v>410</v>
      </c>
      <c r="AB59" s="46">
        <v>360</v>
      </c>
      <c r="AC59" s="46">
        <v>360</v>
      </c>
      <c r="AD59" s="46">
        <v>330</v>
      </c>
      <c r="AE59" s="46">
        <v>330</v>
      </c>
      <c r="AF59" s="46">
        <v>100</v>
      </c>
      <c r="AG59" s="60">
        <v>456</v>
      </c>
      <c r="AH59" s="48">
        <f t="shared" si="10"/>
        <v>456</v>
      </c>
      <c r="AI59" s="49">
        <f t="shared" si="11"/>
        <v>0</v>
      </c>
      <c r="AK59" s="51"/>
    </row>
    <row r="60" spans="1:88" x14ac:dyDescent="0.25">
      <c r="A60" s="74" t="s">
        <v>77</v>
      </c>
      <c r="B60" s="75">
        <v>21.4</v>
      </c>
      <c r="C60" s="75">
        <v>22.9</v>
      </c>
      <c r="D60" s="75">
        <v>28</v>
      </c>
      <c r="E60" s="75">
        <v>28</v>
      </c>
      <c r="F60" s="75">
        <v>28</v>
      </c>
      <c r="G60" s="75">
        <v>28</v>
      </c>
      <c r="H60" s="75">
        <v>28</v>
      </c>
      <c r="I60" s="75">
        <v>28</v>
      </c>
      <c r="J60" s="75">
        <v>28</v>
      </c>
      <c r="K60" s="75">
        <v>28</v>
      </c>
      <c r="L60" s="75">
        <v>28</v>
      </c>
      <c r="M60" s="75">
        <v>28</v>
      </c>
      <c r="N60" s="75">
        <v>28</v>
      </c>
      <c r="O60" s="75">
        <v>28</v>
      </c>
      <c r="P60" s="75">
        <v>28</v>
      </c>
      <c r="Q60" s="75">
        <v>28</v>
      </c>
      <c r="R60" s="75">
        <v>28</v>
      </c>
      <c r="S60" s="75">
        <v>22.9</v>
      </c>
      <c r="T60" s="75">
        <v>22.6</v>
      </c>
      <c r="U60" s="75">
        <v>21.6</v>
      </c>
      <c r="V60" s="75">
        <v>21.6</v>
      </c>
      <c r="W60" s="75">
        <v>21.6</v>
      </c>
      <c r="X60" s="75">
        <v>21.6</v>
      </c>
      <c r="Y60" s="75">
        <v>21.6</v>
      </c>
      <c r="Z60" s="75">
        <v>21.6</v>
      </c>
      <c r="AA60" s="75">
        <v>21.6</v>
      </c>
      <c r="AB60" s="75">
        <v>21.6</v>
      </c>
      <c r="AC60" s="75">
        <v>21.6</v>
      </c>
      <c r="AD60" s="75">
        <v>21.6</v>
      </c>
      <c r="AE60" s="75">
        <v>21.6</v>
      </c>
      <c r="AF60" s="75">
        <v>21.6</v>
      </c>
      <c r="AG60" s="65">
        <v>60</v>
      </c>
      <c r="AH60" s="48">
        <f t="shared" si="10"/>
        <v>28</v>
      </c>
      <c r="AI60" s="49">
        <f t="shared" si="11"/>
        <v>21.4</v>
      </c>
      <c r="AK60" s="51"/>
    </row>
    <row r="61" spans="1:88" ht="15.75" thickBot="1" x14ac:dyDescent="0.3">
      <c r="A61" s="76" t="s">
        <v>78</v>
      </c>
      <c r="B61" s="77">
        <v>10.7</v>
      </c>
      <c r="C61" s="77">
        <v>10.7</v>
      </c>
      <c r="D61" s="77">
        <v>10.6</v>
      </c>
      <c r="E61" s="77">
        <v>10.6</v>
      </c>
      <c r="F61" s="77">
        <v>10.6</v>
      </c>
      <c r="G61" s="77">
        <v>10.6</v>
      </c>
      <c r="H61" s="77">
        <v>10.6</v>
      </c>
      <c r="I61" s="77">
        <v>10.7</v>
      </c>
      <c r="J61" s="77">
        <v>10.199999999999999</v>
      </c>
      <c r="K61" s="77">
        <v>10.199999999999999</v>
      </c>
      <c r="L61" s="77">
        <v>10.199999999999999</v>
      </c>
      <c r="M61" s="77">
        <v>10.1</v>
      </c>
      <c r="N61" s="77">
        <v>10.1</v>
      </c>
      <c r="O61" s="77">
        <v>10.1</v>
      </c>
      <c r="P61" s="77">
        <v>10.1</v>
      </c>
      <c r="Q61" s="77">
        <v>10.1</v>
      </c>
      <c r="R61" s="77">
        <v>10.1</v>
      </c>
      <c r="S61" s="77">
        <v>8.8000000000000007</v>
      </c>
      <c r="T61" s="77">
        <v>8.8000000000000007</v>
      </c>
      <c r="U61" s="77">
        <v>8.8000000000000007</v>
      </c>
      <c r="V61" s="77">
        <v>8.8000000000000007</v>
      </c>
      <c r="W61" s="77">
        <v>8.8000000000000007</v>
      </c>
      <c r="X61" s="77">
        <v>8.8000000000000007</v>
      </c>
      <c r="Y61" s="77">
        <v>8.8000000000000007</v>
      </c>
      <c r="Z61" s="77">
        <v>8.8000000000000007</v>
      </c>
      <c r="AA61" s="77">
        <v>8.8000000000000007</v>
      </c>
      <c r="AB61" s="77">
        <v>8.8000000000000007</v>
      </c>
      <c r="AC61" s="77">
        <v>8.8000000000000007</v>
      </c>
      <c r="AD61" s="77">
        <v>8.8000000000000007</v>
      </c>
      <c r="AE61" s="77">
        <v>8.8000000000000007</v>
      </c>
      <c r="AF61" s="77">
        <v>8.8000000000000007</v>
      </c>
      <c r="AG61" s="78">
        <v>22.1</v>
      </c>
      <c r="AH61" s="48">
        <f t="shared" si="10"/>
        <v>10.7</v>
      </c>
      <c r="AI61" s="49">
        <f t="shared" si="11"/>
        <v>8.8000000000000007</v>
      </c>
      <c r="AK61" s="51"/>
    </row>
    <row r="62" spans="1:88" ht="15.75" thickBot="1" x14ac:dyDescent="0.3">
      <c r="A62" s="79" t="s">
        <v>79</v>
      </c>
      <c r="B62" s="70">
        <f t="shared" ref="B62:AG62" si="32">SUM(B59:B61)</f>
        <v>32.099999999999994</v>
      </c>
      <c r="C62" s="70">
        <f t="shared" si="32"/>
        <v>33.599999999999994</v>
      </c>
      <c r="D62" s="70">
        <f t="shared" si="32"/>
        <v>38.6</v>
      </c>
      <c r="E62" s="70">
        <f t="shared" si="32"/>
        <v>38.6</v>
      </c>
      <c r="F62" s="70">
        <f t="shared" si="32"/>
        <v>38.6</v>
      </c>
      <c r="G62" s="70">
        <f t="shared" si="32"/>
        <v>88.6</v>
      </c>
      <c r="H62" s="70">
        <f t="shared" si="32"/>
        <v>129.19999999999999</v>
      </c>
      <c r="I62" s="70">
        <f t="shared" si="32"/>
        <v>191.39999999999998</v>
      </c>
      <c r="J62" s="70">
        <f t="shared" si="32"/>
        <v>38.200000000000003</v>
      </c>
      <c r="K62" s="70">
        <f t="shared" si="32"/>
        <v>38.200000000000003</v>
      </c>
      <c r="L62" s="70">
        <f t="shared" si="32"/>
        <v>38.200000000000003</v>
      </c>
      <c r="M62" s="70">
        <f t="shared" si="32"/>
        <v>38.1</v>
      </c>
      <c r="N62" s="70">
        <f t="shared" si="32"/>
        <v>38.1</v>
      </c>
      <c r="O62" s="70">
        <f t="shared" si="32"/>
        <v>38.1</v>
      </c>
      <c r="P62" s="70">
        <f t="shared" si="32"/>
        <v>38.1</v>
      </c>
      <c r="Q62" s="70">
        <f t="shared" si="32"/>
        <v>38.1</v>
      </c>
      <c r="R62" s="70">
        <f t="shared" si="32"/>
        <v>38.1</v>
      </c>
      <c r="S62" s="70">
        <f t="shared" si="32"/>
        <v>107.7</v>
      </c>
      <c r="T62" s="70">
        <f t="shared" si="32"/>
        <v>107.8</v>
      </c>
      <c r="U62" s="70">
        <f t="shared" si="32"/>
        <v>106.39999999999999</v>
      </c>
      <c r="V62" s="70">
        <f t="shared" ref="V62:W62" si="33">SUM(V59:V61)</f>
        <v>95.399999999999991</v>
      </c>
      <c r="W62" s="70">
        <f t="shared" si="33"/>
        <v>85.399999999999991</v>
      </c>
      <c r="X62" s="70">
        <f t="shared" ref="X62:Z62" si="34">SUM(X59:X61)</f>
        <v>85.399999999999991</v>
      </c>
      <c r="Y62" s="70">
        <f t="shared" si="34"/>
        <v>486.40000000000003</v>
      </c>
      <c r="Z62" s="70">
        <f t="shared" si="34"/>
        <v>450.40000000000003</v>
      </c>
      <c r="AA62" s="70">
        <f t="shared" ref="AA62" si="35">SUM(AA59:AA61)</f>
        <v>440.40000000000003</v>
      </c>
      <c r="AB62" s="70">
        <f t="shared" si="32"/>
        <v>390.40000000000003</v>
      </c>
      <c r="AC62" s="70">
        <f t="shared" si="32"/>
        <v>390.40000000000003</v>
      </c>
      <c r="AD62" s="70">
        <f t="shared" si="32"/>
        <v>360.40000000000003</v>
      </c>
      <c r="AE62" s="70">
        <f t="shared" si="32"/>
        <v>360.40000000000003</v>
      </c>
      <c r="AF62" s="70">
        <f t="shared" si="32"/>
        <v>130.4</v>
      </c>
      <c r="AG62" s="71">
        <f t="shared" si="32"/>
        <v>538.1</v>
      </c>
      <c r="AH62" s="48">
        <f t="shared" si="10"/>
        <v>486.40000000000003</v>
      </c>
      <c r="AI62" s="49">
        <f t="shared" si="11"/>
        <v>32.099999999999994</v>
      </c>
      <c r="AK62" s="51"/>
    </row>
    <row r="63" spans="1:88" x14ac:dyDescent="0.25">
      <c r="A63" s="45" t="s">
        <v>80</v>
      </c>
      <c r="B63" s="46">
        <v>30</v>
      </c>
      <c r="C63" s="46">
        <v>30.3</v>
      </c>
      <c r="D63" s="46">
        <v>0</v>
      </c>
      <c r="E63" s="46">
        <v>0</v>
      </c>
      <c r="F63" s="46">
        <v>0</v>
      </c>
      <c r="G63" s="46">
        <v>0</v>
      </c>
      <c r="H63" s="46">
        <v>30.3</v>
      </c>
      <c r="I63" s="46">
        <v>46.8</v>
      </c>
      <c r="J63" s="46">
        <v>48.4</v>
      </c>
      <c r="K63" s="46">
        <v>61.7</v>
      </c>
      <c r="L63" s="46">
        <v>69.7</v>
      </c>
      <c r="M63" s="46">
        <v>81.3</v>
      </c>
      <c r="N63" s="46">
        <v>62.3</v>
      </c>
      <c r="O63" s="46">
        <v>60.8</v>
      </c>
      <c r="P63" s="46">
        <v>61.1</v>
      </c>
      <c r="Q63" s="46">
        <v>61.1</v>
      </c>
      <c r="R63" s="46">
        <v>30.8</v>
      </c>
      <c r="S63" s="46">
        <v>30.1</v>
      </c>
      <c r="T63" s="46">
        <v>49.2</v>
      </c>
      <c r="U63" s="46">
        <v>48.6</v>
      </c>
      <c r="V63" s="46">
        <v>61.2</v>
      </c>
      <c r="W63" s="46">
        <v>60.9</v>
      </c>
      <c r="X63" s="46">
        <v>62.5</v>
      </c>
      <c r="Y63" s="46">
        <v>144.9</v>
      </c>
      <c r="Z63" s="46">
        <v>139.6</v>
      </c>
      <c r="AA63" s="46">
        <v>121.6</v>
      </c>
      <c r="AB63" s="46">
        <v>97.5</v>
      </c>
      <c r="AC63" s="46">
        <v>97.5</v>
      </c>
      <c r="AD63" s="46">
        <v>80.099999999999994</v>
      </c>
      <c r="AE63" s="46">
        <v>48</v>
      </c>
      <c r="AF63" s="46">
        <v>48</v>
      </c>
      <c r="AG63" s="60">
        <v>144</v>
      </c>
      <c r="AH63" s="48">
        <f t="shared" si="10"/>
        <v>144.9</v>
      </c>
      <c r="AI63" s="49">
        <f t="shared" si="11"/>
        <v>0</v>
      </c>
      <c r="AK63" s="51"/>
    </row>
    <row r="64" spans="1:88" x14ac:dyDescent="0.25">
      <c r="A64" s="64" t="s">
        <v>81</v>
      </c>
      <c r="B64" s="75">
        <v>25.3</v>
      </c>
      <c r="C64" s="75">
        <v>25.4</v>
      </c>
      <c r="D64" s="75">
        <v>0</v>
      </c>
      <c r="E64" s="75">
        <v>0</v>
      </c>
      <c r="F64" s="75">
        <v>0</v>
      </c>
      <c r="G64" s="75">
        <v>0</v>
      </c>
      <c r="H64" s="75">
        <v>34.799999999999997</v>
      </c>
      <c r="I64" s="75">
        <v>35.299999999999997</v>
      </c>
      <c r="J64" s="75">
        <v>37</v>
      </c>
      <c r="K64" s="75">
        <v>34.799999999999997</v>
      </c>
      <c r="L64" s="75">
        <v>34.9</v>
      </c>
      <c r="M64" s="75">
        <v>61.4</v>
      </c>
      <c r="N64" s="75">
        <v>60.6</v>
      </c>
      <c r="O64" s="75">
        <v>50.5</v>
      </c>
      <c r="P64" s="75">
        <v>49.8</v>
      </c>
      <c r="Q64" s="75">
        <v>49.8</v>
      </c>
      <c r="R64" s="75">
        <v>25</v>
      </c>
      <c r="S64" s="75">
        <v>24.8</v>
      </c>
      <c r="T64" s="75">
        <v>26.4</v>
      </c>
      <c r="U64" s="75">
        <v>25.2</v>
      </c>
      <c r="V64" s="75">
        <v>22.1</v>
      </c>
      <c r="W64" s="75">
        <v>23.4</v>
      </c>
      <c r="X64" s="75">
        <v>23.5</v>
      </c>
      <c r="Y64" s="75">
        <v>59.4</v>
      </c>
      <c r="Z64" s="46">
        <v>60.6</v>
      </c>
      <c r="AA64" s="46">
        <v>60.6</v>
      </c>
      <c r="AB64" s="46">
        <v>59.7</v>
      </c>
      <c r="AC64" s="46">
        <v>59.7</v>
      </c>
      <c r="AD64" s="46">
        <v>50</v>
      </c>
      <c r="AE64" s="46">
        <v>24</v>
      </c>
      <c r="AF64" s="46">
        <v>24</v>
      </c>
      <c r="AG64" s="65">
        <v>70</v>
      </c>
      <c r="AH64" s="48">
        <f t="shared" si="10"/>
        <v>61.4</v>
      </c>
      <c r="AI64" s="49">
        <f t="shared" si="11"/>
        <v>0</v>
      </c>
      <c r="AK64" s="51"/>
    </row>
    <row r="65" spans="1:75" x14ac:dyDescent="0.25">
      <c r="A65" s="64" t="s">
        <v>82</v>
      </c>
      <c r="B65" s="75">
        <v>15.6</v>
      </c>
      <c r="C65" s="75">
        <v>15.6</v>
      </c>
      <c r="D65" s="75">
        <v>0</v>
      </c>
      <c r="E65" s="75">
        <v>0</v>
      </c>
      <c r="F65" s="75">
        <v>0</v>
      </c>
      <c r="G65" s="75">
        <v>0</v>
      </c>
      <c r="H65" s="75">
        <v>0</v>
      </c>
      <c r="I65" s="75">
        <v>0</v>
      </c>
      <c r="J65" s="75">
        <v>22.6</v>
      </c>
      <c r="K65" s="75">
        <v>46.9</v>
      </c>
      <c r="L65" s="75">
        <v>45.8</v>
      </c>
      <c r="M65" s="75">
        <v>45.6</v>
      </c>
      <c r="N65" s="75">
        <v>46.2</v>
      </c>
      <c r="O65" s="75">
        <v>39.799999999999997</v>
      </c>
      <c r="P65" s="75">
        <v>39.9</v>
      </c>
      <c r="Q65" s="75">
        <v>39.9</v>
      </c>
      <c r="R65" s="75">
        <v>34</v>
      </c>
      <c r="S65" s="75">
        <v>34</v>
      </c>
      <c r="T65" s="75">
        <v>40.299999999999997</v>
      </c>
      <c r="U65" s="75">
        <v>33.4</v>
      </c>
      <c r="V65" s="75">
        <v>33</v>
      </c>
      <c r="W65" s="75">
        <v>32.6</v>
      </c>
      <c r="X65" s="75">
        <v>40.9</v>
      </c>
      <c r="Y65" s="75">
        <v>68.8</v>
      </c>
      <c r="Z65" s="46">
        <v>68.8</v>
      </c>
      <c r="AA65" s="46">
        <v>68.8</v>
      </c>
      <c r="AB65" s="46">
        <v>68.3</v>
      </c>
      <c r="AC65" s="46">
        <v>68.3</v>
      </c>
      <c r="AD65" s="46">
        <v>50</v>
      </c>
      <c r="AE65" s="46">
        <v>34</v>
      </c>
      <c r="AF65" s="46">
        <v>34</v>
      </c>
      <c r="AG65" s="65">
        <v>69</v>
      </c>
      <c r="AH65" s="48">
        <f t="shared" si="10"/>
        <v>68.8</v>
      </c>
      <c r="AI65" s="49">
        <f t="shared" si="11"/>
        <v>0</v>
      </c>
      <c r="AK65" s="51"/>
    </row>
    <row r="66" spans="1:75" x14ac:dyDescent="0.25">
      <c r="A66" s="64" t="s">
        <v>83</v>
      </c>
      <c r="B66" s="75">
        <v>36.299999999999997</v>
      </c>
      <c r="C66" s="75">
        <v>36</v>
      </c>
      <c r="D66" s="75">
        <v>32.200000000000003</v>
      </c>
      <c r="E66" s="75">
        <v>32.200000000000003</v>
      </c>
      <c r="F66" s="75">
        <v>32.200000000000003</v>
      </c>
      <c r="G66" s="75">
        <v>35</v>
      </c>
      <c r="H66" s="75">
        <v>36</v>
      </c>
      <c r="I66" s="75">
        <v>35.799999999999997</v>
      </c>
      <c r="J66" s="75">
        <v>36</v>
      </c>
      <c r="K66" s="67">
        <v>35.799999999999997</v>
      </c>
      <c r="L66" s="67">
        <v>36</v>
      </c>
      <c r="M66" s="75">
        <v>35</v>
      </c>
      <c r="N66" s="75">
        <v>34.799999999999997</v>
      </c>
      <c r="O66" s="75">
        <v>33.200000000000003</v>
      </c>
      <c r="P66" s="75">
        <v>33</v>
      </c>
      <c r="Q66" s="75">
        <v>33</v>
      </c>
      <c r="R66" s="75">
        <v>34.299999999999997</v>
      </c>
      <c r="S66" s="75">
        <v>34.299999999999997</v>
      </c>
      <c r="T66" s="75">
        <v>34.299999999999997</v>
      </c>
      <c r="U66" s="75">
        <v>35</v>
      </c>
      <c r="V66" s="75">
        <v>32</v>
      </c>
      <c r="W66" s="75">
        <v>32</v>
      </c>
      <c r="X66" s="75">
        <v>32</v>
      </c>
      <c r="Y66" s="75">
        <v>32.200000000000003</v>
      </c>
      <c r="Z66" s="46">
        <v>32.200000000000003</v>
      </c>
      <c r="AA66" s="46">
        <v>32.200000000000003</v>
      </c>
      <c r="AB66" s="46">
        <v>32.200000000000003</v>
      </c>
      <c r="AC66" s="46">
        <v>32.200000000000003</v>
      </c>
      <c r="AD66" s="46">
        <v>32.200000000000003</v>
      </c>
      <c r="AE66" s="46">
        <v>32.200000000000003</v>
      </c>
      <c r="AF66" s="46">
        <v>32.200000000000003</v>
      </c>
      <c r="AG66" s="65">
        <v>60</v>
      </c>
      <c r="AH66" s="48">
        <f t="shared" si="10"/>
        <v>36.299999999999997</v>
      </c>
      <c r="AI66" s="49">
        <f t="shared" si="11"/>
        <v>32</v>
      </c>
      <c r="AK66" s="51"/>
    </row>
    <row r="67" spans="1:75" x14ac:dyDescent="0.25">
      <c r="A67" s="64" t="s">
        <v>84</v>
      </c>
      <c r="B67" s="46">
        <v>0</v>
      </c>
      <c r="C67" s="46">
        <v>0</v>
      </c>
      <c r="D67" s="46">
        <v>0</v>
      </c>
      <c r="E67" s="46">
        <v>0</v>
      </c>
      <c r="F67" s="46">
        <v>0</v>
      </c>
      <c r="G67" s="46">
        <v>0</v>
      </c>
      <c r="H67" s="46">
        <v>0</v>
      </c>
      <c r="I67" s="46">
        <v>0</v>
      </c>
      <c r="J67" s="75">
        <v>10.8</v>
      </c>
      <c r="K67" s="75">
        <v>10.5</v>
      </c>
      <c r="L67" s="67">
        <v>15</v>
      </c>
      <c r="M67" s="75">
        <v>12.2</v>
      </c>
      <c r="N67" s="75">
        <v>10.6</v>
      </c>
      <c r="O67" s="75">
        <v>10.3</v>
      </c>
      <c r="P67" s="75">
        <v>10.3</v>
      </c>
      <c r="Q67" s="75">
        <v>10.3</v>
      </c>
      <c r="R67" s="75">
        <v>10.4</v>
      </c>
      <c r="S67" s="75">
        <v>14.9</v>
      </c>
      <c r="T67" s="75">
        <v>14.9</v>
      </c>
      <c r="U67" s="75">
        <v>14.8</v>
      </c>
      <c r="V67" s="75">
        <v>10.1</v>
      </c>
      <c r="W67" s="75">
        <v>10.1</v>
      </c>
      <c r="X67" s="75">
        <v>23.4</v>
      </c>
      <c r="Y67" s="75">
        <v>23.1</v>
      </c>
      <c r="Z67" s="46">
        <v>23.1</v>
      </c>
      <c r="AA67" s="46">
        <v>23.1</v>
      </c>
      <c r="AB67" s="46">
        <v>23.1</v>
      </c>
      <c r="AC67" s="46">
        <v>14</v>
      </c>
      <c r="AD67" s="46">
        <v>10</v>
      </c>
      <c r="AE67" s="46">
        <v>10</v>
      </c>
      <c r="AF67" s="46">
        <v>10</v>
      </c>
      <c r="AG67" s="65">
        <v>30</v>
      </c>
      <c r="AH67" s="48">
        <f t="shared" si="10"/>
        <v>23.4</v>
      </c>
      <c r="AI67" s="49">
        <f t="shared" si="11"/>
        <v>0</v>
      </c>
      <c r="AK67" s="51"/>
      <c r="AZ67" s="80">
        <v>1</v>
      </c>
      <c r="BA67" s="80">
        <v>2</v>
      </c>
      <c r="BB67" s="80">
        <v>3</v>
      </c>
      <c r="BC67" s="80">
        <v>4</v>
      </c>
      <c r="BD67" s="80">
        <v>5</v>
      </c>
      <c r="BE67" s="80">
        <v>6</v>
      </c>
      <c r="BF67" s="80">
        <v>7</v>
      </c>
      <c r="BG67" s="80">
        <v>8</v>
      </c>
      <c r="BH67" s="80">
        <v>9</v>
      </c>
      <c r="BI67" s="80">
        <v>10</v>
      </c>
      <c r="BJ67" s="80">
        <v>11</v>
      </c>
      <c r="BK67" s="80">
        <v>12</v>
      </c>
      <c r="BL67" s="80">
        <v>13</v>
      </c>
      <c r="BM67" s="80">
        <v>14</v>
      </c>
      <c r="BN67" s="80">
        <v>15</v>
      </c>
      <c r="BO67" s="80">
        <v>16</v>
      </c>
      <c r="BP67" s="80">
        <v>17</v>
      </c>
      <c r="BQ67" s="80">
        <v>18</v>
      </c>
      <c r="BR67" s="80">
        <v>19</v>
      </c>
      <c r="BS67" s="80">
        <v>20</v>
      </c>
      <c r="BT67" s="80">
        <v>21</v>
      </c>
      <c r="BU67" s="80">
        <v>22</v>
      </c>
      <c r="BV67" s="80">
        <v>23</v>
      </c>
      <c r="BW67" s="80">
        <v>24</v>
      </c>
    </row>
    <row r="68" spans="1:75" x14ac:dyDescent="0.25">
      <c r="A68" s="64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0.8</v>
      </c>
      <c r="K68" s="46">
        <v>1.7</v>
      </c>
      <c r="L68" s="75">
        <v>3.4</v>
      </c>
      <c r="M68" s="75">
        <v>6.6</v>
      </c>
      <c r="N68" s="75">
        <v>8.8000000000000007</v>
      </c>
      <c r="O68" s="75">
        <v>12.5</v>
      </c>
      <c r="P68" s="75">
        <v>14.1</v>
      </c>
      <c r="Q68" s="75">
        <v>12.4</v>
      </c>
      <c r="R68" s="75">
        <v>12.8</v>
      </c>
      <c r="S68" s="75">
        <v>12.8</v>
      </c>
      <c r="T68" s="75">
        <v>8.1999999999999993</v>
      </c>
      <c r="U68" s="75">
        <v>5.2</v>
      </c>
      <c r="V68" s="75">
        <v>1.6</v>
      </c>
      <c r="W68" s="75">
        <v>0.9</v>
      </c>
      <c r="X68" s="75">
        <v>0.3</v>
      </c>
      <c r="Y68" s="75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5">
        <v>25</v>
      </c>
      <c r="AH68" s="48">
        <f t="shared" si="10"/>
        <v>14.1</v>
      </c>
      <c r="AI68" s="49">
        <f t="shared" si="11"/>
        <v>0</v>
      </c>
      <c r="AK68" s="51"/>
      <c r="AY68" s="1" t="s">
        <v>86</v>
      </c>
      <c r="AZ68" s="81">
        <f>ROUND(C81,0)</f>
        <v>26</v>
      </c>
      <c r="BA68" s="80">
        <f t="shared" ref="BA68:BD72" si="36">D81</f>
        <v>24.9</v>
      </c>
      <c r="BB68" s="80">
        <f t="shared" si="36"/>
        <v>24.7</v>
      </c>
      <c r="BC68" s="80">
        <f t="shared" si="36"/>
        <v>20.5</v>
      </c>
      <c r="BD68" s="80">
        <f t="shared" si="36"/>
        <v>22.4</v>
      </c>
      <c r="BE68" s="81">
        <f>I81</f>
        <v>23.9</v>
      </c>
      <c r="BF68" s="81">
        <f>K81</f>
        <v>72</v>
      </c>
      <c r="BG68" s="81">
        <f t="shared" ref="BG68:BP72" si="37">M81</f>
        <v>70.5</v>
      </c>
      <c r="BH68" s="81">
        <f t="shared" si="37"/>
        <v>50.4</v>
      </c>
      <c r="BI68" s="81">
        <f t="shared" si="37"/>
        <v>62</v>
      </c>
      <c r="BJ68" s="81">
        <f t="shared" si="37"/>
        <v>58</v>
      </c>
      <c r="BK68" s="81">
        <f t="shared" si="37"/>
        <v>62.4</v>
      </c>
      <c r="BL68" s="81">
        <f t="shared" si="37"/>
        <v>61.6</v>
      </c>
      <c r="BM68" s="81">
        <f t="shared" si="37"/>
        <v>73.7</v>
      </c>
      <c r="BN68" s="81">
        <f t="shared" si="37"/>
        <v>61.1</v>
      </c>
      <c r="BO68" s="81">
        <f t="shared" si="37"/>
        <v>60.8</v>
      </c>
      <c r="BP68" s="81">
        <f t="shared" si="37"/>
        <v>66.7</v>
      </c>
      <c r="BQ68" s="81">
        <f>X81</f>
        <v>61.7</v>
      </c>
      <c r="BR68" s="81">
        <f>Z81</f>
        <v>32.200000000000003</v>
      </c>
      <c r="BS68" s="80">
        <f>AB81</f>
        <v>31</v>
      </c>
      <c r="BT68" s="80">
        <f>AD81</f>
        <v>41.8</v>
      </c>
      <c r="BU68" s="80">
        <f>AE81</f>
        <v>35</v>
      </c>
      <c r="BV68" s="80">
        <f>AF81</f>
        <v>39</v>
      </c>
      <c r="BW68" s="80">
        <f>B81</f>
        <v>29.3</v>
      </c>
    </row>
    <row r="69" spans="1:75" x14ac:dyDescent="0.25">
      <c r="A69" s="64" t="s">
        <v>87</v>
      </c>
      <c r="B69" s="75">
        <v>15</v>
      </c>
      <c r="C69" s="75">
        <v>15</v>
      </c>
      <c r="D69" s="75">
        <v>15</v>
      </c>
      <c r="E69" s="75">
        <v>15</v>
      </c>
      <c r="F69" s="75">
        <v>15</v>
      </c>
      <c r="G69" s="75">
        <v>15</v>
      </c>
      <c r="H69" s="75">
        <v>15</v>
      </c>
      <c r="I69" s="75">
        <v>15</v>
      </c>
      <c r="J69" s="75">
        <v>15</v>
      </c>
      <c r="K69" s="75">
        <v>15</v>
      </c>
      <c r="L69" s="75">
        <v>15</v>
      </c>
      <c r="M69" s="75">
        <v>15</v>
      </c>
      <c r="N69" s="75">
        <v>15</v>
      </c>
      <c r="O69" s="75">
        <v>15</v>
      </c>
      <c r="P69" s="75">
        <v>15</v>
      </c>
      <c r="Q69" s="75">
        <v>15</v>
      </c>
      <c r="R69" s="75">
        <v>15</v>
      </c>
      <c r="S69" s="75">
        <v>15</v>
      </c>
      <c r="T69" s="75">
        <v>15</v>
      </c>
      <c r="U69" s="75">
        <v>15</v>
      </c>
      <c r="V69" s="75">
        <v>15</v>
      </c>
      <c r="W69" s="75">
        <v>15</v>
      </c>
      <c r="X69" s="75">
        <v>15</v>
      </c>
      <c r="Y69" s="75">
        <v>15</v>
      </c>
      <c r="Z69" s="75">
        <v>15</v>
      </c>
      <c r="AA69" s="75">
        <v>15</v>
      </c>
      <c r="AB69" s="75">
        <v>15</v>
      </c>
      <c r="AC69" s="75">
        <v>15</v>
      </c>
      <c r="AD69" s="75">
        <v>15</v>
      </c>
      <c r="AE69" s="75">
        <v>15</v>
      </c>
      <c r="AF69" s="75">
        <v>15</v>
      </c>
      <c r="AG69" s="65">
        <v>24</v>
      </c>
      <c r="AH69" s="48">
        <f t="shared" si="10"/>
        <v>15</v>
      </c>
      <c r="AI69" s="49">
        <f t="shared" si="11"/>
        <v>15</v>
      </c>
      <c r="AK69" s="51"/>
      <c r="AY69" s="1" t="s">
        <v>88</v>
      </c>
      <c r="AZ69" s="81">
        <f>ROUND(C82,0)</f>
        <v>0</v>
      </c>
      <c r="BA69" s="80">
        <f t="shared" si="36"/>
        <v>37</v>
      </c>
      <c r="BB69" s="80">
        <f t="shared" si="36"/>
        <v>47.5</v>
      </c>
      <c r="BC69" s="80">
        <f t="shared" si="36"/>
        <v>48</v>
      </c>
      <c r="BD69" s="80">
        <f t="shared" si="36"/>
        <v>58.4</v>
      </c>
      <c r="BE69" s="81">
        <f t="shared" ref="BE69:BE72" si="38">I82</f>
        <v>95.5</v>
      </c>
      <c r="BF69" s="81">
        <f t="shared" ref="BF69:BF72" si="39">K82</f>
        <v>0</v>
      </c>
      <c r="BG69" s="81">
        <f t="shared" si="37"/>
        <v>0</v>
      </c>
      <c r="BH69" s="81">
        <f t="shared" si="37"/>
        <v>89</v>
      </c>
      <c r="BI69" s="81">
        <f t="shared" si="37"/>
        <v>80.7</v>
      </c>
      <c r="BJ69" s="81">
        <f t="shared" si="37"/>
        <v>60</v>
      </c>
      <c r="BK69" s="81">
        <f t="shared" si="37"/>
        <v>76.400000000000006</v>
      </c>
      <c r="BL69" s="81">
        <f t="shared" si="37"/>
        <v>79.2</v>
      </c>
      <c r="BM69" s="81">
        <f t="shared" si="37"/>
        <v>85.7</v>
      </c>
      <c r="BN69" s="81">
        <f t="shared" si="37"/>
        <v>68.2</v>
      </c>
      <c r="BO69" s="81">
        <f t="shared" si="37"/>
        <v>0</v>
      </c>
      <c r="BP69" s="81">
        <f t="shared" si="37"/>
        <v>0</v>
      </c>
      <c r="BQ69" s="81">
        <f t="shared" ref="BQ69:BQ72" si="40">X82</f>
        <v>0</v>
      </c>
      <c r="BR69" s="81">
        <f t="shared" ref="BR69:BR72" si="41">Z82</f>
        <v>0</v>
      </c>
      <c r="BS69" s="80">
        <f t="shared" ref="BS69:BS72" si="42">AB82</f>
        <v>0</v>
      </c>
      <c r="BT69" s="80">
        <f t="shared" ref="BT69:BV72" si="43">AD82</f>
        <v>0</v>
      </c>
      <c r="BU69" s="80">
        <f t="shared" si="43"/>
        <v>0</v>
      </c>
      <c r="BV69" s="80">
        <f t="shared" si="43"/>
        <v>0</v>
      </c>
      <c r="BW69" s="80">
        <f t="shared" ref="BW69:BW72" si="44">B82</f>
        <v>0</v>
      </c>
    </row>
    <row r="70" spans="1:75" x14ac:dyDescent="0.25">
      <c r="A70" s="64" t="s">
        <v>89</v>
      </c>
      <c r="B70" s="75">
        <v>0</v>
      </c>
      <c r="C70" s="75">
        <v>0</v>
      </c>
      <c r="D70" s="75">
        <v>0</v>
      </c>
      <c r="E70" s="75">
        <v>0</v>
      </c>
      <c r="F70" s="75">
        <v>0</v>
      </c>
      <c r="G70" s="75">
        <v>0</v>
      </c>
      <c r="H70" s="75">
        <v>0</v>
      </c>
      <c r="I70" s="75">
        <v>0</v>
      </c>
      <c r="J70" s="75">
        <v>0</v>
      </c>
      <c r="K70" s="75">
        <v>0</v>
      </c>
      <c r="L70" s="75">
        <v>0</v>
      </c>
      <c r="M70" s="75">
        <v>0</v>
      </c>
      <c r="N70" s="75">
        <v>0</v>
      </c>
      <c r="O70" s="75">
        <v>0</v>
      </c>
      <c r="P70" s="75">
        <v>0</v>
      </c>
      <c r="Q70" s="75">
        <v>0</v>
      </c>
      <c r="R70" s="75">
        <v>0</v>
      </c>
      <c r="S70" s="75">
        <v>0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5">
        <v>0</v>
      </c>
      <c r="Z70" s="75">
        <v>0</v>
      </c>
      <c r="AA70" s="75">
        <v>0</v>
      </c>
      <c r="AB70" s="75">
        <v>0</v>
      </c>
      <c r="AC70" s="75">
        <v>0</v>
      </c>
      <c r="AD70" s="75">
        <v>0</v>
      </c>
      <c r="AE70" s="75">
        <v>0</v>
      </c>
      <c r="AF70" s="75">
        <v>0</v>
      </c>
      <c r="AG70" s="65">
        <v>15</v>
      </c>
      <c r="AH70" s="48">
        <f t="shared" si="10"/>
        <v>0</v>
      </c>
      <c r="AI70" s="49">
        <f t="shared" si="11"/>
        <v>0</v>
      </c>
      <c r="AK70" s="51"/>
      <c r="AL70" s="82"/>
      <c r="AO70" s="82"/>
      <c r="AY70" s="1" t="s">
        <v>90</v>
      </c>
      <c r="AZ70" s="81">
        <f>ROUND(C83,0)</f>
        <v>44</v>
      </c>
      <c r="BA70" s="80">
        <f t="shared" si="36"/>
        <v>61.8</v>
      </c>
      <c r="BB70" s="80">
        <f t="shared" si="36"/>
        <v>105.7</v>
      </c>
      <c r="BC70" s="80">
        <f t="shared" si="36"/>
        <v>87.9</v>
      </c>
      <c r="BD70" s="80">
        <f t="shared" si="36"/>
        <v>86.4</v>
      </c>
      <c r="BE70" s="81">
        <f t="shared" si="38"/>
        <v>84.9</v>
      </c>
      <c r="BF70" s="81">
        <f t="shared" si="39"/>
        <v>473</v>
      </c>
      <c r="BG70" s="81">
        <f t="shared" si="37"/>
        <v>519.29999999999995</v>
      </c>
      <c r="BH70" s="81">
        <f t="shared" si="37"/>
        <v>456.9</v>
      </c>
      <c r="BI70" s="81">
        <f t="shared" si="37"/>
        <v>480</v>
      </c>
      <c r="BJ70" s="81">
        <f t="shared" si="37"/>
        <v>492</v>
      </c>
      <c r="BK70" s="81">
        <f t="shared" si="37"/>
        <v>470</v>
      </c>
      <c r="BL70" s="81">
        <f t="shared" si="37"/>
        <v>469</v>
      </c>
      <c r="BM70" s="81">
        <f t="shared" si="37"/>
        <v>436</v>
      </c>
      <c r="BN70" s="81">
        <f t="shared" si="37"/>
        <v>440</v>
      </c>
      <c r="BO70" s="81">
        <f t="shared" si="37"/>
        <v>492.4</v>
      </c>
      <c r="BP70" s="81">
        <f t="shared" si="37"/>
        <v>474.1</v>
      </c>
      <c r="BQ70" s="81">
        <f t="shared" si="40"/>
        <v>425.7</v>
      </c>
      <c r="BR70" s="81">
        <f t="shared" si="41"/>
        <v>47.9</v>
      </c>
      <c r="BS70" s="80">
        <f t="shared" si="42"/>
        <v>60</v>
      </c>
      <c r="BT70" s="80">
        <f t="shared" si="43"/>
        <v>86.1</v>
      </c>
      <c r="BU70" s="80">
        <f t="shared" si="43"/>
        <v>68</v>
      </c>
      <c r="BV70" s="80">
        <f t="shared" si="43"/>
        <v>114</v>
      </c>
      <c r="BW70" s="80">
        <f t="shared" si="44"/>
        <v>40.799999999999997</v>
      </c>
    </row>
    <row r="71" spans="1:75" s="82" customFormat="1" x14ac:dyDescent="0.25">
      <c r="A71" s="64" t="s">
        <v>91</v>
      </c>
      <c r="B71" s="75">
        <v>11.8</v>
      </c>
      <c r="C71" s="75">
        <v>11.8</v>
      </c>
      <c r="D71" s="75">
        <v>11.8</v>
      </c>
      <c r="E71" s="75">
        <v>11.8</v>
      </c>
      <c r="F71" s="75">
        <v>11.8</v>
      </c>
      <c r="G71" s="75">
        <v>11.8</v>
      </c>
      <c r="H71" s="75">
        <v>11.8</v>
      </c>
      <c r="I71" s="75">
        <v>11.8</v>
      </c>
      <c r="J71" s="75">
        <v>11.8</v>
      </c>
      <c r="K71" s="75">
        <v>11.8</v>
      </c>
      <c r="L71" s="75">
        <v>11.8</v>
      </c>
      <c r="M71" s="75">
        <v>11.8</v>
      </c>
      <c r="N71" s="75">
        <v>11.8</v>
      </c>
      <c r="O71" s="75">
        <v>11.8</v>
      </c>
      <c r="P71" s="75">
        <v>11.8</v>
      </c>
      <c r="Q71" s="75">
        <v>11.8</v>
      </c>
      <c r="R71" s="75">
        <v>11.8</v>
      </c>
      <c r="S71" s="75">
        <v>11.8</v>
      </c>
      <c r="T71" s="75">
        <v>11.8</v>
      </c>
      <c r="U71" s="75">
        <v>11.8</v>
      </c>
      <c r="V71" s="75">
        <v>11.8</v>
      </c>
      <c r="W71" s="75">
        <v>11.8</v>
      </c>
      <c r="X71" s="75">
        <v>11.8</v>
      </c>
      <c r="Y71" s="75">
        <v>11.8</v>
      </c>
      <c r="Z71" s="75">
        <v>11.8</v>
      </c>
      <c r="AA71" s="75">
        <v>11.8</v>
      </c>
      <c r="AB71" s="75">
        <v>11.8</v>
      </c>
      <c r="AC71" s="75">
        <v>11.8</v>
      </c>
      <c r="AD71" s="75">
        <v>11.8</v>
      </c>
      <c r="AE71" s="75">
        <v>11.8</v>
      </c>
      <c r="AF71" s="75">
        <v>11.8</v>
      </c>
      <c r="AG71" s="65">
        <v>14.1</v>
      </c>
      <c r="AH71" s="48">
        <f t="shared" si="10"/>
        <v>11.8</v>
      </c>
      <c r="AI71" s="49">
        <f t="shared" si="11"/>
        <v>11.8</v>
      </c>
      <c r="AJ71" s="1"/>
      <c r="AK71" s="51"/>
      <c r="AL71" s="1"/>
      <c r="AM71" s="1"/>
      <c r="AN71" s="1"/>
      <c r="AO71" s="1"/>
      <c r="AY71" s="82" t="s">
        <v>92</v>
      </c>
      <c r="AZ71" s="81">
        <f>ROUND(C84,0)</f>
        <v>39</v>
      </c>
      <c r="BA71" s="80">
        <f t="shared" si="36"/>
        <v>51.8</v>
      </c>
      <c r="BB71" s="80">
        <f t="shared" si="36"/>
        <v>50.6</v>
      </c>
      <c r="BC71" s="80">
        <f t="shared" si="36"/>
        <v>39.700000000000003</v>
      </c>
      <c r="BD71" s="80">
        <f t="shared" si="36"/>
        <v>50.4</v>
      </c>
      <c r="BE71" s="81">
        <f t="shared" si="38"/>
        <v>55.2</v>
      </c>
      <c r="BF71" s="81">
        <f t="shared" si="39"/>
        <v>50.7</v>
      </c>
      <c r="BG71" s="81">
        <f t="shared" si="37"/>
        <v>47.5</v>
      </c>
      <c r="BH71" s="81">
        <f t="shared" si="37"/>
        <v>48</v>
      </c>
      <c r="BI71" s="81">
        <f t="shared" si="37"/>
        <v>0</v>
      </c>
      <c r="BJ71" s="81">
        <f t="shared" si="37"/>
        <v>0</v>
      </c>
      <c r="BK71" s="81">
        <f t="shared" si="37"/>
        <v>51.5</v>
      </c>
      <c r="BL71" s="81">
        <f t="shared" si="37"/>
        <v>53.5</v>
      </c>
      <c r="BM71" s="81">
        <f t="shared" si="37"/>
        <v>53.2</v>
      </c>
      <c r="BN71" s="81">
        <f t="shared" si="37"/>
        <v>54.7</v>
      </c>
      <c r="BO71" s="81">
        <f t="shared" si="37"/>
        <v>57</v>
      </c>
      <c r="BP71" s="81">
        <f t="shared" si="37"/>
        <v>49.96</v>
      </c>
      <c r="BQ71" s="81">
        <f t="shared" si="40"/>
        <v>42.8</v>
      </c>
      <c r="BR71" s="81">
        <f t="shared" si="41"/>
        <v>0</v>
      </c>
      <c r="BS71" s="80">
        <f t="shared" si="42"/>
        <v>0</v>
      </c>
      <c r="BT71" s="80">
        <f t="shared" si="43"/>
        <v>0</v>
      </c>
      <c r="BU71" s="80">
        <f t="shared" si="43"/>
        <v>0</v>
      </c>
      <c r="BV71" s="80">
        <f t="shared" si="43"/>
        <v>0</v>
      </c>
      <c r="BW71" s="80">
        <f t="shared" si="44"/>
        <v>44.1</v>
      </c>
    </row>
    <row r="72" spans="1:75" x14ac:dyDescent="0.25">
      <c r="A72" s="83" t="s">
        <v>93</v>
      </c>
      <c r="B72" s="75">
        <v>5.3</v>
      </c>
      <c r="C72" s="75">
        <v>5.3</v>
      </c>
      <c r="D72" s="75">
        <v>5.3</v>
      </c>
      <c r="E72" s="75">
        <v>5.3</v>
      </c>
      <c r="F72" s="75">
        <v>5.3</v>
      </c>
      <c r="G72" s="75">
        <v>5.3</v>
      </c>
      <c r="H72" s="75">
        <v>5.3</v>
      </c>
      <c r="I72" s="75">
        <v>5.3</v>
      </c>
      <c r="J72" s="75">
        <v>5.3</v>
      </c>
      <c r="K72" s="75">
        <v>5.3</v>
      </c>
      <c r="L72" s="75">
        <v>5.3</v>
      </c>
      <c r="M72" s="75">
        <v>5.3</v>
      </c>
      <c r="N72" s="75">
        <v>5.3</v>
      </c>
      <c r="O72" s="75">
        <v>5.3</v>
      </c>
      <c r="P72" s="75">
        <v>5.3</v>
      </c>
      <c r="Q72" s="75">
        <v>5.3</v>
      </c>
      <c r="R72" s="75">
        <v>5.3</v>
      </c>
      <c r="S72" s="75">
        <v>5.3</v>
      </c>
      <c r="T72" s="75">
        <v>5.3</v>
      </c>
      <c r="U72" s="75">
        <v>5.3</v>
      </c>
      <c r="V72" s="75">
        <v>5.3</v>
      </c>
      <c r="W72" s="75">
        <v>5.3</v>
      </c>
      <c r="X72" s="75">
        <v>5.3</v>
      </c>
      <c r="Y72" s="75">
        <v>5.3</v>
      </c>
      <c r="Z72" s="75">
        <v>5.3</v>
      </c>
      <c r="AA72" s="75">
        <v>5.3</v>
      </c>
      <c r="AB72" s="75">
        <v>5.3</v>
      </c>
      <c r="AC72" s="75">
        <v>5.3</v>
      </c>
      <c r="AD72" s="75">
        <v>5.3</v>
      </c>
      <c r="AE72" s="75">
        <v>5.3</v>
      </c>
      <c r="AF72" s="75">
        <v>5.3</v>
      </c>
      <c r="AG72" s="65">
        <v>14</v>
      </c>
      <c r="AH72" s="48">
        <f t="shared" si="10"/>
        <v>5.3</v>
      </c>
      <c r="AI72" s="49">
        <f t="shared" si="11"/>
        <v>5.3</v>
      </c>
      <c r="AK72" s="51"/>
      <c r="AY72" s="1" t="s">
        <v>94</v>
      </c>
      <c r="AZ72" s="81">
        <f>ROUND(C85,0)</f>
        <v>122</v>
      </c>
      <c r="BA72" s="80">
        <f t="shared" si="36"/>
        <v>122.1</v>
      </c>
      <c r="BB72" s="80">
        <f t="shared" si="36"/>
        <v>117.8</v>
      </c>
      <c r="BC72" s="80">
        <f t="shared" si="36"/>
        <v>124</v>
      </c>
      <c r="BD72" s="80">
        <f t="shared" si="36"/>
        <v>124.7</v>
      </c>
      <c r="BE72" s="81">
        <f t="shared" si="38"/>
        <v>119</v>
      </c>
      <c r="BF72" s="81">
        <f t="shared" si="39"/>
        <v>133.9</v>
      </c>
      <c r="BG72" s="81">
        <f t="shared" si="37"/>
        <v>126.8</v>
      </c>
      <c r="BH72" s="81">
        <f t="shared" si="37"/>
        <v>114.1</v>
      </c>
      <c r="BI72" s="81">
        <f t="shared" si="37"/>
        <v>136.30000000000001</v>
      </c>
      <c r="BJ72" s="81">
        <f t="shared" si="37"/>
        <v>136.4</v>
      </c>
      <c r="BK72" s="81">
        <f t="shared" si="37"/>
        <v>105.3</v>
      </c>
      <c r="BL72" s="81">
        <f t="shared" si="37"/>
        <v>118.9</v>
      </c>
      <c r="BM72" s="81">
        <f t="shared" si="37"/>
        <v>133.19999999999999</v>
      </c>
      <c r="BN72" s="81">
        <f t="shared" si="37"/>
        <v>130.30000000000001</v>
      </c>
      <c r="BO72" s="81">
        <f t="shared" si="37"/>
        <v>127.1</v>
      </c>
      <c r="BP72" s="81">
        <f t="shared" si="37"/>
        <v>111.8</v>
      </c>
      <c r="BQ72" s="81">
        <f t="shared" si="40"/>
        <v>0</v>
      </c>
      <c r="BR72" s="81">
        <f t="shared" si="41"/>
        <v>0</v>
      </c>
      <c r="BS72" s="80">
        <f t="shared" si="42"/>
        <v>0</v>
      </c>
      <c r="BT72" s="80">
        <f t="shared" si="43"/>
        <v>0</v>
      </c>
      <c r="BU72" s="80">
        <f t="shared" si="43"/>
        <v>0</v>
      </c>
      <c r="BV72" s="80">
        <f t="shared" si="43"/>
        <v>0</v>
      </c>
      <c r="BW72" s="80">
        <f t="shared" si="44"/>
        <v>128.30000000000001</v>
      </c>
    </row>
    <row r="73" spans="1:75" x14ac:dyDescent="0.25">
      <c r="A73" s="64" t="s">
        <v>95</v>
      </c>
      <c r="B73" s="75">
        <v>4</v>
      </c>
      <c r="C73" s="75">
        <v>4</v>
      </c>
      <c r="D73" s="75">
        <v>4</v>
      </c>
      <c r="E73" s="75">
        <v>4</v>
      </c>
      <c r="F73" s="75">
        <v>4</v>
      </c>
      <c r="G73" s="75">
        <v>4</v>
      </c>
      <c r="H73" s="75">
        <v>4</v>
      </c>
      <c r="I73" s="75">
        <v>4</v>
      </c>
      <c r="J73" s="75">
        <v>4</v>
      </c>
      <c r="K73" s="75">
        <v>4</v>
      </c>
      <c r="L73" s="75">
        <v>4</v>
      </c>
      <c r="M73" s="75">
        <v>4</v>
      </c>
      <c r="N73" s="75">
        <v>4</v>
      </c>
      <c r="O73" s="75">
        <v>4</v>
      </c>
      <c r="P73" s="75">
        <v>4</v>
      </c>
      <c r="Q73" s="75">
        <v>4</v>
      </c>
      <c r="R73" s="75">
        <v>4</v>
      </c>
      <c r="S73" s="75">
        <v>4</v>
      </c>
      <c r="T73" s="75">
        <v>4</v>
      </c>
      <c r="U73" s="75">
        <v>4</v>
      </c>
      <c r="V73" s="75">
        <v>4</v>
      </c>
      <c r="W73" s="75">
        <v>4</v>
      </c>
      <c r="X73" s="75">
        <v>4</v>
      </c>
      <c r="Y73" s="75">
        <v>4</v>
      </c>
      <c r="Z73" s="75">
        <v>4</v>
      </c>
      <c r="AA73" s="75">
        <v>4</v>
      </c>
      <c r="AB73" s="75">
        <v>4</v>
      </c>
      <c r="AC73" s="75">
        <v>4</v>
      </c>
      <c r="AD73" s="75">
        <v>4</v>
      </c>
      <c r="AE73" s="75">
        <v>4</v>
      </c>
      <c r="AF73" s="75">
        <v>4</v>
      </c>
      <c r="AG73" s="65">
        <v>10.050000000000001</v>
      </c>
      <c r="AH73" s="48">
        <f t="shared" si="10"/>
        <v>4</v>
      </c>
      <c r="AI73" s="49">
        <f t="shared" si="11"/>
        <v>4</v>
      </c>
      <c r="AK73" s="51"/>
      <c r="AY73" s="1" t="s">
        <v>96</v>
      </c>
      <c r="AZ73" s="81">
        <f>ROUND(C91,0)</f>
        <v>43</v>
      </c>
      <c r="BA73" s="81">
        <f>D91</f>
        <v>45.3</v>
      </c>
      <c r="BB73" s="81">
        <f>E91</f>
        <v>55.5</v>
      </c>
      <c r="BC73" s="81">
        <f>F91</f>
        <v>55.5</v>
      </c>
      <c r="BD73" s="81">
        <f>G91</f>
        <v>55.5</v>
      </c>
      <c r="BE73" s="81">
        <f>I91</f>
        <v>55.5</v>
      </c>
      <c r="BF73" s="81">
        <f>K91</f>
        <v>55.5</v>
      </c>
      <c r="BG73" s="81">
        <f t="shared" ref="BG73:BP73" si="45">M91</f>
        <v>55.5</v>
      </c>
      <c r="BH73" s="81">
        <f t="shared" si="45"/>
        <v>55</v>
      </c>
      <c r="BI73" s="81">
        <f t="shared" si="45"/>
        <v>55.5</v>
      </c>
      <c r="BJ73" s="81">
        <f t="shared" si="45"/>
        <v>55.5</v>
      </c>
      <c r="BK73" s="81">
        <f t="shared" si="45"/>
        <v>55</v>
      </c>
      <c r="BL73" s="81">
        <f t="shared" si="45"/>
        <v>55</v>
      </c>
      <c r="BM73" s="81">
        <f t="shared" si="45"/>
        <v>55.5</v>
      </c>
      <c r="BN73" s="81">
        <f t="shared" si="45"/>
        <v>55.5</v>
      </c>
      <c r="BO73" s="81">
        <f t="shared" si="45"/>
        <v>51.8</v>
      </c>
      <c r="BP73" s="81">
        <f t="shared" si="45"/>
        <v>49.6</v>
      </c>
      <c r="BQ73" s="81">
        <f>X91</f>
        <v>48.5</v>
      </c>
      <c r="BR73" s="81">
        <f>Z91</f>
        <v>43.2</v>
      </c>
      <c r="BS73" s="81">
        <f>AB91</f>
        <v>41</v>
      </c>
      <c r="BT73" s="81">
        <f>AD91</f>
        <v>45.5</v>
      </c>
      <c r="BU73" s="81">
        <f>AE91</f>
        <v>45.5</v>
      </c>
      <c r="BV73" s="81">
        <f>AF91</f>
        <v>50</v>
      </c>
      <c r="BW73" s="81">
        <f>B91</f>
        <v>45.9</v>
      </c>
    </row>
    <row r="74" spans="1:75" x14ac:dyDescent="0.25">
      <c r="A74" s="64" t="s">
        <v>97</v>
      </c>
      <c r="B74" s="75">
        <v>2</v>
      </c>
      <c r="C74" s="75">
        <v>2</v>
      </c>
      <c r="D74" s="75">
        <v>2</v>
      </c>
      <c r="E74" s="75">
        <v>2</v>
      </c>
      <c r="F74" s="75">
        <v>2</v>
      </c>
      <c r="G74" s="75">
        <v>2</v>
      </c>
      <c r="H74" s="75">
        <v>2</v>
      </c>
      <c r="I74" s="75">
        <v>2</v>
      </c>
      <c r="J74" s="75">
        <v>2</v>
      </c>
      <c r="K74" s="75">
        <v>2</v>
      </c>
      <c r="L74" s="75">
        <v>2</v>
      </c>
      <c r="M74" s="75">
        <v>2</v>
      </c>
      <c r="N74" s="75">
        <v>2</v>
      </c>
      <c r="O74" s="75">
        <v>2</v>
      </c>
      <c r="P74" s="75">
        <v>2</v>
      </c>
      <c r="Q74" s="75">
        <v>2</v>
      </c>
      <c r="R74" s="75">
        <v>2</v>
      </c>
      <c r="S74" s="75">
        <v>2</v>
      </c>
      <c r="T74" s="75">
        <v>2</v>
      </c>
      <c r="U74" s="75">
        <v>2</v>
      </c>
      <c r="V74" s="75">
        <v>2</v>
      </c>
      <c r="W74" s="75">
        <v>2</v>
      </c>
      <c r="X74" s="75">
        <v>2</v>
      </c>
      <c r="Y74" s="75">
        <v>2</v>
      </c>
      <c r="Z74" s="75">
        <v>2</v>
      </c>
      <c r="AA74" s="75">
        <v>2</v>
      </c>
      <c r="AB74" s="75">
        <v>2</v>
      </c>
      <c r="AC74" s="75">
        <v>2</v>
      </c>
      <c r="AD74" s="75">
        <v>2</v>
      </c>
      <c r="AE74" s="75">
        <v>2</v>
      </c>
      <c r="AF74" s="75">
        <v>2</v>
      </c>
      <c r="AG74" s="65">
        <v>6.2</v>
      </c>
      <c r="AH74" s="48">
        <f t="shared" si="10"/>
        <v>2</v>
      </c>
      <c r="AI74" s="49">
        <f t="shared" si="11"/>
        <v>2</v>
      </c>
      <c r="AK74" s="51"/>
      <c r="AZ74" s="81"/>
      <c r="BA74" s="80"/>
      <c r="BB74" s="80"/>
      <c r="BC74" s="80"/>
      <c r="BD74" s="80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0"/>
      <c r="BT74" s="80"/>
      <c r="BU74" s="80"/>
      <c r="BV74" s="80"/>
      <c r="BW74" s="80"/>
    </row>
    <row r="75" spans="1:75" ht="15.75" thickBot="1" x14ac:dyDescent="0.3">
      <c r="A75" s="66" t="s">
        <v>98</v>
      </c>
      <c r="B75" s="84">
        <v>3.54</v>
      </c>
      <c r="C75" s="84">
        <v>3.54</v>
      </c>
      <c r="D75" s="84">
        <v>3.54</v>
      </c>
      <c r="E75" s="84">
        <v>3.54</v>
      </c>
      <c r="F75" s="84">
        <v>3.54</v>
      </c>
      <c r="G75" s="84">
        <v>3.54</v>
      </c>
      <c r="H75" s="84">
        <v>3.54</v>
      </c>
      <c r="I75" s="84">
        <v>3.54</v>
      </c>
      <c r="J75" s="84">
        <v>3.54</v>
      </c>
      <c r="K75" s="84">
        <v>3.54</v>
      </c>
      <c r="L75" s="84">
        <v>3.54</v>
      </c>
      <c r="M75" s="84">
        <v>3.54</v>
      </c>
      <c r="N75" s="84">
        <v>3.54</v>
      </c>
      <c r="O75" s="84">
        <v>3.54</v>
      </c>
      <c r="P75" s="84">
        <v>3.54</v>
      </c>
      <c r="Q75" s="84">
        <v>3.54</v>
      </c>
      <c r="R75" s="84">
        <v>3.54</v>
      </c>
      <c r="S75" s="84">
        <v>3.54</v>
      </c>
      <c r="T75" s="84">
        <v>3.54</v>
      </c>
      <c r="U75" s="84">
        <v>3.54</v>
      </c>
      <c r="V75" s="84">
        <v>3.54</v>
      </c>
      <c r="W75" s="84">
        <v>3.54</v>
      </c>
      <c r="X75" s="84">
        <v>3.54</v>
      </c>
      <c r="Y75" s="84">
        <v>3.54</v>
      </c>
      <c r="Z75" s="84">
        <v>3.54</v>
      </c>
      <c r="AA75" s="84">
        <v>3.54</v>
      </c>
      <c r="AB75" s="84">
        <v>3.54</v>
      </c>
      <c r="AC75" s="84">
        <v>3.54</v>
      </c>
      <c r="AD75" s="84">
        <v>3.54</v>
      </c>
      <c r="AE75" s="84">
        <v>3.54</v>
      </c>
      <c r="AF75" s="84">
        <v>3.54</v>
      </c>
      <c r="AG75" s="85">
        <f>AG252</f>
        <v>8.56</v>
      </c>
      <c r="AH75" s="48">
        <f t="shared" si="10"/>
        <v>3.54</v>
      </c>
      <c r="AI75" s="49">
        <f t="shared" si="11"/>
        <v>3.54</v>
      </c>
      <c r="AK75" s="51"/>
      <c r="AZ75" s="81">
        <f>VALUE(AZ68)</f>
        <v>26</v>
      </c>
      <c r="BA75" s="81">
        <f t="shared" ref="BA75:BW75" si="46">VALUE(BA68)</f>
        <v>24.9</v>
      </c>
      <c r="BB75" s="81">
        <f t="shared" si="46"/>
        <v>24.7</v>
      </c>
      <c r="BC75" s="81">
        <f t="shared" si="46"/>
        <v>20.5</v>
      </c>
      <c r="BD75" s="81">
        <f t="shared" si="46"/>
        <v>22.4</v>
      </c>
      <c r="BE75" s="81">
        <f t="shared" si="46"/>
        <v>23.9</v>
      </c>
      <c r="BF75" s="81">
        <f t="shared" si="46"/>
        <v>72</v>
      </c>
      <c r="BG75" s="81">
        <f t="shared" si="46"/>
        <v>70.5</v>
      </c>
      <c r="BH75" s="81">
        <f t="shared" si="46"/>
        <v>50.4</v>
      </c>
      <c r="BI75" s="81">
        <f t="shared" si="46"/>
        <v>62</v>
      </c>
      <c r="BJ75" s="81">
        <f t="shared" si="46"/>
        <v>58</v>
      </c>
      <c r="BK75" s="81">
        <f t="shared" si="46"/>
        <v>62.4</v>
      </c>
      <c r="BL75" s="81">
        <f t="shared" si="46"/>
        <v>61.6</v>
      </c>
      <c r="BM75" s="81">
        <f t="shared" si="46"/>
        <v>73.7</v>
      </c>
      <c r="BN75" s="81">
        <f t="shared" si="46"/>
        <v>61.1</v>
      </c>
      <c r="BO75" s="81">
        <f t="shared" si="46"/>
        <v>60.8</v>
      </c>
      <c r="BP75" s="81">
        <f t="shared" si="46"/>
        <v>66.7</v>
      </c>
      <c r="BQ75" s="81">
        <f t="shared" si="46"/>
        <v>61.7</v>
      </c>
      <c r="BR75" s="81">
        <f t="shared" si="46"/>
        <v>32.200000000000003</v>
      </c>
      <c r="BS75" s="81">
        <f t="shared" si="46"/>
        <v>31</v>
      </c>
      <c r="BT75" s="81">
        <f t="shared" si="46"/>
        <v>41.8</v>
      </c>
      <c r="BU75" s="81">
        <f t="shared" si="46"/>
        <v>35</v>
      </c>
      <c r="BV75" s="81">
        <f t="shared" si="46"/>
        <v>39</v>
      </c>
      <c r="BW75" s="81">
        <f t="shared" si="46"/>
        <v>29.3</v>
      </c>
    </row>
    <row r="76" spans="1:75" ht="15.75" thickBot="1" x14ac:dyDescent="0.3">
      <c r="A76" s="86" t="s">
        <v>99</v>
      </c>
      <c r="B76" s="70">
        <f t="shared" ref="B76:AG76" si="47">SUM(B63:B75)</f>
        <v>148.84</v>
      </c>
      <c r="C76" s="70">
        <f t="shared" si="47"/>
        <v>148.94</v>
      </c>
      <c r="D76" s="70">
        <f t="shared" si="47"/>
        <v>73.84</v>
      </c>
      <c r="E76" s="70">
        <f t="shared" si="47"/>
        <v>73.84</v>
      </c>
      <c r="F76" s="70">
        <f t="shared" si="47"/>
        <v>73.84</v>
      </c>
      <c r="G76" s="70">
        <f t="shared" si="47"/>
        <v>76.64</v>
      </c>
      <c r="H76" s="70">
        <f t="shared" si="47"/>
        <v>142.73999999999998</v>
      </c>
      <c r="I76" s="70">
        <f t="shared" si="47"/>
        <v>159.54</v>
      </c>
      <c r="J76" s="70">
        <f t="shared" si="47"/>
        <v>197.24000000000004</v>
      </c>
      <c r="K76" s="70">
        <f t="shared" si="47"/>
        <v>233.04</v>
      </c>
      <c r="L76" s="70">
        <f t="shared" si="47"/>
        <v>246.44</v>
      </c>
      <c r="M76" s="70">
        <f t="shared" si="47"/>
        <v>283.74</v>
      </c>
      <c r="N76" s="70">
        <f t="shared" si="47"/>
        <v>264.94000000000011</v>
      </c>
      <c r="O76" s="70">
        <f t="shared" si="47"/>
        <v>248.74000000000004</v>
      </c>
      <c r="P76" s="70">
        <f t="shared" si="47"/>
        <v>249.84000000000003</v>
      </c>
      <c r="Q76" s="70">
        <f t="shared" si="47"/>
        <v>248.14000000000004</v>
      </c>
      <c r="R76" s="70">
        <f t="shared" si="47"/>
        <v>188.94000000000003</v>
      </c>
      <c r="S76" s="70">
        <f t="shared" si="47"/>
        <v>192.54000000000002</v>
      </c>
      <c r="T76" s="70">
        <f t="shared" si="47"/>
        <v>214.94</v>
      </c>
      <c r="U76" s="70">
        <f t="shared" si="47"/>
        <v>203.84</v>
      </c>
      <c r="V76" s="70">
        <f t="shared" ref="V76:W76" si="48">SUM(V63:V75)</f>
        <v>201.64000000000001</v>
      </c>
      <c r="W76" s="70">
        <f t="shared" si="48"/>
        <v>201.54000000000002</v>
      </c>
      <c r="X76" s="70">
        <f t="shared" ref="X76:Z76" si="49">SUM(X63:X75)</f>
        <v>224.24000000000004</v>
      </c>
      <c r="Y76" s="70">
        <f t="shared" si="49"/>
        <v>370.04000000000008</v>
      </c>
      <c r="Z76" s="70">
        <f t="shared" si="49"/>
        <v>365.94000000000005</v>
      </c>
      <c r="AA76" s="70">
        <f t="shared" ref="AA76" si="50">SUM(AA63:AA75)</f>
        <v>347.94000000000005</v>
      </c>
      <c r="AB76" s="70">
        <f t="shared" si="47"/>
        <v>322.44000000000005</v>
      </c>
      <c r="AC76" s="70">
        <f t="shared" si="47"/>
        <v>313.34000000000003</v>
      </c>
      <c r="AD76" s="70">
        <f t="shared" si="47"/>
        <v>263.94000000000005</v>
      </c>
      <c r="AE76" s="70">
        <f t="shared" si="47"/>
        <v>189.84</v>
      </c>
      <c r="AF76" s="70">
        <f t="shared" si="47"/>
        <v>189.84</v>
      </c>
      <c r="AG76" s="71">
        <f t="shared" si="47"/>
        <v>489.91</v>
      </c>
      <c r="AH76" s="48">
        <f t="shared" si="10"/>
        <v>370.04000000000008</v>
      </c>
      <c r="AI76" s="49">
        <f t="shared" si="11"/>
        <v>73.84</v>
      </c>
      <c r="AK76" s="51"/>
      <c r="AZ76" s="81">
        <f t="shared" ref="AZ76:BW80" si="51">VALUE(AZ69)</f>
        <v>0</v>
      </c>
      <c r="BA76" s="81">
        <f t="shared" si="51"/>
        <v>37</v>
      </c>
      <c r="BB76" s="81">
        <f t="shared" si="51"/>
        <v>47.5</v>
      </c>
      <c r="BC76" s="81">
        <f t="shared" si="51"/>
        <v>48</v>
      </c>
      <c r="BD76" s="81">
        <f t="shared" si="51"/>
        <v>58.4</v>
      </c>
      <c r="BE76" s="81">
        <f t="shared" si="51"/>
        <v>95.5</v>
      </c>
      <c r="BF76" s="81">
        <f t="shared" si="51"/>
        <v>0</v>
      </c>
      <c r="BG76" s="81">
        <f t="shared" si="51"/>
        <v>0</v>
      </c>
      <c r="BH76" s="81">
        <f t="shared" si="51"/>
        <v>89</v>
      </c>
      <c r="BI76" s="81">
        <f t="shared" si="51"/>
        <v>80.7</v>
      </c>
      <c r="BJ76" s="81">
        <f t="shared" si="51"/>
        <v>60</v>
      </c>
      <c r="BK76" s="81">
        <f t="shared" si="51"/>
        <v>76.400000000000006</v>
      </c>
      <c r="BL76" s="81">
        <f t="shared" si="51"/>
        <v>79.2</v>
      </c>
      <c r="BM76" s="81">
        <f t="shared" si="51"/>
        <v>85.7</v>
      </c>
      <c r="BN76" s="81">
        <f t="shared" si="51"/>
        <v>68.2</v>
      </c>
      <c r="BO76" s="81">
        <f t="shared" si="51"/>
        <v>0</v>
      </c>
      <c r="BP76" s="81">
        <f t="shared" si="51"/>
        <v>0</v>
      </c>
      <c r="BQ76" s="81">
        <f t="shared" si="51"/>
        <v>0</v>
      </c>
      <c r="BR76" s="81">
        <f t="shared" si="51"/>
        <v>0</v>
      </c>
      <c r="BS76" s="81">
        <f t="shared" si="51"/>
        <v>0</v>
      </c>
      <c r="BT76" s="81">
        <f t="shared" si="51"/>
        <v>0</v>
      </c>
      <c r="BU76" s="81">
        <f t="shared" si="51"/>
        <v>0</v>
      </c>
      <c r="BV76" s="81">
        <f t="shared" si="51"/>
        <v>0</v>
      </c>
      <c r="BW76" s="81">
        <f t="shared" si="51"/>
        <v>0</v>
      </c>
    </row>
    <row r="77" spans="1:75" x14ac:dyDescent="0.25">
      <c r="A77" s="45" t="s">
        <v>100</v>
      </c>
      <c r="B77" s="46">
        <v>59.9</v>
      </c>
      <c r="C77" s="46">
        <v>59.9</v>
      </c>
      <c r="D77" s="46">
        <v>60</v>
      </c>
      <c r="E77" s="46">
        <v>44.9</v>
      </c>
      <c r="F77" s="46">
        <v>60</v>
      </c>
      <c r="G77" s="46">
        <v>60</v>
      </c>
      <c r="H77" s="46">
        <v>43.5</v>
      </c>
      <c r="I77" s="46">
        <v>44.8</v>
      </c>
      <c r="J77" s="46">
        <v>14</v>
      </c>
      <c r="K77" s="46">
        <v>13.8</v>
      </c>
      <c r="L77" s="46">
        <v>30.2</v>
      </c>
      <c r="M77" s="46">
        <v>30.1</v>
      </c>
      <c r="N77" s="46">
        <v>29.7</v>
      </c>
      <c r="O77" s="46">
        <v>41</v>
      </c>
      <c r="P77" s="46">
        <v>50</v>
      </c>
      <c r="Q77" s="46">
        <v>59.4</v>
      </c>
      <c r="R77" s="46">
        <v>39.6</v>
      </c>
      <c r="S77" s="46">
        <v>39.700000000000003</v>
      </c>
      <c r="T77" s="46">
        <v>45.1</v>
      </c>
      <c r="U77" s="46">
        <v>59.6</v>
      </c>
      <c r="V77" s="46">
        <v>49.3</v>
      </c>
      <c r="W77" s="46">
        <v>54.8</v>
      </c>
      <c r="X77" s="46">
        <v>19.899999999999999</v>
      </c>
      <c r="Y77" s="46">
        <v>59.6</v>
      </c>
      <c r="Z77" s="46">
        <v>59.6</v>
      </c>
      <c r="AA77" s="46">
        <v>59.6</v>
      </c>
      <c r="AB77" s="46">
        <v>59.6</v>
      </c>
      <c r="AC77" s="46">
        <v>59.6</v>
      </c>
      <c r="AD77" s="46">
        <v>59.6</v>
      </c>
      <c r="AE77" s="46">
        <v>59.6</v>
      </c>
      <c r="AF77" s="46">
        <v>59.6</v>
      </c>
      <c r="AG77" s="60">
        <v>60</v>
      </c>
      <c r="AH77" s="48">
        <f t="shared" si="10"/>
        <v>60</v>
      </c>
      <c r="AI77" s="49">
        <f t="shared" si="11"/>
        <v>13.8</v>
      </c>
      <c r="AK77" s="51"/>
      <c r="AZ77" s="81">
        <f t="shared" si="51"/>
        <v>44</v>
      </c>
      <c r="BA77" s="81">
        <f t="shared" si="51"/>
        <v>61.8</v>
      </c>
      <c r="BB77" s="81">
        <f t="shared" si="51"/>
        <v>105.7</v>
      </c>
      <c r="BC77" s="81">
        <f t="shared" si="51"/>
        <v>87.9</v>
      </c>
      <c r="BD77" s="81">
        <f t="shared" si="51"/>
        <v>86.4</v>
      </c>
      <c r="BE77" s="81">
        <f t="shared" si="51"/>
        <v>84.9</v>
      </c>
      <c r="BF77" s="81">
        <f t="shared" si="51"/>
        <v>473</v>
      </c>
      <c r="BG77" s="81">
        <f t="shared" si="51"/>
        <v>519.29999999999995</v>
      </c>
      <c r="BH77" s="81">
        <f t="shared" si="51"/>
        <v>456.9</v>
      </c>
      <c r="BI77" s="81">
        <f t="shared" si="51"/>
        <v>480</v>
      </c>
      <c r="BJ77" s="81">
        <f t="shared" si="51"/>
        <v>492</v>
      </c>
      <c r="BK77" s="81">
        <f t="shared" si="51"/>
        <v>470</v>
      </c>
      <c r="BL77" s="81">
        <f t="shared" si="51"/>
        <v>469</v>
      </c>
      <c r="BM77" s="81">
        <f t="shared" si="51"/>
        <v>436</v>
      </c>
      <c r="BN77" s="81">
        <f t="shared" si="51"/>
        <v>440</v>
      </c>
      <c r="BO77" s="81">
        <f t="shared" si="51"/>
        <v>492.4</v>
      </c>
      <c r="BP77" s="81">
        <f t="shared" si="51"/>
        <v>474.1</v>
      </c>
      <c r="BQ77" s="81">
        <f t="shared" si="51"/>
        <v>425.7</v>
      </c>
      <c r="BR77" s="81">
        <f t="shared" si="51"/>
        <v>47.9</v>
      </c>
      <c r="BS77" s="81">
        <f t="shared" si="51"/>
        <v>60</v>
      </c>
      <c r="BT77" s="81">
        <f t="shared" si="51"/>
        <v>86.1</v>
      </c>
      <c r="BU77" s="81">
        <f t="shared" si="51"/>
        <v>68</v>
      </c>
      <c r="BV77" s="81">
        <f t="shared" si="51"/>
        <v>114</v>
      </c>
      <c r="BW77" s="81">
        <f t="shared" si="51"/>
        <v>40.799999999999997</v>
      </c>
    </row>
    <row r="78" spans="1:75" x14ac:dyDescent="0.25">
      <c r="A78" s="64" t="s">
        <v>101</v>
      </c>
      <c r="B78" s="75">
        <v>26.5</v>
      </c>
      <c r="C78" s="75">
        <v>27.4</v>
      </c>
      <c r="D78" s="75">
        <v>27.5</v>
      </c>
      <c r="E78" s="75">
        <v>18.899999999999999</v>
      </c>
      <c r="F78" s="75">
        <v>27.8</v>
      </c>
      <c r="G78" s="75">
        <v>27.8</v>
      </c>
      <c r="H78" s="75">
        <v>27.6</v>
      </c>
      <c r="I78" s="75">
        <v>18.7</v>
      </c>
      <c r="J78" s="75">
        <v>7.3</v>
      </c>
      <c r="K78" s="75">
        <v>4.5999999999999996</v>
      </c>
      <c r="L78" s="75">
        <v>11.9</v>
      </c>
      <c r="M78" s="75">
        <v>14.2</v>
      </c>
      <c r="N78" s="75">
        <v>6.7</v>
      </c>
      <c r="O78" s="75">
        <v>21.9</v>
      </c>
      <c r="P78" s="75">
        <v>21.4</v>
      </c>
      <c r="Q78" s="75">
        <v>27.5</v>
      </c>
      <c r="R78" s="75">
        <v>22.2</v>
      </c>
      <c r="S78" s="75">
        <v>15</v>
      </c>
      <c r="T78" s="75">
        <v>17.7</v>
      </c>
      <c r="U78" s="75">
        <v>25.8</v>
      </c>
      <c r="V78" s="75">
        <v>21.9</v>
      </c>
      <c r="W78" s="75">
        <v>22</v>
      </c>
      <c r="X78" s="75">
        <v>9.3000000000000007</v>
      </c>
      <c r="Y78" s="75">
        <v>26.3</v>
      </c>
      <c r="Z78" s="75">
        <v>26.3</v>
      </c>
      <c r="AA78" s="75">
        <v>26.3</v>
      </c>
      <c r="AB78" s="75">
        <v>26.3</v>
      </c>
      <c r="AC78" s="75">
        <v>26.3</v>
      </c>
      <c r="AD78" s="75">
        <v>26.3</v>
      </c>
      <c r="AE78" s="75">
        <v>26.3</v>
      </c>
      <c r="AF78" s="75">
        <v>26.3</v>
      </c>
      <c r="AG78" s="65">
        <v>32</v>
      </c>
      <c r="AH78" s="48">
        <f t="shared" si="10"/>
        <v>27.8</v>
      </c>
      <c r="AI78" s="49">
        <f t="shared" si="11"/>
        <v>4.5999999999999996</v>
      </c>
      <c r="AK78" s="51"/>
      <c r="AZ78" s="81">
        <f t="shared" si="51"/>
        <v>39</v>
      </c>
      <c r="BA78" s="81">
        <f t="shared" si="51"/>
        <v>51.8</v>
      </c>
      <c r="BB78" s="81">
        <f t="shared" si="51"/>
        <v>50.6</v>
      </c>
      <c r="BC78" s="81">
        <f t="shared" si="51"/>
        <v>39.700000000000003</v>
      </c>
      <c r="BD78" s="81">
        <f t="shared" si="51"/>
        <v>50.4</v>
      </c>
      <c r="BE78" s="81">
        <f t="shared" si="51"/>
        <v>55.2</v>
      </c>
      <c r="BF78" s="81">
        <f t="shared" si="51"/>
        <v>50.7</v>
      </c>
      <c r="BG78" s="81">
        <f t="shared" si="51"/>
        <v>47.5</v>
      </c>
      <c r="BH78" s="81">
        <f t="shared" si="51"/>
        <v>48</v>
      </c>
      <c r="BI78" s="81">
        <f t="shared" si="51"/>
        <v>0</v>
      </c>
      <c r="BJ78" s="81">
        <f t="shared" si="51"/>
        <v>0</v>
      </c>
      <c r="BK78" s="81">
        <f t="shared" si="51"/>
        <v>51.5</v>
      </c>
      <c r="BL78" s="81">
        <f t="shared" si="51"/>
        <v>53.5</v>
      </c>
      <c r="BM78" s="81">
        <f t="shared" si="51"/>
        <v>53.2</v>
      </c>
      <c r="BN78" s="81">
        <f t="shared" si="51"/>
        <v>54.7</v>
      </c>
      <c r="BO78" s="81">
        <f t="shared" si="51"/>
        <v>57</v>
      </c>
      <c r="BP78" s="81">
        <f t="shared" si="51"/>
        <v>49.96</v>
      </c>
      <c r="BQ78" s="81">
        <f t="shared" si="51"/>
        <v>42.8</v>
      </c>
      <c r="BR78" s="81">
        <f t="shared" si="51"/>
        <v>0</v>
      </c>
      <c r="BS78" s="81">
        <f t="shared" si="51"/>
        <v>0</v>
      </c>
      <c r="BT78" s="81">
        <f t="shared" si="51"/>
        <v>0</v>
      </c>
      <c r="BU78" s="81">
        <f t="shared" si="51"/>
        <v>0</v>
      </c>
      <c r="BV78" s="81">
        <f t="shared" si="51"/>
        <v>0</v>
      </c>
      <c r="BW78" s="81">
        <f t="shared" si="51"/>
        <v>44.1</v>
      </c>
    </row>
    <row r="79" spans="1:75" ht="15.75" thickBot="1" x14ac:dyDescent="0.3">
      <c r="A79" s="83" t="s">
        <v>102</v>
      </c>
      <c r="B79" s="77">
        <v>9.6999999999999993</v>
      </c>
      <c r="C79" s="77">
        <v>10</v>
      </c>
      <c r="D79" s="77">
        <v>10</v>
      </c>
      <c r="E79" s="77">
        <v>8</v>
      </c>
      <c r="F79" s="77">
        <v>11</v>
      </c>
      <c r="G79" s="77">
        <v>11</v>
      </c>
      <c r="H79" s="77">
        <v>10</v>
      </c>
      <c r="I79" s="77">
        <v>6.8</v>
      </c>
      <c r="J79" s="77">
        <v>2.7</v>
      </c>
      <c r="K79" s="77">
        <v>1.7</v>
      </c>
      <c r="L79" s="77">
        <v>4.3</v>
      </c>
      <c r="M79" s="77">
        <v>5.2</v>
      </c>
      <c r="N79" s="77">
        <v>2.4</v>
      </c>
      <c r="O79" s="77">
        <v>8</v>
      </c>
      <c r="P79" s="77">
        <v>7.8</v>
      </c>
      <c r="Q79" s="77">
        <v>10.1</v>
      </c>
      <c r="R79" s="77">
        <v>8.1</v>
      </c>
      <c r="S79" s="77">
        <v>5.5</v>
      </c>
      <c r="T79" s="77">
        <v>6.5</v>
      </c>
      <c r="U79" s="77">
        <v>9.6</v>
      </c>
      <c r="V79" s="77">
        <v>8</v>
      </c>
      <c r="W79" s="77">
        <v>8</v>
      </c>
      <c r="X79" s="77">
        <v>3.5</v>
      </c>
      <c r="Y79" s="77">
        <v>9.6</v>
      </c>
      <c r="Z79" s="77">
        <v>9.6</v>
      </c>
      <c r="AA79" s="77">
        <v>9.6</v>
      </c>
      <c r="AB79" s="77">
        <v>9.6</v>
      </c>
      <c r="AC79" s="77">
        <v>9.6</v>
      </c>
      <c r="AD79" s="77">
        <v>9.6</v>
      </c>
      <c r="AE79" s="77">
        <v>9.6</v>
      </c>
      <c r="AF79" s="77">
        <v>9.6</v>
      </c>
      <c r="AG79" s="78">
        <v>14</v>
      </c>
      <c r="AH79" s="48">
        <f t="shared" si="10"/>
        <v>11</v>
      </c>
      <c r="AI79" s="49">
        <f t="shared" si="11"/>
        <v>1.7</v>
      </c>
      <c r="AK79" s="51"/>
      <c r="AZ79" s="81">
        <f t="shared" si="51"/>
        <v>122</v>
      </c>
      <c r="BA79" s="81">
        <f t="shared" si="51"/>
        <v>122.1</v>
      </c>
      <c r="BB79" s="81">
        <f t="shared" si="51"/>
        <v>117.8</v>
      </c>
      <c r="BC79" s="81">
        <f t="shared" si="51"/>
        <v>124</v>
      </c>
      <c r="BD79" s="81">
        <f t="shared" si="51"/>
        <v>124.7</v>
      </c>
      <c r="BE79" s="81">
        <f t="shared" si="51"/>
        <v>119</v>
      </c>
      <c r="BF79" s="81">
        <f t="shared" si="51"/>
        <v>133.9</v>
      </c>
      <c r="BG79" s="81">
        <f t="shared" si="51"/>
        <v>126.8</v>
      </c>
      <c r="BH79" s="81">
        <f t="shared" si="51"/>
        <v>114.1</v>
      </c>
      <c r="BI79" s="81">
        <f t="shared" si="51"/>
        <v>136.30000000000001</v>
      </c>
      <c r="BJ79" s="81">
        <f t="shared" si="51"/>
        <v>136.4</v>
      </c>
      <c r="BK79" s="81">
        <f t="shared" si="51"/>
        <v>105.3</v>
      </c>
      <c r="BL79" s="81">
        <f t="shared" si="51"/>
        <v>118.9</v>
      </c>
      <c r="BM79" s="81">
        <f t="shared" si="51"/>
        <v>133.19999999999999</v>
      </c>
      <c r="BN79" s="81">
        <f t="shared" si="51"/>
        <v>130.30000000000001</v>
      </c>
      <c r="BO79" s="81">
        <f t="shared" si="51"/>
        <v>127.1</v>
      </c>
      <c r="BP79" s="81">
        <f t="shared" si="51"/>
        <v>111.8</v>
      </c>
      <c r="BQ79" s="81">
        <f t="shared" si="51"/>
        <v>0</v>
      </c>
      <c r="BR79" s="81">
        <f t="shared" si="51"/>
        <v>0</v>
      </c>
      <c r="BS79" s="81">
        <f t="shared" si="51"/>
        <v>0</v>
      </c>
      <c r="BT79" s="81">
        <f t="shared" si="51"/>
        <v>0</v>
      </c>
      <c r="BU79" s="81">
        <f t="shared" si="51"/>
        <v>0</v>
      </c>
      <c r="BV79" s="81">
        <f t="shared" si="51"/>
        <v>0</v>
      </c>
      <c r="BW79" s="81">
        <f t="shared" si="51"/>
        <v>128.30000000000001</v>
      </c>
    </row>
    <row r="80" spans="1:75" ht="15.75" thickBot="1" x14ac:dyDescent="0.3">
      <c r="A80" s="86" t="s">
        <v>103</v>
      </c>
      <c r="B80" s="70">
        <f t="shared" ref="B80:AF80" si="52">B77+B78+B79</f>
        <v>96.100000000000009</v>
      </c>
      <c r="C80" s="70">
        <f t="shared" si="52"/>
        <v>97.3</v>
      </c>
      <c r="D80" s="70">
        <f t="shared" si="52"/>
        <v>97.5</v>
      </c>
      <c r="E80" s="70">
        <f t="shared" si="52"/>
        <v>71.8</v>
      </c>
      <c r="F80" s="70">
        <f t="shared" si="52"/>
        <v>98.8</v>
      </c>
      <c r="G80" s="70">
        <f t="shared" si="52"/>
        <v>98.8</v>
      </c>
      <c r="H80" s="70">
        <f t="shared" si="52"/>
        <v>81.099999999999994</v>
      </c>
      <c r="I80" s="70">
        <f t="shared" si="52"/>
        <v>70.3</v>
      </c>
      <c r="J80" s="70">
        <f t="shared" si="52"/>
        <v>24</v>
      </c>
      <c r="K80" s="70">
        <f t="shared" si="52"/>
        <v>20.099999999999998</v>
      </c>
      <c r="L80" s="70">
        <f t="shared" si="52"/>
        <v>46.4</v>
      </c>
      <c r="M80" s="70">
        <f t="shared" si="52"/>
        <v>49.5</v>
      </c>
      <c r="N80" s="70">
        <f t="shared" si="52"/>
        <v>38.799999999999997</v>
      </c>
      <c r="O80" s="70">
        <f t="shared" si="52"/>
        <v>70.900000000000006</v>
      </c>
      <c r="P80" s="70">
        <f t="shared" si="52"/>
        <v>79.2</v>
      </c>
      <c r="Q80" s="70">
        <f t="shared" si="52"/>
        <v>97</v>
      </c>
      <c r="R80" s="70">
        <f t="shared" si="52"/>
        <v>69.899999999999991</v>
      </c>
      <c r="S80" s="70">
        <f t="shared" si="52"/>
        <v>60.2</v>
      </c>
      <c r="T80" s="70">
        <f t="shared" si="52"/>
        <v>69.3</v>
      </c>
      <c r="U80" s="70">
        <f t="shared" si="52"/>
        <v>95</v>
      </c>
      <c r="V80" s="70">
        <f t="shared" ref="V80:W80" si="53">V77+V78+V79</f>
        <v>79.199999999999989</v>
      </c>
      <c r="W80" s="70">
        <f t="shared" si="53"/>
        <v>84.8</v>
      </c>
      <c r="X80" s="70">
        <f t="shared" ref="X80:Z80" si="54">X77+X78+X79</f>
        <v>32.700000000000003</v>
      </c>
      <c r="Y80" s="70">
        <f t="shared" si="54"/>
        <v>95.5</v>
      </c>
      <c r="Z80" s="70">
        <f t="shared" si="54"/>
        <v>95.5</v>
      </c>
      <c r="AA80" s="70">
        <f t="shared" ref="AA80" si="55">AA77+AA78+AA79</f>
        <v>95.5</v>
      </c>
      <c r="AB80" s="70">
        <f t="shared" si="52"/>
        <v>95.5</v>
      </c>
      <c r="AC80" s="70">
        <f t="shared" si="52"/>
        <v>95.5</v>
      </c>
      <c r="AD80" s="70">
        <f t="shared" si="52"/>
        <v>95.5</v>
      </c>
      <c r="AE80" s="70">
        <f t="shared" si="52"/>
        <v>95.5</v>
      </c>
      <c r="AF80" s="70">
        <f t="shared" si="52"/>
        <v>95.5</v>
      </c>
      <c r="AG80" s="71">
        <f>SUM(AG77:AG79)</f>
        <v>106</v>
      </c>
      <c r="AH80" s="48">
        <f t="shared" si="10"/>
        <v>98.8</v>
      </c>
      <c r="AI80" s="49">
        <f t="shared" si="11"/>
        <v>20.099999999999998</v>
      </c>
      <c r="AK80" s="51"/>
      <c r="AZ80" s="81">
        <f t="shared" si="51"/>
        <v>43</v>
      </c>
      <c r="BA80" s="81">
        <f t="shared" si="51"/>
        <v>45.3</v>
      </c>
      <c r="BB80" s="81">
        <f t="shared" si="51"/>
        <v>55.5</v>
      </c>
      <c r="BC80" s="81">
        <f t="shared" si="51"/>
        <v>55.5</v>
      </c>
      <c r="BD80" s="81">
        <f t="shared" si="51"/>
        <v>55.5</v>
      </c>
      <c r="BE80" s="81">
        <f t="shared" si="51"/>
        <v>55.5</v>
      </c>
      <c r="BF80" s="81">
        <f t="shared" si="51"/>
        <v>55.5</v>
      </c>
      <c r="BG80" s="81">
        <f t="shared" si="51"/>
        <v>55.5</v>
      </c>
      <c r="BH80" s="81">
        <f t="shared" si="51"/>
        <v>55</v>
      </c>
      <c r="BI80" s="81">
        <f t="shared" si="51"/>
        <v>55.5</v>
      </c>
      <c r="BJ80" s="81">
        <f t="shared" si="51"/>
        <v>55.5</v>
      </c>
      <c r="BK80" s="81">
        <f t="shared" si="51"/>
        <v>55</v>
      </c>
      <c r="BL80" s="81">
        <f t="shared" si="51"/>
        <v>55</v>
      </c>
      <c r="BM80" s="81">
        <f t="shared" si="51"/>
        <v>55.5</v>
      </c>
      <c r="BN80" s="81">
        <f t="shared" si="51"/>
        <v>55.5</v>
      </c>
      <c r="BO80" s="81">
        <f t="shared" si="51"/>
        <v>51.8</v>
      </c>
      <c r="BP80" s="81">
        <f t="shared" si="51"/>
        <v>49.6</v>
      </c>
      <c r="BQ80" s="81">
        <f t="shared" si="51"/>
        <v>48.5</v>
      </c>
      <c r="BR80" s="81">
        <f t="shared" si="51"/>
        <v>43.2</v>
      </c>
      <c r="BS80" s="81">
        <f t="shared" si="51"/>
        <v>41</v>
      </c>
      <c r="BT80" s="81">
        <f t="shared" si="51"/>
        <v>45.5</v>
      </c>
      <c r="BU80" s="81">
        <f t="shared" si="51"/>
        <v>45.5</v>
      </c>
      <c r="BV80" s="81">
        <f t="shared" si="51"/>
        <v>50</v>
      </c>
      <c r="BW80" s="81">
        <f t="shared" si="51"/>
        <v>45.9</v>
      </c>
    </row>
    <row r="81" spans="1:64" x14ac:dyDescent="0.25">
      <c r="A81" s="45" t="s">
        <v>104</v>
      </c>
      <c r="B81" s="46">
        <v>29.3</v>
      </c>
      <c r="C81" s="46">
        <v>26.3</v>
      </c>
      <c r="D81" s="46">
        <v>24.9</v>
      </c>
      <c r="E81" s="46">
        <v>24.7</v>
      </c>
      <c r="F81" s="46">
        <v>20.5</v>
      </c>
      <c r="G81" s="46">
        <v>22.4</v>
      </c>
      <c r="H81" s="46">
        <v>24.7</v>
      </c>
      <c r="I81" s="46">
        <v>23.9</v>
      </c>
      <c r="J81" s="46">
        <v>63.6</v>
      </c>
      <c r="K81" s="46">
        <v>72</v>
      </c>
      <c r="L81" s="46">
        <v>67.599999999999994</v>
      </c>
      <c r="M81" s="46">
        <v>70.5</v>
      </c>
      <c r="N81" s="46">
        <v>50.4</v>
      </c>
      <c r="O81" s="46">
        <v>62</v>
      </c>
      <c r="P81" s="46">
        <v>58</v>
      </c>
      <c r="Q81" s="46">
        <v>62.4</v>
      </c>
      <c r="R81" s="46">
        <v>61.6</v>
      </c>
      <c r="S81" s="46">
        <v>73.7</v>
      </c>
      <c r="T81" s="46">
        <v>61.1</v>
      </c>
      <c r="U81" s="46">
        <v>60.8</v>
      </c>
      <c r="V81" s="46">
        <v>66.7</v>
      </c>
      <c r="W81" s="46">
        <v>69.739999999999995</v>
      </c>
      <c r="X81" s="46">
        <v>61.7</v>
      </c>
      <c r="Y81" s="46">
        <v>27.4</v>
      </c>
      <c r="Z81" s="46">
        <v>32.200000000000003</v>
      </c>
      <c r="AA81" s="46">
        <v>19.2</v>
      </c>
      <c r="AB81" s="46">
        <v>31</v>
      </c>
      <c r="AC81" s="46">
        <v>41.6</v>
      </c>
      <c r="AD81" s="46">
        <v>41.8</v>
      </c>
      <c r="AE81" s="46">
        <v>35</v>
      </c>
      <c r="AF81" s="46">
        <v>39</v>
      </c>
      <c r="AG81" s="60"/>
      <c r="AH81" s="48">
        <f t="shared" si="10"/>
        <v>73.7</v>
      </c>
      <c r="AI81" s="49">
        <f t="shared" si="11"/>
        <v>19.2</v>
      </c>
      <c r="AK81" s="51"/>
      <c r="AY81" s="81"/>
    </row>
    <row r="82" spans="1:64" x14ac:dyDescent="0.25">
      <c r="A82" s="64" t="s">
        <v>105</v>
      </c>
      <c r="B82" s="75">
        <v>0</v>
      </c>
      <c r="C82" s="75">
        <v>0</v>
      </c>
      <c r="D82" s="75">
        <v>37</v>
      </c>
      <c r="E82" s="75">
        <v>47.5</v>
      </c>
      <c r="F82" s="75">
        <v>48</v>
      </c>
      <c r="G82" s="75">
        <v>58.4</v>
      </c>
      <c r="H82" s="75">
        <v>71</v>
      </c>
      <c r="I82" s="75">
        <v>95.5</v>
      </c>
      <c r="J82" s="75">
        <v>0</v>
      </c>
      <c r="K82" s="75">
        <v>0</v>
      </c>
      <c r="L82" s="75">
        <v>0</v>
      </c>
      <c r="M82" s="75">
        <v>0</v>
      </c>
      <c r="N82" s="75">
        <v>89</v>
      </c>
      <c r="O82" s="75">
        <v>80.7</v>
      </c>
      <c r="P82" s="75">
        <v>60</v>
      </c>
      <c r="Q82" s="75">
        <v>76.400000000000006</v>
      </c>
      <c r="R82" s="75">
        <v>79.2</v>
      </c>
      <c r="S82" s="75">
        <v>85.7</v>
      </c>
      <c r="T82" s="75">
        <v>68.2</v>
      </c>
      <c r="U82" s="75">
        <v>0</v>
      </c>
      <c r="V82" s="75">
        <v>0</v>
      </c>
      <c r="W82" s="75">
        <v>0</v>
      </c>
      <c r="X82" s="75">
        <v>0</v>
      </c>
      <c r="Y82" s="75">
        <v>0</v>
      </c>
      <c r="Z82" s="75">
        <v>0</v>
      </c>
      <c r="AA82" s="75">
        <v>0</v>
      </c>
      <c r="AB82" s="75">
        <v>0</v>
      </c>
      <c r="AC82" s="75">
        <v>0</v>
      </c>
      <c r="AD82" s="75">
        <v>0</v>
      </c>
      <c r="AE82" s="75">
        <v>0</v>
      </c>
      <c r="AF82" s="75"/>
      <c r="AG82" s="65"/>
      <c r="AH82" s="48">
        <f t="shared" ref="AH82:AH125" si="56">MAX(B82:AF82)</f>
        <v>95.5</v>
      </c>
      <c r="AI82" s="49">
        <f t="shared" ref="AI82:AI125" si="57">MIN(B82:AF82)</f>
        <v>0</v>
      </c>
      <c r="AK82" s="51"/>
      <c r="AY82" s="81"/>
      <c r="BF82" s="81"/>
      <c r="BG82" s="81"/>
      <c r="BH82" s="81"/>
      <c r="BI82" s="81"/>
      <c r="BJ82" s="81"/>
      <c r="BK82" s="81"/>
    </row>
    <row r="83" spans="1:64" x14ac:dyDescent="0.25">
      <c r="A83" s="64" t="s">
        <v>106</v>
      </c>
      <c r="B83" s="75">
        <v>40.799999999999997</v>
      </c>
      <c r="C83" s="75">
        <v>44</v>
      </c>
      <c r="D83" s="75">
        <v>61.8</v>
      </c>
      <c r="E83" s="75">
        <v>105.7</v>
      </c>
      <c r="F83" s="75">
        <v>87.9</v>
      </c>
      <c r="G83" s="75">
        <v>86.4</v>
      </c>
      <c r="H83" s="75">
        <v>65.8</v>
      </c>
      <c r="I83" s="75">
        <v>84.9</v>
      </c>
      <c r="J83" s="75">
        <v>430.7</v>
      </c>
      <c r="K83" s="75">
        <v>473</v>
      </c>
      <c r="L83" s="75">
        <v>497</v>
      </c>
      <c r="M83" s="75">
        <v>519.29999999999995</v>
      </c>
      <c r="N83" s="75">
        <v>456.9</v>
      </c>
      <c r="O83" s="75">
        <v>480</v>
      </c>
      <c r="P83" s="75">
        <v>492</v>
      </c>
      <c r="Q83" s="75">
        <v>470</v>
      </c>
      <c r="R83" s="75">
        <v>469</v>
      </c>
      <c r="S83" s="75">
        <v>436</v>
      </c>
      <c r="T83" s="75">
        <v>440</v>
      </c>
      <c r="U83" s="75">
        <v>492.4</v>
      </c>
      <c r="V83" s="75">
        <v>474.1</v>
      </c>
      <c r="W83" s="75">
        <v>467.3</v>
      </c>
      <c r="X83" s="75">
        <v>425.7</v>
      </c>
      <c r="Y83" s="75">
        <v>83.1</v>
      </c>
      <c r="Z83" s="75">
        <v>47.9</v>
      </c>
      <c r="AA83" s="75">
        <v>4.7</v>
      </c>
      <c r="AB83" s="75">
        <v>60</v>
      </c>
      <c r="AC83" s="75">
        <v>55</v>
      </c>
      <c r="AD83" s="75">
        <v>86.1</v>
      </c>
      <c r="AE83" s="75">
        <v>68</v>
      </c>
      <c r="AF83" s="75">
        <v>114</v>
      </c>
      <c r="AG83" s="87"/>
      <c r="AH83" s="48">
        <f t="shared" si="56"/>
        <v>519.29999999999995</v>
      </c>
      <c r="AI83" s="49">
        <f t="shared" si="57"/>
        <v>4.7</v>
      </c>
      <c r="AK83" s="51"/>
      <c r="AY83" s="81"/>
      <c r="BF83" s="80"/>
      <c r="BG83" s="80"/>
      <c r="BH83" s="80"/>
      <c r="BI83" s="80"/>
      <c r="BJ83" s="80"/>
      <c r="BK83" s="81"/>
    </row>
    <row r="84" spans="1:64" x14ac:dyDescent="0.25">
      <c r="A84" s="64" t="s">
        <v>107</v>
      </c>
      <c r="B84" s="75">
        <v>44.1</v>
      </c>
      <c r="C84" s="75">
        <v>39.299999999999997</v>
      </c>
      <c r="D84" s="75">
        <v>51.8</v>
      </c>
      <c r="E84" s="88">
        <v>50.6</v>
      </c>
      <c r="F84" s="88">
        <v>39.700000000000003</v>
      </c>
      <c r="G84" s="88">
        <v>50.4</v>
      </c>
      <c r="H84" s="88">
        <v>49.8</v>
      </c>
      <c r="I84" s="88">
        <v>55.2</v>
      </c>
      <c r="J84" s="88">
        <v>51.8</v>
      </c>
      <c r="K84" s="88">
        <v>50.7</v>
      </c>
      <c r="L84" s="88">
        <v>48.3</v>
      </c>
      <c r="M84" s="88">
        <v>47.5</v>
      </c>
      <c r="N84" s="88">
        <v>48</v>
      </c>
      <c r="O84" s="88">
        <v>0</v>
      </c>
      <c r="P84" s="88">
        <v>0</v>
      </c>
      <c r="Q84" s="88">
        <v>51.5</v>
      </c>
      <c r="R84" s="88">
        <v>53.5</v>
      </c>
      <c r="S84" s="88">
        <v>53.2</v>
      </c>
      <c r="T84" s="88">
        <v>54.7</v>
      </c>
      <c r="U84" s="88">
        <v>57</v>
      </c>
      <c r="V84" s="88">
        <v>49.96</v>
      </c>
      <c r="W84" s="88">
        <v>52.6</v>
      </c>
      <c r="X84" s="88">
        <v>42.8</v>
      </c>
      <c r="Y84" s="88">
        <v>0</v>
      </c>
      <c r="Z84" s="88">
        <v>0</v>
      </c>
      <c r="AA84" s="88">
        <v>0</v>
      </c>
      <c r="AB84" s="88">
        <v>0</v>
      </c>
      <c r="AC84" s="88">
        <v>0</v>
      </c>
      <c r="AD84" s="88">
        <v>0</v>
      </c>
      <c r="AE84" s="88">
        <v>0</v>
      </c>
      <c r="AF84" s="88"/>
      <c r="AG84" s="87"/>
      <c r="AH84" s="48">
        <f t="shared" si="56"/>
        <v>57</v>
      </c>
      <c r="AI84" s="49">
        <f t="shared" si="57"/>
        <v>0</v>
      </c>
      <c r="AK84" s="51"/>
      <c r="AY84" s="81"/>
      <c r="BF84" s="80"/>
      <c r="BG84" s="81">
        <f t="array" ref="BG84:BL107">TRANSPOSE(AZ68:BW73)</f>
        <v>26</v>
      </c>
      <c r="BH84" s="81">
        <v>0</v>
      </c>
      <c r="BI84" s="81">
        <v>44</v>
      </c>
      <c r="BJ84" s="81">
        <v>39</v>
      </c>
      <c r="BK84" s="81">
        <v>122</v>
      </c>
      <c r="BL84" s="81">
        <v>43</v>
      </c>
    </row>
    <row r="85" spans="1:64" x14ac:dyDescent="0.25">
      <c r="A85" s="64" t="s">
        <v>108</v>
      </c>
      <c r="B85" s="46">
        <v>128.30000000000001</v>
      </c>
      <c r="C85" s="46">
        <v>122</v>
      </c>
      <c r="D85" s="46">
        <v>122.1</v>
      </c>
      <c r="E85" s="46">
        <v>117.8</v>
      </c>
      <c r="F85" s="46">
        <v>124</v>
      </c>
      <c r="G85" s="46">
        <v>124.7</v>
      </c>
      <c r="H85" s="46">
        <v>144.69999999999999</v>
      </c>
      <c r="I85" s="46">
        <v>119</v>
      </c>
      <c r="J85" s="46">
        <v>127</v>
      </c>
      <c r="K85" s="46">
        <v>133.9</v>
      </c>
      <c r="L85" s="46">
        <v>129.4</v>
      </c>
      <c r="M85" s="46">
        <v>126.8</v>
      </c>
      <c r="N85" s="46">
        <v>114.1</v>
      </c>
      <c r="O85" s="46">
        <v>136.30000000000001</v>
      </c>
      <c r="P85" s="46">
        <v>136.4</v>
      </c>
      <c r="Q85" s="46">
        <v>105.3</v>
      </c>
      <c r="R85" s="46">
        <v>118.9</v>
      </c>
      <c r="S85" s="46">
        <v>133.19999999999999</v>
      </c>
      <c r="T85" s="46">
        <v>130.30000000000001</v>
      </c>
      <c r="U85" s="46">
        <v>127.1</v>
      </c>
      <c r="V85" s="46">
        <v>111.8</v>
      </c>
      <c r="W85" s="46">
        <v>104.1</v>
      </c>
      <c r="X85" s="46">
        <v>0</v>
      </c>
      <c r="Y85" s="46">
        <v>0</v>
      </c>
      <c r="Z85" s="46">
        <v>0</v>
      </c>
      <c r="AA85" s="46">
        <v>0</v>
      </c>
      <c r="AB85" s="46">
        <v>0</v>
      </c>
      <c r="AC85" s="46">
        <v>0</v>
      </c>
      <c r="AD85" s="46">
        <v>0</v>
      </c>
      <c r="AE85" s="46">
        <v>0</v>
      </c>
      <c r="AF85" s="46"/>
      <c r="AG85" s="87"/>
      <c r="AH85" s="48">
        <f t="shared" si="56"/>
        <v>144.69999999999999</v>
      </c>
      <c r="AI85" s="49">
        <f t="shared" si="57"/>
        <v>0</v>
      </c>
      <c r="AK85" s="51"/>
      <c r="AY85" s="81"/>
      <c r="BF85" s="80"/>
      <c r="BG85" s="81">
        <v>24.9</v>
      </c>
      <c r="BH85" s="81">
        <v>37</v>
      </c>
      <c r="BI85" s="81">
        <v>61.8</v>
      </c>
      <c r="BJ85" s="81">
        <v>51.8</v>
      </c>
      <c r="BK85" s="81">
        <v>122.1</v>
      </c>
      <c r="BL85" s="81">
        <v>45.3</v>
      </c>
    </row>
    <row r="86" spans="1:64" x14ac:dyDescent="0.25">
      <c r="A86" s="64" t="s">
        <v>109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7"/>
      <c r="AH86" s="48">
        <f t="shared" si="56"/>
        <v>0</v>
      </c>
      <c r="AI86" s="49">
        <f t="shared" si="57"/>
        <v>0</v>
      </c>
      <c r="AK86" s="51"/>
      <c r="AY86" s="81"/>
      <c r="BF86" s="80"/>
      <c r="BG86" s="81">
        <v>24.7</v>
      </c>
      <c r="BH86" s="81">
        <v>47.5</v>
      </c>
      <c r="BI86" s="81">
        <v>105.7</v>
      </c>
      <c r="BJ86" s="81">
        <v>50.6</v>
      </c>
      <c r="BK86" s="81">
        <v>117.8</v>
      </c>
      <c r="BL86" s="81">
        <v>55.5</v>
      </c>
    </row>
    <row r="87" spans="1:64" ht="15.75" thickBot="1" x14ac:dyDescent="0.3">
      <c r="A87" s="64" t="s">
        <v>110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7"/>
      <c r="AH87" s="48">
        <f t="shared" si="56"/>
        <v>0</v>
      </c>
      <c r="AI87" s="49">
        <f t="shared" si="57"/>
        <v>0</v>
      </c>
      <c r="AK87" s="51"/>
      <c r="AL87" s="90" t="s">
        <v>111</v>
      </c>
      <c r="AM87" s="90"/>
      <c r="AY87" s="81"/>
      <c r="BF87" s="81"/>
      <c r="BG87" s="81">
        <v>20.5</v>
      </c>
      <c r="BH87" s="81">
        <v>48</v>
      </c>
      <c r="BI87" s="81">
        <v>87.9</v>
      </c>
      <c r="BJ87" s="81">
        <v>39.700000000000003</v>
      </c>
      <c r="BK87" s="81">
        <v>124</v>
      </c>
      <c r="BL87" s="81">
        <v>55.5</v>
      </c>
    </row>
    <row r="88" spans="1:64" x14ac:dyDescent="0.25">
      <c r="A88" s="64" t="s">
        <v>112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7"/>
      <c r="AH88" s="48">
        <f t="shared" si="56"/>
        <v>0</v>
      </c>
      <c r="AI88" s="49">
        <f t="shared" si="57"/>
        <v>0</v>
      </c>
      <c r="AK88" s="91"/>
      <c r="AL88" s="92"/>
      <c r="AM88" s="92"/>
      <c r="AN88" s="93"/>
      <c r="AY88" s="81"/>
      <c r="BF88" s="81"/>
      <c r="BG88" s="81">
        <v>22.4</v>
      </c>
      <c r="BH88" s="81">
        <v>58.4</v>
      </c>
      <c r="BI88" s="81">
        <v>86.4</v>
      </c>
      <c r="BJ88" s="81">
        <v>50.4</v>
      </c>
      <c r="BK88" s="81">
        <v>124.7</v>
      </c>
      <c r="BL88" s="81">
        <v>55.5</v>
      </c>
    </row>
    <row r="89" spans="1:64" x14ac:dyDescent="0.25">
      <c r="A89" s="64" t="s">
        <v>113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7"/>
      <c r="AH89" s="48">
        <f t="shared" si="56"/>
        <v>0</v>
      </c>
      <c r="AI89" s="49">
        <f t="shared" si="57"/>
        <v>0</v>
      </c>
      <c r="AK89" s="94" t="s">
        <v>114</v>
      </c>
      <c r="AL89" s="75"/>
      <c r="AM89" s="88"/>
      <c r="AN89" s="95"/>
      <c r="AY89" s="81"/>
      <c r="BF89" s="81"/>
      <c r="BG89" s="81">
        <v>23.9</v>
      </c>
      <c r="BH89" s="81">
        <v>95.5</v>
      </c>
      <c r="BI89" s="81">
        <v>84.9</v>
      </c>
      <c r="BJ89" s="81">
        <v>55.2</v>
      </c>
      <c r="BK89" s="81">
        <v>119</v>
      </c>
      <c r="BL89" s="81">
        <v>55.5</v>
      </c>
    </row>
    <row r="90" spans="1:64" x14ac:dyDescent="0.25">
      <c r="A90" s="96" t="s">
        <v>115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97"/>
      <c r="AH90" s="48">
        <f t="shared" si="56"/>
        <v>0</v>
      </c>
      <c r="AI90" s="49">
        <f t="shared" si="57"/>
        <v>0</v>
      </c>
      <c r="AK90" s="94" t="s">
        <v>116</v>
      </c>
      <c r="AL90" s="88"/>
      <c r="AM90" s="88"/>
      <c r="AN90" s="95"/>
      <c r="AY90" s="81"/>
      <c r="BF90" s="81"/>
      <c r="BG90" s="81">
        <v>72</v>
      </c>
      <c r="BH90" s="81">
        <v>0</v>
      </c>
      <c r="BI90" s="81">
        <v>473</v>
      </c>
      <c r="BJ90" s="81">
        <v>50.7</v>
      </c>
      <c r="BK90" s="81">
        <v>133.9</v>
      </c>
      <c r="BL90" s="81">
        <v>55.5</v>
      </c>
    </row>
    <row r="91" spans="1:64" ht="15.75" thickBot="1" x14ac:dyDescent="0.3">
      <c r="A91" s="96" t="s">
        <v>117</v>
      </c>
      <c r="B91" s="89">
        <v>45.9</v>
      </c>
      <c r="C91" s="89">
        <v>43.3</v>
      </c>
      <c r="D91" s="89">
        <v>45.3</v>
      </c>
      <c r="E91" s="89">
        <v>55.5</v>
      </c>
      <c r="F91" s="89">
        <v>55.5</v>
      </c>
      <c r="G91" s="89">
        <v>55.5</v>
      </c>
      <c r="H91" s="89">
        <v>55.5</v>
      </c>
      <c r="I91" s="89">
        <v>55.5</v>
      </c>
      <c r="J91" s="89">
        <v>55.5</v>
      </c>
      <c r="K91" s="89">
        <v>55.5</v>
      </c>
      <c r="L91" s="89">
        <v>55.5</v>
      </c>
      <c r="M91" s="89">
        <v>55.5</v>
      </c>
      <c r="N91" s="89">
        <v>55</v>
      </c>
      <c r="O91" s="89">
        <v>55.5</v>
      </c>
      <c r="P91" s="89">
        <v>55.5</v>
      </c>
      <c r="Q91" s="89">
        <v>55</v>
      </c>
      <c r="R91" s="89">
        <v>55</v>
      </c>
      <c r="S91" s="89">
        <v>55.5</v>
      </c>
      <c r="T91" s="89">
        <v>55.5</v>
      </c>
      <c r="U91" s="89">
        <v>51.8</v>
      </c>
      <c r="V91" s="89">
        <v>49.6</v>
      </c>
      <c r="W91" s="89">
        <v>50</v>
      </c>
      <c r="X91" s="89">
        <v>48.5</v>
      </c>
      <c r="Y91" s="89">
        <v>42.4</v>
      </c>
      <c r="Z91" s="89">
        <v>43.2</v>
      </c>
      <c r="AA91" s="89">
        <v>45</v>
      </c>
      <c r="AB91" s="89">
        <v>41</v>
      </c>
      <c r="AC91" s="89">
        <v>33.700000000000003</v>
      </c>
      <c r="AD91" s="89">
        <v>45.5</v>
      </c>
      <c r="AE91" s="89">
        <v>45.5</v>
      </c>
      <c r="AF91" s="89">
        <v>50</v>
      </c>
      <c r="AG91" s="97"/>
      <c r="AH91" s="48">
        <f t="shared" si="56"/>
        <v>55.5</v>
      </c>
      <c r="AI91" s="49">
        <f t="shared" si="57"/>
        <v>33.700000000000003</v>
      </c>
      <c r="AK91" s="98"/>
      <c r="AL91" s="46"/>
      <c r="AM91" s="46"/>
      <c r="AN91" s="99"/>
      <c r="AY91" s="81"/>
      <c r="BF91" s="81"/>
      <c r="BG91" s="81">
        <v>70.5</v>
      </c>
      <c r="BH91" s="81">
        <v>0</v>
      </c>
      <c r="BI91" s="81">
        <v>519.29999999999995</v>
      </c>
      <c r="BJ91" s="81">
        <v>47.5</v>
      </c>
      <c r="BK91" s="81">
        <v>126.8</v>
      </c>
      <c r="BL91" s="81">
        <v>55.5</v>
      </c>
    </row>
    <row r="92" spans="1:64" ht="15.75" thickBot="1" x14ac:dyDescent="0.3">
      <c r="A92" s="86" t="s">
        <v>118</v>
      </c>
      <c r="B92" s="70">
        <f t="shared" ref="B92:AF92" si="58">SUMIF(B81:B91,"&gt;0")</f>
        <v>288.39999999999998</v>
      </c>
      <c r="C92" s="70">
        <f t="shared" si="58"/>
        <v>274.89999999999998</v>
      </c>
      <c r="D92" s="70">
        <f t="shared" si="58"/>
        <v>342.90000000000003</v>
      </c>
      <c r="E92" s="70">
        <f t="shared" si="58"/>
        <v>401.8</v>
      </c>
      <c r="F92" s="70">
        <f t="shared" si="58"/>
        <v>375.6</v>
      </c>
      <c r="G92" s="70">
        <f t="shared" si="58"/>
        <v>397.8</v>
      </c>
      <c r="H92" s="70">
        <f t="shared" si="58"/>
        <v>411.5</v>
      </c>
      <c r="I92" s="70">
        <f t="shared" si="58"/>
        <v>434</v>
      </c>
      <c r="J92" s="70">
        <f t="shared" si="58"/>
        <v>728.6</v>
      </c>
      <c r="K92" s="70">
        <f t="shared" si="58"/>
        <v>785.1</v>
      </c>
      <c r="L92" s="70">
        <f t="shared" si="58"/>
        <v>797.8</v>
      </c>
      <c r="M92" s="70">
        <f t="shared" si="58"/>
        <v>819.59999999999991</v>
      </c>
      <c r="N92" s="70">
        <f t="shared" si="58"/>
        <v>813.4</v>
      </c>
      <c r="O92" s="70">
        <f t="shared" si="58"/>
        <v>814.5</v>
      </c>
      <c r="P92" s="70">
        <f t="shared" si="58"/>
        <v>801.9</v>
      </c>
      <c r="Q92" s="70">
        <f t="shared" si="58"/>
        <v>820.59999999999991</v>
      </c>
      <c r="R92" s="70">
        <f t="shared" si="58"/>
        <v>837.19999999999993</v>
      </c>
      <c r="S92" s="70">
        <f t="shared" si="58"/>
        <v>837.3</v>
      </c>
      <c r="T92" s="70">
        <f t="shared" si="58"/>
        <v>809.8</v>
      </c>
      <c r="U92" s="70">
        <f t="shared" si="58"/>
        <v>789.09999999999991</v>
      </c>
      <c r="V92" s="70">
        <f t="shared" ref="V92:W92" si="59">SUMIF(V81:V91,"&gt;0")</f>
        <v>752.16000000000008</v>
      </c>
      <c r="W92" s="70">
        <f t="shared" si="59"/>
        <v>743.74</v>
      </c>
      <c r="X92" s="70">
        <f t="shared" ref="X92:Z92" si="60">SUMIF(X81:X91,"&gt;0")</f>
        <v>578.69999999999993</v>
      </c>
      <c r="Y92" s="70">
        <f t="shared" si="60"/>
        <v>152.9</v>
      </c>
      <c r="Z92" s="70">
        <f t="shared" si="60"/>
        <v>123.3</v>
      </c>
      <c r="AA92" s="70">
        <f t="shared" ref="AA92" si="61">SUMIF(AA81:AA91,"&gt;0")</f>
        <v>68.900000000000006</v>
      </c>
      <c r="AB92" s="70">
        <f t="shared" si="58"/>
        <v>132</v>
      </c>
      <c r="AC92" s="70">
        <f t="shared" si="58"/>
        <v>130.30000000000001</v>
      </c>
      <c r="AD92" s="70">
        <f t="shared" si="58"/>
        <v>173.39999999999998</v>
      </c>
      <c r="AE92" s="70">
        <f t="shared" si="58"/>
        <v>148.5</v>
      </c>
      <c r="AF92" s="70">
        <f t="shared" si="58"/>
        <v>203</v>
      </c>
      <c r="AG92" s="100">
        <f>SUM(AG81:AG91)</f>
        <v>0</v>
      </c>
      <c r="AH92" s="48">
        <f t="shared" si="56"/>
        <v>837.3</v>
      </c>
      <c r="AI92" s="49">
        <f t="shared" si="57"/>
        <v>68.900000000000006</v>
      </c>
      <c r="AK92" s="98"/>
      <c r="AL92" s="89"/>
      <c r="AM92" s="101"/>
      <c r="AN92" s="202"/>
      <c r="AY92" s="81"/>
      <c r="BF92" s="81"/>
      <c r="BG92" s="81">
        <v>50.4</v>
      </c>
      <c r="BH92" s="81">
        <v>89</v>
      </c>
      <c r="BI92" s="81">
        <v>456.9</v>
      </c>
      <c r="BJ92" s="81">
        <v>48</v>
      </c>
      <c r="BK92" s="81">
        <v>114.1</v>
      </c>
      <c r="BL92" s="81">
        <v>55</v>
      </c>
    </row>
    <row r="93" spans="1:64" x14ac:dyDescent="0.25">
      <c r="A93" s="45" t="s">
        <v>119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102">
        <v>39</v>
      </c>
      <c r="AH93" s="48">
        <f t="shared" si="56"/>
        <v>0</v>
      </c>
      <c r="AI93" s="49">
        <f t="shared" si="57"/>
        <v>0</v>
      </c>
      <c r="AK93" s="98"/>
      <c r="AL93" s="89"/>
      <c r="AM93" s="89"/>
      <c r="AN93" s="203"/>
      <c r="BF93" s="81"/>
      <c r="BG93" s="81">
        <v>62</v>
      </c>
      <c r="BH93" s="81">
        <v>80.7</v>
      </c>
      <c r="BI93" s="81">
        <v>480</v>
      </c>
      <c r="BJ93" s="81">
        <v>0</v>
      </c>
      <c r="BK93" s="81">
        <v>136.30000000000001</v>
      </c>
      <c r="BL93" s="81">
        <v>55.5</v>
      </c>
    </row>
    <row r="94" spans="1:64" ht="15.75" thickBot="1" x14ac:dyDescent="0.3">
      <c r="A94" s="64" t="s">
        <v>120</v>
      </c>
      <c r="B94" s="89">
        <v>0</v>
      </c>
      <c r="C94" s="89">
        <v>0</v>
      </c>
      <c r="D94" s="89">
        <v>0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7">
        <v>14.4</v>
      </c>
      <c r="AH94" s="48">
        <f t="shared" si="56"/>
        <v>0</v>
      </c>
      <c r="AI94" s="49">
        <f t="shared" si="57"/>
        <v>0</v>
      </c>
      <c r="AK94" s="103"/>
      <c r="AL94" s="104"/>
      <c r="AM94" s="104"/>
      <c r="AN94" s="105"/>
      <c r="BF94" s="81"/>
      <c r="BG94" s="81">
        <v>58</v>
      </c>
      <c r="BH94" s="81">
        <v>60</v>
      </c>
      <c r="BI94" s="81">
        <v>492</v>
      </c>
      <c r="BJ94" s="81">
        <v>0</v>
      </c>
      <c r="BK94" s="81">
        <v>136.4</v>
      </c>
      <c r="BL94" s="81">
        <v>55.5</v>
      </c>
    </row>
    <row r="95" spans="1:64" ht="15.75" thickBot="1" x14ac:dyDescent="0.3">
      <c r="A95" s="96" t="s">
        <v>121</v>
      </c>
      <c r="B95" s="106">
        <v>0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0</v>
      </c>
      <c r="Y95" s="106">
        <v>0</v>
      </c>
      <c r="Z95" s="106">
        <v>0</v>
      </c>
      <c r="AA95" s="106">
        <v>0</v>
      </c>
      <c r="AB95" s="106">
        <v>0</v>
      </c>
      <c r="AC95" s="106">
        <v>0</v>
      </c>
      <c r="AD95" s="106">
        <v>0</v>
      </c>
      <c r="AE95" s="106">
        <v>0</v>
      </c>
      <c r="AF95" s="106">
        <v>0</v>
      </c>
      <c r="AG95" s="97">
        <v>2</v>
      </c>
      <c r="AH95" s="48">
        <f t="shared" si="56"/>
        <v>0</v>
      </c>
      <c r="AI95" s="49">
        <f t="shared" si="57"/>
        <v>0</v>
      </c>
      <c r="BF95" s="81"/>
      <c r="BG95" s="81">
        <v>62.4</v>
      </c>
      <c r="BH95" s="81">
        <v>76.400000000000006</v>
      </c>
      <c r="BI95" s="81">
        <v>470</v>
      </c>
      <c r="BJ95" s="81">
        <v>51.5</v>
      </c>
      <c r="BK95" s="81">
        <v>105.3</v>
      </c>
      <c r="BL95" s="81">
        <v>55</v>
      </c>
    </row>
    <row r="96" spans="1:64" ht="15.75" thickBot="1" x14ac:dyDescent="0.3">
      <c r="A96" s="86" t="s">
        <v>122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100">
        <f>SUM(AG93:AG95)</f>
        <v>55.4</v>
      </c>
      <c r="AH96" s="48">
        <f t="shared" si="56"/>
        <v>0</v>
      </c>
      <c r="AI96" s="49">
        <f t="shared" si="57"/>
        <v>0</v>
      </c>
      <c r="BF96" s="81"/>
      <c r="BG96" s="81">
        <v>61.6</v>
      </c>
      <c r="BH96" s="81">
        <v>79.2</v>
      </c>
      <c r="BI96" s="81">
        <v>469</v>
      </c>
      <c r="BJ96" s="81">
        <v>53.5</v>
      </c>
      <c r="BK96" s="81">
        <v>118.9</v>
      </c>
      <c r="BL96" s="81">
        <v>55</v>
      </c>
    </row>
    <row r="97" spans="1:64" ht="15.75" thickBot="1" x14ac:dyDescent="0.3">
      <c r="A97" s="86" t="s">
        <v>123</v>
      </c>
      <c r="B97" s="107">
        <f t="shared" ref="B97:AG97" si="62">B58+B62+B80+B76+B92+B96</f>
        <v>1037.54</v>
      </c>
      <c r="C97" s="107">
        <f t="shared" si="62"/>
        <v>1026.8399999999997</v>
      </c>
      <c r="D97" s="107">
        <f t="shared" si="62"/>
        <v>1024.94</v>
      </c>
      <c r="E97" s="107">
        <f t="shared" si="62"/>
        <v>1056.24</v>
      </c>
      <c r="F97" s="107">
        <f t="shared" si="62"/>
        <v>1057.04</v>
      </c>
      <c r="G97" s="107">
        <f t="shared" si="62"/>
        <v>1132.04</v>
      </c>
      <c r="H97" s="107">
        <f t="shared" si="62"/>
        <v>1234.74</v>
      </c>
      <c r="I97" s="107">
        <f t="shared" si="62"/>
        <v>1325.4399999999998</v>
      </c>
      <c r="J97" s="107">
        <f t="shared" si="62"/>
        <v>1458.24</v>
      </c>
      <c r="K97" s="107">
        <f t="shared" si="62"/>
        <v>1546.6399999999999</v>
      </c>
      <c r="L97" s="107">
        <f t="shared" si="62"/>
        <v>1599.04</v>
      </c>
      <c r="M97" s="107">
        <f t="shared" si="62"/>
        <v>1659.44</v>
      </c>
      <c r="N97" s="107">
        <f t="shared" si="62"/>
        <v>1620.6399999999999</v>
      </c>
      <c r="O97" s="107">
        <f t="shared" si="62"/>
        <v>1639.1399999999999</v>
      </c>
      <c r="P97" s="107">
        <f t="shared" si="62"/>
        <v>1632.3400000000001</v>
      </c>
      <c r="Q97" s="107">
        <f t="shared" si="62"/>
        <v>1672.84</v>
      </c>
      <c r="R97" s="107">
        <f t="shared" si="62"/>
        <v>1601.04</v>
      </c>
      <c r="S97" s="107">
        <f t="shared" si="62"/>
        <v>1664.64</v>
      </c>
      <c r="T97" s="107">
        <f t="shared" si="62"/>
        <v>1668.7399999999998</v>
      </c>
      <c r="U97" s="107">
        <f t="shared" si="62"/>
        <v>1661.2399999999998</v>
      </c>
      <c r="V97" s="107">
        <f t="shared" ref="V97:W97" si="63">V58+V62+V80+V76+V92+V96</f>
        <v>1595.3000000000002</v>
      </c>
      <c r="W97" s="107">
        <f t="shared" si="63"/>
        <v>1582.3799999999999</v>
      </c>
      <c r="X97" s="107">
        <f t="shared" ref="X97:Z97" si="64">X58+X62+X80+X76+X92+X96</f>
        <v>1387.94</v>
      </c>
      <c r="Y97" s="107">
        <f t="shared" si="64"/>
        <v>1571.7400000000002</v>
      </c>
      <c r="Z97" s="107">
        <f t="shared" si="64"/>
        <v>1521.64</v>
      </c>
      <c r="AA97" s="107">
        <f t="shared" ref="AA97" si="65">AA58+AA62+AA80+AA76+AA92+AA96</f>
        <v>1439.2400000000002</v>
      </c>
      <c r="AB97" s="107">
        <f t="shared" si="62"/>
        <v>1407.24</v>
      </c>
      <c r="AC97" s="107">
        <f t="shared" si="62"/>
        <v>1396.4399999999998</v>
      </c>
      <c r="AD97" s="107">
        <f t="shared" si="62"/>
        <v>1360.1399999999999</v>
      </c>
      <c r="AE97" s="107">
        <f t="shared" si="62"/>
        <v>1261.1399999999999</v>
      </c>
      <c r="AF97" s="107">
        <f t="shared" si="62"/>
        <v>1085.6399999999999</v>
      </c>
      <c r="AG97" s="71">
        <f t="shared" si="62"/>
        <v>2231.81</v>
      </c>
      <c r="AH97" s="48">
        <f t="shared" si="56"/>
        <v>1672.84</v>
      </c>
      <c r="AI97" s="49">
        <f t="shared" si="57"/>
        <v>1024.94</v>
      </c>
      <c r="BF97" s="81"/>
      <c r="BG97" s="81">
        <v>73.7</v>
      </c>
      <c r="BH97" s="81">
        <v>85.7</v>
      </c>
      <c r="BI97" s="81">
        <v>436</v>
      </c>
      <c r="BJ97" s="81">
        <v>53.2</v>
      </c>
      <c r="BK97" s="81">
        <v>133.19999999999999</v>
      </c>
      <c r="BL97" s="81">
        <v>55.5</v>
      </c>
    </row>
    <row r="98" spans="1:64" ht="15.75" thickBot="1" x14ac:dyDescent="0.3">
      <c r="A98" s="108" t="s">
        <v>124</v>
      </c>
      <c r="B98" s="109">
        <v>200</v>
      </c>
      <c r="C98" s="109">
        <v>200</v>
      </c>
      <c r="D98" s="109">
        <v>200</v>
      </c>
      <c r="E98" s="109">
        <v>200</v>
      </c>
      <c r="F98" s="109">
        <v>200</v>
      </c>
      <c r="G98" s="109">
        <v>200</v>
      </c>
      <c r="H98" s="109">
        <v>200</v>
      </c>
      <c r="I98" s="109">
        <v>150</v>
      </c>
      <c r="J98" s="109">
        <v>80</v>
      </c>
      <c r="K98" s="109">
        <v>30</v>
      </c>
      <c r="L98" s="109"/>
      <c r="M98" s="109">
        <v>10</v>
      </c>
      <c r="N98" s="109">
        <v>20</v>
      </c>
      <c r="O98" s="109">
        <v>20</v>
      </c>
      <c r="P98" s="109">
        <v>20</v>
      </c>
      <c r="Q98" s="109">
        <v>10</v>
      </c>
      <c r="R98" s="109">
        <v>20</v>
      </c>
      <c r="S98" s="109">
        <v>20</v>
      </c>
      <c r="T98" s="109">
        <v>50</v>
      </c>
      <c r="U98" s="109">
        <v>50</v>
      </c>
      <c r="V98" s="109">
        <v>50</v>
      </c>
      <c r="W98" s="109">
        <v>50</v>
      </c>
      <c r="X98" s="109">
        <v>50</v>
      </c>
      <c r="Y98" s="109">
        <v>300</v>
      </c>
      <c r="Z98" s="109">
        <v>380</v>
      </c>
      <c r="AA98" s="109">
        <v>380</v>
      </c>
      <c r="AB98" s="109">
        <v>300</v>
      </c>
      <c r="AC98" s="109">
        <v>280</v>
      </c>
      <c r="AD98" s="109">
        <v>250</v>
      </c>
      <c r="AE98" s="109">
        <v>200</v>
      </c>
      <c r="AF98" s="109">
        <v>250</v>
      </c>
      <c r="AG98" s="100"/>
      <c r="AH98" s="48">
        <f t="shared" si="56"/>
        <v>380</v>
      </c>
      <c r="AI98" s="49">
        <f t="shared" si="57"/>
        <v>10</v>
      </c>
      <c r="BF98" s="81"/>
      <c r="BG98" s="81">
        <v>61.1</v>
      </c>
      <c r="BH98" s="81">
        <v>68.2</v>
      </c>
      <c r="BI98" s="81">
        <v>440</v>
      </c>
      <c r="BJ98" s="81">
        <v>54.7</v>
      </c>
      <c r="BK98" s="81">
        <v>130.30000000000001</v>
      </c>
      <c r="BL98" s="81">
        <v>55.5</v>
      </c>
    </row>
    <row r="99" spans="1:64" ht="15.75" thickBot="1" x14ac:dyDescent="0.3">
      <c r="A99" s="86" t="s">
        <v>125</v>
      </c>
      <c r="B99" s="107">
        <f t="shared" ref="B99:AF99" si="66">B97+B98</f>
        <v>1237.54</v>
      </c>
      <c r="C99" s="107">
        <f t="shared" si="66"/>
        <v>1226.8399999999997</v>
      </c>
      <c r="D99" s="107">
        <f t="shared" si="66"/>
        <v>1224.94</v>
      </c>
      <c r="E99" s="107">
        <f t="shared" si="66"/>
        <v>1256.24</v>
      </c>
      <c r="F99" s="107">
        <f t="shared" si="66"/>
        <v>1257.04</v>
      </c>
      <c r="G99" s="107">
        <f t="shared" si="66"/>
        <v>1332.04</v>
      </c>
      <c r="H99" s="107">
        <f t="shared" si="66"/>
        <v>1434.74</v>
      </c>
      <c r="I99" s="107">
        <f t="shared" si="66"/>
        <v>1475.4399999999998</v>
      </c>
      <c r="J99" s="107">
        <f t="shared" si="66"/>
        <v>1538.24</v>
      </c>
      <c r="K99" s="107">
        <f t="shared" si="66"/>
        <v>1576.6399999999999</v>
      </c>
      <c r="L99" s="107">
        <f t="shared" si="66"/>
        <v>1599.04</v>
      </c>
      <c r="M99" s="107">
        <f t="shared" si="66"/>
        <v>1669.44</v>
      </c>
      <c r="N99" s="107">
        <f t="shared" si="66"/>
        <v>1640.6399999999999</v>
      </c>
      <c r="O99" s="107">
        <f t="shared" si="66"/>
        <v>1659.1399999999999</v>
      </c>
      <c r="P99" s="107">
        <f t="shared" si="66"/>
        <v>1652.3400000000001</v>
      </c>
      <c r="Q99" s="107">
        <f t="shared" si="66"/>
        <v>1682.84</v>
      </c>
      <c r="R99" s="107">
        <f t="shared" si="66"/>
        <v>1621.04</v>
      </c>
      <c r="S99" s="107">
        <f t="shared" si="66"/>
        <v>1684.64</v>
      </c>
      <c r="T99" s="107">
        <f t="shared" si="66"/>
        <v>1718.7399999999998</v>
      </c>
      <c r="U99" s="107">
        <f t="shared" si="66"/>
        <v>1711.2399999999998</v>
      </c>
      <c r="V99" s="107">
        <f t="shared" ref="V99:W99" si="67">V97+V98</f>
        <v>1645.3000000000002</v>
      </c>
      <c r="W99" s="107">
        <f t="shared" si="67"/>
        <v>1632.3799999999999</v>
      </c>
      <c r="X99" s="107">
        <f t="shared" ref="X99:Z99" si="68">X97+X98</f>
        <v>1437.94</v>
      </c>
      <c r="Y99" s="107">
        <f t="shared" si="68"/>
        <v>1871.7400000000002</v>
      </c>
      <c r="Z99" s="107">
        <f t="shared" si="68"/>
        <v>1901.64</v>
      </c>
      <c r="AA99" s="107">
        <f t="shared" ref="AA99" si="69">AA97+AA98</f>
        <v>1819.2400000000002</v>
      </c>
      <c r="AB99" s="107">
        <f t="shared" si="66"/>
        <v>1707.24</v>
      </c>
      <c r="AC99" s="107">
        <f t="shared" si="66"/>
        <v>1676.4399999999998</v>
      </c>
      <c r="AD99" s="107">
        <f t="shared" si="66"/>
        <v>1610.1399999999999</v>
      </c>
      <c r="AE99" s="107">
        <f t="shared" si="66"/>
        <v>1461.1399999999999</v>
      </c>
      <c r="AF99" s="107">
        <f t="shared" si="66"/>
        <v>1335.6399999999999</v>
      </c>
      <c r="AG99" s="100">
        <f>AG96+AG92+AG80+AG76+AG58+AG98</f>
        <v>1693.71</v>
      </c>
      <c r="AH99" s="48">
        <f t="shared" si="56"/>
        <v>1901.64</v>
      </c>
      <c r="AI99" s="49">
        <f t="shared" si="57"/>
        <v>1224.94</v>
      </c>
      <c r="BF99" s="81"/>
      <c r="BG99" s="81">
        <v>60.8</v>
      </c>
      <c r="BH99" s="81">
        <v>0</v>
      </c>
      <c r="BI99" s="81">
        <v>492.4</v>
      </c>
      <c r="BJ99" s="81">
        <v>57</v>
      </c>
      <c r="BK99" s="81">
        <v>127.1</v>
      </c>
      <c r="BL99" s="81">
        <v>51.8</v>
      </c>
    </row>
    <row r="100" spans="1:64" ht="15.75" thickBot="1" x14ac:dyDescent="0.3">
      <c r="A100" s="86" t="s">
        <v>126</v>
      </c>
      <c r="B100" s="107">
        <f t="shared" ref="B100:M100" si="70">B99-(B107)</f>
        <v>1237.54</v>
      </c>
      <c r="C100" s="107">
        <f t="shared" si="70"/>
        <v>1226.8399999999997</v>
      </c>
      <c r="D100" s="107">
        <f t="shared" si="70"/>
        <v>1224.94</v>
      </c>
      <c r="E100" s="107">
        <f t="shared" si="70"/>
        <v>1256.24</v>
      </c>
      <c r="F100" s="107">
        <f t="shared" si="70"/>
        <v>1257.04</v>
      </c>
      <c r="G100" s="107">
        <f t="shared" si="70"/>
        <v>1332.04</v>
      </c>
      <c r="H100" s="107">
        <f t="shared" si="70"/>
        <v>1434.74</v>
      </c>
      <c r="I100" s="107">
        <f t="shared" si="70"/>
        <v>1475.4399999999998</v>
      </c>
      <c r="J100" s="107">
        <f t="shared" si="70"/>
        <v>1538.24</v>
      </c>
      <c r="K100" s="107">
        <f t="shared" si="70"/>
        <v>1576.6399999999999</v>
      </c>
      <c r="L100" s="107">
        <f t="shared" si="70"/>
        <v>1599.04</v>
      </c>
      <c r="M100" s="107">
        <f t="shared" si="70"/>
        <v>1669.44</v>
      </c>
      <c r="N100" s="107">
        <f>N99-(N107)</f>
        <v>1640.6399999999999</v>
      </c>
      <c r="O100" s="107">
        <f t="shared" ref="O100:AF100" si="71">O99-(O107)</f>
        <v>1659.1399999999999</v>
      </c>
      <c r="P100" s="107">
        <f t="shared" si="71"/>
        <v>1652.3400000000001</v>
      </c>
      <c r="Q100" s="107">
        <f t="shared" si="71"/>
        <v>1682.84</v>
      </c>
      <c r="R100" s="107">
        <f t="shared" si="71"/>
        <v>1621.04</v>
      </c>
      <c r="S100" s="107">
        <f t="shared" si="71"/>
        <v>1684.64</v>
      </c>
      <c r="T100" s="107">
        <f t="shared" si="71"/>
        <v>1718.7399999999998</v>
      </c>
      <c r="U100" s="107">
        <f t="shared" si="71"/>
        <v>1711.2399999999998</v>
      </c>
      <c r="V100" s="107">
        <f t="shared" ref="V100:W100" si="72">V99-(V107)</f>
        <v>1645.3000000000002</v>
      </c>
      <c r="W100" s="107">
        <f t="shared" si="72"/>
        <v>1632.3799999999999</v>
      </c>
      <c r="X100" s="107">
        <f t="shared" ref="X100:Z100" si="73">X99-(X107)</f>
        <v>1437.94</v>
      </c>
      <c r="Y100" s="107">
        <f t="shared" si="73"/>
        <v>1871.7400000000002</v>
      </c>
      <c r="Z100" s="107">
        <f t="shared" si="73"/>
        <v>1901.64</v>
      </c>
      <c r="AA100" s="107">
        <f t="shared" ref="AA100" si="74">AA99-(AA107)</f>
        <v>1819.2400000000002</v>
      </c>
      <c r="AB100" s="107">
        <f t="shared" si="71"/>
        <v>1707.24</v>
      </c>
      <c r="AC100" s="107">
        <f t="shared" si="71"/>
        <v>1676.4399999999998</v>
      </c>
      <c r="AD100" s="107">
        <f t="shared" si="71"/>
        <v>1610.1399999999999</v>
      </c>
      <c r="AE100" s="107">
        <f t="shared" si="71"/>
        <v>1461.1399999999999</v>
      </c>
      <c r="AF100" s="107">
        <f t="shared" si="71"/>
        <v>1335.6399999999999</v>
      </c>
      <c r="AG100" s="100"/>
      <c r="AH100" s="48">
        <f t="shared" si="56"/>
        <v>1901.64</v>
      </c>
      <c r="AI100" s="49">
        <f t="shared" si="57"/>
        <v>1224.94</v>
      </c>
      <c r="BF100" s="81"/>
      <c r="BG100" s="81">
        <v>66.7</v>
      </c>
      <c r="BH100" s="81">
        <v>0</v>
      </c>
      <c r="BI100" s="81">
        <v>474.1</v>
      </c>
      <c r="BJ100" s="81">
        <v>49.96</v>
      </c>
      <c r="BK100" s="81">
        <v>111.8</v>
      </c>
      <c r="BL100" s="81">
        <v>49.6</v>
      </c>
    </row>
    <row r="101" spans="1:64" x14ac:dyDescent="0.25">
      <c r="A101" s="45" t="s">
        <v>107</v>
      </c>
      <c r="B101" s="88">
        <f t="shared" ref="B101:AF101" si="75">IF(B84&lt;0,B84*-1,0)</f>
        <v>0</v>
      </c>
      <c r="C101" s="88">
        <f t="shared" si="75"/>
        <v>0</v>
      </c>
      <c r="D101" s="88">
        <f t="shared" si="75"/>
        <v>0</v>
      </c>
      <c r="E101" s="88">
        <f t="shared" si="75"/>
        <v>0</v>
      </c>
      <c r="F101" s="88">
        <f t="shared" si="75"/>
        <v>0</v>
      </c>
      <c r="G101" s="88">
        <f t="shared" si="75"/>
        <v>0</v>
      </c>
      <c r="H101" s="88">
        <f t="shared" si="75"/>
        <v>0</v>
      </c>
      <c r="I101" s="88">
        <f t="shared" si="75"/>
        <v>0</v>
      </c>
      <c r="J101" s="88">
        <f t="shared" si="75"/>
        <v>0</v>
      </c>
      <c r="K101" s="88">
        <f t="shared" si="75"/>
        <v>0</v>
      </c>
      <c r="L101" s="88">
        <f t="shared" si="75"/>
        <v>0</v>
      </c>
      <c r="M101" s="88">
        <f t="shared" si="75"/>
        <v>0</v>
      </c>
      <c r="N101" s="88">
        <f t="shared" si="75"/>
        <v>0</v>
      </c>
      <c r="O101" s="88">
        <f t="shared" si="75"/>
        <v>0</v>
      </c>
      <c r="P101" s="88">
        <f t="shared" si="75"/>
        <v>0</v>
      </c>
      <c r="Q101" s="88">
        <f t="shared" si="75"/>
        <v>0</v>
      </c>
      <c r="R101" s="88">
        <f t="shared" si="75"/>
        <v>0</v>
      </c>
      <c r="S101" s="88">
        <f t="shared" si="75"/>
        <v>0</v>
      </c>
      <c r="T101" s="88">
        <f t="shared" si="75"/>
        <v>0</v>
      </c>
      <c r="U101" s="88">
        <f t="shared" si="75"/>
        <v>0</v>
      </c>
      <c r="V101" s="88">
        <f t="shared" ref="V101:W101" si="76">IF(V84&lt;0,V84*-1,0)</f>
        <v>0</v>
      </c>
      <c r="W101" s="88">
        <f t="shared" si="76"/>
        <v>0</v>
      </c>
      <c r="X101" s="88">
        <f t="shared" ref="X101:Z101" si="77">IF(X84&lt;0,X84*-1,0)</f>
        <v>0</v>
      </c>
      <c r="Y101" s="88">
        <f t="shared" si="77"/>
        <v>0</v>
      </c>
      <c r="Z101" s="88">
        <f t="shared" si="77"/>
        <v>0</v>
      </c>
      <c r="AA101" s="88">
        <f t="shared" ref="AA101" si="78">IF(AA84&lt;0,AA84*-1,0)</f>
        <v>0</v>
      </c>
      <c r="AB101" s="88">
        <f t="shared" si="75"/>
        <v>0</v>
      </c>
      <c r="AC101" s="88">
        <f t="shared" si="75"/>
        <v>0</v>
      </c>
      <c r="AD101" s="88">
        <f t="shared" si="75"/>
        <v>0</v>
      </c>
      <c r="AE101" s="88">
        <f t="shared" si="75"/>
        <v>0</v>
      </c>
      <c r="AF101" s="88">
        <f t="shared" si="75"/>
        <v>0</v>
      </c>
      <c r="AG101" s="60"/>
      <c r="AH101" s="48">
        <f t="shared" si="56"/>
        <v>0</v>
      </c>
      <c r="AI101" s="49">
        <f t="shared" si="57"/>
        <v>0</v>
      </c>
      <c r="BF101" s="80"/>
      <c r="BG101" s="81">
        <v>61.7</v>
      </c>
      <c r="BH101" s="81">
        <v>0</v>
      </c>
      <c r="BI101" s="81">
        <v>425.7</v>
      </c>
      <c r="BJ101" s="81">
        <v>42.8</v>
      </c>
      <c r="BK101" s="81">
        <v>0</v>
      </c>
      <c r="BL101" s="81">
        <v>48.5</v>
      </c>
    </row>
    <row r="102" spans="1:64" x14ac:dyDescent="0.25">
      <c r="A102" s="64" t="s">
        <v>105</v>
      </c>
      <c r="B102" s="88">
        <f t="shared" ref="B102:AF102" si="79">IF(B82&lt;0,B82*-1,0)</f>
        <v>0</v>
      </c>
      <c r="C102" s="88">
        <f t="shared" si="79"/>
        <v>0</v>
      </c>
      <c r="D102" s="88">
        <f t="shared" si="79"/>
        <v>0</v>
      </c>
      <c r="E102" s="88">
        <f t="shared" si="79"/>
        <v>0</v>
      </c>
      <c r="F102" s="88">
        <f t="shared" si="79"/>
        <v>0</v>
      </c>
      <c r="G102" s="88">
        <f t="shared" si="79"/>
        <v>0</v>
      </c>
      <c r="H102" s="88">
        <f t="shared" si="79"/>
        <v>0</v>
      </c>
      <c r="I102" s="88">
        <f t="shared" si="79"/>
        <v>0</v>
      </c>
      <c r="J102" s="88">
        <f t="shared" si="79"/>
        <v>0</v>
      </c>
      <c r="K102" s="88">
        <f t="shared" si="79"/>
        <v>0</v>
      </c>
      <c r="L102" s="88">
        <f t="shared" si="79"/>
        <v>0</v>
      </c>
      <c r="M102" s="88">
        <f t="shared" si="79"/>
        <v>0</v>
      </c>
      <c r="N102" s="88">
        <f t="shared" si="79"/>
        <v>0</v>
      </c>
      <c r="O102" s="88">
        <f t="shared" si="79"/>
        <v>0</v>
      </c>
      <c r="P102" s="88">
        <f t="shared" si="79"/>
        <v>0</v>
      </c>
      <c r="Q102" s="88">
        <f t="shared" si="79"/>
        <v>0</v>
      </c>
      <c r="R102" s="88">
        <f t="shared" si="79"/>
        <v>0</v>
      </c>
      <c r="S102" s="88">
        <f t="shared" si="79"/>
        <v>0</v>
      </c>
      <c r="T102" s="88">
        <f t="shared" si="79"/>
        <v>0</v>
      </c>
      <c r="U102" s="88">
        <f t="shared" si="79"/>
        <v>0</v>
      </c>
      <c r="V102" s="88">
        <f t="shared" ref="V102:W102" si="80">IF(V82&lt;0,V82*-1,0)</f>
        <v>0</v>
      </c>
      <c r="W102" s="88">
        <f t="shared" si="80"/>
        <v>0</v>
      </c>
      <c r="X102" s="88">
        <f t="shared" ref="X102:Z102" si="81">IF(X82&lt;0,X82*-1,0)</f>
        <v>0</v>
      </c>
      <c r="Y102" s="88">
        <f t="shared" si="81"/>
        <v>0</v>
      </c>
      <c r="Z102" s="88">
        <f t="shared" si="81"/>
        <v>0</v>
      </c>
      <c r="AA102" s="88">
        <f t="shared" ref="AA102" si="82">IF(AA82&lt;0,AA82*-1,0)</f>
        <v>0</v>
      </c>
      <c r="AB102" s="88">
        <f t="shared" si="79"/>
        <v>0</v>
      </c>
      <c r="AC102" s="88">
        <f t="shared" si="79"/>
        <v>0</v>
      </c>
      <c r="AD102" s="88">
        <f t="shared" si="79"/>
        <v>0</v>
      </c>
      <c r="AE102" s="88">
        <f t="shared" si="79"/>
        <v>0</v>
      </c>
      <c r="AF102" s="88">
        <f t="shared" si="79"/>
        <v>0</v>
      </c>
      <c r="AG102" s="65"/>
      <c r="AH102" s="48">
        <f t="shared" si="56"/>
        <v>0</v>
      </c>
      <c r="AI102" s="49">
        <f t="shared" si="57"/>
        <v>0</v>
      </c>
      <c r="BF102" s="80"/>
      <c r="BG102" s="81">
        <v>32.200000000000003</v>
      </c>
      <c r="BH102" s="81">
        <v>0</v>
      </c>
      <c r="BI102" s="81">
        <v>47.9</v>
      </c>
      <c r="BJ102" s="81">
        <v>0</v>
      </c>
      <c r="BK102" s="81">
        <v>0</v>
      </c>
      <c r="BL102" s="81">
        <v>43.2</v>
      </c>
    </row>
    <row r="103" spans="1:64" x14ac:dyDescent="0.25">
      <c r="A103" s="96" t="s">
        <v>127</v>
      </c>
      <c r="B103" s="88">
        <f t="shared" ref="B103:AF103" si="83">IF(B85&lt;0,B85*-1,0)</f>
        <v>0</v>
      </c>
      <c r="C103" s="88">
        <f t="shared" si="83"/>
        <v>0</v>
      </c>
      <c r="D103" s="88">
        <f t="shared" si="83"/>
        <v>0</v>
      </c>
      <c r="E103" s="88">
        <f t="shared" si="83"/>
        <v>0</v>
      </c>
      <c r="F103" s="88">
        <f t="shared" si="83"/>
        <v>0</v>
      </c>
      <c r="G103" s="88">
        <f t="shared" si="83"/>
        <v>0</v>
      </c>
      <c r="H103" s="88">
        <f t="shared" si="83"/>
        <v>0</v>
      </c>
      <c r="I103" s="88">
        <f t="shared" si="83"/>
        <v>0</v>
      </c>
      <c r="J103" s="88">
        <f t="shared" si="83"/>
        <v>0</v>
      </c>
      <c r="K103" s="88">
        <f t="shared" si="83"/>
        <v>0</v>
      </c>
      <c r="L103" s="88">
        <f t="shared" si="83"/>
        <v>0</v>
      </c>
      <c r="M103" s="88">
        <f t="shared" si="83"/>
        <v>0</v>
      </c>
      <c r="N103" s="88">
        <f t="shared" si="83"/>
        <v>0</v>
      </c>
      <c r="O103" s="88">
        <f t="shared" si="83"/>
        <v>0</v>
      </c>
      <c r="P103" s="88">
        <f t="shared" si="83"/>
        <v>0</v>
      </c>
      <c r="Q103" s="88">
        <f t="shared" si="83"/>
        <v>0</v>
      </c>
      <c r="R103" s="88">
        <f t="shared" si="83"/>
        <v>0</v>
      </c>
      <c r="S103" s="88">
        <f t="shared" si="83"/>
        <v>0</v>
      </c>
      <c r="T103" s="88">
        <f t="shared" si="83"/>
        <v>0</v>
      </c>
      <c r="U103" s="88">
        <f t="shared" si="83"/>
        <v>0</v>
      </c>
      <c r="V103" s="88">
        <f t="shared" ref="V103:W103" si="84">IF(V85&lt;0,V85*-1,0)</f>
        <v>0</v>
      </c>
      <c r="W103" s="88">
        <f t="shared" si="84"/>
        <v>0</v>
      </c>
      <c r="X103" s="88">
        <f t="shared" ref="X103:Z103" si="85">IF(X85&lt;0,X85*-1,0)</f>
        <v>0</v>
      </c>
      <c r="Y103" s="88">
        <f t="shared" si="85"/>
        <v>0</v>
      </c>
      <c r="Z103" s="88">
        <f t="shared" si="85"/>
        <v>0</v>
      </c>
      <c r="AA103" s="88">
        <f t="shared" ref="AA103" si="86">IF(AA85&lt;0,AA85*-1,0)</f>
        <v>0</v>
      </c>
      <c r="AB103" s="88">
        <f t="shared" si="83"/>
        <v>0</v>
      </c>
      <c r="AC103" s="88">
        <f t="shared" si="83"/>
        <v>0</v>
      </c>
      <c r="AD103" s="88">
        <f t="shared" si="83"/>
        <v>0</v>
      </c>
      <c r="AE103" s="88">
        <f t="shared" si="83"/>
        <v>0</v>
      </c>
      <c r="AF103" s="88">
        <f t="shared" si="83"/>
        <v>0</v>
      </c>
      <c r="AG103" s="110"/>
      <c r="AH103" s="48">
        <f t="shared" si="56"/>
        <v>0</v>
      </c>
      <c r="AI103" s="49">
        <f t="shared" si="57"/>
        <v>0</v>
      </c>
      <c r="BF103" s="80"/>
      <c r="BG103" s="81">
        <v>31</v>
      </c>
      <c r="BH103" s="81">
        <v>0</v>
      </c>
      <c r="BI103" s="81">
        <v>60</v>
      </c>
      <c r="BJ103" s="81">
        <v>0</v>
      </c>
      <c r="BK103" s="81">
        <v>0</v>
      </c>
      <c r="BL103" s="81">
        <v>41</v>
      </c>
    </row>
    <row r="104" spans="1:64" x14ac:dyDescent="0.25">
      <c r="A104" s="96" t="s">
        <v>128</v>
      </c>
      <c r="B104" s="88">
        <f t="shared" ref="B104:AF104" si="87">IF(B83&lt;0,B83*-1,0)</f>
        <v>0</v>
      </c>
      <c r="C104" s="88">
        <f t="shared" si="87"/>
        <v>0</v>
      </c>
      <c r="D104" s="88">
        <f t="shared" si="87"/>
        <v>0</v>
      </c>
      <c r="E104" s="88">
        <f t="shared" si="87"/>
        <v>0</v>
      </c>
      <c r="F104" s="88">
        <f t="shared" si="87"/>
        <v>0</v>
      </c>
      <c r="G104" s="88">
        <f t="shared" si="87"/>
        <v>0</v>
      </c>
      <c r="H104" s="88">
        <f t="shared" si="87"/>
        <v>0</v>
      </c>
      <c r="I104" s="88">
        <f t="shared" si="87"/>
        <v>0</v>
      </c>
      <c r="J104" s="88">
        <f t="shared" si="87"/>
        <v>0</v>
      </c>
      <c r="K104" s="88">
        <f t="shared" si="87"/>
        <v>0</v>
      </c>
      <c r="L104" s="88">
        <f t="shared" si="87"/>
        <v>0</v>
      </c>
      <c r="M104" s="88">
        <f t="shared" si="87"/>
        <v>0</v>
      </c>
      <c r="N104" s="88">
        <f t="shared" si="87"/>
        <v>0</v>
      </c>
      <c r="O104" s="88">
        <f t="shared" si="87"/>
        <v>0</v>
      </c>
      <c r="P104" s="88">
        <f t="shared" si="87"/>
        <v>0</v>
      </c>
      <c r="Q104" s="88">
        <f t="shared" si="87"/>
        <v>0</v>
      </c>
      <c r="R104" s="88">
        <f t="shared" si="87"/>
        <v>0</v>
      </c>
      <c r="S104" s="88">
        <f t="shared" si="87"/>
        <v>0</v>
      </c>
      <c r="T104" s="88">
        <f t="shared" si="87"/>
        <v>0</v>
      </c>
      <c r="U104" s="88">
        <f t="shared" si="87"/>
        <v>0</v>
      </c>
      <c r="V104" s="88">
        <f t="shared" ref="V104:W104" si="88">IF(V83&lt;0,V83*-1,0)</f>
        <v>0</v>
      </c>
      <c r="W104" s="88">
        <f t="shared" si="88"/>
        <v>0</v>
      </c>
      <c r="X104" s="88">
        <f t="shared" ref="X104:Z104" si="89">IF(X83&lt;0,X83*-1,0)</f>
        <v>0</v>
      </c>
      <c r="Y104" s="88">
        <f t="shared" si="89"/>
        <v>0</v>
      </c>
      <c r="Z104" s="88">
        <f t="shared" si="89"/>
        <v>0</v>
      </c>
      <c r="AA104" s="88">
        <f t="shared" ref="AA104" si="90">IF(AA83&lt;0,AA83*-1,0)</f>
        <v>0</v>
      </c>
      <c r="AB104" s="88">
        <f t="shared" si="87"/>
        <v>0</v>
      </c>
      <c r="AC104" s="88">
        <f t="shared" si="87"/>
        <v>0</v>
      </c>
      <c r="AD104" s="88">
        <f t="shared" si="87"/>
        <v>0</v>
      </c>
      <c r="AE104" s="88">
        <f t="shared" si="87"/>
        <v>0</v>
      </c>
      <c r="AF104" s="88">
        <f t="shared" si="87"/>
        <v>0</v>
      </c>
      <c r="AG104" s="110"/>
      <c r="AH104" s="48">
        <f t="shared" si="56"/>
        <v>0</v>
      </c>
      <c r="AI104" s="49">
        <f t="shared" si="57"/>
        <v>0</v>
      </c>
      <c r="BF104" s="80"/>
      <c r="BG104" s="81">
        <v>41.8</v>
      </c>
      <c r="BH104" s="81">
        <v>0</v>
      </c>
      <c r="BI104" s="81">
        <v>86.1</v>
      </c>
      <c r="BJ104" s="81">
        <v>0</v>
      </c>
      <c r="BK104" s="81">
        <v>0</v>
      </c>
      <c r="BL104" s="81">
        <v>45.5</v>
      </c>
    </row>
    <row r="105" spans="1:64" x14ac:dyDescent="0.25">
      <c r="A105" s="96" t="s">
        <v>104</v>
      </c>
      <c r="B105" s="88">
        <f t="shared" ref="B105:AF105" si="91">IF(B81&lt;0,B81*-1,0)</f>
        <v>0</v>
      </c>
      <c r="C105" s="88">
        <f t="shared" si="91"/>
        <v>0</v>
      </c>
      <c r="D105" s="88">
        <f t="shared" si="91"/>
        <v>0</v>
      </c>
      <c r="E105" s="88">
        <f t="shared" si="91"/>
        <v>0</v>
      </c>
      <c r="F105" s="88">
        <f t="shared" si="91"/>
        <v>0</v>
      </c>
      <c r="G105" s="88">
        <f t="shared" si="91"/>
        <v>0</v>
      </c>
      <c r="H105" s="88">
        <f t="shared" si="91"/>
        <v>0</v>
      </c>
      <c r="I105" s="88">
        <f t="shared" si="91"/>
        <v>0</v>
      </c>
      <c r="J105" s="88">
        <f t="shared" si="91"/>
        <v>0</v>
      </c>
      <c r="K105" s="88">
        <f t="shared" si="91"/>
        <v>0</v>
      </c>
      <c r="L105" s="88">
        <f t="shared" si="91"/>
        <v>0</v>
      </c>
      <c r="M105" s="88">
        <f t="shared" si="91"/>
        <v>0</v>
      </c>
      <c r="N105" s="88">
        <f t="shared" si="91"/>
        <v>0</v>
      </c>
      <c r="O105" s="88">
        <f t="shared" si="91"/>
        <v>0</v>
      </c>
      <c r="P105" s="88">
        <f t="shared" si="91"/>
        <v>0</v>
      </c>
      <c r="Q105" s="88">
        <f t="shared" si="91"/>
        <v>0</v>
      </c>
      <c r="R105" s="88">
        <f t="shared" si="91"/>
        <v>0</v>
      </c>
      <c r="S105" s="88">
        <f t="shared" si="91"/>
        <v>0</v>
      </c>
      <c r="T105" s="88">
        <f t="shared" si="91"/>
        <v>0</v>
      </c>
      <c r="U105" s="88">
        <f t="shared" si="91"/>
        <v>0</v>
      </c>
      <c r="V105" s="88">
        <f t="shared" ref="V105:W105" si="92">IF(V81&lt;0,V81*-1,0)</f>
        <v>0</v>
      </c>
      <c r="W105" s="88">
        <f t="shared" si="92"/>
        <v>0</v>
      </c>
      <c r="X105" s="88">
        <f t="shared" ref="X105:Z105" si="93">IF(X81&lt;0,X81*-1,0)</f>
        <v>0</v>
      </c>
      <c r="Y105" s="88">
        <f t="shared" si="93"/>
        <v>0</v>
      </c>
      <c r="Z105" s="88">
        <f t="shared" si="93"/>
        <v>0</v>
      </c>
      <c r="AA105" s="88">
        <f t="shared" ref="AA105" si="94">IF(AA81&lt;0,AA81*-1,0)</f>
        <v>0</v>
      </c>
      <c r="AB105" s="88">
        <f t="shared" si="91"/>
        <v>0</v>
      </c>
      <c r="AC105" s="88">
        <f t="shared" si="91"/>
        <v>0</v>
      </c>
      <c r="AD105" s="88">
        <f t="shared" si="91"/>
        <v>0</v>
      </c>
      <c r="AE105" s="88">
        <f t="shared" si="91"/>
        <v>0</v>
      </c>
      <c r="AF105" s="88">
        <f t="shared" si="91"/>
        <v>0</v>
      </c>
      <c r="AG105" s="110"/>
      <c r="AH105" s="48">
        <f t="shared" si="56"/>
        <v>0</v>
      </c>
      <c r="AI105" s="49">
        <f t="shared" si="57"/>
        <v>0</v>
      </c>
      <c r="BF105" s="80"/>
      <c r="BG105" s="81">
        <v>35</v>
      </c>
      <c r="BH105" s="81">
        <v>0</v>
      </c>
      <c r="BI105" s="81">
        <v>68</v>
      </c>
      <c r="BJ105" s="81">
        <v>0</v>
      </c>
      <c r="BK105" s="81">
        <v>0</v>
      </c>
      <c r="BL105" s="81">
        <v>45.5</v>
      </c>
    </row>
    <row r="106" spans="1:64" ht="15.75" thickBot="1" x14ac:dyDescent="0.3">
      <c r="A106" s="96" t="s">
        <v>129</v>
      </c>
      <c r="B106" s="106">
        <v>0</v>
      </c>
      <c r="C106" s="106">
        <v>0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0</v>
      </c>
      <c r="Y106" s="106">
        <v>0</v>
      </c>
      <c r="Z106" s="106">
        <v>0</v>
      </c>
      <c r="AA106" s="106">
        <v>0</v>
      </c>
      <c r="AB106" s="106">
        <v>0</v>
      </c>
      <c r="AC106" s="106">
        <v>0</v>
      </c>
      <c r="AD106" s="106">
        <v>0</v>
      </c>
      <c r="AE106" s="106">
        <v>0</v>
      </c>
      <c r="AF106" s="106">
        <v>0</v>
      </c>
      <c r="AG106" s="97"/>
      <c r="AH106" s="48">
        <f t="shared" si="56"/>
        <v>0</v>
      </c>
      <c r="AI106" s="49">
        <f t="shared" si="57"/>
        <v>0</v>
      </c>
      <c r="BG106" s="81">
        <v>39</v>
      </c>
      <c r="BH106" s="81">
        <v>0</v>
      </c>
      <c r="BI106" s="81">
        <v>114</v>
      </c>
      <c r="BJ106" s="81">
        <v>0</v>
      </c>
      <c r="BK106" s="81">
        <v>0</v>
      </c>
      <c r="BL106" s="81">
        <v>50</v>
      </c>
    </row>
    <row r="107" spans="1:64" ht="15.75" thickBot="1" x14ac:dyDescent="0.3">
      <c r="A107" s="111" t="s">
        <v>130</v>
      </c>
      <c r="B107" s="70">
        <f t="shared" ref="B107:C107" si="95">SUM(B101:B106)</f>
        <v>0</v>
      </c>
      <c r="C107" s="70">
        <f t="shared" si="95"/>
        <v>0</v>
      </c>
      <c r="D107" s="70">
        <f t="shared" ref="D107:AF107" si="96">SUM(D101:D106)</f>
        <v>0</v>
      </c>
      <c r="E107" s="70">
        <f t="shared" si="96"/>
        <v>0</v>
      </c>
      <c r="F107" s="70">
        <f t="shared" si="96"/>
        <v>0</v>
      </c>
      <c r="G107" s="70">
        <f t="shared" si="96"/>
        <v>0</v>
      </c>
      <c r="H107" s="70">
        <f t="shared" si="96"/>
        <v>0</v>
      </c>
      <c r="I107" s="70">
        <f t="shared" si="96"/>
        <v>0</v>
      </c>
      <c r="J107" s="70">
        <f t="shared" si="96"/>
        <v>0</v>
      </c>
      <c r="K107" s="70">
        <f t="shared" si="96"/>
        <v>0</v>
      </c>
      <c r="L107" s="70">
        <f t="shared" si="96"/>
        <v>0</v>
      </c>
      <c r="M107" s="70">
        <f t="shared" si="96"/>
        <v>0</v>
      </c>
      <c r="N107" s="70">
        <f t="shared" si="96"/>
        <v>0</v>
      </c>
      <c r="O107" s="70">
        <f t="shared" si="96"/>
        <v>0</v>
      </c>
      <c r="P107" s="70">
        <f t="shared" si="96"/>
        <v>0</v>
      </c>
      <c r="Q107" s="70">
        <f t="shared" si="96"/>
        <v>0</v>
      </c>
      <c r="R107" s="70">
        <f t="shared" si="96"/>
        <v>0</v>
      </c>
      <c r="S107" s="70">
        <f t="shared" si="96"/>
        <v>0</v>
      </c>
      <c r="T107" s="70">
        <f t="shared" si="96"/>
        <v>0</v>
      </c>
      <c r="U107" s="70">
        <f t="shared" si="96"/>
        <v>0</v>
      </c>
      <c r="V107" s="70">
        <f t="shared" ref="V107:W107" si="97">SUM(V101:V106)</f>
        <v>0</v>
      </c>
      <c r="W107" s="70">
        <f t="shared" si="97"/>
        <v>0</v>
      </c>
      <c r="X107" s="70">
        <f t="shared" ref="X107:Z107" si="98">SUM(X101:X106)</f>
        <v>0</v>
      </c>
      <c r="Y107" s="70">
        <f t="shared" si="98"/>
        <v>0</v>
      </c>
      <c r="Z107" s="70">
        <f t="shared" si="98"/>
        <v>0</v>
      </c>
      <c r="AA107" s="70">
        <f t="shared" ref="AA107" si="99">SUM(AA101:AA106)</f>
        <v>0</v>
      </c>
      <c r="AB107" s="70">
        <f t="shared" si="96"/>
        <v>0</v>
      </c>
      <c r="AC107" s="70">
        <f t="shared" si="96"/>
        <v>0</v>
      </c>
      <c r="AD107" s="70">
        <f t="shared" si="96"/>
        <v>0</v>
      </c>
      <c r="AE107" s="70">
        <f t="shared" si="96"/>
        <v>0</v>
      </c>
      <c r="AF107" s="70">
        <f t="shared" si="96"/>
        <v>0</v>
      </c>
      <c r="AG107" s="100"/>
      <c r="AH107" s="48">
        <f t="shared" si="56"/>
        <v>0</v>
      </c>
      <c r="AI107" s="49">
        <f t="shared" si="57"/>
        <v>0</v>
      </c>
      <c r="AK107" s="51"/>
      <c r="BG107" s="81">
        <v>29.3</v>
      </c>
      <c r="BH107" s="81">
        <v>0</v>
      </c>
      <c r="BI107" s="81">
        <v>40.799999999999997</v>
      </c>
      <c r="BJ107" s="81">
        <v>44.1</v>
      </c>
      <c r="BK107" s="81">
        <v>128.30000000000001</v>
      </c>
      <c r="BL107" s="81">
        <v>45.9</v>
      </c>
    </row>
    <row r="108" spans="1:64" ht="15.75" thickBot="1" x14ac:dyDescent="0.3">
      <c r="A108" s="86" t="s">
        <v>131</v>
      </c>
      <c r="B108" s="70">
        <f t="shared" ref="B108:AF108" si="100">B92-B107</f>
        <v>288.39999999999998</v>
      </c>
      <c r="C108" s="70">
        <f t="shared" si="100"/>
        <v>274.89999999999998</v>
      </c>
      <c r="D108" s="70">
        <f t="shared" si="100"/>
        <v>342.90000000000003</v>
      </c>
      <c r="E108" s="70">
        <f t="shared" si="100"/>
        <v>401.8</v>
      </c>
      <c r="F108" s="70">
        <f t="shared" si="100"/>
        <v>375.6</v>
      </c>
      <c r="G108" s="70">
        <f t="shared" si="100"/>
        <v>397.8</v>
      </c>
      <c r="H108" s="70">
        <f t="shared" si="100"/>
        <v>411.5</v>
      </c>
      <c r="I108" s="70">
        <f t="shared" si="100"/>
        <v>434</v>
      </c>
      <c r="J108" s="70">
        <f t="shared" si="100"/>
        <v>728.6</v>
      </c>
      <c r="K108" s="70">
        <f t="shared" si="100"/>
        <v>785.1</v>
      </c>
      <c r="L108" s="70">
        <f t="shared" si="100"/>
        <v>797.8</v>
      </c>
      <c r="M108" s="70">
        <f t="shared" si="100"/>
        <v>819.59999999999991</v>
      </c>
      <c r="N108" s="70">
        <f t="shared" si="100"/>
        <v>813.4</v>
      </c>
      <c r="O108" s="70">
        <f t="shared" si="100"/>
        <v>814.5</v>
      </c>
      <c r="P108" s="70">
        <f t="shared" si="100"/>
        <v>801.9</v>
      </c>
      <c r="Q108" s="70">
        <f t="shared" si="100"/>
        <v>820.59999999999991</v>
      </c>
      <c r="R108" s="70">
        <f t="shared" si="100"/>
        <v>837.19999999999993</v>
      </c>
      <c r="S108" s="70">
        <f t="shared" si="100"/>
        <v>837.3</v>
      </c>
      <c r="T108" s="70">
        <f t="shared" si="100"/>
        <v>809.8</v>
      </c>
      <c r="U108" s="70">
        <f t="shared" si="100"/>
        <v>789.09999999999991</v>
      </c>
      <c r="V108" s="70">
        <f t="shared" ref="V108:W108" si="101">V92-V107</f>
        <v>752.16000000000008</v>
      </c>
      <c r="W108" s="70">
        <f t="shared" si="101"/>
        <v>743.74</v>
      </c>
      <c r="X108" s="70">
        <f t="shared" ref="X108:Z108" si="102">X92-X107</f>
        <v>578.69999999999993</v>
      </c>
      <c r="Y108" s="70">
        <f t="shared" si="102"/>
        <v>152.9</v>
      </c>
      <c r="Z108" s="70">
        <f t="shared" si="102"/>
        <v>123.3</v>
      </c>
      <c r="AA108" s="70">
        <f t="shared" ref="AA108" si="103">AA92-AA107</f>
        <v>68.900000000000006</v>
      </c>
      <c r="AB108" s="70">
        <f t="shared" si="100"/>
        <v>132</v>
      </c>
      <c r="AC108" s="70">
        <f t="shared" si="100"/>
        <v>130.30000000000001</v>
      </c>
      <c r="AD108" s="70">
        <f t="shared" si="100"/>
        <v>173.39999999999998</v>
      </c>
      <c r="AE108" s="70">
        <f t="shared" si="100"/>
        <v>148.5</v>
      </c>
      <c r="AF108" s="70">
        <f t="shared" si="100"/>
        <v>203</v>
      </c>
      <c r="AG108" s="100"/>
      <c r="AH108" s="48">
        <f t="shared" si="56"/>
        <v>837.3</v>
      </c>
      <c r="AI108" s="49">
        <f t="shared" si="57"/>
        <v>68.900000000000006</v>
      </c>
    </row>
    <row r="109" spans="1:64" x14ac:dyDescent="0.25">
      <c r="A109" s="112" t="s">
        <v>132</v>
      </c>
      <c r="B109" s="113">
        <v>49.973999999999997</v>
      </c>
      <c r="C109" s="113">
        <v>49.965000000000003</v>
      </c>
      <c r="D109" s="113">
        <v>49.993000000000002</v>
      </c>
      <c r="E109" s="113">
        <v>49.968000000000004</v>
      </c>
      <c r="F109" s="113">
        <v>50</v>
      </c>
      <c r="G109" s="113">
        <v>49.987000000000002</v>
      </c>
      <c r="H109" s="113">
        <v>50.012999999999998</v>
      </c>
      <c r="I109" s="113">
        <v>49.953000000000003</v>
      </c>
      <c r="J109" s="113">
        <v>49.767000000000003</v>
      </c>
      <c r="K109" s="113">
        <v>50.034999999999997</v>
      </c>
      <c r="L109" s="113">
        <v>50.058999999999997</v>
      </c>
      <c r="M109" s="113">
        <v>49.927</v>
      </c>
      <c r="N109" s="113">
        <v>50.061</v>
      </c>
      <c r="O109" s="113">
        <v>49.997999999999998</v>
      </c>
      <c r="P109" s="113">
        <v>50.073</v>
      </c>
      <c r="Q109" s="113">
        <v>50.006999999999998</v>
      </c>
      <c r="R109" s="113">
        <v>49.984000000000002</v>
      </c>
      <c r="S109" s="113">
        <v>50.026000000000003</v>
      </c>
      <c r="T109" s="113">
        <v>49.887999999999998</v>
      </c>
      <c r="U109" s="113">
        <v>49.923999999999999</v>
      </c>
      <c r="V109" s="113">
        <v>50.06</v>
      </c>
      <c r="W109" s="113">
        <v>50.03</v>
      </c>
      <c r="X109" s="113">
        <v>50.02</v>
      </c>
      <c r="Y109" s="113">
        <v>49.9</v>
      </c>
      <c r="Z109" s="113">
        <v>50.07</v>
      </c>
      <c r="AA109" s="113">
        <v>50</v>
      </c>
      <c r="AB109" s="113">
        <v>50.042999999999999</v>
      </c>
      <c r="AC109" s="113">
        <v>49.976999999999997</v>
      </c>
      <c r="AD109" s="113">
        <v>49.94</v>
      </c>
      <c r="AE109" s="113">
        <v>50.061</v>
      </c>
      <c r="AF109" s="113">
        <v>49.920999999999999</v>
      </c>
      <c r="AG109" s="114"/>
      <c r="AH109" s="48">
        <f t="shared" si="56"/>
        <v>50.073</v>
      </c>
      <c r="AI109" s="49">
        <f t="shared" si="57"/>
        <v>49.767000000000003</v>
      </c>
    </row>
    <row r="110" spans="1:64" x14ac:dyDescent="0.25">
      <c r="A110" s="115" t="s">
        <v>133</v>
      </c>
      <c r="B110" s="75">
        <v>133.4</v>
      </c>
      <c r="C110" s="75">
        <v>133.80000000000001</v>
      </c>
      <c r="D110" s="75">
        <v>132.4</v>
      </c>
      <c r="E110" s="75">
        <v>132.4</v>
      </c>
      <c r="F110" s="75">
        <v>132.4</v>
      </c>
      <c r="G110" s="75">
        <v>130.9</v>
      </c>
      <c r="H110" s="75">
        <v>130.9</v>
      </c>
      <c r="I110" s="75">
        <v>126.4</v>
      </c>
      <c r="J110" s="75">
        <v>123</v>
      </c>
      <c r="K110" s="75">
        <v>122.9</v>
      </c>
      <c r="L110" s="75">
        <v>123.4</v>
      </c>
      <c r="M110" s="75">
        <v>123.2</v>
      </c>
      <c r="N110" s="75">
        <v>123.7</v>
      </c>
      <c r="O110" s="75">
        <v>123.1</v>
      </c>
      <c r="P110" s="75">
        <v>122.7</v>
      </c>
      <c r="Q110" s="75">
        <v>125.1</v>
      </c>
      <c r="R110" s="75">
        <v>124.7</v>
      </c>
      <c r="S110" s="75">
        <v>124.6</v>
      </c>
      <c r="T110" s="75">
        <v>123.9</v>
      </c>
      <c r="U110" s="75">
        <v>124.4</v>
      </c>
      <c r="V110" s="75">
        <v>128</v>
      </c>
      <c r="W110" s="75">
        <v>127.7</v>
      </c>
      <c r="X110" s="75">
        <v>129.69999999999999</v>
      </c>
      <c r="Y110" s="75">
        <v>126.5</v>
      </c>
      <c r="Z110" s="75">
        <v>127</v>
      </c>
      <c r="AA110" s="75">
        <v>129.9</v>
      </c>
      <c r="AB110" s="75">
        <v>129.1</v>
      </c>
      <c r="AC110" s="75">
        <v>129.4</v>
      </c>
      <c r="AD110" s="75">
        <v>129.5</v>
      </c>
      <c r="AE110" s="75">
        <v>129.69999999999999</v>
      </c>
      <c r="AF110" s="75">
        <v>130.4</v>
      </c>
      <c r="AG110" s="116"/>
      <c r="AH110" s="48">
        <f t="shared" si="56"/>
        <v>133.80000000000001</v>
      </c>
      <c r="AI110" s="49">
        <f t="shared" si="57"/>
        <v>122.7</v>
      </c>
    </row>
    <row r="111" spans="1:64" x14ac:dyDescent="0.25">
      <c r="A111" s="115" t="s">
        <v>134</v>
      </c>
      <c r="B111" s="75">
        <v>135.69999999999999</v>
      </c>
      <c r="C111" s="75">
        <v>136.19999999999999</v>
      </c>
      <c r="D111" s="75">
        <v>135.1</v>
      </c>
      <c r="E111" s="75">
        <v>135.1</v>
      </c>
      <c r="F111" s="75">
        <v>135.1</v>
      </c>
      <c r="G111" s="75">
        <v>133.9</v>
      </c>
      <c r="H111" s="75">
        <v>133.9</v>
      </c>
      <c r="I111" s="75">
        <v>129.30000000000001</v>
      </c>
      <c r="J111" s="75">
        <v>127</v>
      </c>
      <c r="K111" s="75">
        <v>126.9</v>
      </c>
      <c r="L111" s="75">
        <v>126.6</v>
      </c>
      <c r="M111" s="75">
        <v>126</v>
      </c>
      <c r="N111" s="75">
        <v>126.3</v>
      </c>
      <c r="O111" s="75">
        <v>126.3</v>
      </c>
      <c r="P111" s="75">
        <v>126.1</v>
      </c>
      <c r="Q111" s="75">
        <v>128.30000000000001</v>
      </c>
      <c r="R111" s="75">
        <v>128.30000000000001</v>
      </c>
      <c r="S111" s="75">
        <v>127.9</v>
      </c>
      <c r="T111" s="75">
        <v>127.5</v>
      </c>
      <c r="U111" s="75">
        <v>127.9</v>
      </c>
      <c r="V111" s="75">
        <v>131.80000000000001</v>
      </c>
      <c r="W111" s="75">
        <v>131.4</v>
      </c>
      <c r="X111" s="75">
        <v>132.9</v>
      </c>
      <c r="Y111" s="75">
        <v>130.4</v>
      </c>
      <c r="Z111" s="75">
        <v>130.69999999999999</v>
      </c>
      <c r="AA111" s="75">
        <v>133</v>
      </c>
      <c r="AB111" s="75">
        <v>132.80000000000001</v>
      </c>
      <c r="AC111" s="75">
        <v>133.1</v>
      </c>
      <c r="AD111" s="75">
        <v>133.30000000000001</v>
      </c>
      <c r="AE111" s="75">
        <v>133.30000000000001</v>
      </c>
      <c r="AF111" s="75">
        <v>134.30000000000001</v>
      </c>
      <c r="AG111" s="116"/>
      <c r="AH111" s="48">
        <f t="shared" si="56"/>
        <v>136.19999999999999</v>
      </c>
      <c r="AI111" s="49">
        <f t="shared" si="57"/>
        <v>126</v>
      </c>
    </row>
    <row r="112" spans="1:64" x14ac:dyDescent="0.25">
      <c r="A112" s="115" t="s">
        <v>135</v>
      </c>
      <c r="B112" s="75">
        <v>138.80000000000001</v>
      </c>
      <c r="C112" s="75">
        <v>136</v>
      </c>
      <c r="D112" s="75">
        <v>137</v>
      </c>
      <c r="E112" s="75">
        <v>137</v>
      </c>
      <c r="F112" s="75">
        <v>137</v>
      </c>
      <c r="G112" s="75">
        <v>135.5</v>
      </c>
      <c r="H112" s="75">
        <v>135.5</v>
      </c>
      <c r="I112" s="75">
        <v>132.9</v>
      </c>
      <c r="J112" s="75">
        <v>128</v>
      </c>
      <c r="K112" s="75">
        <v>128.9</v>
      </c>
      <c r="L112" s="75">
        <v>128.69999999999999</v>
      </c>
      <c r="M112" s="75">
        <v>125.1</v>
      </c>
      <c r="N112" s="75">
        <v>131.9</v>
      </c>
      <c r="O112" s="75">
        <v>128.5</v>
      </c>
      <c r="P112" s="75">
        <v>131</v>
      </c>
      <c r="Q112" s="75">
        <v>129.6</v>
      </c>
      <c r="R112" s="75">
        <v>128.6</v>
      </c>
      <c r="S112" s="75">
        <v>125.8</v>
      </c>
      <c r="T112" s="75">
        <v>126</v>
      </c>
      <c r="U112" s="75">
        <v>124</v>
      </c>
      <c r="V112" s="75">
        <v>127.4</v>
      </c>
      <c r="W112" s="75">
        <v>127.7</v>
      </c>
      <c r="X112" s="75">
        <v>130.30000000000001</v>
      </c>
      <c r="Y112" s="75">
        <v>127.3</v>
      </c>
      <c r="Z112" s="75">
        <v>131.9</v>
      </c>
      <c r="AA112" s="75"/>
      <c r="AB112" s="75"/>
      <c r="AC112" s="75"/>
      <c r="AD112" s="75"/>
      <c r="AE112" s="75"/>
      <c r="AF112" s="75">
        <v>134.30000000000001</v>
      </c>
      <c r="AG112" s="116"/>
      <c r="AH112" s="48">
        <f t="shared" si="56"/>
        <v>138.80000000000001</v>
      </c>
      <c r="AI112" s="49">
        <f t="shared" si="57"/>
        <v>124</v>
      </c>
    </row>
    <row r="113" spans="1:35" x14ac:dyDescent="0.25">
      <c r="A113" s="117" t="s">
        <v>136</v>
      </c>
      <c r="B113" s="75">
        <v>140</v>
      </c>
      <c r="C113" s="75">
        <v>136.69999999999999</v>
      </c>
      <c r="D113" s="75">
        <v>137</v>
      </c>
      <c r="E113" s="75">
        <v>137</v>
      </c>
      <c r="F113" s="75">
        <v>137</v>
      </c>
      <c r="G113" s="75">
        <v>135.5</v>
      </c>
      <c r="H113" s="75">
        <v>135.5</v>
      </c>
      <c r="I113" s="75">
        <v>133</v>
      </c>
      <c r="J113" s="75">
        <v>128.5</v>
      </c>
      <c r="K113" s="75">
        <v>129.5</v>
      </c>
      <c r="L113" s="75">
        <v>129.69999999999999</v>
      </c>
      <c r="M113" s="75">
        <v>124.9</v>
      </c>
      <c r="N113" s="75">
        <v>132.1</v>
      </c>
      <c r="O113" s="75">
        <v>127.1</v>
      </c>
      <c r="P113" s="75">
        <v>129.5</v>
      </c>
      <c r="Q113" s="75">
        <v>128.6</v>
      </c>
      <c r="R113" s="75">
        <v>127.7</v>
      </c>
      <c r="S113" s="75">
        <v>125.5</v>
      </c>
      <c r="T113" s="75">
        <v>128.6</v>
      </c>
      <c r="U113" s="75">
        <v>123.9</v>
      </c>
      <c r="V113" s="75">
        <v>128.1</v>
      </c>
      <c r="W113" s="75">
        <v>128.30000000000001</v>
      </c>
      <c r="X113" s="75">
        <v>129.19999999999999</v>
      </c>
      <c r="Y113" s="75">
        <v>125.9</v>
      </c>
      <c r="Z113" s="75">
        <v>0</v>
      </c>
      <c r="AA113" s="75">
        <v>0</v>
      </c>
      <c r="AB113" s="75"/>
      <c r="AC113" s="75"/>
      <c r="AD113" s="75"/>
      <c r="AE113" s="75"/>
      <c r="AF113" s="75">
        <v>134.19999999999999</v>
      </c>
      <c r="AG113" s="116"/>
      <c r="AH113" s="48">
        <f t="shared" si="56"/>
        <v>140</v>
      </c>
      <c r="AI113" s="49">
        <f t="shared" si="57"/>
        <v>0</v>
      </c>
    </row>
    <row r="114" spans="1:35" x14ac:dyDescent="0.25">
      <c r="A114" s="117" t="s">
        <v>137</v>
      </c>
      <c r="B114" s="118">
        <v>131.19999999999999</v>
      </c>
      <c r="C114" s="118">
        <v>134.19999999999999</v>
      </c>
      <c r="D114" s="118">
        <v>130.5</v>
      </c>
      <c r="E114" s="118">
        <v>130.5</v>
      </c>
      <c r="F114" s="118">
        <v>130.5</v>
      </c>
      <c r="G114" s="118">
        <v>129.80000000000001</v>
      </c>
      <c r="H114" s="118">
        <v>129.80000000000001</v>
      </c>
      <c r="I114" s="118">
        <v>130.5</v>
      </c>
      <c r="J114" s="118">
        <v>130.4</v>
      </c>
      <c r="K114" s="118">
        <v>131</v>
      </c>
      <c r="L114" s="118">
        <v>129.69999999999999</v>
      </c>
      <c r="M114" s="118">
        <v>129.9</v>
      </c>
      <c r="N114" s="118">
        <v>132.1</v>
      </c>
      <c r="O114" s="118">
        <v>131.5</v>
      </c>
      <c r="P114" s="118">
        <v>131.4</v>
      </c>
      <c r="Q114" s="118">
        <v>135.5</v>
      </c>
      <c r="R114" s="118">
        <v>132.6</v>
      </c>
      <c r="S114" s="118">
        <v>130.4</v>
      </c>
      <c r="T114" s="118">
        <v>131.19999999999999</v>
      </c>
      <c r="U114" s="118">
        <v>132.30000000000001</v>
      </c>
      <c r="V114" s="118">
        <v>132.80000000000001</v>
      </c>
      <c r="W114" s="118">
        <v>132.19999999999999</v>
      </c>
      <c r="X114" s="118">
        <v>134</v>
      </c>
      <c r="Y114" s="118">
        <v>131.19999999999999</v>
      </c>
      <c r="Z114" s="118">
        <v>130.4</v>
      </c>
      <c r="AA114" s="118">
        <v>134.30000000000001</v>
      </c>
      <c r="AB114" s="118">
        <v>131.5</v>
      </c>
      <c r="AC114" s="118">
        <v>134.80000000000001</v>
      </c>
      <c r="AD114" s="118">
        <v>136</v>
      </c>
      <c r="AE114" s="118">
        <v>136.1</v>
      </c>
      <c r="AF114" s="118">
        <v>136.6</v>
      </c>
      <c r="AG114" s="119"/>
      <c r="AH114" s="48">
        <f t="shared" si="56"/>
        <v>136.6</v>
      </c>
      <c r="AI114" s="49">
        <f t="shared" si="57"/>
        <v>129.69999999999999</v>
      </c>
    </row>
    <row r="115" spans="1:35" x14ac:dyDescent="0.25">
      <c r="A115" s="115" t="s">
        <v>138</v>
      </c>
      <c r="B115" s="75">
        <v>134.9</v>
      </c>
      <c r="C115" s="75">
        <v>135.5</v>
      </c>
      <c r="D115" s="75">
        <v>136</v>
      </c>
      <c r="E115" s="75">
        <v>136</v>
      </c>
      <c r="F115" s="75">
        <v>136</v>
      </c>
      <c r="G115" s="75">
        <v>133.69999999999999</v>
      </c>
      <c r="H115" s="75">
        <v>133.69999999999999</v>
      </c>
      <c r="I115" s="75">
        <v>127.6</v>
      </c>
      <c r="J115" s="75">
        <v>127.7</v>
      </c>
      <c r="K115" s="75">
        <v>127</v>
      </c>
      <c r="L115" s="75">
        <v>128.30000000000001</v>
      </c>
      <c r="M115" s="75">
        <v>125.9</v>
      </c>
      <c r="N115" s="75">
        <v>131.9</v>
      </c>
      <c r="O115" s="75">
        <v>132</v>
      </c>
      <c r="P115" s="75">
        <v>130.9</v>
      </c>
      <c r="Q115" s="75">
        <v>129.30000000000001</v>
      </c>
      <c r="R115" s="75">
        <v>132.30000000000001</v>
      </c>
      <c r="S115" s="75">
        <v>129.19999999999999</v>
      </c>
      <c r="T115" s="75">
        <v>127.5</v>
      </c>
      <c r="U115" s="75">
        <v>126.8</v>
      </c>
      <c r="V115" s="75">
        <v>129.4</v>
      </c>
      <c r="W115" s="75">
        <v>125.4</v>
      </c>
      <c r="X115" s="75">
        <v>128.69999999999999</v>
      </c>
      <c r="Y115" s="75">
        <v>132.80000000000001</v>
      </c>
      <c r="Z115" s="75">
        <v>132.5</v>
      </c>
      <c r="AA115" s="75">
        <v>134.19999999999999</v>
      </c>
      <c r="AB115" s="75">
        <v>133.30000000000001</v>
      </c>
      <c r="AC115" s="75">
        <v>130.1</v>
      </c>
      <c r="AD115" s="75">
        <v>132.4</v>
      </c>
      <c r="AE115" s="75">
        <v>132.80000000000001</v>
      </c>
      <c r="AF115" s="75">
        <v>134.30000000000001</v>
      </c>
      <c r="AG115" s="116"/>
      <c r="AH115" s="48">
        <f t="shared" si="56"/>
        <v>136</v>
      </c>
      <c r="AI115" s="49">
        <f t="shared" si="57"/>
        <v>125.4</v>
      </c>
    </row>
    <row r="116" spans="1:35" ht="15.75" thickBot="1" x14ac:dyDescent="0.3">
      <c r="A116" s="115" t="s">
        <v>139</v>
      </c>
      <c r="B116" s="104">
        <v>68</v>
      </c>
      <c r="C116" s="104">
        <v>68.2</v>
      </c>
      <c r="D116" s="104">
        <v>67.7</v>
      </c>
      <c r="E116" s="104">
        <v>67.7</v>
      </c>
      <c r="F116" s="104">
        <v>67.7</v>
      </c>
      <c r="G116" s="104">
        <v>67</v>
      </c>
      <c r="H116" s="104">
        <v>67</v>
      </c>
      <c r="I116" s="104">
        <v>64.900000000000006</v>
      </c>
      <c r="J116" s="104">
        <v>64.3</v>
      </c>
      <c r="K116" s="104">
        <v>64</v>
      </c>
      <c r="L116" s="104">
        <v>63.8</v>
      </c>
      <c r="M116" s="104">
        <v>63.4</v>
      </c>
      <c r="N116" s="104">
        <v>63.7</v>
      </c>
      <c r="O116" s="104">
        <v>63.6</v>
      </c>
      <c r="P116" s="104">
        <v>63.6</v>
      </c>
      <c r="Q116" s="104">
        <v>64.599999999999994</v>
      </c>
      <c r="R116" s="104">
        <v>65</v>
      </c>
      <c r="S116" s="104">
        <v>64.8</v>
      </c>
      <c r="T116" s="104">
        <v>64.3</v>
      </c>
      <c r="U116" s="104">
        <v>64.5</v>
      </c>
      <c r="V116" s="104">
        <v>65.900000000000006</v>
      </c>
      <c r="W116" s="104">
        <v>65.8</v>
      </c>
      <c r="X116" s="104">
        <v>66.7</v>
      </c>
      <c r="Y116" s="104">
        <v>65.400000000000006</v>
      </c>
      <c r="Z116" s="104">
        <v>65.5</v>
      </c>
      <c r="AA116" s="104">
        <v>66.599999999999994</v>
      </c>
      <c r="AB116" s="104">
        <v>66.400000000000006</v>
      </c>
      <c r="AC116" s="104">
        <v>66.8</v>
      </c>
      <c r="AD116" s="104">
        <v>66.400000000000006</v>
      </c>
      <c r="AE116" s="104">
        <v>66.8</v>
      </c>
      <c r="AF116" s="104">
        <v>67.2</v>
      </c>
      <c r="AG116" s="120"/>
      <c r="AH116" s="48">
        <f t="shared" si="56"/>
        <v>68.2</v>
      </c>
      <c r="AI116" s="49">
        <f t="shared" si="57"/>
        <v>63.4</v>
      </c>
    </row>
    <row r="117" spans="1:35" ht="15.75" thickBot="1" x14ac:dyDescent="0.3">
      <c r="A117" s="121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20"/>
      <c r="AH117" s="48">
        <f t="shared" si="56"/>
        <v>0</v>
      </c>
      <c r="AI117" s="49">
        <f t="shared" si="57"/>
        <v>0</v>
      </c>
    </row>
    <row r="118" spans="1:35" ht="15.75" thickBot="1" x14ac:dyDescent="0.3">
      <c r="A118" s="122" t="s">
        <v>141</v>
      </c>
      <c r="B118" s="123">
        <f>SUM(B22,B28,B31:B32,B66,B68:B69,B71,B73,B119:B123,B155,B161,B167,B176,B178,B190,B197,B200:B201,B208,B210,B212,B216:B218,B220:B222,B227,B233:B234,B236:B238,B246,B251)</f>
        <v>89.94</v>
      </c>
      <c r="C118" s="123">
        <f>SUM(C22,C28,C31:C32,C66,C68:C69,C71,C73,C119:C123,C155,C161,C167,C176,C178,C190,C197,C200:C201,C208,C210,C212,C216:C218,C220:C222,C227,C233:C234,C236:C238,C246,C251)</f>
        <v>84.039999999999992</v>
      </c>
      <c r="D118" s="123">
        <f t="shared" ref="D118:O118" si="104">SUM(D22,D28,D31:D32,D66,D68:D69,D71,D73,D119:D123,D155,D161,D167,D176,D178,D190,D197,D200:D201,D208,D210,D212,D216:D218,D220:D222,D227,D233:D234,D236:D238,D246,D251)</f>
        <v>75.34</v>
      </c>
      <c r="E118" s="123">
        <f t="shared" si="104"/>
        <v>88.24</v>
      </c>
      <c r="F118" s="123">
        <f t="shared" si="104"/>
        <v>76.42</v>
      </c>
      <c r="G118" s="123">
        <f t="shared" si="104"/>
        <v>151.04000000000002</v>
      </c>
      <c r="H118" s="123">
        <f t="shared" si="104"/>
        <v>188.54</v>
      </c>
      <c r="I118" s="123">
        <f t="shared" si="104"/>
        <v>227.84</v>
      </c>
      <c r="J118" s="123">
        <f t="shared" si="104"/>
        <v>263.44</v>
      </c>
      <c r="K118" s="123">
        <f t="shared" si="104"/>
        <v>293.73999999999995</v>
      </c>
      <c r="L118" s="123">
        <f t="shared" si="104"/>
        <v>325.54000000000002</v>
      </c>
      <c r="M118" s="123">
        <f t="shared" si="104"/>
        <v>331.24000000000007</v>
      </c>
      <c r="N118" s="123">
        <f t="shared" si="104"/>
        <v>331.54</v>
      </c>
      <c r="O118" s="123">
        <f t="shared" si="104"/>
        <v>320.54000000000002</v>
      </c>
      <c r="P118" s="123">
        <v>42</v>
      </c>
      <c r="Q118" s="123">
        <f t="shared" ref="Q118:AF118" si="105">SUM(Q22,Q28,Q31:Q32,Q66,Q68:Q69,Q71,Q73,Q119:Q123,Q155,Q161,Q167,Q176,Q178,Q190,Q197,Q200:Q201,Q208,Q210,Q212,Q216:Q218,Q220:Q222,Q227,Q233:Q234,Q236:Q238,Q246,Q251)</f>
        <v>303.54000000000002</v>
      </c>
      <c r="R118" s="123">
        <f t="shared" si="105"/>
        <v>294.44</v>
      </c>
      <c r="S118" s="123">
        <f t="shared" si="105"/>
        <v>294.33999999999997</v>
      </c>
      <c r="T118" s="123">
        <f t="shared" si="105"/>
        <v>273.74</v>
      </c>
      <c r="U118" s="123">
        <f t="shared" si="105"/>
        <v>261.54000000000002</v>
      </c>
      <c r="V118" s="123">
        <f t="shared" ref="V118:W118" si="106">SUM(V22,V28,V31:V32,V66,V68:V69,V71,V73,V119:V123,V155,V161,V167,V176,V178,V190,V197,V200:V201,V208,V210,V212,V216:V218,V220:V222,V227,V233:V234,V236:V238,V246,V251)</f>
        <v>291.44</v>
      </c>
      <c r="W118" s="123">
        <f t="shared" si="106"/>
        <v>293.83999999999997</v>
      </c>
      <c r="X118" s="123">
        <f t="shared" ref="X118:Z118" si="107">SUM(X22,X28,X31:X32,X66,X68:X69,X71,X73,X119:X123,X155,X161,X167,X176,X178,X190,X197,X200:X201,X208,X210,X212,X216:X218,X220:X222,X227,X233:X234,X236:X238,X246,X251)</f>
        <v>291.23999999999995</v>
      </c>
      <c r="Y118" s="123">
        <f t="shared" si="107"/>
        <v>346.84</v>
      </c>
      <c r="Z118" s="123">
        <f t="shared" si="107"/>
        <v>351.74</v>
      </c>
      <c r="AA118" s="123">
        <f t="shared" ref="AA118" si="108">SUM(AA22,AA28,AA31:AA32,AA66,AA68:AA69,AA71,AA73,AA119:AA123,AA155,AA161,AA167,AA176,AA178,AA190,AA197,AA200:AA201,AA208,AA210,AA212,AA216:AA218,AA220:AA222,AA227,AA233:AA234,AA236:AA238,AA246,AA251)</f>
        <v>346.24</v>
      </c>
      <c r="AB118" s="123">
        <f t="shared" si="105"/>
        <v>305.44</v>
      </c>
      <c r="AC118" s="123">
        <f t="shared" si="105"/>
        <v>277.74</v>
      </c>
      <c r="AD118" s="123">
        <f t="shared" si="105"/>
        <v>261.59999999999997</v>
      </c>
      <c r="AE118" s="123">
        <f t="shared" si="105"/>
        <v>198.64</v>
      </c>
      <c r="AF118" s="123">
        <f t="shared" si="105"/>
        <v>161.54000000000002</v>
      </c>
      <c r="AG118" s="124"/>
      <c r="AH118" s="48">
        <f t="shared" si="56"/>
        <v>351.74</v>
      </c>
      <c r="AI118" s="49">
        <f t="shared" si="57"/>
        <v>42</v>
      </c>
    </row>
    <row r="119" spans="1:35" x14ac:dyDescent="0.25">
      <c r="A119" s="125" t="s">
        <v>142</v>
      </c>
      <c r="B119" s="126">
        <v>-14.4</v>
      </c>
      <c r="C119" s="126">
        <v>-13.8</v>
      </c>
      <c r="D119" s="126">
        <v>-25.5</v>
      </c>
      <c r="E119" s="126">
        <v>-29.2</v>
      </c>
      <c r="F119" s="126">
        <v>-28.7</v>
      </c>
      <c r="G119" s="126">
        <v>-30.8</v>
      </c>
      <c r="H119" s="126">
        <v>-13</v>
      </c>
      <c r="I119" s="126">
        <v>-13.8</v>
      </c>
      <c r="J119" s="126">
        <v>-0.4</v>
      </c>
      <c r="K119" s="126">
        <v>7.8</v>
      </c>
      <c r="L119" s="126">
        <v>11.9</v>
      </c>
      <c r="M119" s="126">
        <v>13.7</v>
      </c>
      <c r="N119" s="126">
        <v>14.2</v>
      </c>
      <c r="O119" s="126">
        <v>-2.4</v>
      </c>
      <c r="P119" s="126">
        <v>-4</v>
      </c>
      <c r="Q119" s="126">
        <v>1.2</v>
      </c>
      <c r="R119" s="126">
        <v>-4.8</v>
      </c>
      <c r="S119" s="126">
        <v>-4.7</v>
      </c>
      <c r="T119" s="126">
        <v>-0.6</v>
      </c>
      <c r="U119" s="126">
        <v>-2.2000000000000002</v>
      </c>
      <c r="V119" s="126">
        <v>3</v>
      </c>
      <c r="W119" s="126">
        <v>0</v>
      </c>
      <c r="X119" s="126">
        <v>8.5</v>
      </c>
      <c r="Y119" s="126">
        <v>17.3</v>
      </c>
      <c r="Z119" s="126">
        <v>9.6</v>
      </c>
      <c r="AA119" s="126">
        <v>15.1</v>
      </c>
      <c r="AB119" s="126">
        <v>16.899999999999999</v>
      </c>
      <c r="AC119" s="126">
        <v>20</v>
      </c>
      <c r="AD119" s="126">
        <v>11.5</v>
      </c>
      <c r="AE119" s="126">
        <v>-7.1</v>
      </c>
      <c r="AF119" s="126">
        <v>0</v>
      </c>
      <c r="AG119" s="127">
        <v>75</v>
      </c>
      <c r="AH119" s="48">
        <f t="shared" si="56"/>
        <v>20</v>
      </c>
      <c r="AI119" s="49">
        <f t="shared" si="57"/>
        <v>-30.8</v>
      </c>
    </row>
    <row r="120" spans="1:35" x14ac:dyDescent="0.25">
      <c r="A120" s="128" t="s">
        <v>143</v>
      </c>
      <c r="B120" s="129">
        <v>-13.1</v>
      </c>
      <c r="C120" s="129">
        <v>-11.5</v>
      </c>
      <c r="D120" s="129">
        <v>-29.5</v>
      </c>
      <c r="E120" s="129">
        <v>-34.1</v>
      </c>
      <c r="F120" s="129">
        <v>-34.22</v>
      </c>
      <c r="G120" s="129">
        <v>-37.9</v>
      </c>
      <c r="H120" s="129">
        <v>-19</v>
      </c>
      <c r="I120" s="129">
        <v>-22</v>
      </c>
      <c r="J120" s="129">
        <v>-5.4</v>
      </c>
      <c r="K120" s="129">
        <v>3.6</v>
      </c>
      <c r="L120" s="129">
        <v>9.8000000000000007</v>
      </c>
      <c r="M120" s="129">
        <v>14.4</v>
      </c>
      <c r="N120" s="129">
        <v>14.2</v>
      </c>
      <c r="O120" s="129">
        <v>-8.8000000000000007</v>
      </c>
      <c r="P120" s="129">
        <v>-10</v>
      </c>
      <c r="Q120" s="129">
        <v>-5.8</v>
      </c>
      <c r="R120" s="129">
        <v>-13.4</v>
      </c>
      <c r="S120" s="129">
        <v>-13.1</v>
      </c>
      <c r="T120" s="129">
        <v>-8.4</v>
      </c>
      <c r="U120" s="129">
        <v>-10.5</v>
      </c>
      <c r="V120" s="129">
        <v>0</v>
      </c>
      <c r="W120" s="129">
        <v>-4.8</v>
      </c>
      <c r="X120" s="129">
        <v>15.1</v>
      </c>
      <c r="Y120" s="129">
        <v>28</v>
      </c>
      <c r="Z120" s="129">
        <v>16.7</v>
      </c>
      <c r="AA120" s="129">
        <v>24.8</v>
      </c>
      <c r="AB120" s="129">
        <v>27.4</v>
      </c>
      <c r="AC120" s="129">
        <v>42.6</v>
      </c>
      <c r="AD120" s="129">
        <v>21.96</v>
      </c>
      <c r="AE120" s="129">
        <v>-6.4</v>
      </c>
      <c r="AF120" s="129">
        <v>4.4000000000000004</v>
      </c>
      <c r="AG120" s="127">
        <v>240</v>
      </c>
      <c r="AH120" s="48">
        <f t="shared" si="56"/>
        <v>42.6</v>
      </c>
      <c r="AI120" s="49">
        <f t="shared" si="57"/>
        <v>-37.9</v>
      </c>
    </row>
    <row r="121" spans="1:35" x14ac:dyDescent="0.25">
      <c r="A121" s="128" t="s">
        <v>144</v>
      </c>
      <c r="B121" s="129">
        <v>-28.7</v>
      </c>
      <c r="C121" s="129">
        <v>-32</v>
      </c>
      <c r="D121" s="129">
        <v>-8.6999999999999993</v>
      </c>
      <c r="E121" s="129">
        <v>-20</v>
      </c>
      <c r="F121" s="129">
        <v>-29.5</v>
      </c>
      <c r="G121" s="129">
        <v>21</v>
      </c>
      <c r="H121" s="129">
        <v>21</v>
      </c>
      <c r="I121" s="129">
        <v>27</v>
      </c>
      <c r="J121" s="129">
        <v>30</v>
      </c>
      <c r="K121" s="129">
        <v>30</v>
      </c>
      <c r="L121" s="129">
        <v>40</v>
      </c>
      <c r="M121" s="129">
        <v>38.700000000000003</v>
      </c>
      <c r="N121" s="129">
        <v>39</v>
      </c>
      <c r="O121" s="129">
        <v>48</v>
      </c>
      <c r="P121" s="129">
        <v>45</v>
      </c>
      <c r="Q121" s="129">
        <v>42.6</v>
      </c>
      <c r="R121" s="129">
        <v>40</v>
      </c>
      <c r="S121" s="129">
        <v>33</v>
      </c>
      <c r="T121" s="129">
        <v>7.6</v>
      </c>
      <c r="U121" s="129">
        <v>-1</v>
      </c>
      <c r="V121" s="129">
        <v>41</v>
      </c>
      <c r="W121" s="129">
        <v>45</v>
      </c>
      <c r="X121" s="129">
        <v>21</v>
      </c>
      <c r="Y121" s="129">
        <v>24.9</v>
      </c>
      <c r="Z121" s="129">
        <v>45</v>
      </c>
      <c r="AA121" s="129">
        <v>24</v>
      </c>
      <c r="AB121" s="129">
        <v>10</v>
      </c>
      <c r="AC121" s="129">
        <v>-20</v>
      </c>
      <c r="AD121" s="129">
        <v>5</v>
      </c>
      <c r="AE121" s="129">
        <v>23</v>
      </c>
      <c r="AF121" s="129">
        <v>-6</v>
      </c>
      <c r="AG121" s="127">
        <v>240</v>
      </c>
      <c r="AH121" s="48">
        <f t="shared" si="56"/>
        <v>48</v>
      </c>
      <c r="AI121" s="49">
        <f t="shared" si="57"/>
        <v>-32</v>
      </c>
    </row>
    <row r="122" spans="1:35" ht="15.75" thickBot="1" x14ac:dyDescent="0.3">
      <c r="A122" s="128" t="s">
        <v>145</v>
      </c>
      <c r="B122" s="129">
        <v>34.4</v>
      </c>
      <c r="C122" s="129">
        <v>33.299999999999997</v>
      </c>
      <c r="D122" s="129">
        <v>37</v>
      </c>
      <c r="E122" s="129">
        <v>27.1</v>
      </c>
      <c r="F122" s="129">
        <v>34.700000000000003</v>
      </c>
      <c r="G122" s="129">
        <v>36.1</v>
      </c>
      <c r="H122" s="129">
        <v>28.3</v>
      </c>
      <c r="I122" s="129">
        <v>26</v>
      </c>
      <c r="J122" s="129">
        <v>8</v>
      </c>
      <c r="K122" s="129">
        <v>8.9</v>
      </c>
      <c r="L122" s="129">
        <v>21.5</v>
      </c>
      <c r="M122" s="129">
        <v>20.6</v>
      </c>
      <c r="N122" s="129">
        <v>19.399999999999999</v>
      </c>
      <c r="O122" s="129">
        <v>28.1</v>
      </c>
      <c r="P122" s="129">
        <v>28.5</v>
      </c>
      <c r="Q122" s="129">
        <v>32.200000000000003</v>
      </c>
      <c r="R122" s="129">
        <v>26.8</v>
      </c>
      <c r="S122" s="129">
        <v>25.1</v>
      </c>
      <c r="T122" s="129">
        <v>23.3</v>
      </c>
      <c r="U122" s="129">
        <v>33.4</v>
      </c>
      <c r="V122" s="129">
        <v>31.2</v>
      </c>
      <c r="W122" s="129">
        <v>35.5</v>
      </c>
      <c r="X122" s="129">
        <v>18.3</v>
      </c>
      <c r="Y122" s="129">
        <v>44.8</v>
      </c>
      <c r="Z122" s="129">
        <v>45.8</v>
      </c>
      <c r="AA122" s="129">
        <v>48.4</v>
      </c>
      <c r="AB122" s="129">
        <v>40</v>
      </c>
      <c r="AC122" s="129">
        <v>35</v>
      </c>
      <c r="AD122" s="129">
        <v>38</v>
      </c>
      <c r="AE122" s="129">
        <v>38</v>
      </c>
      <c r="AF122" s="129">
        <v>32</v>
      </c>
      <c r="AG122" s="127">
        <v>60</v>
      </c>
      <c r="AH122" s="48">
        <f t="shared" si="56"/>
        <v>48.4</v>
      </c>
      <c r="AI122" s="49">
        <f t="shared" si="57"/>
        <v>8</v>
      </c>
    </row>
    <row r="123" spans="1:35" x14ac:dyDescent="0.25">
      <c r="A123" s="125" t="s">
        <v>146</v>
      </c>
      <c r="B123" s="130">
        <v>22.5</v>
      </c>
      <c r="C123" s="130">
        <v>19.100000000000001</v>
      </c>
      <c r="D123" s="130">
        <v>16.899999999999999</v>
      </c>
      <c r="E123" s="130">
        <v>59.3</v>
      </c>
      <c r="F123" s="130">
        <v>49</v>
      </c>
      <c r="G123" s="130">
        <v>74.7</v>
      </c>
      <c r="H123" s="130">
        <v>82.3</v>
      </c>
      <c r="I123" s="130">
        <v>121.9</v>
      </c>
      <c r="J123" s="130">
        <v>141.5</v>
      </c>
      <c r="K123" s="130">
        <v>153</v>
      </c>
      <c r="L123" s="130">
        <v>150</v>
      </c>
      <c r="M123" s="130">
        <v>149.30000000000001</v>
      </c>
      <c r="N123" s="130">
        <v>148.19999999999999</v>
      </c>
      <c r="O123" s="130">
        <v>157</v>
      </c>
      <c r="P123" s="130">
        <v>155.80000000000001</v>
      </c>
      <c r="Q123" s="130">
        <v>135</v>
      </c>
      <c r="R123" s="130">
        <v>145.80000000000001</v>
      </c>
      <c r="S123" s="130">
        <v>154</v>
      </c>
      <c r="T123" s="130">
        <v>156.4</v>
      </c>
      <c r="U123" s="130">
        <v>148.69999999999999</v>
      </c>
      <c r="V123" s="130">
        <v>129.69999999999999</v>
      </c>
      <c r="W123" s="130">
        <v>132.30000000000001</v>
      </c>
      <c r="X123" s="130">
        <v>143.1</v>
      </c>
      <c r="Y123" s="130">
        <v>146.69999999999999</v>
      </c>
      <c r="Z123" s="130">
        <v>149.5</v>
      </c>
      <c r="AA123" s="130">
        <v>148.80000000000001</v>
      </c>
      <c r="AB123" s="130">
        <v>126</v>
      </c>
      <c r="AC123" s="130">
        <v>115</v>
      </c>
      <c r="AD123" s="130">
        <v>100</v>
      </c>
      <c r="AE123" s="130">
        <v>66</v>
      </c>
      <c r="AF123" s="130">
        <v>46</v>
      </c>
      <c r="AG123" s="131">
        <v>120</v>
      </c>
      <c r="AH123" s="48">
        <f t="shared" si="56"/>
        <v>157</v>
      </c>
      <c r="AI123" s="49">
        <f t="shared" si="57"/>
        <v>16.899999999999999</v>
      </c>
    </row>
    <row r="124" spans="1:35" x14ac:dyDescent="0.25">
      <c r="A124" s="128" t="s">
        <v>147</v>
      </c>
      <c r="B124" s="130">
        <v>32.5</v>
      </c>
      <c r="C124" s="130">
        <v>30.3</v>
      </c>
      <c r="D124" s="130">
        <v>28.8</v>
      </c>
      <c r="E124" s="130">
        <v>50.3</v>
      </c>
      <c r="F124" s="130">
        <v>45.2</v>
      </c>
      <c r="G124" s="130">
        <v>57.8</v>
      </c>
      <c r="H124" s="130">
        <v>61.3</v>
      </c>
      <c r="I124" s="130">
        <v>80.8</v>
      </c>
      <c r="J124" s="130">
        <v>90</v>
      </c>
      <c r="K124" s="130">
        <v>94.3</v>
      </c>
      <c r="L124" s="130">
        <v>92.9</v>
      </c>
      <c r="M124" s="130">
        <v>92</v>
      </c>
      <c r="N124" s="130">
        <v>92</v>
      </c>
      <c r="O124" s="130">
        <v>97</v>
      </c>
      <c r="P124" s="130">
        <v>95.9</v>
      </c>
      <c r="Q124" s="130">
        <v>86</v>
      </c>
      <c r="R124" s="130">
        <v>90.8</v>
      </c>
      <c r="S124" s="130">
        <v>94.8</v>
      </c>
      <c r="T124" s="130">
        <v>95.2</v>
      </c>
      <c r="U124" s="130">
        <v>92.3</v>
      </c>
      <c r="V124" s="130">
        <v>78</v>
      </c>
      <c r="W124" s="130">
        <v>79.3</v>
      </c>
      <c r="X124" s="130">
        <v>83.4</v>
      </c>
      <c r="Y124" s="130">
        <v>85.5</v>
      </c>
      <c r="Z124" s="130">
        <v>87.1</v>
      </c>
      <c r="AA124" s="130">
        <v>86.4</v>
      </c>
      <c r="AB124" s="130">
        <v>83</v>
      </c>
      <c r="AC124" s="130">
        <v>77</v>
      </c>
      <c r="AD124" s="130">
        <v>70</v>
      </c>
      <c r="AE124" s="130">
        <v>54</v>
      </c>
      <c r="AF124" s="130">
        <v>44</v>
      </c>
      <c r="AG124" s="131"/>
      <c r="AH124" s="48">
        <f t="shared" si="56"/>
        <v>97</v>
      </c>
      <c r="AI124" s="49">
        <f t="shared" si="57"/>
        <v>28.8</v>
      </c>
    </row>
    <row r="125" spans="1:35" x14ac:dyDescent="0.25">
      <c r="A125" s="128" t="s">
        <v>148</v>
      </c>
      <c r="B125" s="130">
        <v>2.5</v>
      </c>
      <c r="C125" s="130">
        <v>2.7</v>
      </c>
      <c r="D125" s="130">
        <v>4.4000000000000004</v>
      </c>
      <c r="E125" s="130">
        <v>42.1</v>
      </c>
      <c r="F125" s="130">
        <v>32.4</v>
      </c>
      <c r="G125" s="130">
        <v>37.700000000000003</v>
      </c>
      <c r="H125" s="130">
        <v>27.4</v>
      </c>
      <c r="I125" s="130">
        <v>40.5</v>
      </c>
      <c r="J125" s="130">
        <v>31.7</v>
      </c>
      <c r="K125" s="130">
        <v>25</v>
      </c>
      <c r="L125" s="130">
        <v>6.7</v>
      </c>
      <c r="M125" s="130">
        <v>7.5</v>
      </c>
      <c r="N125" s="130">
        <v>8.6</v>
      </c>
      <c r="O125" s="130">
        <v>30</v>
      </c>
      <c r="P125" s="130">
        <v>38</v>
      </c>
      <c r="Q125" s="130">
        <v>24</v>
      </c>
      <c r="R125" s="130">
        <v>36.6</v>
      </c>
      <c r="S125" s="130">
        <v>49.6</v>
      </c>
      <c r="T125" s="130">
        <v>41.6</v>
      </c>
      <c r="U125" s="130">
        <v>36.299999999999997</v>
      </c>
      <c r="V125" s="130">
        <v>0</v>
      </c>
      <c r="W125" s="130">
        <v>0.1</v>
      </c>
      <c r="X125" s="130">
        <v>0</v>
      </c>
      <c r="Y125" s="130">
        <v>-11.3</v>
      </c>
      <c r="Z125" s="130">
        <v>-11.6</v>
      </c>
      <c r="AA125" s="130">
        <v>-10.1</v>
      </c>
      <c r="AB125" s="130">
        <v>-9</v>
      </c>
      <c r="AC125" s="130">
        <v>-9</v>
      </c>
      <c r="AD125" s="130">
        <v>-7</v>
      </c>
      <c r="AE125" s="130">
        <v>-2.7</v>
      </c>
      <c r="AF125" s="130">
        <v>-1</v>
      </c>
      <c r="AG125" s="131"/>
      <c r="AH125" s="48">
        <f t="shared" si="56"/>
        <v>49.6</v>
      </c>
      <c r="AI125" s="49">
        <f t="shared" si="57"/>
        <v>-11.6</v>
      </c>
    </row>
    <row r="126" spans="1:35" ht="15.75" thickBot="1" x14ac:dyDescent="0.3">
      <c r="A126" s="128" t="s">
        <v>149</v>
      </c>
      <c r="B126" s="130">
        <v>39.299999999999997</v>
      </c>
      <c r="C126" s="130">
        <v>33.4</v>
      </c>
      <c r="D126" s="130">
        <v>55.5</v>
      </c>
      <c r="E126" s="130">
        <v>52.6</v>
      </c>
      <c r="F126" s="130">
        <v>46.8</v>
      </c>
      <c r="G126" s="130">
        <v>57.7</v>
      </c>
      <c r="H126" s="130">
        <v>59.3</v>
      </c>
      <c r="I126" s="130">
        <v>83.7</v>
      </c>
      <c r="J126" s="130">
        <v>106</v>
      </c>
      <c r="K126" s="130">
        <v>108</v>
      </c>
      <c r="L126" s="130">
        <v>102</v>
      </c>
      <c r="M126" s="130">
        <v>105</v>
      </c>
      <c r="N126" s="130">
        <v>102.6</v>
      </c>
      <c r="O126" s="130">
        <v>104</v>
      </c>
      <c r="P126" s="130">
        <v>110</v>
      </c>
      <c r="Q126" s="130">
        <v>105</v>
      </c>
      <c r="R126" s="130">
        <v>106.7</v>
      </c>
      <c r="S126" s="130">
        <v>106.9</v>
      </c>
      <c r="T126" s="130">
        <v>103.4</v>
      </c>
      <c r="U126" s="130">
        <v>102</v>
      </c>
      <c r="V126" s="130">
        <v>94.7</v>
      </c>
      <c r="W126" s="130">
        <v>91.4</v>
      </c>
      <c r="X126" s="130">
        <v>72.2</v>
      </c>
      <c r="Y126" s="130">
        <v>73.400000000000006</v>
      </c>
      <c r="Z126" s="130">
        <v>71.8</v>
      </c>
      <c r="AA126" s="130">
        <v>43.5</v>
      </c>
      <c r="AB126" s="130">
        <v>60</v>
      </c>
      <c r="AC126" s="130">
        <v>41</v>
      </c>
      <c r="AD126" s="130">
        <v>55</v>
      </c>
      <c r="AE126" s="130">
        <v>70</v>
      </c>
      <c r="AF126" s="130">
        <v>47</v>
      </c>
      <c r="AG126" s="127"/>
      <c r="AH126" s="48">
        <f>MAX(B126:AF126)</f>
        <v>110</v>
      </c>
      <c r="AI126" s="49">
        <f>MIN(B126:AF126)</f>
        <v>33.4</v>
      </c>
    </row>
    <row r="127" spans="1:35" x14ac:dyDescent="0.25">
      <c r="A127" s="125" t="s">
        <v>305</v>
      </c>
      <c r="B127" s="130">
        <v>-21.1</v>
      </c>
      <c r="C127" s="130">
        <v>-25</v>
      </c>
      <c r="D127" s="130">
        <v>-29.6</v>
      </c>
      <c r="E127" s="130">
        <v>-5.4</v>
      </c>
      <c r="F127" s="130">
        <v>-10</v>
      </c>
      <c r="G127" s="130">
        <v>-21</v>
      </c>
      <c r="H127" s="130">
        <v>-36.299999999999997</v>
      </c>
      <c r="I127" s="130">
        <v>-46.5</v>
      </c>
      <c r="J127" s="130">
        <v>40</v>
      </c>
      <c r="K127" s="130">
        <v>46.6</v>
      </c>
      <c r="L127" s="130">
        <v>43.9</v>
      </c>
      <c r="M127" s="130">
        <v>43.9</v>
      </c>
      <c r="N127" s="130">
        <v>43</v>
      </c>
      <c r="O127" s="130">
        <v>47.4</v>
      </c>
      <c r="P127" s="130">
        <v>49.3</v>
      </c>
      <c r="Q127" s="130">
        <v>37</v>
      </c>
      <c r="R127" s="130">
        <v>32</v>
      </c>
      <c r="S127" s="130">
        <v>9.5</v>
      </c>
      <c r="T127" s="130"/>
      <c r="U127" s="130">
        <v>6.4</v>
      </c>
      <c r="V127" s="130">
        <v>1.9</v>
      </c>
      <c r="W127" s="130">
        <v>11.2</v>
      </c>
      <c r="X127" s="130">
        <v>10</v>
      </c>
      <c r="Y127" s="130">
        <v>-180.7</v>
      </c>
      <c r="Z127" s="130">
        <v>-162.6</v>
      </c>
      <c r="AA127" s="130">
        <v>-158.30000000000001</v>
      </c>
      <c r="AB127" s="130">
        <v>-145</v>
      </c>
      <c r="AC127" s="130">
        <v>-153</v>
      </c>
      <c r="AD127" s="130">
        <v>-146</v>
      </c>
      <c r="AE127" s="130">
        <v>-147</v>
      </c>
      <c r="AF127" s="130">
        <v>-45</v>
      </c>
      <c r="AG127" s="127"/>
      <c r="AH127" s="48">
        <f>MAX(B127:AF127)</f>
        <v>49.3</v>
      </c>
      <c r="AI127" s="49">
        <f>MIN(B127:AF127)</f>
        <v>-180.7</v>
      </c>
    </row>
    <row r="128" spans="1:35" x14ac:dyDescent="0.25">
      <c r="A128" s="128" t="s">
        <v>151</v>
      </c>
      <c r="B128" s="118">
        <v>18.5</v>
      </c>
      <c r="C128" s="118">
        <v>16.100000000000001</v>
      </c>
      <c r="D128" s="118">
        <v>20</v>
      </c>
      <c r="E128" s="118">
        <v>20.6</v>
      </c>
      <c r="F128" s="118">
        <v>21.6</v>
      </c>
      <c r="G128" s="118">
        <v>16.399999999999999</v>
      </c>
      <c r="H128" s="118">
        <v>12.4</v>
      </c>
      <c r="I128" s="118">
        <v>9.6</v>
      </c>
      <c r="J128" s="118">
        <v>6.2</v>
      </c>
      <c r="K128" s="118">
        <v>-1.9</v>
      </c>
      <c r="L128" s="118">
        <v>-13</v>
      </c>
      <c r="M128" s="118">
        <v>-28.2</v>
      </c>
      <c r="N128" s="118">
        <v>-24.3</v>
      </c>
      <c r="O128" s="118">
        <v>-33.200000000000003</v>
      </c>
      <c r="P128" s="118">
        <v>-34.6</v>
      </c>
      <c r="Q128" s="118">
        <v>33.799999999999997</v>
      </c>
      <c r="R128" s="118">
        <v>-34.700000000000003</v>
      </c>
      <c r="S128" s="118">
        <v>-43.1</v>
      </c>
      <c r="T128" s="118">
        <v>-27.5</v>
      </c>
      <c r="U128" s="118">
        <v>-41.5</v>
      </c>
      <c r="V128" s="118">
        <v>-40.6</v>
      </c>
      <c r="W128" s="118">
        <v>-42.6</v>
      </c>
      <c r="X128" s="118">
        <v>-49.8</v>
      </c>
      <c r="Y128" s="118">
        <v>-64.900000000000006</v>
      </c>
      <c r="Z128" s="118">
        <v>-11.3</v>
      </c>
      <c r="AA128" s="118"/>
      <c r="AB128" s="118"/>
      <c r="AC128" s="118"/>
      <c r="AD128" s="118"/>
      <c r="AE128" s="118"/>
      <c r="AF128" s="118" t="s">
        <v>328</v>
      </c>
      <c r="AG128" s="127"/>
      <c r="AH128" s="48">
        <f>MAX(B128:AF128)</f>
        <v>33.799999999999997</v>
      </c>
      <c r="AI128" s="49">
        <f>MIN(B128:AF128)</f>
        <v>-64.900000000000006</v>
      </c>
    </row>
    <row r="129" spans="1:37" x14ac:dyDescent="0.25">
      <c r="A129" s="128" t="s">
        <v>306</v>
      </c>
      <c r="B129" s="118">
        <v>-14.8</v>
      </c>
      <c r="C129" s="118">
        <v>0</v>
      </c>
      <c r="D129" s="118">
        <v>15.8</v>
      </c>
      <c r="E129" s="118">
        <v>-14.1</v>
      </c>
      <c r="F129" s="118">
        <v>-11</v>
      </c>
      <c r="G129" s="118">
        <v>-10</v>
      </c>
      <c r="H129" s="118">
        <v>-5.7</v>
      </c>
      <c r="I129" s="118">
        <v>-7.8</v>
      </c>
      <c r="J129" s="118">
        <v>60.5</v>
      </c>
      <c r="K129" s="118">
        <v>75.599999999999994</v>
      </c>
      <c r="L129" s="118">
        <v>87.8</v>
      </c>
      <c r="M129" s="118">
        <v>111.1</v>
      </c>
      <c r="N129" s="118">
        <v>58.6</v>
      </c>
      <c r="O129" s="118">
        <v>74</v>
      </c>
      <c r="P129" s="118">
        <v>81</v>
      </c>
      <c r="Q129" s="118">
        <v>74</v>
      </c>
      <c r="R129" s="118">
        <v>76.2</v>
      </c>
      <c r="S129" s="118">
        <v>72.5</v>
      </c>
      <c r="T129" s="118">
        <v>117</v>
      </c>
      <c r="U129" s="118">
        <v>114.6</v>
      </c>
      <c r="V129" s="118">
        <v>123.1</v>
      </c>
      <c r="W129" s="118">
        <v>107</v>
      </c>
      <c r="X129" s="118">
        <v>100.7</v>
      </c>
      <c r="Y129" s="118">
        <v>112.2</v>
      </c>
      <c r="Z129" s="118">
        <v>75.599999999999994</v>
      </c>
      <c r="AA129" s="118">
        <v>107.4</v>
      </c>
      <c r="AB129" s="118">
        <v>99</v>
      </c>
      <c r="AC129" s="118">
        <v>99</v>
      </c>
      <c r="AD129" s="118">
        <v>98</v>
      </c>
      <c r="AE129" s="118">
        <v>75</v>
      </c>
      <c r="AF129" s="118"/>
      <c r="AG129" s="127"/>
      <c r="AH129" s="48">
        <f>MAX(B129:AF129)</f>
        <v>123.1</v>
      </c>
      <c r="AI129" s="49">
        <f>MIN(B129:AF129)</f>
        <v>-14.8</v>
      </c>
    </row>
    <row r="130" spans="1:37" ht="15.75" thickBot="1" x14ac:dyDescent="0.3">
      <c r="A130" s="128" t="s">
        <v>153</v>
      </c>
      <c r="B130" s="118">
        <v>1</v>
      </c>
      <c r="C130" s="118">
        <v>14.2</v>
      </c>
      <c r="D130" s="118">
        <v>6.3</v>
      </c>
      <c r="E130" s="118">
        <v>6.3</v>
      </c>
      <c r="F130" s="118">
        <v>6.3</v>
      </c>
      <c r="G130" s="118">
        <v>6.3</v>
      </c>
      <c r="H130" s="118">
        <v>6.3</v>
      </c>
      <c r="I130" s="118">
        <v>6.3</v>
      </c>
      <c r="J130" s="118">
        <v>68.2</v>
      </c>
      <c r="K130" s="118">
        <v>80.2</v>
      </c>
      <c r="L130" s="118">
        <v>91.4</v>
      </c>
      <c r="M130" s="118">
        <v>106.6</v>
      </c>
      <c r="N130" s="118">
        <v>63.3</v>
      </c>
      <c r="O130" s="118">
        <v>73.599999999999994</v>
      </c>
      <c r="P130" s="118">
        <v>78</v>
      </c>
      <c r="Q130" s="118">
        <v>81</v>
      </c>
      <c r="R130" s="118">
        <v>80.900000000000006</v>
      </c>
      <c r="S130" s="118">
        <v>88</v>
      </c>
      <c r="T130" s="118">
        <v>128</v>
      </c>
      <c r="U130" s="118">
        <v>123</v>
      </c>
      <c r="V130" s="118">
        <v>126.3</v>
      </c>
      <c r="W130" s="118">
        <v>118.8</v>
      </c>
      <c r="X130" s="118">
        <v>105</v>
      </c>
      <c r="Y130" s="118">
        <v>117.4</v>
      </c>
      <c r="Z130" s="118">
        <v>115.7</v>
      </c>
      <c r="AA130" s="118">
        <v>112.8</v>
      </c>
      <c r="AB130" s="118">
        <v>110</v>
      </c>
      <c r="AC130" s="118">
        <v>115.4</v>
      </c>
      <c r="AD130" s="118">
        <v>110</v>
      </c>
      <c r="AE130" s="118">
        <v>88</v>
      </c>
      <c r="AF130" s="118"/>
      <c r="AG130" s="127"/>
      <c r="AH130" s="48">
        <f>MAX(B130:AF130)</f>
        <v>128</v>
      </c>
      <c r="AI130" s="49">
        <f>MIN(B130:AF130)</f>
        <v>1</v>
      </c>
    </row>
    <row r="131" spans="1:37" x14ac:dyDescent="0.25">
      <c r="A131" s="132" t="s">
        <v>154</v>
      </c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4"/>
      <c r="AG131" s="44"/>
      <c r="AH131" s="48"/>
      <c r="AI131" s="49"/>
    </row>
    <row r="132" spans="1:37" x14ac:dyDescent="0.25">
      <c r="A132" s="135" t="s">
        <v>155</v>
      </c>
      <c r="B132" s="136">
        <v>1984.78</v>
      </c>
      <c r="C132" s="136"/>
      <c r="D132" s="136">
        <v>1985.2</v>
      </c>
      <c r="E132" s="136">
        <v>1985.38</v>
      </c>
      <c r="F132" s="136">
        <v>1985.52</v>
      </c>
      <c r="G132" s="136">
        <v>1985.68</v>
      </c>
      <c r="H132" s="136"/>
      <c r="I132" s="136">
        <v>1985.55</v>
      </c>
      <c r="J132" s="136"/>
      <c r="K132" s="136">
        <v>1985.65</v>
      </c>
      <c r="L132" s="136"/>
      <c r="M132" s="136">
        <v>1985.8</v>
      </c>
      <c r="N132" s="136">
        <v>1986</v>
      </c>
      <c r="O132" s="136">
        <v>1986.15</v>
      </c>
      <c r="P132" s="136">
        <v>1986.35</v>
      </c>
      <c r="Q132" s="136">
        <v>1986.48</v>
      </c>
      <c r="R132" s="136">
        <v>1986.61</v>
      </c>
      <c r="S132" s="136">
        <v>1986.7</v>
      </c>
      <c r="T132" s="136">
        <v>1986.65</v>
      </c>
      <c r="U132" s="136">
        <v>1986.62</v>
      </c>
      <c r="V132" s="136">
        <v>1986.6</v>
      </c>
      <c r="W132" s="136"/>
      <c r="X132" s="136">
        <v>1986.62</v>
      </c>
      <c r="Y132" s="136"/>
      <c r="Z132" s="136">
        <v>1985.9</v>
      </c>
      <c r="AA132" s="136">
        <v>1985.45</v>
      </c>
      <c r="AB132" s="136">
        <v>1984.95</v>
      </c>
      <c r="AC132" s="136"/>
      <c r="AD132" s="136">
        <v>1984.15</v>
      </c>
      <c r="AE132" s="136">
        <v>1983.28</v>
      </c>
      <c r="AF132" s="137">
        <v>1982.56</v>
      </c>
      <c r="AG132" s="138"/>
      <c r="AH132" s="48"/>
      <c r="AI132" s="49"/>
    </row>
    <row r="133" spans="1:37" x14ac:dyDescent="0.25">
      <c r="A133" s="135" t="s">
        <v>156</v>
      </c>
      <c r="B133" s="139">
        <v>520.61</v>
      </c>
      <c r="C133" s="139">
        <v>520.79999999999995</v>
      </c>
      <c r="D133" s="139">
        <v>521.15</v>
      </c>
      <c r="E133" s="139">
        <v>521.48</v>
      </c>
      <c r="F133" s="139">
        <v>521.82000000000005</v>
      </c>
      <c r="G133" s="139">
        <v>522.14</v>
      </c>
      <c r="H133" s="139"/>
      <c r="I133" s="139">
        <v>522.34</v>
      </c>
      <c r="J133" s="139"/>
      <c r="K133" s="139">
        <v>522.35</v>
      </c>
      <c r="L133" s="139"/>
      <c r="M133" s="139">
        <v>522.21</v>
      </c>
      <c r="N133" s="139">
        <v>522.08000000000004</v>
      </c>
      <c r="O133" s="139">
        <v>522.02</v>
      </c>
      <c r="P133" s="139">
        <v>521.98</v>
      </c>
      <c r="Q133" s="139">
        <v>522.02</v>
      </c>
      <c r="R133" s="139">
        <v>522.17999999999995</v>
      </c>
      <c r="S133" s="139">
        <v>522.33000000000004</v>
      </c>
      <c r="T133" s="139">
        <v>522.44000000000005</v>
      </c>
      <c r="U133" s="139">
        <v>522.52</v>
      </c>
      <c r="V133" s="139">
        <v>522.54</v>
      </c>
      <c r="W133" s="139"/>
      <c r="X133" s="139">
        <v>522.51</v>
      </c>
      <c r="Y133" s="139"/>
      <c r="Z133" s="139">
        <v>522</v>
      </c>
      <c r="AA133" s="139"/>
      <c r="AB133" s="139">
        <v>521.74</v>
      </c>
      <c r="AC133" s="139"/>
      <c r="AD133" s="139">
        <v>521.48</v>
      </c>
      <c r="AE133" s="139">
        <v>521.4</v>
      </c>
      <c r="AF133" s="140">
        <v>521.44000000000005</v>
      </c>
      <c r="AG133" s="138"/>
      <c r="AH133" s="48"/>
      <c r="AI133" s="49"/>
    </row>
    <row r="134" spans="1:37" x14ac:dyDescent="0.25">
      <c r="A134" s="135" t="s">
        <v>158</v>
      </c>
      <c r="B134" s="139">
        <v>622.85</v>
      </c>
      <c r="C134" s="139">
        <v>622.92999999999995</v>
      </c>
      <c r="D134" s="139">
        <v>623.35</v>
      </c>
      <c r="E134" s="139">
        <v>623.70000000000005</v>
      </c>
      <c r="F134" s="139">
        <v>624.03</v>
      </c>
      <c r="G134" s="139">
        <v>624.41999999999996</v>
      </c>
      <c r="H134" s="139"/>
      <c r="I134" s="139">
        <v>624.46</v>
      </c>
      <c r="J134" s="139"/>
      <c r="K134" s="139">
        <v>624.4</v>
      </c>
      <c r="L134" s="139"/>
      <c r="M134" s="139">
        <v>624.04999999999995</v>
      </c>
      <c r="N134" s="139">
        <v>623.85</v>
      </c>
      <c r="O134" s="139">
        <v>623.58000000000004</v>
      </c>
      <c r="P134" s="139">
        <v>623.22</v>
      </c>
      <c r="Q134" s="139">
        <v>623.04999999999995</v>
      </c>
      <c r="R134" s="139">
        <v>623.02</v>
      </c>
      <c r="S134" s="139">
        <v>623.1</v>
      </c>
      <c r="T134" s="139">
        <v>623.20000000000005</v>
      </c>
      <c r="U134" s="139">
        <v>623.27</v>
      </c>
      <c r="V134" s="139">
        <v>523.26</v>
      </c>
      <c r="W134" s="139"/>
      <c r="X134" s="139">
        <v>523.38</v>
      </c>
      <c r="Y134" s="139"/>
      <c r="Z134" s="139">
        <v>522.87</v>
      </c>
      <c r="AA134" s="139"/>
      <c r="AB134" s="139">
        <v>622.15</v>
      </c>
      <c r="AC134" s="139"/>
      <c r="AD134" s="139">
        <v>621.66</v>
      </c>
      <c r="AE134" s="139">
        <v>621.6</v>
      </c>
      <c r="AF134" s="140"/>
      <c r="AG134" s="138"/>
      <c r="AH134" s="48"/>
      <c r="AI134" s="49"/>
    </row>
    <row r="135" spans="1:37" x14ac:dyDescent="0.25">
      <c r="A135" s="135" t="s">
        <v>159</v>
      </c>
      <c r="B135" s="139">
        <v>335.16</v>
      </c>
      <c r="C135" s="139"/>
      <c r="D135" s="139">
        <v>335.5</v>
      </c>
      <c r="E135" s="139">
        <v>335.99</v>
      </c>
      <c r="F135" s="139">
        <v>336.28</v>
      </c>
      <c r="G135" s="139">
        <v>336.54</v>
      </c>
      <c r="H135" s="139"/>
      <c r="I135" s="139">
        <v>336.8</v>
      </c>
      <c r="J135" s="139"/>
      <c r="K135" s="139">
        <v>336.78</v>
      </c>
      <c r="L135" s="139"/>
      <c r="M135" s="139">
        <v>336.71</v>
      </c>
      <c r="N135" s="139">
        <v>336.49</v>
      </c>
      <c r="O135" s="139">
        <v>336.25</v>
      </c>
      <c r="P135" s="139">
        <v>336.02</v>
      </c>
      <c r="Q135" s="139">
        <v>335.79</v>
      </c>
      <c r="R135" s="139">
        <v>335.58</v>
      </c>
      <c r="S135" s="139">
        <v>335.75</v>
      </c>
      <c r="T135" s="139">
        <v>335.95</v>
      </c>
      <c r="U135" s="139">
        <v>336.08</v>
      </c>
      <c r="V135" s="139">
        <v>336.17</v>
      </c>
      <c r="W135" s="139"/>
      <c r="X135" s="139">
        <v>336.2</v>
      </c>
      <c r="Y135" s="139"/>
      <c r="Z135" s="139">
        <v>335.94</v>
      </c>
      <c r="AA135" s="139"/>
      <c r="AB135" s="139">
        <v>335.5</v>
      </c>
      <c r="AC135" s="139"/>
      <c r="AD135" s="139">
        <v>335.06</v>
      </c>
      <c r="AE135" s="139">
        <v>334.85</v>
      </c>
      <c r="AF135" s="140"/>
      <c r="AG135" s="138"/>
      <c r="AH135" s="48"/>
      <c r="AI135" s="49"/>
    </row>
    <row r="136" spans="1:37" x14ac:dyDescent="0.25">
      <c r="A136" s="135" t="s">
        <v>160</v>
      </c>
      <c r="B136" s="139">
        <v>884.4</v>
      </c>
      <c r="C136" s="139"/>
      <c r="D136" s="139">
        <v>886</v>
      </c>
      <c r="E136" s="139">
        <v>886.1</v>
      </c>
      <c r="F136" s="139">
        <v>886.6</v>
      </c>
      <c r="G136" s="139">
        <v>887</v>
      </c>
      <c r="H136" s="139"/>
      <c r="I136" s="139">
        <v>887.5</v>
      </c>
      <c r="J136" s="139"/>
      <c r="K136" s="139">
        <v>887.5</v>
      </c>
      <c r="L136" s="139"/>
      <c r="M136" s="139">
        <v>8877.2000000000007</v>
      </c>
      <c r="N136" s="139">
        <v>887.1</v>
      </c>
      <c r="O136" s="139">
        <v>886.9</v>
      </c>
      <c r="P136" s="139">
        <v>886.9</v>
      </c>
      <c r="Q136" s="139">
        <v>886.8</v>
      </c>
      <c r="R136" s="139">
        <v>886.7</v>
      </c>
      <c r="S136" s="139">
        <v>886.5</v>
      </c>
      <c r="T136" s="139">
        <v>886.2</v>
      </c>
      <c r="U136" s="139">
        <v>885.8</v>
      </c>
      <c r="V136" s="139">
        <v>885.7</v>
      </c>
      <c r="W136" s="139"/>
      <c r="X136" s="139">
        <v>885.3</v>
      </c>
      <c r="Y136" s="139"/>
      <c r="Z136" s="139">
        <v>884</v>
      </c>
      <c r="AA136" s="139"/>
      <c r="AB136" s="139">
        <v>882</v>
      </c>
      <c r="AC136" s="139"/>
      <c r="AD136" s="139">
        <v>881.6</v>
      </c>
      <c r="AE136" s="139">
        <v>881.5</v>
      </c>
      <c r="AF136" s="140">
        <v>881.3</v>
      </c>
      <c r="AG136" s="138"/>
      <c r="AH136" s="48"/>
      <c r="AI136" s="49"/>
    </row>
    <row r="137" spans="1:37" ht="15.75" thickBot="1" x14ac:dyDescent="0.3">
      <c r="A137" s="135" t="s">
        <v>161</v>
      </c>
      <c r="B137" s="141">
        <v>1515.32</v>
      </c>
      <c r="C137" s="141"/>
      <c r="D137" s="141">
        <v>1515.26</v>
      </c>
      <c r="E137" s="141"/>
      <c r="F137" s="141">
        <v>1515.23</v>
      </c>
      <c r="G137" s="141"/>
      <c r="H137" s="141"/>
      <c r="I137" s="141">
        <v>1515.19</v>
      </c>
      <c r="J137" s="141"/>
      <c r="K137" s="141"/>
      <c r="L137" s="141"/>
      <c r="M137" s="141"/>
      <c r="N137" s="141">
        <v>1515.16</v>
      </c>
      <c r="O137" s="141"/>
      <c r="P137" s="141"/>
      <c r="Q137" s="141"/>
      <c r="R137" s="141">
        <v>1515.08</v>
      </c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  <c r="AF137" s="142"/>
      <c r="AG137" s="138"/>
      <c r="AH137" s="48"/>
      <c r="AI137" s="49"/>
    </row>
    <row r="138" spans="1:37" ht="15.75" thickBot="1" x14ac:dyDescent="0.3">
      <c r="A138" s="143" t="s">
        <v>162</v>
      </c>
      <c r="B138" s="144"/>
      <c r="C138" s="144"/>
      <c r="D138" s="144"/>
      <c r="E138" s="144"/>
      <c r="F138" s="145" t="s">
        <v>163</v>
      </c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6"/>
      <c r="AH138" s="48"/>
      <c r="AI138" s="49"/>
      <c r="AK138" s="51"/>
    </row>
    <row r="139" spans="1:37" x14ac:dyDescent="0.25">
      <c r="A139" s="147" t="s">
        <v>164</v>
      </c>
      <c r="B139" s="148"/>
      <c r="C139" s="149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50">
        <v>9.94</v>
      </c>
      <c r="AH139" s="48"/>
      <c r="AI139" s="49"/>
      <c r="AK139" s="51"/>
    </row>
    <row r="140" spans="1:37" x14ac:dyDescent="0.25">
      <c r="A140" s="115" t="s">
        <v>165</v>
      </c>
      <c r="B140" s="148"/>
      <c r="C140" s="149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50"/>
      <c r="AH140" s="48"/>
      <c r="AI140" s="49"/>
      <c r="AK140" s="51"/>
    </row>
    <row r="141" spans="1:37" x14ac:dyDescent="0.25">
      <c r="A141" s="115" t="s">
        <v>166</v>
      </c>
      <c r="B141" s="148"/>
      <c r="C141" s="149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50"/>
      <c r="AH141" s="48"/>
      <c r="AI141" s="49"/>
      <c r="AK141" s="51"/>
    </row>
    <row r="142" spans="1:37" x14ac:dyDescent="0.25">
      <c r="A142" s="115" t="s">
        <v>167</v>
      </c>
      <c r="B142" s="148"/>
      <c r="C142" s="149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50"/>
      <c r="AH142" s="48"/>
      <c r="AI142" s="49"/>
      <c r="AK142" s="51"/>
    </row>
    <row r="143" spans="1:37" x14ac:dyDescent="0.25">
      <c r="A143" s="115" t="s">
        <v>168</v>
      </c>
      <c r="B143" s="148"/>
      <c r="C143" s="149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50"/>
      <c r="AH143" s="48"/>
      <c r="AI143" s="49"/>
      <c r="AK143" s="51"/>
    </row>
    <row r="144" spans="1:37" x14ac:dyDescent="0.25">
      <c r="A144" s="115" t="s">
        <v>169</v>
      </c>
      <c r="B144" s="148"/>
      <c r="C144" s="149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50"/>
      <c r="AH144" s="48"/>
      <c r="AI144" s="49"/>
      <c r="AK144" s="51"/>
    </row>
    <row r="145" spans="1:37" x14ac:dyDescent="0.25">
      <c r="A145" s="115" t="s">
        <v>170</v>
      </c>
      <c r="B145" s="148"/>
      <c r="C145" s="149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0"/>
      <c r="AH145" s="48"/>
      <c r="AI145" s="49"/>
      <c r="AK145" s="51"/>
    </row>
    <row r="146" spans="1:37" x14ac:dyDescent="0.25">
      <c r="A146" s="115" t="s">
        <v>171</v>
      </c>
      <c r="B146" s="148"/>
      <c r="C146" s="149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50"/>
      <c r="AH146" s="48"/>
      <c r="AI146" s="49"/>
      <c r="AK146" s="51"/>
    </row>
    <row r="147" spans="1:37" x14ac:dyDescent="0.25">
      <c r="A147" s="115" t="s">
        <v>172</v>
      </c>
      <c r="B147" s="148"/>
      <c r="C147" s="149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50"/>
      <c r="AH147" s="48"/>
      <c r="AI147" s="49"/>
      <c r="AK147" s="51"/>
    </row>
    <row r="148" spans="1:37" x14ac:dyDescent="0.25">
      <c r="A148" s="115" t="s">
        <v>173</v>
      </c>
      <c r="B148" s="148"/>
      <c r="C148" s="149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50"/>
      <c r="AH148" s="48"/>
      <c r="AI148" s="49"/>
      <c r="AK148" s="51"/>
    </row>
    <row r="149" spans="1:37" x14ac:dyDescent="0.25">
      <c r="A149" s="115" t="s">
        <v>174</v>
      </c>
      <c r="B149" s="148"/>
      <c r="C149" s="149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50"/>
      <c r="AH149" s="48"/>
      <c r="AI149" s="49"/>
      <c r="AK149" s="51"/>
    </row>
    <row r="150" spans="1:37" x14ac:dyDescent="0.25">
      <c r="A150" s="115" t="s">
        <v>175</v>
      </c>
      <c r="B150" s="148"/>
      <c r="C150" s="149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50"/>
      <c r="AH150" s="48"/>
      <c r="AI150" s="49"/>
      <c r="AK150" s="51"/>
    </row>
    <row r="151" spans="1:37" x14ac:dyDescent="0.25">
      <c r="A151" s="115" t="s">
        <v>176</v>
      </c>
      <c r="B151" s="148"/>
      <c r="C151" s="149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50"/>
      <c r="AH151" s="48"/>
      <c r="AI151" s="49"/>
      <c r="AK151" s="51"/>
    </row>
    <row r="152" spans="1:37" x14ac:dyDescent="0.25">
      <c r="A152" s="115" t="s">
        <v>177</v>
      </c>
      <c r="B152" s="148"/>
      <c r="C152" s="149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50"/>
      <c r="AH152" s="48"/>
      <c r="AI152" s="49"/>
      <c r="AK152" s="51"/>
    </row>
    <row r="153" spans="1:37" x14ac:dyDescent="0.25">
      <c r="A153" s="115" t="s">
        <v>178</v>
      </c>
      <c r="B153" s="148"/>
      <c r="C153" s="149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50"/>
      <c r="AH153" s="48"/>
      <c r="AI153" s="49"/>
      <c r="AK153" s="51"/>
    </row>
    <row r="154" spans="1:37" x14ac:dyDescent="0.25">
      <c r="A154" s="115" t="s">
        <v>179</v>
      </c>
      <c r="B154" s="148"/>
      <c r="C154" s="149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50"/>
      <c r="AH154" s="48"/>
      <c r="AI154" s="49"/>
      <c r="AK154" s="51"/>
    </row>
    <row r="155" spans="1:37" x14ac:dyDescent="0.25">
      <c r="A155" s="115" t="s">
        <v>180</v>
      </c>
      <c r="B155" s="151"/>
      <c r="C155" s="152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3">
        <v>9.9</v>
      </c>
      <c r="AH155" s="48"/>
      <c r="AI155" s="49"/>
      <c r="AK155" s="51"/>
    </row>
    <row r="156" spans="1:37" x14ac:dyDescent="0.25">
      <c r="A156" s="154" t="s">
        <v>181</v>
      </c>
      <c r="B156" s="151"/>
      <c r="C156" s="152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5">
        <v>9.6579999999999995</v>
      </c>
      <c r="AH156" s="48"/>
      <c r="AI156" s="49"/>
      <c r="AK156" s="51"/>
    </row>
    <row r="157" spans="1:37" x14ac:dyDescent="0.25">
      <c r="A157" s="154" t="s">
        <v>182</v>
      </c>
      <c r="B157" s="151"/>
      <c r="C157" s="152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5">
        <v>9.6</v>
      </c>
      <c r="AH157" s="48"/>
      <c r="AI157" s="49"/>
      <c r="AK157" s="51"/>
    </row>
    <row r="158" spans="1:37" x14ac:dyDescent="0.25">
      <c r="A158" s="154" t="s">
        <v>183</v>
      </c>
      <c r="B158" s="151"/>
      <c r="C158" s="152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5">
        <v>9.51</v>
      </c>
      <c r="AH158" s="48"/>
      <c r="AI158" s="49"/>
      <c r="AK158" s="51"/>
    </row>
    <row r="159" spans="1:37" x14ac:dyDescent="0.25">
      <c r="A159" s="154" t="s">
        <v>184</v>
      </c>
      <c r="B159" s="151"/>
      <c r="C159" s="152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5">
        <v>9.4</v>
      </c>
      <c r="AH159" s="48"/>
      <c r="AI159" s="49"/>
      <c r="AK159" s="51"/>
    </row>
    <row r="160" spans="1:37" x14ac:dyDescent="0.25">
      <c r="A160" s="154" t="s">
        <v>185</v>
      </c>
      <c r="B160" s="151"/>
      <c r="C160" s="152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5">
        <v>8.8000000000000007</v>
      </c>
      <c r="AH160" s="48"/>
      <c r="AI160" s="49"/>
      <c r="AK160" s="51"/>
    </row>
    <row r="161" spans="1:37" x14ac:dyDescent="0.25">
      <c r="A161" s="154" t="s">
        <v>186</v>
      </c>
      <c r="B161" s="151"/>
      <c r="C161" s="152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5">
        <v>8.5</v>
      </c>
      <c r="AH161" s="48"/>
      <c r="AI161" s="49"/>
      <c r="AK161" s="51"/>
    </row>
    <row r="162" spans="1:37" x14ac:dyDescent="0.25">
      <c r="A162" s="154" t="s">
        <v>187</v>
      </c>
      <c r="B162" s="151"/>
      <c r="C162" s="152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5">
        <v>8.5</v>
      </c>
      <c r="AH162" s="48"/>
      <c r="AI162" s="49"/>
      <c r="AK162" s="51"/>
    </row>
    <row r="163" spans="1:37" x14ac:dyDescent="0.25">
      <c r="A163" s="154" t="s">
        <v>188</v>
      </c>
      <c r="B163" s="151"/>
      <c r="C163" s="152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5">
        <v>8.4</v>
      </c>
      <c r="AH163" s="48"/>
      <c r="AI163" s="49"/>
      <c r="AK163" s="51"/>
    </row>
    <row r="164" spans="1:37" ht="13.5" customHeight="1" x14ac:dyDescent="0.25">
      <c r="A164" s="154" t="s">
        <v>189</v>
      </c>
      <c r="B164" s="151"/>
      <c r="C164" s="152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5">
        <v>8</v>
      </c>
      <c r="AH164" s="48"/>
      <c r="AI164" s="49"/>
      <c r="AK164" s="51"/>
    </row>
    <row r="165" spans="1:37" x14ac:dyDescent="0.25">
      <c r="A165" s="154" t="s">
        <v>190</v>
      </c>
      <c r="B165" s="151"/>
      <c r="C165" s="152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5">
        <v>8</v>
      </c>
      <c r="AH165" s="48"/>
      <c r="AI165" s="49"/>
      <c r="AK165" s="51"/>
    </row>
    <row r="166" spans="1:37" x14ac:dyDescent="0.25">
      <c r="A166" s="154" t="s">
        <v>191</v>
      </c>
      <c r="B166" s="151"/>
      <c r="C166" s="152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5">
        <v>8</v>
      </c>
      <c r="AH166" s="48"/>
      <c r="AI166" s="49"/>
      <c r="AK166" s="51"/>
    </row>
    <row r="167" spans="1:37" x14ac:dyDescent="0.25">
      <c r="A167" s="154" t="s">
        <v>192</v>
      </c>
      <c r="B167" s="151"/>
      <c r="C167" s="152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5">
        <v>7.8</v>
      </c>
      <c r="AH167" s="48"/>
      <c r="AI167" s="49"/>
      <c r="AK167" s="51"/>
    </row>
    <row r="168" spans="1:37" x14ac:dyDescent="0.25">
      <c r="A168" s="154" t="s">
        <v>193</v>
      </c>
      <c r="B168" s="151"/>
      <c r="C168" s="152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5">
        <v>7.6</v>
      </c>
      <c r="AH168" s="48"/>
      <c r="AI168" s="49"/>
      <c r="AK168" s="51"/>
    </row>
    <row r="169" spans="1:37" x14ac:dyDescent="0.25">
      <c r="A169" s="154" t="s">
        <v>194</v>
      </c>
      <c r="B169" s="151"/>
      <c r="C169" s="152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5">
        <v>7.5</v>
      </c>
      <c r="AH169" s="48"/>
      <c r="AI169" s="49"/>
      <c r="AK169" s="51"/>
    </row>
    <row r="170" spans="1:37" x14ac:dyDescent="0.25">
      <c r="A170" s="154" t="s">
        <v>195</v>
      </c>
      <c r="B170" s="151"/>
      <c r="C170" s="152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5">
        <v>7.5</v>
      </c>
      <c r="AH170" s="48"/>
      <c r="AI170" s="49"/>
      <c r="AK170" s="51"/>
    </row>
    <row r="171" spans="1:37" x14ac:dyDescent="0.25">
      <c r="A171" s="154" t="s">
        <v>196</v>
      </c>
      <c r="B171" s="151"/>
      <c r="C171" s="152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5">
        <v>7</v>
      </c>
      <c r="AH171" s="48"/>
      <c r="AI171" s="49"/>
      <c r="AK171" s="51"/>
    </row>
    <row r="172" spans="1:37" x14ac:dyDescent="0.25">
      <c r="A172" s="154" t="s">
        <v>197</v>
      </c>
      <c r="B172" s="151"/>
      <c r="C172" s="152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5">
        <v>7</v>
      </c>
      <c r="AH172" s="48"/>
      <c r="AI172" s="49"/>
      <c r="AK172" s="51"/>
    </row>
    <row r="173" spans="1:37" x14ac:dyDescent="0.25">
      <c r="A173" s="154" t="s">
        <v>198</v>
      </c>
      <c r="B173" s="151"/>
      <c r="C173" s="152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5">
        <v>7</v>
      </c>
      <c r="AH173" s="48"/>
      <c r="AI173" s="49"/>
      <c r="AK173" s="51"/>
    </row>
    <row r="174" spans="1:37" x14ac:dyDescent="0.25">
      <c r="A174" s="154" t="s">
        <v>199</v>
      </c>
      <c r="B174" s="151"/>
      <c r="C174" s="152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5">
        <v>7</v>
      </c>
      <c r="AH174" s="48"/>
      <c r="AI174" s="49"/>
      <c r="AK174" s="51"/>
    </row>
    <row r="175" spans="1:37" x14ac:dyDescent="0.25">
      <c r="A175" s="154" t="s">
        <v>200</v>
      </c>
      <c r="B175" s="151"/>
      <c r="C175" s="152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5">
        <v>6.6</v>
      </c>
      <c r="AH175" s="48"/>
      <c r="AI175" s="49"/>
      <c r="AK175" s="51"/>
    </row>
    <row r="176" spans="1:37" x14ac:dyDescent="0.25">
      <c r="A176" s="154" t="s">
        <v>201</v>
      </c>
      <c r="B176" s="151"/>
      <c r="C176" s="152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5">
        <v>6.6</v>
      </c>
      <c r="AH176" s="48"/>
      <c r="AI176" s="49"/>
      <c r="AK176" s="51"/>
    </row>
    <row r="177" spans="1:37" x14ac:dyDescent="0.25">
      <c r="A177" s="154" t="s">
        <v>202</v>
      </c>
      <c r="B177" s="151"/>
      <c r="C177" s="152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5">
        <v>6.4</v>
      </c>
      <c r="AH177" s="48"/>
      <c r="AI177" s="49"/>
      <c r="AK177" s="51"/>
    </row>
    <row r="178" spans="1:37" x14ac:dyDescent="0.25">
      <c r="A178" s="154" t="s">
        <v>203</v>
      </c>
      <c r="B178" s="151"/>
      <c r="C178" s="152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5">
        <v>6</v>
      </c>
      <c r="AH178" s="48"/>
      <c r="AI178" s="49"/>
      <c r="AK178" s="51"/>
    </row>
    <row r="179" spans="1:37" x14ac:dyDescent="0.25">
      <c r="A179" s="154" t="s">
        <v>204</v>
      </c>
      <c r="B179" s="151"/>
      <c r="C179" s="152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5">
        <v>5.0999999999999996</v>
      </c>
      <c r="AH179" s="48"/>
      <c r="AI179" s="49"/>
      <c r="AK179" s="51"/>
    </row>
    <row r="180" spans="1:37" x14ac:dyDescent="0.25">
      <c r="A180" s="154" t="s">
        <v>205</v>
      </c>
      <c r="B180" s="151"/>
      <c r="C180" s="152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5">
        <v>5</v>
      </c>
      <c r="AH180" s="48"/>
      <c r="AI180" s="49"/>
      <c r="AK180" s="51"/>
    </row>
    <row r="181" spans="1:37" x14ac:dyDescent="0.25">
      <c r="A181" s="115" t="s">
        <v>206</v>
      </c>
      <c r="B181" s="151"/>
      <c r="C181" s="152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3">
        <v>5</v>
      </c>
      <c r="AH181" s="48"/>
      <c r="AI181" s="49"/>
      <c r="AK181" s="51"/>
    </row>
    <row r="182" spans="1:37" x14ac:dyDescent="0.25">
      <c r="A182" s="154" t="s">
        <v>207</v>
      </c>
      <c r="B182" s="151"/>
      <c r="C182" s="152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5">
        <v>5</v>
      </c>
      <c r="AH182" s="48"/>
      <c r="AI182" s="49"/>
      <c r="AK182" s="51"/>
    </row>
    <row r="183" spans="1:37" x14ac:dyDescent="0.25">
      <c r="A183" s="154" t="s">
        <v>208</v>
      </c>
      <c r="B183" s="151"/>
      <c r="C183" s="152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5">
        <v>5</v>
      </c>
      <c r="AH183" s="48"/>
      <c r="AI183" s="49"/>
      <c r="AK183" s="51"/>
    </row>
    <row r="184" spans="1:37" x14ac:dyDescent="0.25">
      <c r="A184" s="154" t="s">
        <v>209</v>
      </c>
      <c r="B184" s="151"/>
      <c r="C184" s="152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5">
        <v>5</v>
      </c>
      <c r="AH184" s="48"/>
      <c r="AI184" s="49"/>
      <c r="AK184" s="51"/>
    </row>
    <row r="185" spans="1:37" x14ac:dyDescent="0.25">
      <c r="A185" s="154" t="s">
        <v>210</v>
      </c>
      <c r="B185" s="151"/>
      <c r="C185" s="152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5">
        <v>5</v>
      </c>
      <c r="AH185" s="48"/>
      <c r="AI185" s="49"/>
      <c r="AK185" s="51"/>
    </row>
    <row r="186" spans="1:37" x14ac:dyDescent="0.25">
      <c r="A186" s="154" t="s">
        <v>211</v>
      </c>
      <c r="B186" s="151"/>
      <c r="C186" s="152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5">
        <v>5</v>
      </c>
      <c r="AH186" s="48"/>
      <c r="AI186" s="49"/>
      <c r="AK186" s="51"/>
    </row>
    <row r="187" spans="1:37" x14ac:dyDescent="0.25">
      <c r="A187" s="154" t="s">
        <v>212</v>
      </c>
      <c r="B187" s="151"/>
      <c r="C187" s="152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5">
        <v>4.9930000000000003</v>
      </c>
      <c r="AH187" s="48"/>
      <c r="AI187" s="49"/>
      <c r="AK187" s="51"/>
    </row>
    <row r="188" spans="1:37" x14ac:dyDescent="0.25">
      <c r="A188" s="154" t="s">
        <v>213</v>
      </c>
      <c r="B188" s="151"/>
      <c r="C188" s="152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5">
        <v>4.9800000000000004</v>
      </c>
      <c r="AH188" s="48"/>
      <c r="AI188" s="49"/>
      <c r="AK188" s="51"/>
    </row>
    <row r="189" spans="1:37" x14ac:dyDescent="0.25">
      <c r="A189" s="154" t="s">
        <v>214</v>
      </c>
      <c r="B189" s="151"/>
      <c r="C189" s="152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5">
        <v>4.95</v>
      </c>
      <c r="AH189" s="48"/>
      <c r="AI189" s="49"/>
      <c r="AK189" s="51"/>
    </row>
    <row r="190" spans="1:37" x14ac:dyDescent="0.25">
      <c r="A190" s="154" t="s">
        <v>215</v>
      </c>
      <c r="B190" s="151"/>
      <c r="C190" s="152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5">
        <v>4.95</v>
      </c>
      <c r="AH190" s="48"/>
      <c r="AI190" s="49"/>
      <c r="AK190" s="51"/>
    </row>
    <row r="191" spans="1:37" x14ac:dyDescent="0.25">
      <c r="A191" s="154" t="s">
        <v>216</v>
      </c>
      <c r="B191" s="151"/>
      <c r="C191" s="152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5">
        <v>4.8</v>
      </c>
      <c r="AH191" s="48"/>
      <c r="AI191" s="49"/>
      <c r="AK191" s="51"/>
    </row>
    <row r="192" spans="1:37" x14ac:dyDescent="0.25">
      <c r="A192" s="154" t="s">
        <v>217</v>
      </c>
      <c r="B192" s="151"/>
      <c r="C192" s="152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5">
        <v>4.8</v>
      </c>
      <c r="AH192" s="48"/>
      <c r="AI192" s="49"/>
      <c r="AK192" s="51"/>
    </row>
    <row r="193" spans="1:37" x14ac:dyDescent="0.25">
      <c r="A193" s="154" t="s">
        <v>218</v>
      </c>
      <c r="B193" s="151"/>
      <c r="C193" s="152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5">
        <v>4.8</v>
      </c>
      <c r="AH193" s="48"/>
      <c r="AI193" s="49"/>
      <c r="AK193" s="51"/>
    </row>
    <row r="194" spans="1:37" x14ac:dyDescent="0.25">
      <c r="A194" s="154" t="s">
        <v>219</v>
      </c>
      <c r="B194" s="151"/>
      <c r="C194" s="152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5">
        <v>4.5</v>
      </c>
      <c r="AH194" s="48"/>
      <c r="AI194" s="49"/>
      <c r="AK194" s="51"/>
    </row>
    <row r="195" spans="1:37" x14ac:dyDescent="0.25">
      <c r="A195" s="154" t="s">
        <v>220</v>
      </c>
      <c r="B195" s="151"/>
      <c r="C195" s="152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5">
        <v>4.5</v>
      </c>
      <c r="AH195" s="48"/>
      <c r="AI195" s="49"/>
      <c r="AK195" s="51"/>
    </row>
    <row r="196" spans="1:37" x14ac:dyDescent="0.25">
      <c r="A196" s="154" t="s">
        <v>221</v>
      </c>
      <c r="B196" s="151"/>
      <c r="C196" s="152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5">
        <v>4.4550000000000001</v>
      </c>
      <c r="AH196" s="48"/>
      <c r="AI196" s="49"/>
      <c r="AK196" s="51"/>
    </row>
    <row r="197" spans="1:37" x14ac:dyDescent="0.25">
      <c r="A197" s="154" t="s">
        <v>222</v>
      </c>
      <c r="B197" s="151"/>
      <c r="C197" s="152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5">
        <v>4.41</v>
      </c>
      <c r="AH197" s="48"/>
      <c r="AI197" s="49"/>
      <c r="AK197" s="51"/>
    </row>
    <row r="198" spans="1:37" x14ac:dyDescent="0.25">
      <c r="A198" s="154" t="s">
        <v>223</v>
      </c>
      <c r="B198" s="151"/>
      <c r="C198" s="152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5">
        <v>4.4000000000000004</v>
      </c>
      <c r="AH198" s="48"/>
      <c r="AI198" s="49"/>
      <c r="AK198" s="51"/>
    </row>
    <row r="199" spans="1:37" x14ac:dyDescent="0.25">
      <c r="A199" s="154" t="s">
        <v>224</v>
      </c>
      <c r="B199" s="151"/>
      <c r="C199" s="152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5">
        <v>4.3600000000000003</v>
      </c>
      <c r="AH199" s="48"/>
      <c r="AI199" s="49"/>
      <c r="AK199" s="51"/>
    </row>
    <row r="200" spans="1:37" x14ac:dyDescent="0.25">
      <c r="A200" s="154" t="s">
        <v>225</v>
      </c>
      <c r="B200" s="151"/>
      <c r="C200" s="152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5">
        <v>4.2</v>
      </c>
      <c r="AH200" s="48"/>
      <c r="AI200" s="49"/>
      <c r="AK200" s="51"/>
    </row>
    <row r="201" spans="1:37" x14ac:dyDescent="0.25">
      <c r="A201" s="154" t="s">
        <v>226</v>
      </c>
      <c r="B201" s="151"/>
      <c r="C201" s="152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5">
        <v>4</v>
      </c>
      <c r="AH201" s="48"/>
      <c r="AI201" s="49"/>
      <c r="AK201" s="51"/>
    </row>
    <row r="202" spans="1:37" x14ac:dyDescent="0.25">
      <c r="A202" s="154" t="s">
        <v>227</v>
      </c>
      <c r="B202" s="151"/>
      <c r="C202" s="152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5">
        <v>4</v>
      </c>
      <c r="AH202" s="48"/>
      <c r="AI202" s="49"/>
      <c r="AK202" s="51"/>
    </row>
    <row r="203" spans="1:37" x14ac:dyDescent="0.25">
      <c r="A203" s="154" t="s">
        <v>228</v>
      </c>
      <c r="B203" s="151"/>
      <c r="C203" s="152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5">
        <v>4</v>
      </c>
      <c r="AH203" s="48"/>
      <c r="AI203" s="49"/>
      <c r="AK203" s="51"/>
    </row>
    <row r="204" spans="1:37" x14ac:dyDescent="0.25">
      <c r="A204" s="154" t="s">
        <v>229</v>
      </c>
      <c r="B204" s="151"/>
      <c r="C204" s="152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5">
        <v>4</v>
      </c>
      <c r="AH204" s="48"/>
      <c r="AI204" s="49"/>
      <c r="AK204" s="51"/>
    </row>
    <row r="205" spans="1:37" x14ac:dyDescent="0.25">
      <c r="A205" s="154" t="s">
        <v>230</v>
      </c>
      <c r="B205" s="151"/>
      <c r="C205" s="152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5">
        <v>4</v>
      </c>
      <c r="AH205" s="48"/>
      <c r="AI205" s="49"/>
      <c r="AK205" s="51"/>
    </row>
    <row r="206" spans="1:37" x14ac:dyDescent="0.25">
      <c r="A206" s="154" t="s">
        <v>231</v>
      </c>
      <c r="B206" s="151"/>
      <c r="C206" s="152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5">
        <v>4</v>
      </c>
      <c r="AH206" s="48"/>
      <c r="AI206" s="49"/>
      <c r="AK206" s="51"/>
    </row>
    <row r="207" spans="1:37" x14ac:dyDescent="0.25">
      <c r="A207" s="154" t="s">
        <v>232</v>
      </c>
      <c r="B207" s="151"/>
      <c r="C207" s="152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5">
        <v>4</v>
      </c>
      <c r="AH207" s="48"/>
      <c r="AI207" s="49"/>
      <c r="AK207" s="51"/>
    </row>
    <row r="208" spans="1:37" x14ac:dyDescent="0.25">
      <c r="A208" s="154" t="s">
        <v>233</v>
      </c>
      <c r="B208" s="151"/>
      <c r="C208" s="152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5">
        <v>4</v>
      </c>
      <c r="AH208" s="48"/>
      <c r="AI208" s="49"/>
      <c r="AK208" s="51"/>
    </row>
    <row r="209" spans="1:37" x14ac:dyDescent="0.25">
      <c r="A209" s="154" t="s">
        <v>234</v>
      </c>
      <c r="B209" s="151"/>
      <c r="C209" s="152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5">
        <v>3.75</v>
      </c>
      <c r="AH209" s="48"/>
      <c r="AI209" s="49"/>
      <c r="AK209" s="51"/>
    </row>
    <row r="210" spans="1:37" x14ac:dyDescent="0.25">
      <c r="A210" s="154" t="s">
        <v>235</v>
      </c>
      <c r="B210" s="151"/>
      <c r="C210" s="152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5">
        <v>3.52</v>
      </c>
      <c r="AH210" s="48"/>
      <c r="AI210" s="49"/>
      <c r="AK210" s="51"/>
    </row>
    <row r="211" spans="1:37" x14ac:dyDescent="0.25">
      <c r="A211" s="154" t="s">
        <v>236</v>
      </c>
      <c r="B211" s="151"/>
      <c r="C211" s="152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5">
        <v>3.33</v>
      </c>
      <c r="AH211" s="48"/>
      <c r="AI211" s="49"/>
      <c r="AK211" s="51"/>
    </row>
    <row r="212" spans="1:37" x14ac:dyDescent="0.25">
      <c r="A212" s="154" t="s">
        <v>237</v>
      </c>
      <c r="B212" s="151"/>
      <c r="C212" s="152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5">
        <v>3.2</v>
      </c>
      <c r="AH212" s="48"/>
      <c r="AI212" s="49"/>
      <c r="AK212" s="51"/>
    </row>
    <row r="213" spans="1:37" x14ac:dyDescent="0.25">
      <c r="A213" s="154" t="s">
        <v>238</v>
      </c>
      <c r="B213" s="151"/>
      <c r="C213" s="152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5">
        <v>3</v>
      </c>
      <c r="AH213" s="48"/>
      <c r="AI213" s="49"/>
      <c r="AK213" s="51"/>
    </row>
    <row r="214" spans="1:37" x14ac:dyDescent="0.25">
      <c r="A214" s="154" t="s">
        <v>239</v>
      </c>
      <c r="B214" s="151"/>
      <c r="C214" s="152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5">
        <v>3</v>
      </c>
      <c r="AH214" s="48"/>
      <c r="AI214" s="49"/>
      <c r="AK214" s="51"/>
    </row>
    <row r="215" spans="1:37" x14ac:dyDescent="0.25">
      <c r="A215" s="154" t="s">
        <v>240</v>
      </c>
      <c r="B215" s="151"/>
      <c r="C215" s="152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5">
        <v>3</v>
      </c>
      <c r="AH215" s="48"/>
      <c r="AI215" s="49"/>
      <c r="AK215" s="51"/>
    </row>
    <row r="216" spans="1:37" x14ac:dyDescent="0.25">
      <c r="A216" s="154" t="s">
        <v>241</v>
      </c>
      <c r="B216" s="151"/>
      <c r="C216" s="152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5">
        <v>3</v>
      </c>
      <c r="AH216" s="48"/>
      <c r="AI216" s="49"/>
      <c r="AK216" s="51"/>
    </row>
    <row r="217" spans="1:37" x14ac:dyDescent="0.25">
      <c r="A217" s="154" t="s">
        <v>242</v>
      </c>
      <c r="B217" s="151"/>
      <c r="C217" s="152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5">
        <v>3</v>
      </c>
      <c r="AH217" s="48"/>
      <c r="AI217" s="49"/>
      <c r="AK217" s="51"/>
    </row>
    <row r="218" spans="1:37" x14ac:dyDescent="0.25">
      <c r="A218" s="154" t="s">
        <v>243</v>
      </c>
      <c r="B218" s="151"/>
      <c r="C218" s="152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5">
        <v>3</v>
      </c>
      <c r="AH218" s="48"/>
      <c r="AI218" s="49"/>
      <c r="AK218" s="51"/>
    </row>
    <row r="219" spans="1:37" x14ac:dyDescent="0.25">
      <c r="A219" s="154" t="s">
        <v>244</v>
      </c>
      <c r="B219" s="151"/>
      <c r="C219" s="152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5">
        <v>3</v>
      </c>
      <c r="AH219" s="48"/>
      <c r="AI219" s="49"/>
      <c r="AK219" s="51"/>
    </row>
    <row r="220" spans="1:37" x14ac:dyDescent="0.25">
      <c r="A220" s="154" t="s">
        <v>245</v>
      </c>
      <c r="B220" s="151"/>
      <c r="C220" s="152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5">
        <v>3</v>
      </c>
      <c r="AH220" s="48"/>
      <c r="AI220" s="49"/>
      <c r="AK220" s="51"/>
    </row>
    <row r="221" spans="1:37" x14ac:dyDescent="0.25">
      <c r="A221" s="154" t="s">
        <v>246</v>
      </c>
      <c r="B221" s="151"/>
      <c r="C221" s="152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5">
        <v>2.83</v>
      </c>
      <c r="AH221" s="48"/>
      <c r="AI221" s="49"/>
      <c r="AK221" s="51"/>
    </row>
    <row r="222" spans="1:37" x14ac:dyDescent="0.25">
      <c r="A222" s="154" t="s">
        <v>247</v>
      </c>
      <c r="B222" s="151"/>
      <c r="C222" s="152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5">
        <v>2.5</v>
      </c>
      <c r="AH222" s="48"/>
      <c r="AI222" s="49"/>
      <c r="AK222" s="51"/>
    </row>
    <row r="223" spans="1:37" x14ac:dyDescent="0.25">
      <c r="A223" s="154" t="s">
        <v>248</v>
      </c>
      <c r="B223" s="151"/>
      <c r="C223" s="152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5">
        <v>2.5</v>
      </c>
      <c r="AH223" s="48"/>
      <c r="AI223" s="49"/>
      <c r="AK223" s="51"/>
    </row>
    <row r="224" spans="1:37" x14ac:dyDescent="0.25">
      <c r="A224" s="154" t="s">
        <v>249</v>
      </c>
      <c r="B224" s="151"/>
      <c r="C224" s="152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5">
        <v>2.4</v>
      </c>
      <c r="AH224" s="48"/>
      <c r="AI224" s="49"/>
      <c r="AK224" s="51"/>
    </row>
    <row r="225" spans="1:37" x14ac:dyDescent="0.25">
      <c r="A225" s="154" t="s">
        <v>250</v>
      </c>
      <c r="B225" s="151"/>
      <c r="C225" s="152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5">
        <v>2.4</v>
      </c>
      <c r="AH225" s="48"/>
      <c r="AI225" s="49"/>
      <c r="AK225" s="51"/>
    </row>
    <row r="226" spans="1:37" x14ac:dyDescent="0.25">
      <c r="A226" s="154" t="s">
        <v>251</v>
      </c>
      <c r="B226" s="151"/>
      <c r="C226" s="152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5">
        <v>2.2000000000000002</v>
      </c>
      <c r="AH226" s="48"/>
      <c r="AI226" s="49"/>
      <c r="AK226" s="51"/>
    </row>
    <row r="227" spans="1:37" x14ac:dyDescent="0.25">
      <c r="A227" s="154" t="s">
        <v>252</v>
      </c>
      <c r="B227" s="151"/>
      <c r="C227" s="152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5">
        <v>2</v>
      </c>
      <c r="AH227" s="48"/>
      <c r="AI227" s="49"/>
      <c r="AK227" s="51"/>
    </row>
    <row r="228" spans="1:37" x14ac:dyDescent="0.25">
      <c r="A228" s="154" t="s">
        <v>253</v>
      </c>
      <c r="B228" s="151"/>
      <c r="C228" s="152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5">
        <v>2</v>
      </c>
      <c r="AH228" s="48"/>
      <c r="AI228" s="49"/>
      <c r="AK228" s="51"/>
    </row>
    <row r="229" spans="1:37" x14ac:dyDescent="0.25">
      <c r="A229" s="154" t="s">
        <v>254</v>
      </c>
      <c r="B229" s="151"/>
      <c r="C229" s="152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5">
        <v>2</v>
      </c>
      <c r="AH229" s="48"/>
      <c r="AI229" s="49"/>
      <c r="AK229" s="51"/>
    </row>
    <row r="230" spans="1:37" x14ac:dyDescent="0.25">
      <c r="A230" s="154" t="s">
        <v>255</v>
      </c>
      <c r="B230" s="151"/>
      <c r="C230" s="152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5">
        <v>1.8</v>
      </c>
      <c r="AH230" s="48"/>
      <c r="AI230" s="49"/>
      <c r="AK230" s="51"/>
    </row>
    <row r="231" spans="1:37" x14ac:dyDescent="0.25">
      <c r="A231" s="154" t="s">
        <v>256</v>
      </c>
      <c r="B231" s="151"/>
      <c r="C231" s="152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5">
        <v>1.8</v>
      </c>
      <c r="AH231" s="48"/>
      <c r="AI231" s="49"/>
      <c r="AK231" s="51"/>
    </row>
    <row r="232" spans="1:37" x14ac:dyDescent="0.25">
      <c r="A232" s="154" t="s">
        <v>257</v>
      </c>
      <c r="B232" s="151"/>
      <c r="C232" s="152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5">
        <v>1.65</v>
      </c>
      <c r="AH232" s="48"/>
      <c r="AI232" s="49"/>
      <c r="AK232" s="51"/>
    </row>
    <row r="233" spans="1:37" x14ac:dyDescent="0.25">
      <c r="A233" s="154" t="s">
        <v>258</v>
      </c>
      <c r="B233" s="151"/>
      <c r="C233" s="152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5">
        <v>1.5</v>
      </c>
      <c r="AH233" s="48"/>
      <c r="AI233" s="49"/>
      <c r="AK233" s="51"/>
    </row>
    <row r="234" spans="1:37" x14ac:dyDescent="0.25">
      <c r="A234" s="154" t="s">
        <v>259</v>
      </c>
      <c r="B234" s="151"/>
      <c r="C234" s="152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5">
        <v>0.998</v>
      </c>
      <c r="AH234" s="48"/>
      <c r="AI234" s="49"/>
      <c r="AK234" s="51"/>
    </row>
    <row r="235" spans="1:37" x14ac:dyDescent="0.25">
      <c r="A235" s="154" t="s">
        <v>260</v>
      </c>
      <c r="B235" s="151"/>
      <c r="C235" s="152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5">
        <v>0.997</v>
      </c>
      <c r="AH235" s="48"/>
      <c r="AI235" s="49"/>
      <c r="AK235" s="51"/>
    </row>
    <row r="236" spans="1:37" x14ac:dyDescent="0.25">
      <c r="A236" s="154" t="s">
        <v>261</v>
      </c>
      <c r="B236" s="151"/>
      <c r="C236" s="152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5">
        <v>0.997</v>
      </c>
      <c r="AH236" s="48"/>
      <c r="AI236" s="49"/>
      <c r="AK236" s="51"/>
    </row>
    <row r="237" spans="1:37" x14ac:dyDescent="0.25">
      <c r="A237" s="154" t="s">
        <v>262</v>
      </c>
      <c r="B237" s="151"/>
      <c r="C237" s="152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5">
        <v>0.996</v>
      </c>
      <c r="AH237" s="48"/>
      <c r="AI237" s="49"/>
      <c r="AK237" s="51"/>
    </row>
    <row r="238" spans="1:37" x14ac:dyDescent="0.25">
      <c r="A238" s="154" t="s">
        <v>263</v>
      </c>
      <c r="B238" s="151"/>
      <c r="C238" s="152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5">
        <v>0.996</v>
      </c>
      <c r="AH238" s="48"/>
      <c r="AI238" s="49"/>
      <c r="AK238" s="51"/>
    </row>
    <row r="239" spans="1:37" x14ac:dyDescent="0.25">
      <c r="A239" s="154" t="s">
        <v>264</v>
      </c>
      <c r="B239" s="151"/>
      <c r="C239" s="152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5">
        <v>0.996</v>
      </c>
      <c r="AH239" s="48"/>
      <c r="AI239" s="49"/>
      <c r="AK239" s="51"/>
    </row>
    <row r="240" spans="1:37" x14ac:dyDescent="0.25">
      <c r="A240" s="154" t="s">
        <v>265</v>
      </c>
      <c r="B240" s="151"/>
      <c r="C240" s="152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5">
        <v>0.995</v>
      </c>
      <c r="AH240" s="48"/>
      <c r="AI240" s="49"/>
      <c r="AK240" s="51"/>
    </row>
    <row r="241" spans="1:37" x14ac:dyDescent="0.25">
      <c r="A241" s="154" t="s">
        <v>266</v>
      </c>
      <c r="B241" s="151"/>
      <c r="C241" s="152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5">
        <v>0.99299999999999999</v>
      </c>
      <c r="AH241" s="48"/>
      <c r="AI241" s="49"/>
      <c r="AK241" s="51"/>
    </row>
    <row r="242" spans="1:37" x14ac:dyDescent="0.25">
      <c r="A242" s="154" t="s">
        <v>267</v>
      </c>
      <c r="B242" s="151"/>
      <c r="C242" s="149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5">
        <v>0.99</v>
      </c>
      <c r="AH242" s="48"/>
      <c r="AI242" s="49"/>
      <c r="AK242" s="51"/>
    </row>
    <row r="243" spans="1:37" ht="15.75" thickBot="1" x14ac:dyDescent="0.3">
      <c r="A243" s="154" t="s">
        <v>268</v>
      </c>
      <c r="B243" s="156"/>
      <c r="C243" s="157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5">
        <v>0.97899999999999998</v>
      </c>
      <c r="AH243" s="48"/>
      <c r="AI243" s="49"/>
      <c r="AK243" s="51"/>
    </row>
    <row r="244" spans="1:37" ht="15.75" thickBot="1" x14ac:dyDescent="0.3">
      <c r="A244" s="158" t="s">
        <v>269</v>
      </c>
      <c r="B244" s="159">
        <f t="shared" ref="B244:AG244" si="109">SUM(B139:B243)</f>
        <v>0</v>
      </c>
      <c r="C244" s="160">
        <f t="shared" si="109"/>
        <v>0</v>
      </c>
      <c r="D244" s="160">
        <f t="shared" si="109"/>
        <v>0</v>
      </c>
      <c r="E244" s="160">
        <f t="shared" si="109"/>
        <v>0</v>
      </c>
      <c r="F244" s="160">
        <f t="shared" si="109"/>
        <v>0</v>
      </c>
      <c r="G244" s="160">
        <f t="shared" si="109"/>
        <v>0</v>
      </c>
      <c r="H244" s="160">
        <f t="shared" si="109"/>
        <v>0</v>
      </c>
      <c r="I244" s="160">
        <f t="shared" si="109"/>
        <v>0</v>
      </c>
      <c r="J244" s="160">
        <f t="shared" si="109"/>
        <v>0</v>
      </c>
      <c r="K244" s="160">
        <f t="shared" si="109"/>
        <v>0</v>
      </c>
      <c r="L244" s="160">
        <f t="shared" si="109"/>
        <v>0</v>
      </c>
      <c r="M244" s="160">
        <f t="shared" si="109"/>
        <v>0</v>
      </c>
      <c r="N244" s="160">
        <f t="shared" si="109"/>
        <v>0</v>
      </c>
      <c r="O244" s="160">
        <f t="shared" si="109"/>
        <v>0</v>
      </c>
      <c r="P244" s="160">
        <f t="shared" si="109"/>
        <v>0</v>
      </c>
      <c r="Q244" s="160">
        <f t="shared" si="109"/>
        <v>0</v>
      </c>
      <c r="R244" s="160">
        <f t="shared" si="109"/>
        <v>0</v>
      </c>
      <c r="S244" s="160">
        <f t="shared" si="109"/>
        <v>0</v>
      </c>
      <c r="T244" s="160">
        <f t="shared" si="109"/>
        <v>0</v>
      </c>
      <c r="U244" s="160">
        <f t="shared" si="109"/>
        <v>0</v>
      </c>
      <c r="V244" s="160">
        <f t="shared" si="109"/>
        <v>0</v>
      </c>
      <c r="W244" s="160">
        <f t="shared" si="109"/>
        <v>0</v>
      </c>
      <c r="X244" s="160">
        <f t="shared" si="109"/>
        <v>0</v>
      </c>
      <c r="Y244" s="160">
        <f t="shared" si="109"/>
        <v>0</v>
      </c>
      <c r="Z244" s="160">
        <f t="shared" si="109"/>
        <v>0</v>
      </c>
      <c r="AA244" s="160">
        <f t="shared" si="109"/>
        <v>0</v>
      </c>
      <c r="AB244" s="160">
        <f t="shared" si="109"/>
        <v>0</v>
      </c>
      <c r="AC244" s="160">
        <f t="shared" si="109"/>
        <v>0</v>
      </c>
      <c r="AD244" s="160">
        <f t="shared" si="109"/>
        <v>0</v>
      </c>
      <c r="AE244" s="160">
        <f t="shared" si="109"/>
        <v>0</v>
      </c>
      <c r="AF244" s="161">
        <f t="shared" si="109"/>
        <v>0</v>
      </c>
      <c r="AG244" s="162">
        <f t="shared" si="109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4"/>
      <c r="AH245" s="48"/>
      <c r="AI245" s="49"/>
      <c r="AK245" s="51"/>
    </row>
    <row r="246" spans="1:37" x14ac:dyDescent="0.25">
      <c r="A246" s="112" t="s">
        <v>270</v>
      </c>
      <c r="B246" s="165">
        <f t="shared" ref="B246:B251" si="110">AF246</f>
        <v>0.3</v>
      </c>
      <c r="C246" s="165">
        <v>0.3</v>
      </c>
      <c r="D246" s="165">
        <f t="shared" ref="D246:S251" si="111">C246</f>
        <v>0.3</v>
      </c>
      <c r="E246" s="165">
        <f t="shared" si="111"/>
        <v>0.3</v>
      </c>
      <c r="F246" s="165">
        <f t="shared" si="111"/>
        <v>0.3</v>
      </c>
      <c r="G246" s="165">
        <f t="shared" si="111"/>
        <v>0.3</v>
      </c>
      <c r="H246" s="165">
        <f t="shared" si="111"/>
        <v>0.3</v>
      </c>
      <c r="I246" s="165">
        <f t="shared" si="111"/>
        <v>0.3</v>
      </c>
      <c r="J246" s="165">
        <f t="shared" si="111"/>
        <v>0.3</v>
      </c>
      <c r="K246" s="165">
        <f t="shared" si="111"/>
        <v>0.3</v>
      </c>
      <c r="L246" s="165">
        <f t="shared" si="111"/>
        <v>0.3</v>
      </c>
      <c r="M246" s="165">
        <f t="shared" si="111"/>
        <v>0.3</v>
      </c>
      <c r="N246" s="165">
        <f t="shared" si="111"/>
        <v>0.3</v>
      </c>
      <c r="O246" s="165">
        <f t="shared" si="111"/>
        <v>0.3</v>
      </c>
      <c r="P246" s="165">
        <f t="shared" si="111"/>
        <v>0.3</v>
      </c>
      <c r="Q246" s="165">
        <f t="shared" si="111"/>
        <v>0.3</v>
      </c>
      <c r="R246" s="165">
        <f t="shared" si="111"/>
        <v>0.3</v>
      </c>
      <c r="S246" s="165">
        <f t="shared" si="111"/>
        <v>0.3</v>
      </c>
      <c r="T246" s="165">
        <f t="shared" ref="T246:AF251" si="112">S246</f>
        <v>0.3</v>
      </c>
      <c r="U246" s="165">
        <f t="shared" si="112"/>
        <v>0.3</v>
      </c>
      <c r="V246" s="165">
        <f t="shared" si="112"/>
        <v>0.3</v>
      </c>
      <c r="W246" s="165">
        <f t="shared" si="112"/>
        <v>0.3</v>
      </c>
      <c r="X246" s="165">
        <f t="shared" si="112"/>
        <v>0.3</v>
      </c>
      <c r="Y246" s="165">
        <f t="shared" si="112"/>
        <v>0.3</v>
      </c>
      <c r="Z246" s="165">
        <f t="shared" si="112"/>
        <v>0.3</v>
      </c>
      <c r="AA246" s="165">
        <f t="shared" si="112"/>
        <v>0.3</v>
      </c>
      <c r="AB246" s="165">
        <f t="shared" si="112"/>
        <v>0.3</v>
      </c>
      <c r="AC246" s="165">
        <f t="shared" si="112"/>
        <v>0.3</v>
      </c>
      <c r="AD246" s="165">
        <f t="shared" si="112"/>
        <v>0.3</v>
      </c>
      <c r="AE246" s="165">
        <f t="shared" si="112"/>
        <v>0.3</v>
      </c>
      <c r="AF246" s="165">
        <f t="shared" si="112"/>
        <v>0.3</v>
      </c>
      <c r="AG246" s="166">
        <v>2.4</v>
      </c>
      <c r="AH246" s="48"/>
      <c r="AI246" s="49"/>
      <c r="AK246" s="51"/>
    </row>
    <row r="247" spans="1:37" x14ac:dyDescent="0.25">
      <c r="A247" s="115" t="s">
        <v>271</v>
      </c>
      <c r="B247" s="151">
        <f t="shared" si="110"/>
        <v>0.4</v>
      </c>
      <c r="C247" s="151">
        <v>0.4</v>
      </c>
      <c r="D247" s="151">
        <f t="shared" si="111"/>
        <v>0.4</v>
      </c>
      <c r="E247" s="151">
        <f t="shared" si="111"/>
        <v>0.4</v>
      </c>
      <c r="F247" s="151">
        <f t="shared" si="111"/>
        <v>0.4</v>
      </c>
      <c r="G247" s="151">
        <f t="shared" si="111"/>
        <v>0.4</v>
      </c>
      <c r="H247" s="151">
        <f t="shared" si="111"/>
        <v>0.4</v>
      </c>
      <c r="I247" s="151">
        <f t="shared" si="111"/>
        <v>0.4</v>
      </c>
      <c r="J247" s="151">
        <f t="shared" si="111"/>
        <v>0.4</v>
      </c>
      <c r="K247" s="151">
        <f t="shared" si="111"/>
        <v>0.4</v>
      </c>
      <c r="L247" s="151">
        <f t="shared" si="111"/>
        <v>0.4</v>
      </c>
      <c r="M247" s="151">
        <f t="shared" si="111"/>
        <v>0.4</v>
      </c>
      <c r="N247" s="151">
        <f t="shared" si="111"/>
        <v>0.4</v>
      </c>
      <c r="O247" s="151">
        <f t="shared" si="111"/>
        <v>0.4</v>
      </c>
      <c r="P247" s="151">
        <f t="shared" si="111"/>
        <v>0.4</v>
      </c>
      <c r="Q247" s="151">
        <f t="shared" si="111"/>
        <v>0.4</v>
      </c>
      <c r="R247" s="151">
        <f t="shared" si="111"/>
        <v>0.4</v>
      </c>
      <c r="S247" s="151">
        <f t="shared" si="111"/>
        <v>0.4</v>
      </c>
      <c r="T247" s="151">
        <f t="shared" si="112"/>
        <v>0.4</v>
      </c>
      <c r="U247" s="151">
        <f t="shared" si="112"/>
        <v>0.4</v>
      </c>
      <c r="V247" s="151">
        <f t="shared" si="112"/>
        <v>0.4</v>
      </c>
      <c r="W247" s="151">
        <f t="shared" si="112"/>
        <v>0.4</v>
      </c>
      <c r="X247" s="151">
        <f t="shared" si="112"/>
        <v>0.4</v>
      </c>
      <c r="Y247" s="151">
        <f t="shared" si="112"/>
        <v>0.4</v>
      </c>
      <c r="Z247" s="151">
        <f t="shared" si="112"/>
        <v>0.4</v>
      </c>
      <c r="AA247" s="151">
        <f t="shared" si="112"/>
        <v>0.4</v>
      </c>
      <c r="AB247" s="151">
        <f t="shared" si="112"/>
        <v>0.4</v>
      </c>
      <c r="AC247" s="151">
        <f t="shared" si="112"/>
        <v>0.4</v>
      </c>
      <c r="AD247" s="151">
        <f t="shared" si="112"/>
        <v>0.4</v>
      </c>
      <c r="AE247" s="151">
        <f t="shared" si="112"/>
        <v>0.4</v>
      </c>
      <c r="AF247" s="151">
        <f t="shared" si="112"/>
        <v>0.4</v>
      </c>
      <c r="AG247" s="167">
        <v>2</v>
      </c>
      <c r="AH247" s="48"/>
      <c r="AI247" s="49"/>
      <c r="AK247" s="51"/>
    </row>
    <row r="248" spans="1:37" x14ac:dyDescent="0.25">
      <c r="A248" s="115" t="s">
        <v>272</v>
      </c>
      <c r="B248" s="151">
        <f t="shared" si="110"/>
        <v>1.5</v>
      </c>
      <c r="C248" s="151">
        <v>1.5</v>
      </c>
      <c r="D248" s="151">
        <f t="shared" si="111"/>
        <v>1.5</v>
      </c>
      <c r="E248" s="151">
        <f t="shared" si="111"/>
        <v>1.5</v>
      </c>
      <c r="F248" s="151">
        <f t="shared" si="111"/>
        <v>1.5</v>
      </c>
      <c r="G248" s="151">
        <f t="shared" si="111"/>
        <v>1.5</v>
      </c>
      <c r="H248" s="151">
        <f t="shared" si="111"/>
        <v>1.5</v>
      </c>
      <c r="I248" s="151">
        <f t="shared" si="111"/>
        <v>1.5</v>
      </c>
      <c r="J248" s="151">
        <f t="shared" si="111"/>
        <v>1.5</v>
      </c>
      <c r="K248" s="151">
        <f t="shared" si="111"/>
        <v>1.5</v>
      </c>
      <c r="L248" s="151">
        <f t="shared" si="111"/>
        <v>1.5</v>
      </c>
      <c r="M248" s="151">
        <f t="shared" si="111"/>
        <v>1.5</v>
      </c>
      <c r="N248" s="151">
        <f t="shared" si="111"/>
        <v>1.5</v>
      </c>
      <c r="O248" s="151">
        <f t="shared" si="111"/>
        <v>1.5</v>
      </c>
      <c r="P248" s="151">
        <f t="shared" si="111"/>
        <v>1.5</v>
      </c>
      <c r="Q248" s="151">
        <f t="shared" si="111"/>
        <v>1.5</v>
      </c>
      <c r="R248" s="151">
        <f t="shared" si="111"/>
        <v>1.5</v>
      </c>
      <c r="S248" s="151">
        <f t="shared" si="111"/>
        <v>1.5</v>
      </c>
      <c r="T248" s="151">
        <f t="shared" si="112"/>
        <v>1.5</v>
      </c>
      <c r="U248" s="151">
        <f t="shared" si="112"/>
        <v>1.5</v>
      </c>
      <c r="V248" s="151">
        <f t="shared" si="112"/>
        <v>1.5</v>
      </c>
      <c r="W248" s="151">
        <f t="shared" si="112"/>
        <v>1.5</v>
      </c>
      <c r="X248" s="151">
        <f t="shared" si="112"/>
        <v>1.5</v>
      </c>
      <c r="Y248" s="151">
        <f t="shared" si="112"/>
        <v>1.5</v>
      </c>
      <c r="Z248" s="151">
        <f t="shared" si="112"/>
        <v>1.5</v>
      </c>
      <c r="AA248" s="151">
        <f t="shared" si="112"/>
        <v>1.5</v>
      </c>
      <c r="AB248" s="151">
        <f t="shared" si="112"/>
        <v>1.5</v>
      </c>
      <c r="AC248" s="151">
        <f t="shared" si="112"/>
        <v>1.5</v>
      </c>
      <c r="AD248" s="151">
        <f t="shared" si="112"/>
        <v>1.5</v>
      </c>
      <c r="AE248" s="151">
        <f t="shared" si="112"/>
        <v>1.5</v>
      </c>
      <c r="AF248" s="151">
        <f t="shared" si="112"/>
        <v>1.5</v>
      </c>
      <c r="AG248" s="167">
        <v>1.5</v>
      </c>
      <c r="AH248" s="48"/>
      <c r="AI248" s="49"/>
      <c r="AK248" s="51"/>
    </row>
    <row r="249" spans="1:37" x14ac:dyDescent="0.25">
      <c r="A249" s="115" t="s">
        <v>273</v>
      </c>
      <c r="B249" s="151">
        <f t="shared" si="110"/>
        <v>0.3</v>
      </c>
      <c r="C249" s="151">
        <v>0.3</v>
      </c>
      <c r="D249" s="151">
        <f t="shared" si="111"/>
        <v>0.3</v>
      </c>
      <c r="E249" s="151">
        <f t="shared" si="111"/>
        <v>0.3</v>
      </c>
      <c r="F249" s="151">
        <f t="shared" si="111"/>
        <v>0.3</v>
      </c>
      <c r="G249" s="151">
        <f t="shared" si="111"/>
        <v>0.3</v>
      </c>
      <c r="H249" s="151">
        <f t="shared" si="111"/>
        <v>0.3</v>
      </c>
      <c r="I249" s="151">
        <f t="shared" si="111"/>
        <v>0.3</v>
      </c>
      <c r="J249" s="151">
        <f t="shared" si="111"/>
        <v>0.3</v>
      </c>
      <c r="K249" s="151">
        <f t="shared" si="111"/>
        <v>0.3</v>
      </c>
      <c r="L249" s="151">
        <f t="shared" si="111"/>
        <v>0.3</v>
      </c>
      <c r="M249" s="151">
        <f t="shared" si="111"/>
        <v>0.3</v>
      </c>
      <c r="N249" s="151">
        <f t="shared" si="111"/>
        <v>0.3</v>
      </c>
      <c r="O249" s="151">
        <f t="shared" si="111"/>
        <v>0.3</v>
      </c>
      <c r="P249" s="151">
        <f t="shared" si="111"/>
        <v>0.3</v>
      </c>
      <c r="Q249" s="151">
        <f t="shared" si="111"/>
        <v>0.3</v>
      </c>
      <c r="R249" s="151">
        <f t="shared" si="111"/>
        <v>0.3</v>
      </c>
      <c r="S249" s="151">
        <f t="shared" si="111"/>
        <v>0.3</v>
      </c>
      <c r="T249" s="151">
        <f t="shared" si="112"/>
        <v>0.3</v>
      </c>
      <c r="U249" s="151">
        <f t="shared" si="112"/>
        <v>0.3</v>
      </c>
      <c r="V249" s="151">
        <f t="shared" si="112"/>
        <v>0.3</v>
      </c>
      <c r="W249" s="151">
        <f t="shared" si="112"/>
        <v>0.3</v>
      </c>
      <c r="X249" s="151">
        <f t="shared" si="112"/>
        <v>0.3</v>
      </c>
      <c r="Y249" s="151">
        <f t="shared" si="112"/>
        <v>0.3</v>
      </c>
      <c r="Z249" s="151">
        <f t="shared" si="112"/>
        <v>0.3</v>
      </c>
      <c r="AA249" s="151">
        <f t="shared" si="112"/>
        <v>0.3</v>
      </c>
      <c r="AB249" s="151">
        <f t="shared" si="112"/>
        <v>0.3</v>
      </c>
      <c r="AC249" s="151">
        <f t="shared" si="112"/>
        <v>0.3</v>
      </c>
      <c r="AD249" s="151">
        <f t="shared" si="112"/>
        <v>0.3</v>
      </c>
      <c r="AE249" s="151">
        <f t="shared" si="112"/>
        <v>0.3</v>
      </c>
      <c r="AF249" s="151">
        <f t="shared" si="112"/>
        <v>0.3</v>
      </c>
      <c r="AG249" s="167">
        <v>1</v>
      </c>
      <c r="AH249" s="48"/>
      <c r="AI249" s="49"/>
      <c r="AK249" s="51"/>
    </row>
    <row r="250" spans="1:37" x14ac:dyDescent="0.25">
      <c r="A250" s="115" t="s">
        <v>274</v>
      </c>
      <c r="B250" s="151">
        <f t="shared" si="110"/>
        <v>0.4</v>
      </c>
      <c r="C250" s="151">
        <v>0.4</v>
      </c>
      <c r="D250" s="151">
        <f t="shared" si="111"/>
        <v>0.4</v>
      </c>
      <c r="E250" s="151">
        <f t="shared" si="111"/>
        <v>0.4</v>
      </c>
      <c r="F250" s="151">
        <f t="shared" si="111"/>
        <v>0.4</v>
      </c>
      <c r="G250" s="151">
        <f t="shared" si="111"/>
        <v>0.4</v>
      </c>
      <c r="H250" s="151">
        <f t="shared" si="111"/>
        <v>0.4</v>
      </c>
      <c r="I250" s="151">
        <f t="shared" si="111"/>
        <v>0.4</v>
      </c>
      <c r="J250" s="151">
        <f t="shared" si="111"/>
        <v>0.4</v>
      </c>
      <c r="K250" s="151">
        <f t="shared" si="111"/>
        <v>0.4</v>
      </c>
      <c r="L250" s="151">
        <f t="shared" si="111"/>
        <v>0.4</v>
      </c>
      <c r="M250" s="151">
        <f t="shared" si="111"/>
        <v>0.4</v>
      </c>
      <c r="N250" s="151">
        <f t="shared" si="111"/>
        <v>0.4</v>
      </c>
      <c r="O250" s="151">
        <f t="shared" si="111"/>
        <v>0.4</v>
      </c>
      <c r="P250" s="151">
        <f t="shared" si="111"/>
        <v>0.4</v>
      </c>
      <c r="Q250" s="151">
        <f t="shared" si="111"/>
        <v>0.4</v>
      </c>
      <c r="R250" s="151">
        <f t="shared" si="111"/>
        <v>0.4</v>
      </c>
      <c r="S250" s="151">
        <f t="shared" si="111"/>
        <v>0.4</v>
      </c>
      <c r="T250" s="151">
        <f t="shared" si="112"/>
        <v>0.4</v>
      </c>
      <c r="U250" s="151">
        <f t="shared" si="112"/>
        <v>0.4</v>
      </c>
      <c r="V250" s="151">
        <f t="shared" si="112"/>
        <v>0.4</v>
      </c>
      <c r="W250" s="151">
        <f t="shared" si="112"/>
        <v>0.4</v>
      </c>
      <c r="X250" s="151">
        <f t="shared" si="112"/>
        <v>0.4</v>
      </c>
      <c r="Y250" s="151">
        <f t="shared" si="112"/>
        <v>0.4</v>
      </c>
      <c r="Z250" s="151">
        <f t="shared" si="112"/>
        <v>0.4</v>
      </c>
      <c r="AA250" s="151">
        <f t="shared" si="112"/>
        <v>0.4</v>
      </c>
      <c r="AB250" s="151">
        <f t="shared" si="112"/>
        <v>0.4</v>
      </c>
      <c r="AC250" s="151">
        <f t="shared" si="112"/>
        <v>0.4</v>
      </c>
      <c r="AD250" s="151">
        <f t="shared" si="112"/>
        <v>0.4</v>
      </c>
      <c r="AE250" s="151">
        <f t="shared" si="112"/>
        <v>0.4</v>
      </c>
      <c r="AF250" s="151">
        <f t="shared" si="112"/>
        <v>0.4</v>
      </c>
      <c r="AG250" s="167">
        <v>1</v>
      </c>
      <c r="AH250" s="48"/>
      <c r="AI250" s="49"/>
      <c r="AK250" s="51"/>
    </row>
    <row r="251" spans="1:37" ht="15.75" thickBot="1" x14ac:dyDescent="0.3">
      <c r="A251" s="154" t="s">
        <v>275</v>
      </c>
      <c r="B251" s="156">
        <f t="shared" si="110"/>
        <v>0.64</v>
      </c>
      <c r="C251" s="156">
        <v>0.64</v>
      </c>
      <c r="D251" s="156">
        <f t="shared" si="111"/>
        <v>0.64</v>
      </c>
      <c r="E251" s="156">
        <f t="shared" si="111"/>
        <v>0.64</v>
      </c>
      <c r="F251" s="156">
        <f t="shared" si="111"/>
        <v>0.64</v>
      </c>
      <c r="G251" s="156">
        <f t="shared" si="111"/>
        <v>0.64</v>
      </c>
      <c r="H251" s="156">
        <f t="shared" si="111"/>
        <v>0.64</v>
      </c>
      <c r="I251" s="156">
        <f t="shared" si="111"/>
        <v>0.64</v>
      </c>
      <c r="J251" s="156">
        <f t="shared" si="111"/>
        <v>0.64</v>
      </c>
      <c r="K251" s="156">
        <f t="shared" si="111"/>
        <v>0.64</v>
      </c>
      <c r="L251" s="156">
        <f t="shared" si="111"/>
        <v>0.64</v>
      </c>
      <c r="M251" s="156">
        <f t="shared" si="111"/>
        <v>0.64</v>
      </c>
      <c r="N251" s="156">
        <f t="shared" si="111"/>
        <v>0.64</v>
      </c>
      <c r="O251" s="156">
        <f t="shared" si="111"/>
        <v>0.64</v>
      </c>
      <c r="P251" s="156">
        <f t="shared" si="111"/>
        <v>0.64</v>
      </c>
      <c r="Q251" s="156">
        <f t="shared" si="111"/>
        <v>0.64</v>
      </c>
      <c r="R251" s="156">
        <f t="shared" si="111"/>
        <v>0.64</v>
      </c>
      <c r="S251" s="156">
        <f t="shared" si="111"/>
        <v>0.64</v>
      </c>
      <c r="T251" s="156">
        <f t="shared" si="112"/>
        <v>0.64</v>
      </c>
      <c r="U251" s="156">
        <f t="shared" si="112"/>
        <v>0.64</v>
      </c>
      <c r="V251" s="156">
        <f t="shared" si="112"/>
        <v>0.64</v>
      </c>
      <c r="W251" s="156">
        <f t="shared" si="112"/>
        <v>0.64</v>
      </c>
      <c r="X251" s="156">
        <f t="shared" si="112"/>
        <v>0.64</v>
      </c>
      <c r="Y251" s="156">
        <f t="shared" si="112"/>
        <v>0.64</v>
      </c>
      <c r="Z251" s="156">
        <f t="shared" si="112"/>
        <v>0.64</v>
      </c>
      <c r="AA251" s="156">
        <f t="shared" si="112"/>
        <v>0.64</v>
      </c>
      <c r="AB251" s="156">
        <f t="shared" si="112"/>
        <v>0.64</v>
      </c>
      <c r="AC251" s="156">
        <f t="shared" si="112"/>
        <v>0.64</v>
      </c>
      <c r="AD251" s="156">
        <f t="shared" si="112"/>
        <v>0.64</v>
      </c>
      <c r="AE251" s="156">
        <f t="shared" si="112"/>
        <v>0.64</v>
      </c>
      <c r="AF251" s="156">
        <f t="shared" si="112"/>
        <v>0.64</v>
      </c>
      <c r="AG251" s="168">
        <v>0.66</v>
      </c>
      <c r="AH251" s="48"/>
      <c r="AI251" s="49"/>
    </row>
    <row r="252" spans="1:37" ht="15.75" thickBot="1" x14ac:dyDescent="0.3">
      <c r="A252" s="169" t="s">
        <v>98</v>
      </c>
      <c r="B252" s="160">
        <f t="shared" ref="B252:AG252" si="113">SUM(B246:B251)</f>
        <v>3.54</v>
      </c>
      <c r="C252" s="160">
        <f t="shared" si="113"/>
        <v>3.54</v>
      </c>
      <c r="D252" s="160">
        <f t="shared" si="113"/>
        <v>3.54</v>
      </c>
      <c r="E252" s="160">
        <f t="shared" si="113"/>
        <v>3.54</v>
      </c>
      <c r="F252" s="160">
        <f t="shared" si="113"/>
        <v>3.54</v>
      </c>
      <c r="G252" s="160">
        <f t="shared" si="113"/>
        <v>3.54</v>
      </c>
      <c r="H252" s="160">
        <f t="shared" si="113"/>
        <v>3.54</v>
      </c>
      <c r="I252" s="160">
        <f t="shared" si="113"/>
        <v>3.54</v>
      </c>
      <c r="J252" s="160">
        <f t="shared" si="113"/>
        <v>3.54</v>
      </c>
      <c r="K252" s="160">
        <f t="shared" si="113"/>
        <v>3.54</v>
      </c>
      <c r="L252" s="160">
        <f t="shared" si="113"/>
        <v>3.54</v>
      </c>
      <c r="M252" s="160">
        <f t="shared" si="113"/>
        <v>3.54</v>
      </c>
      <c r="N252" s="160">
        <f t="shared" si="113"/>
        <v>3.54</v>
      </c>
      <c r="O252" s="160">
        <f t="shared" si="113"/>
        <v>3.54</v>
      </c>
      <c r="P252" s="160">
        <f t="shared" si="113"/>
        <v>3.54</v>
      </c>
      <c r="Q252" s="160">
        <f t="shared" si="113"/>
        <v>3.54</v>
      </c>
      <c r="R252" s="160">
        <f t="shared" si="113"/>
        <v>3.54</v>
      </c>
      <c r="S252" s="160">
        <f t="shared" si="113"/>
        <v>3.54</v>
      </c>
      <c r="T252" s="160">
        <f t="shared" si="113"/>
        <v>3.54</v>
      </c>
      <c r="U252" s="160">
        <f t="shared" si="113"/>
        <v>3.54</v>
      </c>
      <c r="V252" s="160">
        <f t="shared" si="113"/>
        <v>3.54</v>
      </c>
      <c r="W252" s="160">
        <f t="shared" si="113"/>
        <v>3.54</v>
      </c>
      <c r="X252" s="160">
        <f t="shared" si="113"/>
        <v>3.54</v>
      </c>
      <c r="Y252" s="160">
        <f t="shared" si="113"/>
        <v>3.54</v>
      </c>
      <c r="Z252" s="160">
        <f t="shared" si="113"/>
        <v>3.54</v>
      </c>
      <c r="AA252" s="160">
        <f t="shared" si="113"/>
        <v>3.54</v>
      </c>
      <c r="AB252" s="160">
        <f t="shared" si="113"/>
        <v>3.54</v>
      </c>
      <c r="AC252" s="160">
        <f t="shared" si="113"/>
        <v>3.54</v>
      </c>
      <c r="AD252" s="160">
        <f t="shared" si="113"/>
        <v>3.54</v>
      </c>
      <c r="AE252" s="160">
        <f t="shared" si="113"/>
        <v>3.54</v>
      </c>
      <c r="AF252" s="160">
        <f t="shared" si="113"/>
        <v>3.54</v>
      </c>
      <c r="AG252" s="170">
        <f t="shared" si="113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3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1" t="s">
        <v>276</v>
      </c>
      <c r="B256" s="172">
        <f>MAX(G99:N99)</f>
        <v>1669.44</v>
      </c>
      <c r="C256" s="173">
        <f>INDEX(G9:N9,1,MATCH(MAX(G99:N99),G99:N99,0))</f>
        <v>0.33333333333333331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277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2080/10/30)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4" t="s">
        <v>7</v>
      </c>
      <c r="B259" s="175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4" t="s">
        <v>278</v>
      </c>
      <c r="B260" s="175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4" t="s">
        <v>279</v>
      </c>
      <c r="B261" s="17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4" t="s">
        <v>280</v>
      </c>
      <c r="B262" s="175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4" t="s">
        <v>39</v>
      </c>
      <c r="B263" s="17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4" t="s">
        <v>281</v>
      </c>
      <c r="B264" s="175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4" t="s">
        <v>282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4" t="s">
        <v>283</v>
      </c>
      <c r="B266" s="175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134" priority="89">
      <formula>$AH11=0</formula>
    </cfRule>
  </conditionalFormatting>
  <conditionalFormatting sqref="A132:A253">
    <cfRule type="expression" dxfId="133" priority="90">
      <formula>$AH132=0</formula>
    </cfRule>
  </conditionalFormatting>
  <conditionalFormatting sqref="B8">
    <cfRule type="expression" dxfId="132" priority="145">
      <formula>AND(C$9&gt;=8/24,C$9&lt;14/24)</formula>
    </cfRule>
    <cfRule type="expression" dxfId="131" priority="147">
      <formula>C$9&gt;=20/24</formula>
    </cfRule>
    <cfRule type="expression" dxfId="130" priority="146">
      <formula>C$9&lt;8/24</formula>
    </cfRule>
    <cfRule type="expression" dxfId="129" priority="144">
      <formula>AND(C$9&gt;=14/24,C$9&lt;20/24)</formula>
    </cfRule>
  </conditionalFormatting>
  <conditionalFormatting sqref="B11:L52 M12:Y52 E59:H61 B59:D68 E63:G68 D66:G74 H67:I74 B69:AF74 B77:AF99 B9:AF10 B101:AF117 B119:AF137 B244:AF244 B246:B252">
    <cfRule type="expression" dxfId="128" priority="41">
      <formula>B$9&gt;=20/24</formula>
    </cfRule>
  </conditionalFormatting>
  <conditionalFormatting sqref="B53:Y57">
    <cfRule type="expression" dxfId="127" priority="53">
      <formula>B$9&lt;8/24</formula>
    </cfRule>
  </conditionalFormatting>
  <conditionalFormatting sqref="B9:AF10 B11:L52 M12:Y52 E59:H61 B59:D68 E63:G68 D66:G74 H67:I74 B69:AF74 B77:AF99 B101:AF117 B119:AF137 B244:AF244 B246:B252">
    <cfRule type="expression" dxfId="126" priority="44">
      <formula>B$9&lt;8/24</formula>
    </cfRule>
    <cfRule type="expression" dxfId="125" priority="43">
      <formula>AND(B$9&gt;=8/24,B$9&lt;14/24)</formula>
    </cfRule>
    <cfRule type="expression" dxfId="124" priority="42">
      <formula>AND(B$9&gt;=14/24,B$9&lt;20/24)</formula>
    </cfRule>
  </conditionalFormatting>
  <conditionalFormatting sqref="D246:AF252">
    <cfRule type="expression" dxfId="123" priority="130">
      <formula>AND(D$9&gt;=14/24,D$9&lt;20/24)</formula>
    </cfRule>
    <cfRule type="expression" dxfId="122" priority="129">
      <formula>D$9&gt;=20/24</formula>
    </cfRule>
    <cfRule type="expression" dxfId="121" priority="132">
      <formula>D$9&lt;8/24</formula>
    </cfRule>
    <cfRule type="expression" dxfId="120" priority="131">
      <formula>AND(D$9&gt;=8/24,D$9&lt;14/24)</formula>
    </cfRule>
  </conditionalFormatting>
  <conditionalFormatting sqref="E63:I67 J64:J67 K67">
    <cfRule type="expression" dxfId="119" priority="56">
      <formula>AND(E$9&gt;=8/24,E$9&lt;14/24)</formula>
    </cfRule>
    <cfRule type="expression" dxfId="118" priority="57">
      <formula>E$9&lt;8/24</formula>
    </cfRule>
    <cfRule type="expression" dxfId="117" priority="55">
      <formula>AND(E$9&gt;=14/24,E$9&lt;20/24)</formula>
    </cfRule>
    <cfRule type="expression" dxfId="116" priority="54">
      <formula>E$9&gt;=20/24</formula>
    </cfRule>
  </conditionalFormatting>
  <conditionalFormatting sqref="E68:K68">
    <cfRule type="expression" dxfId="115" priority="50">
      <formula>AND(E$9&gt;=14/24,E$9&lt;20/24)</formula>
    </cfRule>
    <cfRule type="expression" dxfId="114" priority="52">
      <formula>E$9&lt;8/24</formula>
    </cfRule>
    <cfRule type="expression" dxfId="113" priority="51">
      <formula>AND(E$9&gt;=8/24,E$9&lt;14/24)</formula>
    </cfRule>
    <cfRule type="expression" dxfId="112" priority="49">
      <formula>E$9&gt;=20/24</formula>
    </cfRule>
  </conditionalFormatting>
  <conditionalFormatting sqref="E11:L57 B11:D61 M12:Y56 M57:U57 V57:Y80 E58:U61 AB58:AF61 Z58:AA80 AB62:AG62 B62:U80 AB63:AF80 AG80">
    <cfRule type="expression" dxfId="111" priority="40">
      <formula>B11&gt;$AG11</formula>
    </cfRule>
  </conditionalFormatting>
  <conditionalFormatting sqref="E11:Y11 Z11:AF52">
    <cfRule type="expression" dxfId="110" priority="59">
      <formula>E$9&gt;=20/24</formula>
    </cfRule>
    <cfRule type="expression" dxfId="109" priority="60">
      <formula>AND(E$9&gt;=14/24,E$9&lt;20/24)</formula>
    </cfRule>
    <cfRule type="expression" dxfId="108" priority="61">
      <formula>AND(E$9&gt;=8/24,E$9&lt;14/24)</formula>
    </cfRule>
    <cfRule type="expression" dxfId="107" priority="62">
      <formula>E$9&lt;8/24</formula>
    </cfRule>
    <cfRule type="expression" dxfId="106" priority="58">
      <formula>E11&gt;$AG11</formula>
    </cfRule>
  </conditionalFormatting>
  <conditionalFormatting sqref="E59:AF62">
    <cfRule type="expression" dxfId="105" priority="70">
      <formula>E$9&lt;8/24</formula>
    </cfRule>
    <cfRule type="expression" dxfId="104" priority="69">
      <formula>AND(E$9&gt;=8/24,E$9&lt;14/24)</formula>
    </cfRule>
    <cfRule type="expression" dxfId="103" priority="68">
      <formula>AND(E$9&gt;=14/24,E$9&lt;20/24)</formula>
    </cfRule>
    <cfRule type="expression" dxfId="102" priority="67">
      <formula>E$9&gt;=20/24</formula>
    </cfRule>
  </conditionalFormatting>
  <conditionalFormatting sqref="F63:L65">
    <cfRule type="expression" dxfId="101" priority="84">
      <formula>F$9&lt;8/24</formula>
    </cfRule>
    <cfRule type="expression" dxfId="100" priority="83">
      <formula>AND(F$9&gt;=8/24,F$9&lt;14/24)</formula>
    </cfRule>
    <cfRule type="expression" dxfId="99" priority="82">
      <formula>AND(F$9&gt;=14/24,F$9&lt;20/24)</formula>
    </cfRule>
    <cfRule type="expression" dxfId="98" priority="81">
      <formula>F$9&gt;=20/24</formula>
    </cfRule>
  </conditionalFormatting>
  <conditionalFormatting sqref="L68:Y68">
    <cfRule type="expression" dxfId="97" priority="78">
      <formula>AND(L$9&gt;=14/24,L$9&lt;20/24)</formula>
    </cfRule>
    <cfRule type="expression" dxfId="96" priority="77">
      <formula>L$9&gt;=20/24</formula>
    </cfRule>
    <cfRule type="expression" dxfId="95" priority="79">
      <formula>AND(L$9&gt;=8/24,L$9&lt;14/24)</formula>
    </cfRule>
    <cfRule type="expression" dxfId="94" priority="80">
      <formula>L$9&lt;8/24</formula>
    </cfRule>
  </conditionalFormatting>
  <conditionalFormatting sqref="M8 S8 AB8">
    <cfRule type="expression" dxfId="93" priority="136">
      <formula>AND(N$9&gt;=14/24,N$9&lt;20/24)</formula>
    </cfRule>
    <cfRule type="expression" dxfId="92" priority="137">
      <formula>AND(N$9&gt;=8/24,N$9&lt;14/24)</formula>
    </cfRule>
    <cfRule type="expression" dxfId="91" priority="138">
      <formula>N$9&lt;8/24</formula>
    </cfRule>
  </conditionalFormatting>
  <conditionalFormatting sqref="M56:Y57">
    <cfRule type="expression" dxfId="90" priority="46">
      <formula>M$9&gt;=20/24</formula>
    </cfRule>
    <cfRule type="expression" dxfId="89" priority="47">
      <formula>AND(M$9&gt;=14/24,M$9&lt;20/24)</formula>
    </cfRule>
    <cfRule type="expression" dxfId="88" priority="48">
      <formula>AND(M$9&gt;=8/24,M$9&lt;14/24)</formula>
    </cfRule>
  </conditionalFormatting>
  <conditionalFormatting sqref="M63:Y67">
    <cfRule type="expression" dxfId="87" priority="88">
      <formula>M$9&lt;8/24</formula>
    </cfRule>
    <cfRule type="expression" dxfId="86" priority="87">
      <formula>AND(M$9&gt;=8/24,M$9&lt;14/24)</formula>
    </cfRule>
    <cfRule type="expression" dxfId="85" priority="86">
      <formula>AND(M$9&gt;=14/24,M$9&lt;20/24)</formula>
    </cfRule>
    <cfRule type="expression" dxfId="84" priority="85">
      <formula>M$9&gt;=20/24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83" priority="135">
      <formula>N$9&gt;=20/24</formula>
    </cfRule>
  </conditionalFormatting>
  <conditionalFormatting sqref="S8">
    <cfRule type="expression" dxfId="82" priority="123">
      <formula>AND(U$9&gt;=14/24,U$9&lt;20/24)</formula>
    </cfRule>
    <cfRule type="expression" dxfId="81" priority="124">
      <formula>AND(U$9&gt;=8/24,U$9&lt;14/24)</formula>
    </cfRule>
    <cfRule type="expression" dxfId="80" priority="125">
      <formula>U$9&lt;8/24</formula>
    </cfRule>
    <cfRule type="expression" dxfId="79" priority="122">
      <formula>U$9&gt;=20/24</formula>
    </cfRule>
  </conditionalFormatting>
  <conditionalFormatting sqref="T63:AF68">
    <cfRule type="expression" dxfId="78" priority="74">
      <formula>T$9&lt;8/24</formula>
    </cfRule>
    <cfRule type="expression" dxfId="77" priority="71">
      <formula>T$9&gt;=20/24</formula>
    </cfRule>
    <cfRule type="expression" dxfId="76" priority="72">
      <formula>AND(T$9&gt;=14/24,T$9&lt;20/24)</formula>
    </cfRule>
    <cfRule type="expression" dxfId="75" priority="73">
      <formula>AND(T$9&gt;=8/24,T$9&lt;14/24)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Z53:AF54 M53:Y55 B53:L57">
    <cfRule type="expression" dxfId="74" priority="37">
      <formula>B$9&gt;=20/24</formula>
    </cfRule>
    <cfRule type="expression" dxfId="73" priority="39">
      <formula>AND(B$9&gt;=8/24,B$9&lt;14/24)</formula>
    </cfRule>
    <cfRule type="expression" dxfId="72" priority="38">
      <formula>AND(B$9&gt;=14/24,B$9&lt;20/24)</formula>
    </cfRule>
  </conditionalFormatting>
  <conditionalFormatting sqref="Z53:AF55">
    <cfRule type="expression" dxfId="71" priority="76">
      <formula>Z53&gt;$AG53</formula>
    </cfRule>
  </conditionalFormatting>
  <conditionalFormatting sqref="Z53:AF57">
    <cfRule type="expression" dxfId="70" priority="75">
      <formula>Z$9&lt;8/24</formula>
    </cfRule>
  </conditionalFormatting>
  <conditionalFormatting sqref="Z55:AF57">
    <cfRule type="expression" dxfId="69" priority="66">
      <formula>AND(Z$9&gt;=8/24,Z$9&lt;14/24)</formula>
    </cfRule>
    <cfRule type="expression" dxfId="68" priority="65">
      <formula>AND(Z$9&gt;=14/24,Z$9&lt;20/24)</formula>
    </cfRule>
    <cfRule type="expression" dxfId="67" priority="64">
      <formula>Z$9&gt;=20/24</formula>
    </cfRule>
  </conditionalFormatting>
  <conditionalFormatting sqref="Z56:AF57">
    <cfRule type="expression" dxfId="66" priority="63">
      <formula>Z56&gt;$AG56</formula>
    </cfRule>
  </conditionalFormatting>
  <conditionalFormatting sqref="AB8">
    <cfRule type="expression" dxfId="65" priority="120">
      <formula>AND(AD$9&gt;=8/24,AD$9&lt;14/24)</formula>
    </cfRule>
    <cfRule type="expression" dxfId="64" priority="119">
      <formula>AND(AD$9&gt;=14/24,AD$9&lt;20/24)</formula>
    </cfRule>
    <cfRule type="expression" dxfId="63" priority="118">
      <formula>AD$9&gt;=20/24</formula>
    </cfRule>
    <cfRule type="expression" dxfId="62" priority="121">
      <formula>AD$9&lt;8/24</formula>
    </cfRule>
  </conditionalFormatting>
  <conditionalFormatting sqref="AG58">
    <cfRule type="expression" dxfId="61" priority="113">
      <formula>AG58&gt;$AG58</formula>
    </cfRule>
  </conditionalFormatting>
  <conditionalFormatting sqref="AG62">
    <cfRule type="expression" dxfId="60" priority="96">
      <formula>AG$9&gt;=20/24</formula>
    </cfRule>
    <cfRule type="expression" dxfId="59" priority="97">
      <formula>AND(AG$9&gt;=14/24,AG$9&lt;20/24)</formula>
    </cfRule>
    <cfRule type="expression" dxfId="58" priority="98">
      <formula>AND(AG$9&gt;=8/24,AG$9&lt;14/24)</formula>
    </cfRule>
    <cfRule type="expression" dxfId="57" priority="99">
      <formula>AG$9&lt;8/24</formula>
    </cfRule>
  </conditionalFormatting>
  <conditionalFormatting sqref="AG75:AG76">
    <cfRule type="expression" dxfId="56" priority="91">
      <formula>AG75&gt;$AG75</formula>
    </cfRule>
  </conditionalFormatting>
  <conditionalFormatting sqref="AG80">
    <cfRule type="expression" dxfId="55" priority="92">
      <formula>AG$9&gt;=20/24</formula>
    </cfRule>
    <cfRule type="expression" dxfId="54" priority="93">
      <formula>AND(AG$9&gt;=14/24,AG$9&lt;20/24)</formula>
    </cfRule>
    <cfRule type="expression" dxfId="53" priority="94">
      <formula>AND(AG$9&gt;=8/24,AG$9&lt;14/24)</formula>
    </cfRule>
    <cfRule type="expression" dxfId="52" priority="95">
      <formula>AG$9&lt;8/24</formula>
    </cfRule>
  </conditionalFormatting>
  <conditionalFormatting sqref="AG97">
    <cfRule type="expression" dxfId="51" priority="114">
      <formula>AG$9&gt;=20/24</formula>
    </cfRule>
    <cfRule type="expression" dxfId="50" priority="116">
      <formula>AND(AG$9&gt;=8/24,AG$9&lt;14/24)</formula>
    </cfRule>
    <cfRule type="expression" dxfId="49" priority="117">
      <formula>AG$9&lt;8/24</formula>
    </cfRule>
    <cfRule type="expression" dxfId="48" priority="115">
      <formula>AND(AG$9&gt;=14/24,AG$9&lt;20/24)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47" priority="142">
      <formula>AJ$9&lt;8/24</formula>
    </cfRule>
    <cfRule type="expression" dxfId="46" priority="141">
      <formula>AND(AJ$9&gt;=8/24,AJ$9&lt;14/24)</formula>
    </cfRule>
    <cfRule type="expression" dxfId="45" priority="139">
      <formula>AJ$9&gt;=20/24</formula>
    </cfRule>
    <cfRule type="expression" dxfId="44" priority="140">
      <formula>AND(AJ$9&gt;=14/24,AJ$9&lt;20/24)</formula>
    </cfRule>
  </conditionalFormatting>
  <conditionalFormatting sqref="AL88:AN88 AL94:AN94">
    <cfRule type="expression" dxfId="43" priority="107">
      <formula>AND(AL$9&gt;=14/24,AL$9&lt;20/24)</formula>
    </cfRule>
    <cfRule type="expression" dxfId="42" priority="108">
      <formula>AND(AL$9&gt;=8/24,AL$9&lt;14/24)</formula>
    </cfRule>
    <cfRule type="expression" dxfId="41" priority="109">
      <formula>AL$9&lt;8/24</formula>
    </cfRule>
    <cfRule type="expression" dxfId="40" priority="106">
      <formula>AL$9&gt;=20/24</formula>
    </cfRule>
  </conditionalFormatting>
  <conditionalFormatting sqref="AM15:AM21 AN16:AR21">
    <cfRule type="expression" dxfId="39" priority="13">
      <formula>AX$9&gt;=20/24</formula>
    </cfRule>
    <cfRule type="expression" dxfId="38" priority="16">
      <formula>AX$9&lt;8/24</formula>
    </cfRule>
    <cfRule type="expression" dxfId="37" priority="15">
      <formula>AND(AX$9&gt;=8/24,AX$9&lt;14/24)</formula>
    </cfRule>
    <cfRule type="expression" dxfId="36" priority="14">
      <formula>AND(AX$9&gt;=14/24,AX$9&lt;20/24)</formula>
    </cfRule>
  </conditionalFormatting>
  <conditionalFormatting sqref="AN89:AN92">
    <cfRule type="expression" dxfId="35" priority="103">
      <formula>AND(AN$9&gt;=14/24,AN$9&lt;20/24)</formula>
    </cfRule>
    <cfRule type="expression" dxfId="34" priority="102">
      <formula>AN$9&gt;=20/24</formula>
    </cfRule>
    <cfRule type="expression" dxfId="33" priority="104">
      <formula>AND(AN$9&gt;=8/24,AN$9&lt;14/24)</formula>
    </cfRule>
    <cfRule type="expression" dxfId="32" priority="105">
      <formula>AN$9&lt;8/24</formula>
    </cfRule>
  </conditionalFormatting>
  <conditionalFormatting sqref="AN15:AR15">
    <cfRule type="expression" dxfId="31" priority="2">
      <formula>AND(U$9&gt;=14/24,U$9&lt;20/24)</formula>
    </cfRule>
    <cfRule type="expression" dxfId="30" priority="3">
      <formula>AND(U$9&gt;=8/24,U$9&lt;14/24)</formula>
    </cfRule>
    <cfRule type="expression" dxfId="29" priority="4">
      <formula>U$9&lt;8/24</formula>
    </cfRule>
    <cfRule type="expression" dxfId="28" priority="1">
      <formula>U$9&gt;=20/24</formula>
    </cfRule>
  </conditionalFormatting>
  <conditionalFormatting sqref="AS15">
    <cfRule type="expression" dxfId="27" priority="9">
      <formula>AA$9&gt;=20/24</formula>
    </cfRule>
    <cfRule type="expression" dxfId="26" priority="10">
      <formula>AND(AA$9&gt;=14/24,AA$9&lt;20/24)</formula>
    </cfRule>
    <cfRule type="expression" dxfId="25" priority="12">
      <formula>AA$9&lt;8/24</formula>
    </cfRule>
    <cfRule type="expression" dxfId="24" priority="11">
      <formula>AND(AA$9&gt;=8/24,AA$9&lt;14/24)</formula>
    </cfRule>
  </conditionalFormatting>
  <conditionalFormatting sqref="AS16:AS21">
    <cfRule type="expression" dxfId="23" priority="19">
      <formula>AND(BE$9&gt;=8/24,BE$9&lt;14/24)</formula>
    </cfRule>
    <cfRule type="expression" dxfId="22" priority="20">
      <formula>BE$9&lt;8/24</formula>
    </cfRule>
    <cfRule type="expression" dxfId="21" priority="17">
      <formula>BE$9&gt;=20/24</formula>
    </cfRule>
    <cfRule type="expression" dxfId="20" priority="18">
      <formula>AND(BE$9&gt;=14/24,BE$9&lt;20/24)</formula>
    </cfRule>
  </conditionalFormatting>
  <conditionalFormatting sqref="AT15 AX15:BJ15">
    <cfRule type="expression" dxfId="19" priority="24">
      <formula>AC$9&lt;8/24</formula>
    </cfRule>
    <cfRule type="expression" dxfId="18" priority="23">
      <formula>AND(AC$9&gt;=8/24,AC$9&lt;14/24)</formula>
    </cfRule>
    <cfRule type="expression" dxfId="17" priority="21">
      <formula>AC$9&gt;=20/24</formula>
    </cfRule>
    <cfRule type="expression" dxfId="16" priority="22">
      <formula>AND(AC$9&gt;=14/24,AC$9&lt;20/24)</formula>
    </cfRule>
  </conditionalFormatting>
  <conditionalFormatting sqref="AT16:AT21">
    <cfRule type="expression" dxfId="15" priority="28">
      <formula>BG$9&lt;8/24</formula>
    </cfRule>
    <cfRule type="expression" dxfId="14" priority="27">
      <formula>AND(BG$9&gt;=8/24,BG$9&lt;14/24)</formula>
    </cfRule>
    <cfRule type="expression" dxfId="13" priority="26">
      <formula>AND(BG$9&gt;=14/24,BG$9&lt;20/24)</formula>
    </cfRule>
    <cfRule type="expression" dxfId="12" priority="25">
      <formula>BG$9&gt;=20/24</formula>
    </cfRule>
  </conditionalFormatting>
  <conditionalFormatting sqref="AU15:AV15">
    <cfRule type="expression" dxfId="11" priority="31">
      <formula>AND(AE$9&gt;=8/24,AE$9&lt;14/24)</formula>
    </cfRule>
    <cfRule type="expression" dxfId="10" priority="30">
      <formula>AND(AE$9&gt;=14/24,AE$9&lt;20/24)</formula>
    </cfRule>
    <cfRule type="expression" dxfId="9" priority="32">
      <formula>AE$9&lt;8/24</formula>
    </cfRule>
    <cfRule type="expression" dxfId="8" priority="29">
      <formula>AE$9&gt;=20/24</formula>
    </cfRule>
  </conditionalFormatting>
  <conditionalFormatting sqref="AU16:BJ21">
    <cfRule type="expression" dxfId="7" priority="33">
      <formula>BI$9&gt;=20/24</formula>
    </cfRule>
    <cfRule type="expression" dxfId="6" priority="34">
      <formula>AND(BI$9&gt;=14/24,BI$9&lt;20/24)</formula>
    </cfRule>
    <cfRule type="expression" dxfId="5" priority="35">
      <formula>AND(BI$9&gt;=8/24,BI$9&lt;14/24)</formula>
    </cfRule>
    <cfRule type="expression" dxfId="4" priority="36">
      <formula>BI$9&lt;8/24</formula>
    </cfRule>
  </conditionalFormatting>
  <conditionalFormatting sqref="AW15">
    <cfRule type="expression" dxfId="3" priority="8">
      <formula>B$9&lt;8/24</formula>
    </cfRule>
    <cfRule type="expression" dxfId="2" priority="7">
      <formula>AND(B$9&gt;=8/24,B$9&lt;14/24)</formula>
    </cfRule>
    <cfRule type="expression" dxfId="1" priority="6">
      <formula>AND(B$9&gt;=14/24,B$9&lt;20/24)</formula>
    </cfRule>
    <cfRule type="expression" dxfId="0" priority="5">
      <formula>B$9&gt;=20/24</formula>
    </cfRule>
  </conditionalFormatting>
  <pageMargins left="0.7" right="0.7" top="0.75" bottom="0.75" header="0.3" footer="0.3"/>
  <drawing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C4159-738C-4B7C-BB28-C209E870BA47}">
  <sheetPr codeName="Sheet23"/>
  <dimension ref="O18:P20"/>
  <sheetViews>
    <sheetView workbookViewId="0">
      <selection activeCell="P18" sqref="P18"/>
    </sheetView>
  </sheetViews>
  <sheetFormatPr defaultRowHeight="15" x14ac:dyDescent="0.25"/>
  <sheetData>
    <row r="18" spans="15:16" x14ac:dyDescent="0.25">
      <c r="P18">
        <f>11.49/66</f>
        <v>0.1740909090909091</v>
      </c>
    </row>
    <row r="19" spans="15:16" x14ac:dyDescent="0.25">
      <c r="O19" t="s">
        <v>155</v>
      </c>
      <c r="P19">
        <f>P18*456</f>
        <v>79.38545454545455</v>
      </c>
    </row>
    <row r="20" spans="15:16" x14ac:dyDescent="0.25">
      <c r="O20" t="s">
        <v>315</v>
      </c>
      <c r="P20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Sheet22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CRLDC</dc:creator>
  <cp:lastModifiedBy>Control Room LDC  System Operation Department</cp:lastModifiedBy>
  <dcterms:created xsi:type="dcterms:W3CDTF">2015-06-05T18:17:20Z</dcterms:created>
  <dcterms:modified xsi:type="dcterms:W3CDTF">2025-04-08T05:02:43Z</dcterms:modified>
</cp:coreProperties>
</file>